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50" windowWidth="18915" windowHeight="11190"/>
  </bookViews>
  <sheets>
    <sheet name="INDICE" sheetId="4" r:id="rId1"/>
    <sheet name="Cuenta de resultados" sheetId="30" r:id="rId2"/>
    <sheet name="Balances consolidados" sheetId="29" r:id="rId3"/>
    <sheet name="Actividad bancaria en España" sheetId="28" r:id="rId4"/>
    <sheet name="Actividad inm. en España" sheetId="27" r:id="rId5"/>
    <sheet name="Riesgo promoción inmobiliaria" sheetId="26" r:id="rId6"/>
    <sheet name="Estados Unidos" sheetId="25" r:id="rId7"/>
    <sheet name="Turquía" sheetId="23" r:id="rId8"/>
    <sheet name="Turquía en continuidad" sheetId="24" r:id="rId9"/>
    <sheet name="México" sheetId="22" r:id="rId10"/>
    <sheet name="América del sur" sheetId="21" r:id="rId11"/>
    <sheet name="Argentina" sheetId="20" r:id="rId12"/>
    <sheet name="Chile" sheetId="19" r:id="rId13"/>
    <sheet name="Colombia" sheetId="18" r:id="rId14"/>
    <sheet name="Perú" sheetId="17" r:id="rId15"/>
    <sheet name="Venezuela" sheetId="16" r:id="rId16"/>
    <sheet name="AdS_sinVenezuela" sheetId="15" r:id="rId17"/>
    <sheet name="Resto de Eurasia" sheetId="14" r:id="rId18"/>
    <sheet name="Centro Corporativo" sheetId="13" r:id="rId19"/>
    <sheet name="Grupo BBVA sin V y Turq cont" sheetId="12" r:id="rId20"/>
    <sheet name="Corporate &amp; Investment Banking" sheetId="11" r:id="rId21"/>
    <sheet name="Eficiencia" sheetId="10" r:id="rId22"/>
    <sheet name="Mora,cobertura,prima de riesgo" sheetId="9" r:id="rId23"/>
    <sheet name="Empleados,oficinas y cajeros" sheetId="8" r:id="rId24"/>
    <sheet name="Tipos de cambio" sheetId="7" r:id="rId25"/>
    <sheet name="Rendimientos y costes" sheetId="6" r:id="rId26"/>
    <sheet name="Nombres" sheetId="5"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a">'[1]Dades Reuters'!$A$3:$G$103</definedName>
    <definedName name="A_impresión_IM" localSheetId="0">#REF!</definedName>
    <definedName name="A_impresión_IM" localSheetId="26">#REF!</definedName>
    <definedName name="A_impresión_IM">#REF!</definedName>
    <definedName name="_xlnm.Print_Area" localSheetId="3">'Actividad bancaria en España'!$A$1:$H$58</definedName>
    <definedName name="_xlnm.Print_Area" localSheetId="4">'Actividad inm. en España'!$A$1:$H$58</definedName>
    <definedName name="_xlnm.Print_Area" localSheetId="16">AdS_sinVenezuela!$A$1:$H$99</definedName>
    <definedName name="_xlnm.Print_Area" localSheetId="10">'América del sur'!$A$1:$H$99</definedName>
    <definedName name="_xlnm.Print_Area" localSheetId="11">Argentina!$A$1:$H$99</definedName>
    <definedName name="_xlnm.Print_Area" localSheetId="2">'Balances consolidados'!$A$1:$H$79</definedName>
    <definedName name="_xlnm.Print_Area" localSheetId="18">'Centro Corporativo'!$A$1:$H$53</definedName>
    <definedName name="_xlnm.Print_Area" localSheetId="12">Chile!$A$1:$H$99</definedName>
    <definedName name="_xlnm.Print_Area" localSheetId="13">Colombia!$A$1:$H$99</definedName>
    <definedName name="_xlnm.Print_Area" localSheetId="20">'Corporate &amp; Investment Banking'!$A$1:$H$102</definedName>
    <definedName name="_xlnm.Print_Area" localSheetId="1">'Cuenta de resultados'!$A$1:$H$99</definedName>
    <definedName name="_xlnm.Print_Area" localSheetId="21">Eficiencia!$A$1:$H$36</definedName>
    <definedName name="_xlnm.Print_Area" localSheetId="23">'Empleados,oficinas y cajeros'!$A$1:$H$52</definedName>
    <definedName name="_xlnm.Print_Area" localSheetId="6">'Estados Unidos'!$A$1:$H$105</definedName>
    <definedName name="_xlnm.Print_Area" localSheetId="19">'Grupo BBVA sin V y Turq cont'!$A$1:$H$99</definedName>
    <definedName name="_xlnm.Print_Area" localSheetId="0">INDICE!$A$1:$C$30</definedName>
    <definedName name="_xlnm.Print_Area" localSheetId="9">México!$A$1:$H$95</definedName>
    <definedName name="_xlnm.Print_Area" localSheetId="22">'Mora,cobertura,prima de riesgo'!$A$1:$H$66</definedName>
    <definedName name="_xlnm.Print_Area" localSheetId="14">Perú!$A$1:$H$99</definedName>
    <definedName name="_xlnm.Print_Area" localSheetId="25">'Rendimientos y costes'!$A$1:$O$28</definedName>
    <definedName name="_xlnm.Print_Area" localSheetId="17">'Resto de Eurasia'!$A$1:$H$110</definedName>
    <definedName name="_xlnm.Print_Area" localSheetId="5">'Riesgo promoción inmobiliaria'!$A$1:$D$21</definedName>
    <definedName name="_xlnm.Print_Area" localSheetId="24">'Tipos de cambio'!$A$1:$I$19</definedName>
    <definedName name="_xlnm.Print_Area" localSheetId="7">Turquía!$A$1:$H$106</definedName>
    <definedName name="_xlnm.Print_Area" localSheetId="8">'Turquía en continuidad'!$A$1:$H$106</definedName>
    <definedName name="_xlnm.Print_Area" localSheetId="15">Venezuela!$A$1:$H$99</definedName>
    <definedName name="BAS">#REF!</definedName>
    <definedName name="_xlnm.Database" localSheetId="0">#REF!</definedName>
    <definedName name="_xlnm.Database" localSheetId="26">#REF!</definedName>
    <definedName name="_xlnm.Database">#REF!</definedName>
    <definedName name="BLPH10001" hidden="1">[2]Datos!$G$4</definedName>
    <definedName name="BLPH10002" hidden="1">[2]Datos!$O$4</definedName>
    <definedName name="BLPH10003" hidden="1">[2]Datos!$E$4</definedName>
    <definedName name="BLPH10004" hidden="1">[2]Datos!$M$4</definedName>
    <definedName name="BLPH10005" hidden="1">[2]Datos!$A$4</definedName>
    <definedName name="BLPH10006" hidden="1">[2]Datos!$C$4</definedName>
    <definedName name="BLPH10007" hidden="1">[2]Datos!$K$4</definedName>
    <definedName name="BLPH10008" hidden="1">[2]Datos!$I$4</definedName>
    <definedName name="BLPH10009" hidden="1">[2]Datos!$S$4</definedName>
    <definedName name="BLPH10010" hidden="1">[2]Datos!$Q$4</definedName>
    <definedName name="DATOS">[3]Datos!$A$10:$F$90</definedName>
    <definedName name="DIAS">#REF!</definedName>
    <definedName name="Entidades">#REF!</definedName>
    <definedName name="error" localSheetId="0">#REF!</definedName>
    <definedName name="error" localSheetId="26">#REF!</definedName>
    <definedName name="error">#REF!</definedName>
    <definedName name="EssOptions" localSheetId="0">"A1100000000110000011001100020_01000"</definedName>
    <definedName name="EssSamplingValue" localSheetId="0">100</definedName>
    <definedName name="FECHA">[4]BRASIL!#REF!</definedName>
    <definedName name="FIX">#REF!</definedName>
    <definedName name="I_GLOBAL">#REF!</definedName>
    <definedName name="IBEX">'[1]Dades Reuters'!$I$3:$J$103</definedName>
    <definedName name="Inversion_total_Latam" localSheetId="0">[5]Posiciones!$L$24</definedName>
    <definedName name="Inversion_total_Latam" localSheetId="26">[5]Posiciones!$L$24</definedName>
    <definedName name="Inversion_total_Latam">[6]Posiciones!$L$24</definedName>
    <definedName name="ll">[4]BRASIL!#REF!</definedName>
    <definedName name="nada">#REF!</definedName>
    <definedName name="Nominal_emision__Rang2" localSheetId="0">#REF!</definedName>
    <definedName name="Nominal_emision__Rang2" localSheetId="26">#REF!</definedName>
    <definedName name="Nominal_emision__Rang2">#REF!</definedName>
    <definedName name="Opciones">#REF!</definedName>
    <definedName name="PREF">#REF!</definedName>
    <definedName name="promig">'[1]Accions BS '!$A$45:$B$61</definedName>
    <definedName name="rang">'[1]Dades Reuters'!$A$3:$G$103</definedName>
    <definedName name="Rang10" localSheetId="0">#REF!</definedName>
    <definedName name="Rang10" localSheetId="26">#REF!</definedName>
    <definedName name="Rang10">#REF!</definedName>
    <definedName name="Rang11" localSheetId="0">#REF!</definedName>
    <definedName name="Rang11" localSheetId="26">#REF!</definedName>
    <definedName name="Rang11">#REF!</definedName>
    <definedName name="Rang2" localSheetId="0">#REF!</definedName>
    <definedName name="Rang2" localSheetId="26">#REF!</definedName>
    <definedName name="Rang2">#REF!</definedName>
    <definedName name="Rang3" localSheetId="0">#REF!</definedName>
    <definedName name="Rang3" localSheetId="26">#REF!</definedName>
    <definedName name="Rang3">#REF!</definedName>
    <definedName name="Rang4" localSheetId="0">#REF!</definedName>
    <definedName name="Rang4" localSheetId="26">#REF!</definedName>
    <definedName name="Rang4">#REF!</definedName>
    <definedName name="Rang7" localSheetId="0">#REF!</definedName>
    <definedName name="Rang7" localSheetId="26">#REF!</definedName>
    <definedName name="Rang7">#REF!</definedName>
    <definedName name="Rang8" localSheetId="0">#REF!</definedName>
    <definedName name="Rang8" localSheetId="26">#REF!</definedName>
    <definedName name="Rang8">#REF!</definedName>
    <definedName name="Rang9" localSheetId="0">#REF!</definedName>
    <definedName name="Rang9" localSheetId="26">#REF!</definedName>
    <definedName name="Rang9">#REF!</definedName>
    <definedName name="RANGO" localSheetId="0">[7]TABLA_EPIGRAFES!#REF!</definedName>
    <definedName name="RANGO" localSheetId="26">[7]TABLA_EPIGRAFES!#REF!</definedName>
    <definedName name="RANGO">[7]TABLA_EPIGRAFES!#REF!</definedName>
    <definedName name="RANGO2" localSheetId="0">[8]TABLA_EPIGRAFES!#REF!</definedName>
    <definedName name="RANGO2" localSheetId="26">[8]TABLA_EPIGRAFES!#REF!</definedName>
    <definedName name="RANGO2">[8]TABLA_EPIGRAFES!#REF!</definedName>
    <definedName name="SDES">[9]DATOS!$A$11:$J$50</definedName>
    <definedName name="Tabla0">#REF!</definedName>
    <definedName name="Tabla1">#REF!</definedName>
    <definedName name="Tabla2">#REF!</definedName>
    <definedName name="Tasas_de_mora__cobertura_y_prima_de_riesgo" localSheetId="0">#REF!</definedName>
    <definedName name="Tasas_de_mora__cobertura_y_prima_de_riesgo" localSheetId="26">#REF!</definedName>
    <definedName name="Tasas_de_mora__cobertura_y_prima_de_riesgo">#REF!</definedName>
    <definedName name="TC">[4]REDEXTERIOR!#REF!</definedName>
    <definedName name="Tipo_Importe__Rang3" localSheetId="0">#REF!</definedName>
    <definedName name="Tipo_Importe__Rang3" localSheetId="26">#REF!</definedName>
    <definedName name="Tipo_Importe__Rang3">#REF!</definedName>
    <definedName name="TIPO2">[8]Tabla_de_Tipos!$B$6:$N$6</definedName>
    <definedName name="tipos">#REF!</definedName>
    <definedName name="ZZZ_1.5.1.1.1.4">[10]Listas!$A$8:$A$246</definedName>
    <definedName name="ZZZ_1.5.1.1.1.5.10">[10]Listas!$A$248:$A$250</definedName>
  </definedNames>
  <calcPr calcId="145621"/>
</workbook>
</file>

<file path=xl/calcChain.xml><?xml version="1.0" encoding="utf-8"?>
<calcChain xmlns="http://schemas.openxmlformats.org/spreadsheetml/2006/main">
  <c r="A56" i="9" l="1"/>
  <c r="A37" i="9"/>
  <c r="A18" i="9"/>
  <c r="B322" i="5"/>
  <c r="A49" i="9"/>
  <c r="A30" i="9"/>
  <c r="A11" i="9"/>
  <c r="B321" i="5"/>
  <c r="A94" i="23" l="1"/>
  <c r="A75" i="23"/>
  <c r="A42" i="23"/>
  <c r="A25" i="13"/>
  <c r="A29" i="13"/>
  <c r="A30" i="13"/>
  <c r="B303" i="5"/>
  <c r="B304" i="5" s="1"/>
  <c r="B305" i="5" s="1"/>
  <c r="B306" i="5" s="1"/>
  <c r="B307" i="5" s="1"/>
  <c r="B308" i="5" s="1"/>
  <c r="B309" i="5" s="1"/>
  <c r="B310" i="5" s="1"/>
  <c r="B311" i="5" s="1"/>
  <c r="B312" i="5" s="1"/>
  <c r="B313" i="5" s="1"/>
  <c r="B314" i="5" s="1"/>
  <c r="B315" i="5" s="1"/>
  <c r="B316" i="5" s="1"/>
  <c r="B317" i="5" s="1"/>
  <c r="B318" i="5" s="1"/>
  <c r="B319" i="5" s="1"/>
  <c r="B320" i="5" s="1"/>
  <c r="B302" i="5"/>
  <c r="A26" i="29" l="1"/>
  <c r="A39" i="29" l="1"/>
  <c r="A78" i="29"/>
  <c r="A54" i="14"/>
  <c r="A55" i="14"/>
  <c r="B57" i="14"/>
  <c r="C57" i="14"/>
  <c r="D57" i="14"/>
  <c r="E57" i="14"/>
  <c r="F57" i="14"/>
  <c r="G57" i="14"/>
  <c r="H57" i="14"/>
  <c r="A58" i="14"/>
  <c r="A59" i="14"/>
  <c r="A60" i="14"/>
  <c r="A61" i="14"/>
  <c r="A62" i="14"/>
  <c r="A63" i="14"/>
  <c r="A64" i="14"/>
  <c r="A65" i="14"/>
  <c r="A66" i="14"/>
  <c r="A67" i="14"/>
  <c r="A68" i="14"/>
  <c r="A69" i="14"/>
  <c r="A70" i="14"/>
  <c r="A71" i="14"/>
  <c r="A72" i="14"/>
  <c r="A73" i="14"/>
  <c r="A74" i="14"/>
  <c r="A75" i="14"/>
  <c r="A76" i="14"/>
  <c r="A77" i="14"/>
  <c r="A79" i="14"/>
  <c r="A80" i="14"/>
  <c r="A81" i="14"/>
  <c r="A82" i="14"/>
  <c r="A83" i="14"/>
  <c r="A84" i="14"/>
  <c r="A85" i="14"/>
  <c r="A86" i="14"/>
  <c r="A87" i="14"/>
  <c r="A88" i="14"/>
  <c r="A89" i="14"/>
  <c r="A90" i="14"/>
  <c r="A91" i="14"/>
  <c r="A92" i="14"/>
  <c r="A93" i="14"/>
  <c r="A94" i="14"/>
  <c r="A95" i="14"/>
  <c r="A96" i="14"/>
  <c r="A97" i="14"/>
  <c r="A98" i="14"/>
  <c r="A100" i="14"/>
  <c r="A101" i="14"/>
  <c r="A102" i="14"/>
  <c r="A103" i="14"/>
  <c r="A104" i="14"/>
  <c r="A105" i="14"/>
  <c r="A106" i="14"/>
  <c r="C34" i="4" l="1"/>
  <c r="C14" i="4" l="1"/>
  <c r="H34" i="30" l="1"/>
  <c r="G34" i="30"/>
  <c r="F34" i="30"/>
  <c r="E34" i="30"/>
  <c r="D34" i="30"/>
  <c r="C34" i="30"/>
  <c r="B34" i="30"/>
  <c r="H4" i="30"/>
  <c r="G4" i="30"/>
  <c r="F4" i="30"/>
  <c r="E4" i="30"/>
  <c r="D4" i="30"/>
  <c r="C4" i="30"/>
  <c r="B4" i="30"/>
  <c r="A61" i="30"/>
  <c r="A60" i="30"/>
  <c r="A58" i="30"/>
  <c r="A57" i="30"/>
  <c r="A56" i="30"/>
  <c r="A55" i="30"/>
  <c r="A54" i="30"/>
  <c r="A53" i="30"/>
  <c r="A52" i="30"/>
  <c r="A51" i="30"/>
  <c r="A50" i="30"/>
  <c r="A49" i="30"/>
  <c r="A48" i="30"/>
  <c r="A47" i="30"/>
  <c r="A46" i="30"/>
  <c r="A45" i="30"/>
  <c r="A44" i="30"/>
  <c r="A43" i="30"/>
  <c r="A42" i="30"/>
  <c r="A41" i="30"/>
  <c r="A40" i="30"/>
  <c r="A39" i="30"/>
  <c r="A38" i="30"/>
  <c r="A37" i="30"/>
  <c r="A36" i="30"/>
  <c r="A35"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2" i="30"/>
  <c r="A77" i="29"/>
  <c r="A75" i="29"/>
  <c r="A74" i="29"/>
  <c r="A73" i="29"/>
  <c r="A72" i="29"/>
  <c r="A70" i="29"/>
  <c r="A69" i="29"/>
  <c r="A68" i="29"/>
  <c r="A67" i="29"/>
  <c r="A66" i="29"/>
  <c r="A65" i="29"/>
  <c r="A64" i="29"/>
  <c r="A63" i="29"/>
  <c r="A62" i="29"/>
  <c r="A61" i="29"/>
  <c r="A60" i="29"/>
  <c r="A58" i="29"/>
  <c r="A57" i="29"/>
  <c r="A56" i="29"/>
  <c r="A55" i="29"/>
  <c r="A54" i="29"/>
  <c r="A53" i="29"/>
  <c r="A52" i="29"/>
  <c r="A51" i="29"/>
  <c r="A50" i="29"/>
  <c r="A49" i="29"/>
  <c r="A48" i="29"/>
  <c r="A47" i="29"/>
  <c r="A46" i="29"/>
  <c r="A45" i="29"/>
  <c r="A41" i="29"/>
  <c r="A40" i="29"/>
  <c r="A38" i="29"/>
  <c r="A36" i="29"/>
  <c r="A35" i="29"/>
  <c r="A34" i="29"/>
  <c r="A33" i="29"/>
  <c r="A31" i="29"/>
  <c r="A30" i="29"/>
  <c r="A29" i="29"/>
  <c r="A28" i="29"/>
  <c r="A27" i="29"/>
  <c r="A25" i="29"/>
  <c r="A24" i="29"/>
  <c r="A23" i="29"/>
  <c r="A22" i="29"/>
  <c r="A21" i="29"/>
  <c r="A19" i="29"/>
  <c r="A18" i="29"/>
  <c r="A17" i="29"/>
  <c r="A16" i="29"/>
  <c r="A15" i="29"/>
  <c r="A14" i="29"/>
  <c r="A13" i="29"/>
  <c r="A12" i="29"/>
  <c r="A11" i="29"/>
  <c r="A10" i="29"/>
  <c r="A9" i="29"/>
  <c r="A8" i="29"/>
  <c r="A7" i="29"/>
  <c r="A6" i="29"/>
  <c r="A2" i="29"/>
  <c r="H5" i="28"/>
  <c r="G5" i="28"/>
  <c r="F5" i="28"/>
  <c r="E5" i="28"/>
  <c r="D5" i="28"/>
  <c r="C5" i="28"/>
  <c r="B5"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5" i="28"/>
  <c r="A24" i="28"/>
  <c r="A23" i="28"/>
  <c r="A22" i="28"/>
  <c r="A21" i="28"/>
  <c r="A20" i="28"/>
  <c r="A19" i="28"/>
  <c r="A18" i="28"/>
  <c r="A17" i="28"/>
  <c r="A16" i="28"/>
  <c r="A15" i="28"/>
  <c r="A14" i="28"/>
  <c r="A13" i="28"/>
  <c r="A12" i="28"/>
  <c r="A11" i="28"/>
  <c r="A10" i="28"/>
  <c r="A9" i="28"/>
  <c r="A8" i="28"/>
  <c r="A7" i="28"/>
  <c r="A6" i="28"/>
  <c r="A3" i="28"/>
  <c r="A2" i="28"/>
  <c r="H5" i="27"/>
  <c r="G5" i="27"/>
  <c r="F5" i="27"/>
  <c r="E5" i="27"/>
  <c r="D5" i="27"/>
  <c r="C5" i="27"/>
  <c r="B5" i="27"/>
  <c r="A43" i="27"/>
  <c r="A42" i="27"/>
  <c r="A41" i="27"/>
  <c r="A40" i="27"/>
  <c r="A39" i="27"/>
  <c r="A38" i="27"/>
  <c r="A37" i="27"/>
  <c r="A36" i="27"/>
  <c r="A35" i="27"/>
  <c r="A34" i="27"/>
  <c r="A33" i="27"/>
  <c r="A32" i="27"/>
  <c r="A31" i="27"/>
  <c r="A30" i="27"/>
  <c r="A29" i="27"/>
  <c r="A28" i="27"/>
  <c r="A27" i="27"/>
  <c r="A25" i="27"/>
  <c r="A24" i="27"/>
  <c r="A23" i="27"/>
  <c r="A22" i="27"/>
  <c r="A21" i="27"/>
  <c r="A20" i="27"/>
  <c r="A19" i="27"/>
  <c r="A18" i="27"/>
  <c r="A17" i="27"/>
  <c r="A16" i="27"/>
  <c r="A15" i="27"/>
  <c r="A14" i="27"/>
  <c r="A13" i="27"/>
  <c r="A12" i="27"/>
  <c r="A11" i="27"/>
  <c r="A10" i="27"/>
  <c r="A9" i="27"/>
  <c r="A8" i="27"/>
  <c r="A7" i="27"/>
  <c r="A6" i="27"/>
  <c r="A3" i="27"/>
  <c r="A2" i="27"/>
  <c r="A20" i="26"/>
  <c r="A19" i="26"/>
  <c r="A18" i="26"/>
  <c r="A17" i="26"/>
  <c r="A16" i="26"/>
  <c r="A15" i="26"/>
  <c r="A14" i="26"/>
  <c r="A13" i="26"/>
  <c r="A12" i="26"/>
  <c r="A11" i="26"/>
  <c r="A10" i="26"/>
  <c r="A9" i="26"/>
  <c r="A8" i="26"/>
  <c r="A7" i="26"/>
  <c r="A6" i="26"/>
  <c r="D5" i="26"/>
  <c r="C5" i="26"/>
  <c r="B5" i="26"/>
  <c r="A2" i="26"/>
  <c r="H57" i="25"/>
  <c r="G57" i="25"/>
  <c r="F57" i="25"/>
  <c r="E57" i="25"/>
  <c r="D57" i="25"/>
  <c r="C57" i="25"/>
  <c r="B57" i="25"/>
  <c r="H5" i="25"/>
  <c r="G5" i="25"/>
  <c r="F5" i="25"/>
  <c r="E5" i="25"/>
  <c r="D5" i="25"/>
  <c r="C5" i="25"/>
  <c r="B5" i="25"/>
  <c r="A106" i="25"/>
  <c r="A105" i="25"/>
  <c r="A104" i="25"/>
  <c r="A103" i="25"/>
  <c r="A102" i="25"/>
  <c r="A101" i="25"/>
  <c r="A100" i="25"/>
  <c r="A98" i="25"/>
  <c r="A97" i="25"/>
  <c r="A96" i="25"/>
  <c r="A95" i="25"/>
  <c r="A94" i="25"/>
  <c r="A93" i="25"/>
  <c r="A92" i="25"/>
  <c r="A91" i="25"/>
  <c r="A90" i="25"/>
  <c r="A89" i="25"/>
  <c r="A88" i="25"/>
  <c r="A87" i="25"/>
  <c r="A86" i="25"/>
  <c r="A85" i="25"/>
  <c r="A84" i="25"/>
  <c r="A83" i="25"/>
  <c r="A82" i="25"/>
  <c r="A81" i="25"/>
  <c r="A80" i="25"/>
  <c r="A79" i="25"/>
  <c r="A77" i="25"/>
  <c r="A76" i="25"/>
  <c r="A75" i="25"/>
  <c r="A74" i="25"/>
  <c r="A73" i="25"/>
  <c r="A72" i="25"/>
  <c r="A71" i="25"/>
  <c r="A70" i="25"/>
  <c r="A69" i="25"/>
  <c r="A68" i="25"/>
  <c r="A67" i="25"/>
  <c r="A66" i="25"/>
  <c r="A65" i="25"/>
  <c r="A64" i="25"/>
  <c r="A63" i="25"/>
  <c r="A62" i="25"/>
  <c r="A61" i="25"/>
  <c r="A60" i="25"/>
  <c r="A59" i="25"/>
  <c r="A58"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5" i="25"/>
  <c r="A24" i="25"/>
  <c r="A23" i="25"/>
  <c r="A22" i="25"/>
  <c r="A21" i="25"/>
  <c r="A20" i="25"/>
  <c r="A19" i="25"/>
  <c r="A18" i="25"/>
  <c r="A17" i="25"/>
  <c r="A16" i="25"/>
  <c r="A15" i="25"/>
  <c r="A14" i="25"/>
  <c r="A13" i="25"/>
  <c r="A12" i="25"/>
  <c r="A11" i="25"/>
  <c r="A10" i="25"/>
  <c r="A9" i="25"/>
  <c r="A8" i="25"/>
  <c r="A7" i="25"/>
  <c r="A6" i="25"/>
  <c r="A3" i="25"/>
  <c r="A2" i="25"/>
  <c r="H56" i="24"/>
  <c r="G56" i="24"/>
  <c r="F56" i="24"/>
  <c r="E56" i="24"/>
  <c r="D56" i="24"/>
  <c r="C56" i="24"/>
  <c r="B56" i="24"/>
  <c r="H5" i="24"/>
  <c r="G5" i="24"/>
  <c r="F5" i="24"/>
  <c r="E5" i="24"/>
  <c r="D5" i="24"/>
  <c r="C5" i="24"/>
  <c r="B5" i="24"/>
  <c r="A105" i="24"/>
  <c r="A104" i="24"/>
  <c r="A103" i="24"/>
  <c r="A102" i="24"/>
  <c r="A101" i="24"/>
  <c r="A100" i="24"/>
  <c r="A99" i="24"/>
  <c r="A97" i="24"/>
  <c r="A96" i="24"/>
  <c r="A95" i="24"/>
  <c r="A94" i="24"/>
  <c r="A93" i="24"/>
  <c r="A92" i="24"/>
  <c r="A91" i="24"/>
  <c r="A90" i="24"/>
  <c r="A89" i="24"/>
  <c r="A88" i="24"/>
  <c r="A87" i="24"/>
  <c r="A86" i="24"/>
  <c r="A85" i="24"/>
  <c r="A84" i="24"/>
  <c r="A83" i="24"/>
  <c r="A82" i="24"/>
  <c r="A81" i="24"/>
  <c r="A80" i="24"/>
  <c r="A79" i="24"/>
  <c r="A77" i="24"/>
  <c r="A76" i="24"/>
  <c r="A75" i="24"/>
  <c r="A74" i="24"/>
  <c r="A73" i="24"/>
  <c r="A72" i="24"/>
  <c r="A71" i="24"/>
  <c r="A70" i="24"/>
  <c r="A69" i="24"/>
  <c r="A68" i="24"/>
  <c r="A67" i="24"/>
  <c r="A66" i="24"/>
  <c r="A65" i="24"/>
  <c r="A64" i="24"/>
  <c r="A63" i="24"/>
  <c r="A62" i="24"/>
  <c r="A61" i="24"/>
  <c r="A60" i="24"/>
  <c r="A59" i="24"/>
  <c r="A58" i="24"/>
  <c r="A57"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 i="24"/>
  <c r="A2" i="24"/>
  <c r="H56" i="23"/>
  <c r="G56" i="23"/>
  <c r="F56" i="23"/>
  <c r="E56" i="23"/>
  <c r="D56" i="23"/>
  <c r="C56" i="23"/>
  <c r="B56" i="23"/>
  <c r="H5" i="23"/>
  <c r="G5" i="23"/>
  <c r="F5" i="23"/>
  <c r="E5" i="23"/>
  <c r="D5" i="23"/>
  <c r="C5" i="23"/>
  <c r="B5" i="23"/>
  <c r="A105" i="23"/>
  <c r="A104" i="23"/>
  <c r="A103" i="23"/>
  <c r="A102" i="23"/>
  <c r="A101" i="23"/>
  <c r="A100" i="23"/>
  <c r="A99" i="23"/>
  <c r="A97" i="23"/>
  <c r="A96" i="23"/>
  <c r="A95" i="23"/>
  <c r="A93" i="23"/>
  <c r="A92" i="23"/>
  <c r="A91" i="23"/>
  <c r="A90" i="23"/>
  <c r="A89" i="23"/>
  <c r="A88" i="23"/>
  <c r="A87" i="23"/>
  <c r="A86" i="23"/>
  <c r="A85" i="23"/>
  <c r="A84" i="23"/>
  <c r="A83" i="23"/>
  <c r="A82" i="23"/>
  <c r="A81" i="23"/>
  <c r="A80" i="23"/>
  <c r="A79" i="23"/>
  <c r="A77" i="23"/>
  <c r="A76" i="23"/>
  <c r="A74" i="23"/>
  <c r="A73" i="23"/>
  <c r="A72" i="23"/>
  <c r="A71" i="23"/>
  <c r="A70" i="23"/>
  <c r="A69" i="23"/>
  <c r="A68" i="23"/>
  <c r="A67" i="23"/>
  <c r="A66" i="23"/>
  <c r="A65" i="23"/>
  <c r="A64" i="23"/>
  <c r="A63" i="23"/>
  <c r="A62" i="23"/>
  <c r="A61" i="23"/>
  <c r="A60" i="23"/>
  <c r="A59" i="23"/>
  <c r="A58" i="23"/>
  <c r="A57" i="23"/>
  <c r="A54" i="23"/>
  <c r="A53" i="23"/>
  <c r="A52" i="23"/>
  <c r="A51" i="23"/>
  <c r="A50" i="23"/>
  <c r="A49" i="23"/>
  <c r="A48" i="23"/>
  <c r="A47" i="23"/>
  <c r="A46" i="23"/>
  <c r="A45" i="23"/>
  <c r="A44" i="23"/>
  <c r="A43"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3" i="23"/>
  <c r="A2" i="23"/>
  <c r="H55" i="22"/>
  <c r="G55" i="22"/>
  <c r="F55" i="22"/>
  <c r="E55" i="22"/>
  <c r="D55" i="22"/>
  <c r="C55" i="22"/>
  <c r="B55" i="22"/>
  <c r="H5" i="22"/>
  <c r="G5" i="22"/>
  <c r="F5" i="22"/>
  <c r="E5" i="22"/>
  <c r="D5" i="22"/>
  <c r="C5" i="22"/>
  <c r="B5" i="22"/>
  <c r="A102" i="22"/>
  <c r="A101" i="22"/>
  <c r="A100" i="22"/>
  <c r="A99" i="22"/>
  <c r="A98" i="22"/>
  <c r="A97" i="22"/>
  <c r="A96" i="22"/>
  <c r="A94" i="22"/>
  <c r="A93" i="22"/>
  <c r="A92" i="22"/>
  <c r="A91" i="22"/>
  <c r="A90" i="22"/>
  <c r="A89" i="22"/>
  <c r="A88" i="22"/>
  <c r="A87" i="22"/>
  <c r="A86" i="22"/>
  <c r="A85" i="22"/>
  <c r="A84" i="22"/>
  <c r="A83" i="22"/>
  <c r="A82" i="22"/>
  <c r="A81" i="22"/>
  <c r="A80" i="22"/>
  <c r="A79" i="22"/>
  <c r="A78" i="22"/>
  <c r="A77" i="22"/>
  <c r="A75" i="22"/>
  <c r="A74" i="22"/>
  <c r="A73" i="22"/>
  <c r="A72" i="22"/>
  <c r="A71" i="22"/>
  <c r="A70" i="22"/>
  <c r="A69" i="22"/>
  <c r="A68" i="22"/>
  <c r="A67" i="22"/>
  <c r="A66" i="22"/>
  <c r="A65" i="22"/>
  <c r="A64" i="22"/>
  <c r="A63" i="22"/>
  <c r="A62" i="22"/>
  <c r="A61" i="22"/>
  <c r="A60" i="22"/>
  <c r="A59" i="22"/>
  <c r="A58" i="22"/>
  <c r="A57" i="22"/>
  <c r="A56"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5" i="22"/>
  <c r="A24" i="22"/>
  <c r="A23" i="22"/>
  <c r="A22" i="22"/>
  <c r="A21" i="22"/>
  <c r="A20" i="22"/>
  <c r="A19" i="22"/>
  <c r="A18" i="22"/>
  <c r="A17" i="22"/>
  <c r="A16" i="22"/>
  <c r="A15" i="22"/>
  <c r="A14" i="22"/>
  <c r="A13" i="22"/>
  <c r="A12" i="22"/>
  <c r="A11" i="22"/>
  <c r="A10" i="22"/>
  <c r="A9" i="22"/>
  <c r="A8" i="22"/>
  <c r="A7" i="22"/>
  <c r="A6" i="22"/>
  <c r="A3" i="22"/>
  <c r="A2" i="22"/>
  <c r="H55" i="21"/>
  <c r="G55" i="21"/>
  <c r="F55" i="21"/>
  <c r="E55" i="21"/>
  <c r="D55" i="21"/>
  <c r="C55" i="21"/>
  <c r="B55" i="21"/>
  <c r="H5" i="21"/>
  <c r="G5" i="21"/>
  <c r="F5" i="21"/>
  <c r="E5" i="21"/>
  <c r="D5" i="21"/>
  <c r="C5" i="21"/>
  <c r="B5" i="21"/>
  <c r="A103" i="21"/>
  <c r="A102" i="21"/>
  <c r="A101" i="21"/>
  <c r="A100" i="21"/>
  <c r="A99" i="21"/>
  <c r="A98" i="21"/>
  <c r="A97" i="21"/>
  <c r="A95" i="21"/>
  <c r="A94" i="21"/>
  <c r="A93" i="21"/>
  <c r="A92" i="21"/>
  <c r="A91" i="21"/>
  <c r="A90" i="21"/>
  <c r="A89" i="21"/>
  <c r="A88" i="21"/>
  <c r="A87" i="21"/>
  <c r="A86" i="21"/>
  <c r="A85" i="21"/>
  <c r="A84" i="21"/>
  <c r="A83" i="21"/>
  <c r="A82" i="21"/>
  <c r="A81" i="21"/>
  <c r="A80" i="21"/>
  <c r="A79" i="21"/>
  <c r="A78" i="21"/>
  <c r="A76" i="21"/>
  <c r="A75" i="21"/>
  <c r="A73" i="21"/>
  <c r="A72" i="21"/>
  <c r="A71" i="21"/>
  <c r="A70" i="21"/>
  <c r="A69" i="21"/>
  <c r="A68" i="21"/>
  <c r="A67" i="21"/>
  <c r="A66" i="21"/>
  <c r="A65" i="21"/>
  <c r="A64" i="21"/>
  <c r="A63" i="21"/>
  <c r="A62" i="21"/>
  <c r="A61" i="21"/>
  <c r="A60" i="21"/>
  <c r="A59" i="21"/>
  <c r="A58" i="21"/>
  <c r="A57" i="21"/>
  <c r="A56"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5" i="21"/>
  <c r="A24" i="21"/>
  <c r="A23" i="21"/>
  <c r="A22" i="21"/>
  <c r="A21" i="21"/>
  <c r="A20" i="21"/>
  <c r="A19" i="21"/>
  <c r="A18" i="21"/>
  <c r="A17" i="21"/>
  <c r="A16" i="21"/>
  <c r="A15" i="21"/>
  <c r="A14" i="21"/>
  <c r="A13" i="21"/>
  <c r="A12" i="21"/>
  <c r="A11" i="21"/>
  <c r="A10" i="21"/>
  <c r="A9" i="21"/>
  <c r="A8" i="21"/>
  <c r="A7" i="21"/>
  <c r="A6" i="21"/>
  <c r="A3" i="21"/>
  <c r="A2" i="21"/>
  <c r="H55" i="20"/>
  <c r="G55" i="20"/>
  <c r="F55" i="20"/>
  <c r="E55" i="20"/>
  <c r="D55" i="20"/>
  <c r="C55" i="20"/>
  <c r="B55" i="20"/>
  <c r="H5" i="20"/>
  <c r="G5" i="20"/>
  <c r="F5" i="20"/>
  <c r="E5" i="20"/>
  <c r="D5" i="20"/>
  <c r="C5" i="20"/>
  <c r="B5" i="20"/>
  <c r="A103" i="20"/>
  <c r="A102" i="20"/>
  <c r="A101" i="20"/>
  <c r="A100" i="20"/>
  <c r="A99" i="20"/>
  <c r="A98" i="20"/>
  <c r="A97" i="20"/>
  <c r="A95" i="20"/>
  <c r="A94" i="20"/>
  <c r="A93" i="20"/>
  <c r="A92" i="20"/>
  <c r="A91" i="20"/>
  <c r="A90" i="20"/>
  <c r="A89" i="20"/>
  <c r="A88" i="20"/>
  <c r="A87" i="20"/>
  <c r="A86" i="20"/>
  <c r="A85" i="20"/>
  <c r="A84" i="20"/>
  <c r="A83" i="20"/>
  <c r="A82" i="20"/>
  <c r="A81" i="20"/>
  <c r="A80" i="20"/>
  <c r="A79" i="20"/>
  <c r="A78" i="20"/>
  <c r="A76" i="20"/>
  <c r="A75" i="20"/>
  <c r="A73" i="20"/>
  <c r="A72" i="20"/>
  <c r="A71" i="20"/>
  <c r="A70" i="20"/>
  <c r="A69" i="20"/>
  <c r="A68" i="20"/>
  <c r="A67" i="20"/>
  <c r="A66" i="20"/>
  <c r="A65" i="20"/>
  <c r="A64" i="20"/>
  <c r="A63" i="20"/>
  <c r="A62" i="20"/>
  <c r="A61" i="20"/>
  <c r="A60" i="20"/>
  <c r="A59" i="20"/>
  <c r="A58" i="20"/>
  <c r="A57" i="20"/>
  <c r="A56"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5" i="20"/>
  <c r="A24" i="20"/>
  <c r="A23" i="20"/>
  <c r="A22" i="20"/>
  <c r="A21" i="20"/>
  <c r="A20" i="20"/>
  <c r="A19" i="20"/>
  <c r="A18" i="20"/>
  <c r="A17" i="20"/>
  <c r="A16" i="20"/>
  <c r="A15" i="20"/>
  <c r="A14" i="20"/>
  <c r="A13" i="20"/>
  <c r="A12" i="20"/>
  <c r="A11" i="20"/>
  <c r="A10" i="20"/>
  <c r="A9" i="20"/>
  <c r="A8" i="20"/>
  <c r="A7" i="20"/>
  <c r="A6" i="20"/>
  <c r="A3" i="20"/>
  <c r="A2" i="20"/>
  <c r="H55" i="19"/>
  <c r="G55" i="19"/>
  <c r="F55" i="19"/>
  <c r="E55" i="19"/>
  <c r="D55" i="19"/>
  <c r="C55" i="19"/>
  <c r="B55" i="19"/>
  <c r="H5" i="19"/>
  <c r="G5" i="19"/>
  <c r="F5" i="19"/>
  <c r="E5" i="19"/>
  <c r="D5" i="19"/>
  <c r="C5" i="19"/>
  <c r="B5" i="19"/>
  <c r="A103" i="19"/>
  <c r="A102" i="19"/>
  <c r="A101" i="19"/>
  <c r="A100" i="19"/>
  <c r="A99" i="19"/>
  <c r="A98" i="19"/>
  <c r="A97" i="19"/>
  <c r="A95" i="19"/>
  <c r="A94" i="19"/>
  <c r="A93" i="19"/>
  <c r="A92" i="19"/>
  <c r="A91" i="19"/>
  <c r="A90" i="19"/>
  <c r="A89" i="19"/>
  <c r="A88" i="19"/>
  <c r="A87" i="19"/>
  <c r="A86" i="19"/>
  <c r="A85" i="19"/>
  <c r="A84" i="19"/>
  <c r="A83" i="19"/>
  <c r="A82" i="19"/>
  <c r="A81" i="19"/>
  <c r="A80" i="19"/>
  <c r="A79" i="19"/>
  <c r="A78" i="19"/>
  <c r="A76" i="19"/>
  <c r="A75" i="19"/>
  <c r="A73" i="19"/>
  <c r="A72" i="19"/>
  <c r="A71" i="19"/>
  <c r="A70" i="19"/>
  <c r="A69" i="19"/>
  <c r="A68" i="19"/>
  <c r="A67" i="19"/>
  <c r="A66" i="19"/>
  <c r="A65" i="19"/>
  <c r="A64" i="19"/>
  <c r="A63" i="19"/>
  <c r="A62" i="19"/>
  <c r="A61" i="19"/>
  <c r="A60" i="19"/>
  <c r="A59" i="19"/>
  <c r="A58" i="19"/>
  <c r="A57" i="19"/>
  <c r="A56"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5" i="19"/>
  <c r="A24" i="19"/>
  <c r="A23" i="19"/>
  <c r="A22" i="19"/>
  <c r="A21" i="19"/>
  <c r="A20" i="19"/>
  <c r="A19" i="19"/>
  <c r="A18" i="19"/>
  <c r="A17" i="19"/>
  <c r="A16" i="19"/>
  <c r="A15" i="19"/>
  <c r="A14" i="19"/>
  <c r="A13" i="19"/>
  <c r="A12" i="19"/>
  <c r="A11" i="19"/>
  <c r="A10" i="19"/>
  <c r="A9" i="19"/>
  <c r="A8" i="19"/>
  <c r="A7" i="19"/>
  <c r="A6" i="19"/>
  <c r="A3" i="19"/>
  <c r="A2" i="19"/>
  <c r="H55" i="18"/>
  <c r="G55" i="18"/>
  <c r="F55" i="18"/>
  <c r="E55" i="18"/>
  <c r="D55" i="18"/>
  <c r="C55" i="18"/>
  <c r="B55" i="18"/>
  <c r="H5" i="18"/>
  <c r="G5" i="18"/>
  <c r="F5" i="18"/>
  <c r="E5" i="18"/>
  <c r="D5" i="18"/>
  <c r="C5" i="18"/>
  <c r="B5" i="18"/>
  <c r="A103" i="18"/>
  <c r="A102" i="18"/>
  <c r="A101" i="18"/>
  <c r="A100" i="18"/>
  <c r="A99" i="18"/>
  <c r="A98" i="18"/>
  <c r="A97" i="18"/>
  <c r="A95" i="18"/>
  <c r="A94" i="18"/>
  <c r="A93" i="18"/>
  <c r="A92" i="18"/>
  <c r="A91" i="18"/>
  <c r="A90" i="18"/>
  <c r="A89" i="18"/>
  <c r="A88" i="18"/>
  <c r="A87" i="18"/>
  <c r="A86" i="18"/>
  <c r="A85" i="18"/>
  <c r="A84" i="18"/>
  <c r="A83" i="18"/>
  <c r="A82" i="18"/>
  <c r="A81" i="18"/>
  <c r="A80" i="18"/>
  <c r="A79" i="18"/>
  <c r="A78" i="18"/>
  <c r="A76" i="18"/>
  <c r="A75" i="18"/>
  <c r="A73" i="18"/>
  <c r="A72" i="18"/>
  <c r="A71" i="18"/>
  <c r="A70" i="18"/>
  <c r="A69" i="18"/>
  <c r="A68" i="18"/>
  <c r="A67" i="18"/>
  <c r="A66" i="18"/>
  <c r="A65" i="18"/>
  <c r="A64" i="18"/>
  <c r="A63" i="18"/>
  <c r="A62" i="18"/>
  <c r="A61" i="18"/>
  <c r="A60" i="18"/>
  <c r="A59" i="18"/>
  <c r="A58" i="18"/>
  <c r="A57" i="18"/>
  <c r="A56"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5" i="18"/>
  <c r="A24" i="18"/>
  <c r="A23" i="18"/>
  <c r="A22" i="18"/>
  <c r="A21" i="18"/>
  <c r="A20" i="18"/>
  <c r="A19" i="18"/>
  <c r="A18" i="18"/>
  <c r="A17" i="18"/>
  <c r="A16" i="18"/>
  <c r="A15" i="18"/>
  <c r="A14" i="18"/>
  <c r="A13" i="18"/>
  <c r="A12" i="18"/>
  <c r="A11" i="18"/>
  <c r="A10" i="18"/>
  <c r="A9" i="18"/>
  <c r="A8" i="18"/>
  <c r="A7" i="18"/>
  <c r="A6" i="18"/>
  <c r="A3" i="18"/>
  <c r="A2" i="18"/>
  <c r="H55" i="17"/>
  <c r="G55" i="17"/>
  <c r="F55" i="17"/>
  <c r="E55" i="17"/>
  <c r="D55" i="17"/>
  <c r="C55" i="17"/>
  <c r="B55" i="17"/>
  <c r="H5" i="17"/>
  <c r="G5" i="17"/>
  <c r="F5" i="17"/>
  <c r="E5" i="17"/>
  <c r="D5" i="17"/>
  <c r="C5" i="17"/>
  <c r="B5" i="17"/>
  <c r="A103" i="17"/>
  <c r="A102" i="17"/>
  <c r="A101" i="17"/>
  <c r="A100" i="17"/>
  <c r="A99" i="17"/>
  <c r="A98" i="17"/>
  <c r="A97" i="17"/>
  <c r="A95" i="17"/>
  <c r="A94" i="17"/>
  <c r="A93" i="17"/>
  <c r="A92" i="17"/>
  <c r="A91" i="17"/>
  <c r="A90" i="17"/>
  <c r="A89" i="17"/>
  <c r="A88" i="17"/>
  <c r="A87" i="17"/>
  <c r="A86" i="17"/>
  <c r="A85" i="17"/>
  <c r="A84" i="17"/>
  <c r="A83" i="17"/>
  <c r="A82" i="17"/>
  <c r="A81" i="17"/>
  <c r="A80" i="17"/>
  <c r="A79" i="17"/>
  <c r="A78" i="17"/>
  <c r="A76" i="17"/>
  <c r="A75" i="17"/>
  <c r="A73" i="17"/>
  <c r="A72" i="17"/>
  <c r="A71" i="17"/>
  <c r="A70" i="17"/>
  <c r="A69" i="17"/>
  <c r="A68" i="17"/>
  <c r="A67" i="17"/>
  <c r="A66" i="17"/>
  <c r="A65" i="17"/>
  <c r="A64" i="17"/>
  <c r="A63" i="17"/>
  <c r="A62" i="17"/>
  <c r="A61" i="17"/>
  <c r="A60" i="17"/>
  <c r="A59" i="17"/>
  <c r="A58" i="17"/>
  <c r="A57" i="17"/>
  <c r="A56"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5" i="17"/>
  <c r="A24" i="17"/>
  <c r="A23" i="17"/>
  <c r="A22" i="17"/>
  <c r="A21" i="17"/>
  <c r="A20" i="17"/>
  <c r="A19" i="17"/>
  <c r="A18" i="17"/>
  <c r="A17" i="17"/>
  <c r="A16" i="17"/>
  <c r="A15" i="17"/>
  <c r="A14" i="17"/>
  <c r="A13" i="17"/>
  <c r="A12" i="17"/>
  <c r="A11" i="17"/>
  <c r="A10" i="17"/>
  <c r="A9" i="17"/>
  <c r="A8" i="17"/>
  <c r="A7" i="17"/>
  <c r="A6" i="17"/>
  <c r="A3" i="17"/>
  <c r="A2" i="17"/>
  <c r="H55" i="16"/>
  <c r="G55" i="16"/>
  <c r="F55" i="16"/>
  <c r="E55" i="16"/>
  <c r="D55" i="16"/>
  <c r="C55" i="16"/>
  <c r="B55" i="16"/>
  <c r="H5" i="16"/>
  <c r="G5" i="16"/>
  <c r="F5" i="16"/>
  <c r="E5" i="16"/>
  <c r="D5" i="16"/>
  <c r="C5" i="16"/>
  <c r="B5" i="16"/>
  <c r="A103" i="16"/>
  <c r="A102" i="16"/>
  <c r="A101" i="16"/>
  <c r="A100" i="16"/>
  <c r="A99" i="16"/>
  <c r="A98" i="16"/>
  <c r="A97" i="16"/>
  <c r="A95" i="16"/>
  <c r="A94" i="16"/>
  <c r="A93" i="16"/>
  <c r="A92" i="16"/>
  <c r="A91" i="16"/>
  <c r="A90" i="16"/>
  <c r="A89" i="16"/>
  <c r="A88" i="16"/>
  <c r="A87" i="16"/>
  <c r="A86" i="16"/>
  <c r="A85" i="16"/>
  <c r="A84" i="16"/>
  <c r="A83" i="16"/>
  <c r="A82" i="16"/>
  <c r="A81" i="16"/>
  <c r="A80" i="16"/>
  <c r="A79" i="16"/>
  <c r="A78" i="16"/>
  <c r="A76" i="16"/>
  <c r="A75" i="16"/>
  <c r="A73" i="16"/>
  <c r="A72" i="16"/>
  <c r="A71" i="16"/>
  <c r="A70" i="16"/>
  <c r="A69" i="16"/>
  <c r="A68" i="16"/>
  <c r="A67" i="16"/>
  <c r="A66" i="16"/>
  <c r="A65" i="16"/>
  <c r="A64" i="16"/>
  <c r="A63" i="16"/>
  <c r="A62" i="16"/>
  <c r="A61" i="16"/>
  <c r="A60" i="16"/>
  <c r="A59" i="16"/>
  <c r="A58" i="16"/>
  <c r="A57" i="16"/>
  <c r="A56"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A25" i="16"/>
  <c r="A24" i="16"/>
  <c r="A23" i="16"/>
  <c r="A22" i="16"/>
  <c r="A21" i="16"/>
  <c r="A20" i="16"/>
  <c r="A19" i="16"/>
  <c r="A18" i="16"/>
  <c r="A17" i="16"/>
  <c r="A16" i="16"/>
  <c r="A15" i="16"/>
  <c r="A14" i="16"/>
  <c r="A13" i="16"/>
  <c r="A12" i="16"/>
  <c r="A11" i="16"/>
  <c r="A10" i="16"/>
  <c r="A9" i="16"/>
  <c r="A8" i="16"/>
  <c r="A7" i="16"/>
  <c r="A6" i="16"/>
  <c r="A3" i="16"/>
  <c r="A2" i="16"/>
  <c r="H55" i="15"/>
  <c r="G55" i="15"/>
  <c r="F55" i="15"/>
  <c r="E55" i="15"/>
  <c r="D55" i="15"/>
  <c r="C55" i="15"/>
  <c r="B55" i="15"/>
  <c r="H5" i="15"/>
  <c r="G5" i="15"/>
  <c r="F5" i="15"/>
  <c r="E5" i="15"/>
  <c r="D5" i="15"/>
  <c r="C5" i="15"/>
  <c r="B5" i="15"/>
  <c r="A103" i="15"/>
  <c r="A102" i="15"/>
  <c r="A101" i="15"/>
  <c r="A100" i="15"/>
  <c r="A99" i="15"/>
  <c r="A98" i="15"/>
  <c r="A97" i="15"/>
  <c r="A95" i="15"/>
  <c r="A94" i="15"/>
  <c r="A93" i="15"/>
  <c r="A92" i="15"/>
  <c r="A91" i="15"/>
  <c r="A90" i="15"/>
  <c r="A89" i="15"/>
  <c r="A88" i="15"/>
  <c r="A87" i="15"/>
  <c r="A86" i="15"/>
  <c r="A85" i="15"/>
  <c r="A84" i="15"/>
  <c r="A83" i="15"/>
  <c r="A82" i="15"/>
  <c r="A81" i="15"/>
  <c r="A80" i="15"/>
  <c r="A79" i="15"/>
  <c r="A78" i="15"/>
  <c r="A76" i="15"/>
  <c r="A75" i="15"/>
  <c r="A73" i="15"/>
  <c r="A72" i="15"/>
  <c r="A71" i="15"/>
  <c r="A70" i="15"/>
  <c r="A69" i="15"/>
  <c r="A68" i="15"/>
  <c r="A67" i="15"/>
  <c r="A66" i="15"/>
  <c r="A65" i="15"/>
  <c r="A64" i="15"/>
  <c r="A63" i="15"/>
  <c r="A62" i="15"/>
  <c r="A61" i="15"/>
  <c r="A60" i="15"/>
  <c r="A59" i="15"/>
  <c r="A58" i="15"/>
  <c r="A57" i="15"/>
  <c r="A56"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5" i="15"/>
  <c r="A24" i="15"/>
  <c r="A23" i="15"/>
  <c r="A22" i="15"/>
  <c r="A21" i="15"/>
  <c r="A20" i="15"/>
  <c r="A19" i="15"/>
  <c r="A18" i="15"/>
  <c r="A17" i="15"/>
  <c r="A16" i="15"/>
  <c r="A15" i="15"/>
  <c r="A14" i="15"/>
  <c r="A13" i="15"/>
  <c r="A12" i="15"/>
  <c r="A11" i="15"/>
  <c r="A10" i="15"/>
  <c r="A9" i="15"/>
  <c r="A8" i="15"/>
  <c r="A7" i="15"/>
  <c r="A6" i="15"/>
  <c r="A3" i="15"/>
  <c r="A2" i="15"/>
  <c r="H5" i="14"/>
  <c r="G5" i="14"/>
  <c r="F5" i="14"/>
  <c r="E5" i="14"/>
  <c r="D5" i="14"/>
  <c r="C5" i="14"/>
  <c r="B5"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5" i="14"/>
  <c r="A24" i="14"/>
  <c r="A23" i="14"/>
  <c r="A22" i="14"/>
  <c r="A21" i="14"/>
  <c r="A20" i="14"/>
  <c r="A19" i="14"/>
  <c r="A18" i="14"/>
  <c r="A17" i="14"/>
  <c r="A16" i="14"/>
  <c r="A15" i="14"/>
  <c r="A14" i="14"/>
  <c r="A13" i="14"/>
  <c r="A12" i="14"/>
  <c r="A11" i="14"/>
  <c r="A10" i="14"/>
  <c r="A9" i="14"/>
  <c r="A8" i="14"/>
  <c r="A7" i="14"/>
  <c r="A6" i="14"/>
  <c r="A3" i="14"/>
  <c r="A2" i="14"/>
  <c r="A52" i="13"/>
  <c r="A51" i="13"/>
  <c r="A50" i="13"/>
  <c r="A49" i="13"/>
  <c r="A48" i="13"/>
  <c r="A47" i="13"/>
  <c r="A46" i="13"/>
  <c r="A45" i="13"/>
  <c r="A44" i="13"/>
  <c r="A43" i="13"/>
  <c r="A42" i="13"/>
  <c r="A41" i="13"/>
  <c r="A40" i="13"/>
  <c r="A39" i="13"/>
  <c r="A38" i="13"/>
  <c r="A37" i="13"/>
  <c r="A36" i="13"/>
  <c r="A35" i="13"/>
  <c r="A32" i="13"/>
  <c r="A31" i="13"/>
  <c r="A28" i="13"/>
  <c r="A27" i="13"/>
  <c r="A26" i="13"/>
  <c r="A24" i="13"/>
  <c r="A23" i="13"/>
  <c r="A22" i="13"/>
  <c r="A21" i="13"/>
  <c r="A20" i="13"/>
  <c r="A19" i="13"/>
  <c r="A18" i="13"/>
  <c r="A17" i="13"/>
  <c r="A16" i="13"/>
  <c r="A15" i="13"/>
  <c r="A14" i="13"/>
  <c r="A13" i="13"/>
  <c r="A12" i="13"/>
  <c r="A11" i="13"/>
  <c r="A10" i="13"/>
  <c r="A9" i="13"/>
  <c r="H8" i="13"/>
  <c r="G8" i="13"/>
  <c r="F8" i="13"/>
  <c r="E8" i="13"/>
  <c r="D8" i="13"/>
  <c r="C8" i="13"/>
  <c r="B8" i="13"/>
  <c r="A5" i="13"/>
  <c r="A4" i="13"/>
  <c r="H34" i="12"/>
  <c r="G34" i="12"/>
  <c r="F34" i="12"/>
  <c r="E34" i="12"/>
  <c r="D34" i="12"/>
  <c r="C34" i="12"/>
  <c r="B34" i="12"/>
  <c r="H4" i="12"/>
  <c r="G4" i="12"/>
  <c r="F4" i="12"/>
  <c r="E4" i="12"/>
  <c r="D4" i="12"/>
  <c r="C4" i="12"/>
  <c r="B4" i="12"/>
  <c r="A61" i="12"/>
  <c r="A60" i="12"/>
  <c r="A58" i="12"/>
  <c r="A57" i="12"/>
  <c r="A56" i="12"/>
  <c r="A55" i="12"/>
  <c r="A54" i="12"/>
  <c r="A53" i="12"/>
  <c r="A52" i="12"/>
  <c r="A51" i="12"/>
  <c r="A50" i="12"/>
  <c r="A49" i="12"/>
  <c r="A48" i="12"/>
  <c r="A47" i="12"/>
  <c r="A46" i="12"/>
  <c r="A45" i="12"/>
  <c r="A44" i="12"/>
  <c r="A43" i="12"/>
  <c r="A42" i="12"/>
  <c r="A41" i="12"/>
  <c r="A40" i="12"/>
  <c r="A39" i="12"/>
  <c r="A38" i="12"/>
  <c r="A37" i="12"/>
  <c r="A36" i="12"/>
  <c r="A35"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2" i="12"/>
  <c r="H57" i="11"/>
  <c r="G57" i="11"/>
  <c r="F57" i="11"/>
  <c r="E57" i="11"/>
  <c r="D57" i="11"/>
  <c r="C57" i="11"/>
  <c r="B57" i="11"/>
  <c r="H5" i="11"/>
  <c r="G5" i="11"/>
  <c r="F5" i="11"/>
  <c r="E5" i="11"/>
  <c r="D5" i="11"/>
  <c r="C5" i="11"/>
  <c r="B5" i="11"/>
  <c r="A106" i="11"/>
  <c r="A105" i="11"/>
  <c r="A104" i="11"/>
  <c r="A103" i="11"/>
  <c r="A102" i="11"/>
  <c r="A101" i="11"/>
  <c r="A100" i="11"/>
  <c r="A98" i="11"/>
  <c r="A97" i="11"/>
  <c r="A96" i="11"/>
  <c r="A95" i="11"/>
  <c r="A94" i="11"/>
  <c r="A93" i="11"/>
  <c r="A92" i="11"/>
  <c r="A91" i="11"/>
  <c r="A90" i="11"/>
  <c r="A89" i="11"/>
  <c r="A88" i="11"/>
  <c r="A87" i="11"/>
  <c r="A86" i="11"/>
  <c r="A85" i="11"/>
  <c r="A84" i="11"/>
  <c r="A83" i="11"/>
  <c r="A82" i="11"/>
  <c r="A81" i="11"/>
  <c r="A80" i="11"/>
  <c r="A79" i="11"/>
  <c r="A77" i="11"/>
  <c r="A76" i="11"/>
  <c r="A75" i="11"/>
  <c r="A74" i="11"/>
  <c r="A73" i="11"/>
  <c r="A72" i="11"/>
  <c r="A71" i="11"/>
  <c r="A70" i="11"/>
  <c r="A69" i="11"/>
  <c r="A68" i="11"/>
  <c r="A67" i="11"/>
  <c r="A66" i="11"/>
  <c r="A65" i="11"/>
  <c r="A64" i="11"/>
  <c r="A63" i="11"/>
  <c r="A62" i="11"/>
  <c r="A61" i="11"/>
  <c r="A60" i="11"/>
  <c r="A59" i="11"/>
  <c r="A58"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5" i="11"/>
  <c r="A24" i="11"/>
  <c r="A23" i="11"/>
  <c r="A22" i="11"/>
  <c r="A21" i="11"/>
  <c r="A20" i="11"/>
  <c r="A19" i="11"/>
  <c r="A18" i="11"/>
  <c r="A17" i="11"/>
  <c r="A16" i="11"/>
  <c r="A15" i="11"/>
  <c r="A14" i="11"/>
  <c r="A13" i="11"/>
  <c r="A12" i="11"/>
  <c r="A11" i="11"/>
  <c r="A10" i="11"/>
  <c r="A9" i="11"/>
  <c r="A8" i="11"/>
  <c r="A7" i="11"/>
  <c r="A6" i="11"/>
  <c r="A3" i="11"/>
  <c r="A2" i="11"/>
  <c r="A20" i="10"/>
  <c r="A17" i="10"/>
  <c r="A15" i="10"/>
  <c r="A13" i="10"/>
  <c r="A11" i="10"/>
  <c r="A9" i="10"/>
  <c r="A7" i="10"/>
  <c r="A5" i="10"/>
  <c r="A53" i="9"/>
  <c r="A51" i="9"/>
  <c r="A47" i="9"/>
  <c r="A45" i="9"/>
  <c r="A43" i="9"/>
  <c r="A39" i="9"/>
  <c r="A36" i="9"/>
  <c r="A34" i="9"/>
  <c r="A32" i="9"/>
  <c r="A28" i="9"/>
  <c r="A26" i="9"/>
  <c r="A24" i="9"/>
  <c r="A20" i="9"/>
  <c r="A17" i="9"/>
  <c r="A15" i="9"/>
  <c r="A13" i="9"/>
  <c r="A9" i="9"/>
  <c r="A7" i="9"/>
  <c r="A5" i="9"/>
  <c r="A52" i="8"/>
  <c r="A51" i="8"/>
  <c r="A50" i="8"/>
  <c r="A49" i="8"/>
  <c r="A48" i="8"/>
  <c r="A47" i="8"/>
  <c r="A46" i="8"/>
  <c r="A45" i="8"/>
  <c r="A44" i="8"/>
  <c r="A43" i="8"/>
  <c r="A42" i="8"/>
  <c r="A41" i="8"/>
  <c r="A40" i="8"/>
  <c r="A39" i="8"/>
  <c r="A37" i="8"/>
  <c r="A36" i="8"/>
  <c r="A35" i="8"/>
  <c r="A34" i="8"/>
  <c r="A33" i="8"/>
  <c r="A32" i="8"/>
  <c r="A31" i="8"/>
  <c r="A30" i="8"/>
  <c r="A29" i="8"/>
  <c r="A28" i="8"/>
  <c r="A27" i="8"/>
  <c r="A26" i="8"/>
  <c r="A25" i="8"/>
  <c r="A24" i="8"/>
  <c r="A23" i="8"/>
  <c r="A22" i="8"/>
  <c r="A21" i="8"/>
  <c r="A19" i="8"/>
  <c r="A18" i="8"/>
  <c r="A17" i="8"/>
  <c r="A16" i="8"/>
  <c r="A15" i="8"/>
  <c r="A14" i="8"/>
  <c r="A13" i="8"/>
  <c r="A12" i="8"/>
  <c r="A11" i="8"/>
  <c r="A10" i="8"/>
  <c r="A9" i="8"/>
  <c r="A8" i="8"/>
  <c r="A7" i="8"/>
  <c r="A6" i="8"/>
  <c r="A5" i="8"/>
  <c r="A4" i="8"/>
  <c r="A3" i="8"/>
  <c r="A17" i="7"/>
  <c r="A16" i="7"/>
  <c r="A13" i="7"/>
  <c r="A12" i="7"/>
  <c r="A11" i="7"/>
  <c r="A10" i="7"/>
  <c r="A9" i="7"/>
  <c r="A8" i="7"/>
  <c r="A7" i="7"/>
  <c r="A6" i="7"/>
  <c r="A2" i="7"/>
  <c r="F3" i="7"/>
  <c r="C3" i="7"/>
  <c r="A22" i="6"/>
  <c r="A21" i="6"/>
  <c r="A20" i="6"/>
  <c r="A19" i="6"/>
  <c r="A18" i="6"/>
  <c r="A17" i="6"/>
  <c r="A16" i="6"/>
  <c r="A15" i="6"/>
  <c r="A14" i="6"/>
  <c r="A13" i="6"/>
  <c r="A12" i="6"/>
  <c r="A11" i="6"/>
  <c r="A10" i="6"/>
  <c r="A9" i="6"/>
  <c r="A8" i="6"/>
  <c r="A7" i="6"/>
  <c r="A6" i="6"/>
  <c r="O5" i="6"/>
  <c r="N5" i="6"/>
  <c r="M5" i="6"/>
  <c r="L5" i="6"/>
  <c r="K5" i="6"/>
  <c r="J5" i="6"/>
  <c r="I5" i="6"/>
  <c r="H5" i="6"/>
  <c r="G5" i="6"/>
  <c r="F5" i="6"/>
  <c r="E5" i="6"/>
  <c r="D5" i="6"/>
  <c r="C5" i="6"/>
  <c r="B5" i="6"/>
  <c r="N4" i="6"/>
  <c r="L4" i="6"/>
  <c r="J4" i="6"/>
  <c r="H4" i="6"/>
  <c r="F4" i="6"/>
  <c r="D4" i="6"/>
  <c r="B4" i="6"/>
  <c r="A1" i="30"/>
  <c r="A1" i="29"/>
  <c r="A1" i="28"/>
  <c r="A1" i="27"/>
  <c r="A1" i="26"/>
  <c r="A1" i="25"/>
  <c r="A1" i="24"/>
  <c r="A1" i="23"/>
  <c r="A1" i="22"/>
  <c r="A1" i="21"/>
  <c r="A1" i="20"/>
  <c r="A1" i="19"/>
  <c r="A1" i="18"/>
  <c r="A1" i="17"/>
  <c r="A1" i="16"/>
  <c r="A1" i="15"/>
  <c r="A1" i="14"/>
  <c r="A1" i="13"/>
  <c r="A1" i="12"/>
  <c r="A1" i="11"/>
  <c r="A1" i="10"/>
  <c r="A1" i="9"/>
  <c r="A1" i="8"/>
  <c r="A1" i="7"/>
  <c r="A1" i="6"/>
  <c r="B300" i="5"/>
  <c r="B301" i="5" s="1"/>
  <c r="B295" i="5"/>
  <c r="B296" i="5" s="1"/>
  <c r="B294" i="5"/>
  <c r="B270" i="5"/>
  <c r="B170" i="5"/>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169" i="5"/>
  <c r="B5" i="5"/>
  <c r="B6" i="5" s="1"/>
  <c r="B7" i="5" s="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F34" i="4"/>
  <c r="F33" i="4"/>
  <c r="C33" i="4"/>
  <c r="F32" i="4"/>
  <c r="C32" i="4"/>
  <c r="F31" i="4"/>
  <c r="C31" i="4"/>
  <c r="F30" i="4"/>
  <c r="C30" i="4"/>
  <c r="C29" i="4"/>
  <c r="F28" i="4"/>
  <c r="F27" i="4"/>
  <c r="C27" i="4"/>
  <c r="F26" i="4"/>
  <c r="C26" i="4"/>
  <c r="C25" i="4"/>
  <c r="F23" i="4"/>
  <c r="C23" i="4"/>
  <c r="F22" i="4"/>
  <c r="C22" i="4"/>
  <c r="F21" i="4"/>
  <c r="C21" i="4"/>
  <c r="F20" i="4"/>
  <c r="C20" i="4"/>
  <c r="F19" i="4"/>
  <c r="C19" i="4"/>
  <c r="F18" i="4"/>
  <c r="C18" i="4"/>
  <c r="F17" i="4"/>
  <c r="C17" i="4"/>
  <c r="F16" i="4"/>
  <c r="C16" i="4"/>
  <c r="F15" i="4"/>
  <c r="C15" i="4"/>
  <c r="F14" i="4"/>
  <c r="F13" i="4"/>
  <c r="C13" i="4"/>
  <c r="F12" i="4"/>
  <c r="C12" i="4"/>
  <c r="F11" i="4"/>
  <c r="C11" i="4"/>
  <c r="F10" i="4"/>
  <c r="C10" i="4"/>
  <c r="F9" i="4"/>
  <c r="C9" i="4"/>
  <c r="C8" i="4"/>
  <c r="F6" i="4"/>
  <c r="C6" i="4"/>
  <c r="F5" i="4"/>
  <c r="C5" i="4"/>
  <c r="D4" i="4"/>
  <c r="C4" i="4"/>
  <c r="C2" i="4"/>
</calcChain>
</file>

<file path=xl/sharedStrings.xml><?xml version="1.0" encoding="utf-8"?>
<sst xmlns="http://schemas.openxmlformats.org/spreadsheetml/2006/main" count="712" uniqueCount="553">
  <si>
    <t>ESPAÑOL</t>
  </si>
  <si>
    <t>ENGLISH</t>
  </si>
  <si>
    <t>Orden</t>
  </si>
  <si>
    <t>Inglés</t>
  </si>
  <si>
    <t>Castellano</t>
  </si>
  <si>
    <t>Choose your language</t>
  </si>
  <si>
    <t>Escoja su idioma</t>
  </si>
  <si>
    <r>
      <t xml:space="preserve">Quarterly series </t>
    </r>
    <r>
      <rPr>
        <vertAlign val="superscript"/>
        <sz val="7.6"/>
        <rFont val="Arial"/>
        <family val="2"/>
      </rPr>
      <t>(*)</t>
    </r>
    <r>
      <rPr>
        <sz val="8"/>
        <rFont val="Arial"/>
        <family val="2"/>
      </rPr>
      <t xml:space="preserve"> - March 2011. Information by geographies</t>
    </r>
  </si>
  <si>
    <r>
      <t xml:space="preserve">Series trimestrales </t>
    </r>
    <r>
      <rPr>
        <vertAlign val="superscript"/>
        <sz val="7.6"/>
        <rFont val="Arial"/>
        <family val="2"/>
      </rPr>
      <t>(*)</t>
    </r>
    <r>
      <rPr>
        <sz val="8"/>
        <rFont val="Arial"/>
        <family val="2"/>
      </rPr>
      <t xml:space="preserve"> - Marzo 2011. Información por geografías</t>
    </r>
  </si>
  <si>
    <t>BBVA Group. Consolidated Income statement</t>
  </si>
  <si>
    <t>Grupo BBVA. Cuentas de resultados consolidadas</t>
  </si>
  <si>
    <t>BBVA Group. Consolidated income statement excluding one-offs</t>
  </si>
  <si>
    <t>Grupo BBVA. Cuentas de resultados consolidadas sin singulares</t>
  </si>
  <si>
    <t>BBVA Group. Consolidated balance sheet</t>
  </si>
  <si>
    <t>Grupo BBVA. Balances de situación consolidados</t>
  </si>
  <si>
    <t>Banking activity in Spain</t>
  </si>
  <si>
    <t>Actividad bancaria en España</t>
  </si>
  <si>
    <t>Spain excluding one-offs</t>
  </si>
  <si>
    <t>España sin singulares</t>
  </si>
  <si>
    <t>Mexico</t>
  </si>
  <si>
    <t>México</t>
  </si>
  <si>
    <t>Bancomer</t>
  </si>
  <si>
    <t>Grupo Bancario Bancomer</t>
  </si>
  <si>
    <t>Pensions and Insurance Mexico</t>
  </si>
  <si>
    <t>Pensiones y Seguros México</t>
  </si>
  <si>
    <t>South America</t>
  </si>
  <si>
    <t xml:space="preserve">América del Sur </t>
  </si>
  <si>
    <t>Banking South America</t>
  </si>
  <si>
    <t>Bancos América del Sur</t>
  </si>
  <si>
    <t>Pensions and Insurance South America</t>
  </si>
  <si>
    <t>Pensiones y Seguros América del Sur</t>
  </si>
  <si>
    <t>Argentina</t>
  </si>
  <si>
    <t>Chile</t>
  </si>
  <si>
    <t>Colombia</t>
  </si>
  <si>
    <t>Peru</t>
  </si>
  <si>
    <t>Perú</t>
  </si>
  <si>
    <t>Venezuela</t>
  </si>
  <si>
    <t>The United States</t>
  </si>
  <si>
    <t>Estados Unidos</t>
  </si>
  <si>
    <t>USA excluding one-offs</t>
  </si>
  <si>
    <t>Estados Unidos sin singulares</t>
  </si>
  <si>
    <t>Wholesale Banking &amp; Asset Management</t>
  </si>
  <si>
    <t>Corporate &amp; Investment Banking</t>
  </si>
  <si>
    <t>Global  Markets</t>
  </si>
  <si>
    <t xml:space="preserve">Corporate Center </t>
  </si>
  <si>
    <t>Centro Corporativo</t>
  </si>
  <si>
    <t>Efficiency</t>
  </si>
  <si>
    <t>Eficiencia</t>
  </si>
  <si>
    <t>NPL, coverage ratios and cost of risk</t>
  </si>
  <si>
    <t>Tasas de mora, cobertura y prima de riesgo</t>
  </si>
  <si>
    <t>Branches, employees and atm´s</t>
  </si>
  <si>
    <t>Empleados, oficinas y cajeros automáticos</t>
  </si>
  <si>
    <t>(**) 2015 incorpora las plusvalías procedentes de las distintas operaciones de venta equivalentes a un 6,34% de la participación del Grupo BBVA en CNCB, el badwill generado por la operación de CX, el efecto de la puesta a valor razonable de la participación inicial del 25,01% en Garanti y el impacto procedente de la venta de la participación del 29,68% en CIFH.</t>
  </si>
  <si>
    <t>(Million euros)</t>
  </si>
  <si>
    <t>(Millones de euros)</t>
  </si>
  <si>
    <t xml:space="preserve">(Constant million euros)    </t>
  </si>
  <si>
    <t>(Millones de euros constantes)</t>
  </si>
  <si>
    <t xml:space="preserve">(Constant million euros and percentages)   </t>
  </si>
  <si>
    <t xml:space="preserve">(Millones de euros constantes y porcentajes)   </t>
  </si>
  <si>
    <t xml:space="preserve">(Million euros and percentages)   </t>
  </si>
  <si>
    <t xml:space="preserve">(Millones de euros y porcentajes)   </t>
  </si>
  <si>
    <t>1st Quarter</t>
  </si>
  <si>
    <r>
      <t>1</t>
    </r>
    <r>
      <rPr>
        <vertAlign val="superscript"/>
        <sz val="10"/>
        <rFont val="Tahoma"/>
        <family val="2"/>
      </rPr>
      <t>er</t>
    </r>
    <r>
      <rPr>
        <sz val="10"/>
        <rFont val="Tahoma"/>
        <family val="2"/>
      </rPr>
      <t xml:space="preserve"> Trim.</t>
    </r>
  </si>
  <si>
    <t>2nd Quarter</t>
  </si>
  <si>
    <t>2º Trim.</t>
  </si>
  <si>
    <t>3rd Quarter</t>
  </si>
  <si>
    <r>
      <t>3</t>
    </r>
    <r>
      <rPr>
        <vertAlign val="superscript"/>
        <sz val="10"/>
        <rFont val="Tahoma"/>
        <family val="2"/>
      </rPr>
      <t>er</t>
    </r>
    <r>
      <rPr>
        <sz val="10"/>
        <rFont val="Tahoma"/>
        <family val="2"/>
      </rPr>
      <t xml:space="preserve"> Trim.</t>
    </r>
  </si>
  <si>
    <t>4th Quarter</t>
  </si>
  <si>
    <t>4º Trim.</t>
  </si>
  <si>
    <t>Net interest income</t>
  </si>
  <si>
    <t>Margen de intereses</t>
  </si>
  <si>
    <t>Net fees and commissions</t>
  </si>
  <si>
    <t>Comisiones</t>
  </si>
  <si>
    <t>Net trading income</t>
  </si>
  <si>
    <t>Resultados de operaciones financieras</t>
  </si>
  <si>
    <t>Dividends</t>
  </si>
  <si>
    <t>Dividendos</t>
  </si>
  <si>
    <t>Income by the equity method</t>
  </si>
  <si>
    <t>Resultados por puesta en equivalencia</t>
  </si>
  <si>
    <t>Other operating income and expenses</t>
  </si>
  <si>
    <t>Otros productos y cargas de explotación</t>
  </si>
  <si>
    <t>Gross income</t>
  </si>
  <si>
    <t>Margen bruto</t>
  </si>
  <si>
    <t>Operating expenses</t>
  </si>
  <si>
    <t>Gastos de explotación</t>
  </si>
  <si>
    <t xml:space="preserve">  Administration expenses</t>
  </si>
  <si>
    <t xml:space="preserve">  Gastos de administración</t>
  </si>
  <si>
    <t xml:space="preserve">  Personnel expenses</t>
  </si>
  <si>
    <t xml:space="preserve">  Gastos de personal</t>
  </si>
  <si>
    <t xml:space="preserve">  General and administrative expenses</t>
  </si>
  <si>
    <t xml:space="preserve">  Otros gastos generales de administración</t>
  </si>
  <si>
    <t xml:space="preserve">  Depreciation and amortization</t>
  </si>
  <si>
    <t xml:space="preserve">  Amortizaciones</t>
  </si>
  <si>
    <t>Operating income</t>
  </si>
  <si>
    <t>Margen neto</t>
  </si>
  <si>
    <t>Impairment on financial assets (net)</t>
  </si>
  <si>
    <t>Pérdidas por deterioro de activos financieros</t>
  </si>
  <si>
    <t>Provisions</t>
  </si>
  <si>
    <t>Dotaciones a provisiones</t>
  </si>
  <si>
    <t>Other gains (losses)</t>
  </si>
  <si>
    <t>Otros resultados</t>
  </si>
  <si>
    <t>Income before tax</t>
  </si>
  <si>
    <t>Beneficio antes de impuestos</t>
  </si>
  <si>
    <t>Income tax</t>
  </si>
  <si>
    <t>Impuesto sobre beneficios</t>
  </si>
  <si>
    <t>Net income</t>
  </si>
  <si>
    <t>Beneficio después de impuestos</t>
  </si>
  <si>
    <t>Non-controlling interests</t>
  </si>
  <si>
    <t>Resultado atribuido a la minoría</t>
  </si>
  <si>
    <t>Net attributable profit</t>
  </si>
  <si>
    <t>Beneficio atribuido al Grupo</t>
  </si>
  <si>
    <r>
      <t>One offs</t>
    </r>
    <r>
      <rPr>
        <vertAlign val="superscript"/>
        <sz val="8.5"/>
        <color indexed="18"/>
        <rFont val="Tahoma"/>
        <family val="2"/>
      </rPr>
      <t xml:space="preserve"> (1)</t>
    </r>
  </si>
  <si>
    <r>
      <t>Resultados singulares netos</t>
    </r>
    <r>
      <rPr>
        <vertAlign val="superscript"/>
        <sz val="8.5"/>
        <rFont val="Tahoma"/>
        <family val="2"/>
      </rPr>
      <t>(*)</t>
    </r>
  </si>
  <si>
    <r>
      <t xml:space="preserve">Net attributable profit (Excluding one-offs) </t>
    </r>
    <r>
      <rPr>
        <b/>
        <vertAlign val="superscript"/>
        <sz val="8.5"/>
        <color indexed="18"/>
        <rFont val="Tahoma"/>
        <family val="2"/>
      </rPr>
      <t>(*)</t>
    </r>
  </si>
  <si>
    <t>Beneficio atribuido al Grupo (sin singulares)</t>
  </si>
  <si>
    <t>(*) The third quarter of 2009 and of 2010 includes capital gains from the sale-and-leaseback of retail branches which have been alloted to generic provisions for NPA, with no effect on net attributable profit,</t>
  </si>
  <si>
    <t>(*) En 2009 y 2010, en el tercer trimestre, plusvalías por venta y posterior arrendamiento de oficinas comerciales que se han aplicado a provisiones genéricas de insolvencias, sin efecto en atribuido,</t>
  </si>
  <si>
    <t xml:space="preserve"> (Millones de euros constantes)</t>
  </si>
  <si>
    <t>Cash and balances with central banks</t>
  </si>
  <si>
    <t>Caja y depósitos en bancos centrales</t>
  </si>
  <si>
    <t>Financial assets held for trading</t>
  </si>
  <si>
    <t>Cartera de negociación</t>
  </si>
  <si>
    <t>Other financial assets designated at fair value</t>
  </si>
  <si>
    <t>Otros activos financieros a valor razonable</t>
  </si>
  <si>
    <t>Activos financieros disponibles para la venta</t>
  </si>
  <si>
    <t>Loans and receivables</t>
  </si>
  <si>
    <t>Inversiones crediticias</t>
  </si>
  <si>
    <t>. Depósitos en entidades de crédito</t>
  </si>
  <si>
    <t>. Loans and advances to customers</t>
  </si>
  <si>
    <t>. Crédito a la clientela</t>
  </si>
  <si>
    <t>. Other</t>
  </si>
  <si>
    <t>. Otros activos financieros</t>
  </si>
  <si>
    <t>Cartera de inversion a vencimiento</t>
  </si>
  <si>
    <t>Participaciones</t>
  </si>
  <si>
    <t>Tangible assets</t>
  </si>
  <si>
    <t>Activo material</t>
  </si>
  <si>
    <t>Intangible assets</t>
  </si>
  <si>
    <t>Activo intangible</t>
  </si>
  <si>
    <t>Other assets</t>
  </si>
  <si>
    <t>Otros activos</t>
  </si>
  <si>
    <t>Total assets</t>
  </si>
  <si>
    <t>Total activo</t>
  </si>
  <si>
    <t>Financial liabilities held for trading</t>
  </si>
  <si>
    <t>Otros pasivos financieros a valor razonable</t>
  </si>
  <si>
    <t>Pasivos financieros a coste amortizado</t>
  </si>
  <si>
    <t>. Deposits from central banks and credit institutions</t>
  </si>
  <si>
    <t>. Depósitos de bancos centrales y entidades de crédito</t>
  </si>
  <si>
    <t>. Deposits from customers</t>
  </si>
  <si>
    <t>. Depósitos de la clientela</t>
  </si>
  <si>
    <t>. Debt certificates</t>
  </si>
  <si>
    <t>. Débitos representados por valores negociables</t>
  </si>
  <si>
    <t>. Subordinated liabilities</t>
  </si>
  <si>
    <t>. Pasivos subordinados</t>
  </si>
  <si>
    <t>. Other financial liabilities</t>
  </si>
  <si>
    <t>. Otros pasivos financieros</t>
  </si>
  <si>
    <t>Liabilities under insurance contracts</t>
  </si>
  <si>
    <t>Pasivos por contratos de seguros</t>
  </si>
  <si>
    <t>Other liabilities</t>
  </si>
  <si>
    <t>Otros pasivos</t>
  </si>
  <si>
    <t>Total liabilities</t>
  </si>
  <si>
    <t>Total pasivo</t>
  </si>
  <si>
    <t>Intereses minoritarios</t>
  </si>
  <si>
    <t>Valuation adjustments</t>
  </si>
  <si>
    <t>Ajustes por valoración</t>
  </si>
  <si>
    <t>Shareholders' funds</t>
  </si>
  <si>
    <t>Fondos propios</t>
  </si>
  <si>
    <t>Equity</t>
  </si>
  <si>
    <t>Patrimonio neto</t>
  </si>
  <si>
    <t>Total liabilities and equity</t>
  </si>
  <si>
    <t>Total patrimonio neto y pasivo</t>
  </si>
  <si>
    <t xml:space="preserve">Income statement  </t>
  </si>
  <si>
    <t xml:space="preserve">Cuentas de resultados  </t>
  </si>
  <si>
    <t xml:space="preserve">Balance sheet  </t>
  </si>
  <si>
    <t>Balances</t>
  </si>
  <si>
    <t>Other income/expenses</t>
  </si>
  <si>
    <t>Otros ingresos netos</t>
  </si>
  <si>
    <r>
      <t>Impairment on financial assets (net)</t>
    </r>
    <r>
      <rPr>
        <vertAlign val="superscript"/>
        <sz val="8.5"/>
        <color indexed="18"/>
        <rFont val="Tahoma"/>
        <family val="2"/>
      </rPr>
      <t xml:space="preserve"> (1)</t>
    </r>
  </si>
  <si>
    <r>
      <t xml:space="preserve">Provisions (net) and other gains/losses </t>
    </r>
    <r>
      <rPr>
        <vertAlign val="superscript"/>
        <sz val="8.5"/>
        <color indexed="18"/>
        <rFont val="Tahoma"/>
        <family val="2"/>
      </rPr>
      <t>(1)</t>
    </r>
  </si>
  <si>
    <t>Dotaciones a provisiones y otros resultados</t>
  </si>
  <si>
    <r>
      <t xml:space="preserve">(*) </t>
    </r>
    <r>
      <rPr>
        <sz val="8"/>
        <rFont val="Tahoma"/>
        <family val="2"/>
      </rPr>
      <t>The third quarter, both for 2009 and 2010, includes 830 and 233 million euros, in capital gains from the sale-and-leaseback of retail branches and insolvency provisions for the same amount.</t>
    </r>
  </si>
  <si>
    <r>
      <t>(*)</t>
    </r>
    <r>
      <rPr>
        <sz val="8"/>
        <rFont val="Tahoma"/>
        <family val="2"/>
      </rPr>
      <t xml:space="preserve"> El tercer trimestre de 2009 y de 2010 incluyen 830 y 233 millones de euros, respectivamente, de plusvalías por venta y posterior arrendamiento de oficinas comerciales y provisiones genéricas de insolvencias por el mismo importe.</t>
    </r>
  </si>
  <si>
    <t>(*) The third quarter, both for 2009 and 2010, excludes 830 and 233 million euros in capital gains from the sale-and-leaseback of retail branches and insolvency provisions for the same amount.</t>
  </si>
  <si>
    <t>(*) No incluye en el tercer trimestre de 2009 ni de 2010, 830 y 233 millones de euros, respectivamante, de plusvalías por venta y posterior arrendamiento de oficinas comerciales y provisiones genéricas de insolvencias por el mismo importe.</t>
  </si>
  <si>
    <t>Financial assets</t>
  </si>
  <si>
    <t>Cartera de títulos</t>
  </si>
  <si>
    <t xml:space="preserve">  . Loans and advances to customers</t>
  </si>
  <si>
    <t xml:space="preserve">  . Crédito a la clientela neto</t>
  </si>
  <si>
    <t xml:space="preserve">  . Loans and advances to credit institutions and other</t>
  </si>
  <si>
    <t xml:space="preserve">  . Depósitos en entidades de crédito y otros</t>
  </si>
  <si>
    <t>Inter-area positions</t>
  </si>
  <si>
    <t>Posiciones inter-áreas activo</t>
  </si>
  <si>
    <t>Total assets / Liabilities and equity</t>
  </si>
  <si>
    <t>Total activo / pasivo</t>
  </si>
  <si>
    <t>Deposits from central banks and credit institutions</t>
  </si>
  <si>
    <t>Depósitos de bancos centrales y entidades de crédito</t>
  </si>
  <si>
    <t>Deposits from customers</t>
  </si>
  <si>
    <t>Depósitos de la clientela</t>
  </si>
  <si>
    <t>Debt certificates</t>
  </si>
  <si>
    <t>Débitos representados por valores negociables</t>
  </si>
  <si>
    <t>Subordinated liabilities</t>
  </si>
  <si>
    <t>Pasivos subordinados</t>
  </si>
  <si>
    <t>Posiciones inter-áreas pasivo</t>
  </si>
  <si>
    <t xml:space="preserve">Financial liabilities held for trading </t>
  </si>
  <si>
    <t>Economic capital allocated</t>
  </si>
  <si>
    <t>Dotación de capital económico</t>
  </si>
  <si>
    <t>Relevant business indicators</t>
  </si>
  <si>
    <t>Indicadores relevantes</t>
  </si>
  <si>
    <t>Loans and advances to customers gross (*)</t>
  </si>
  <si>
    <t>Crédito a la clientela bruto (*)</t>
  </si>
  <si>
    <r>
      <t>Customer deposits</t>
    </r>
    <r>
      <rPr>
        <vertAlign val="superscript"/>
        <sz val="8.5"/>
        <color indexed="18"/>
        <rFont val="Tahoma"/>
        <family val="2"/>
      </rPr>
      <t xml:space="preserve"> (1)</t>
    </r>
  </si>
  <si>
    <r>
      <t xml:space="preserve">Depósitos de clientes </t>
    </r>
    <r>
      <rPr>
        <vertAlign val="superscript"/>
        <sz val="10"/>
        <rFont val="Tahoma"/>
        <family val="2"/>
      </rPr>
      <t>(*)</t>
    </r>
  </si>
  <si>
    <t>Loans under management</t>
  </si>
  <si>
    <t>Inversión en gestión</t>
  </si>
  <si>
    <t>Customer deposits under management (**)</t>
  </si>
  <si>
    <r>
      <t xml:space="preserve">Depósitos de clientes en gestión </t>
    </r>
    <r>
      <rPr>
        <vertAlign val="superscript"/>
        <sz val="7.6"/>
        <rFont val="Arial"/>
        <family val="2"/>
      </rPr>
      <t>(**)</t>
    </r>
  </si>
  <si>
    <t>Mutual funds</t>
  </si>
  <si>
    <t>Fondos de inversión</t>
  </si>
  <si>
    <t>Other placements</t>
  </si>
  <si>
    <t>Otras colocaciones</t>
  </si>
  <si>
    <t>ROE (%)</t>
  </si>
  <si>
    <t>Efficiency ratio (%)</t>
  </si>
  <si>
    <t>Ratio de eficiencia (%)</t>
  </si>
  <si>
    <t>NPA ratio (%)</t>
  </si>
  <si>
    <t>Tasa de mora (%)</t>
  </si>
  <si>
    <t>Coverage ratio (%)</t>
  </si>
  <si>
    <t>Tasa de cobertura (%)</t>
  </si>
  <si>
    <t>(*) Includes collection accounts and individual annuities.</t>
  </si>
  <si>
    <t>(*) Incluye cuentas de recaudación y rentas de seguros</t>
  </si>
  <si>
    <t>(*) Excluding deposits and repos issued by Bancomer's Markets unit.</t>
  </si>
  <si>
    <t>(*) Excluidos depósitos y repos emitidos por Mercados Bancomer.</t>
  </si>
  <si>
    <t>(*) Including marketable debt securities.</t>
  </si>
  <si>
    <t>(*) Incluye valores negociables.</t>
  </si>
  <si>
    <t xml:space="preserve">(*) In the fourth quarter of 2009, there was an extraordinary provision of 533 million euros and a 998 miliion euros </t>
  </si>
  <si>
    <t xml:space="preserve">(*) En el cuarto trimestre de 2009, dotación extraordinaria a saneamientos por importe de 533 millones de euros y cargo por el deterioro de valor del fondo de comercio </t>
  </si>
  <si>
    <t>(*) Excluding deposits and repos issued by Markets unit.</t>
  </si>
  <si>
    <t>(*) Excluidos depósitos y repos emitidos por Mercados.</t>
  </si>
  <si>
    <t>(*) In the fourth quarter of 2009, excludes an extraordinary provision of 533 million euros and a 998 miliion euros</t>
  </si>
  <si>
    <r>
      <t xml:space="preserve">(*) </t>
    </r>
    <r>
      <rPr>
        <sz val="8"/>
        <rFont val="Tahoma"/>
        <family val="2"/>
      </rPr>
      <t>En el cuarto trimestre de 2009, no incluye dotación extraordinaria a saneamientos por importe de 533 millones de euros y cargo por el deterioro de valor del fondo de comercio</t>
    </r>
  </si>
  <si>
    <t>. Assets sold under repurchase agreement</t>
  </si>
  <si>
    <t xml:space="preserve"> . Cesiones temporales de activos</t>
  </si>
  <si>
    <t>Capital y reservas</t>
  </si>
  <si>
    <t>(*) Operating expenses / Gross income. Including depreciation</t>
  </si>
  <si>
    <t>(*) Gastos de explotación / Margen bruto. Incluye amortizaciones</t>
  </si>
  <si>
    <r>
      <t xml:space="preserve">Efficiency (%) </t>
    </r>
    <r>
      <rPr>
        <vertAlign val="superscript"/>
        <sz val="10"/>
        <rFont val="Tahoma"/>
        <family val="2"/>
      </rPr>
      <t>(*)</t>
    </r>
  </si>
  <si>
    <r>
      <t>Eficiencia (%)</t>
    </r>
    <r>
      <rPr>
        <vertAlign val="superscript"/>
        <sz val="7.6"/>
        <rFont val="Arial"/>
        <family val="2"/>
      </rPr>
      <t xml:space="preserve"> (*)</t>
    </r>
  </si>
  <si>
    <t>Branches</t>
  </si>
  <si>
    <t>Oficinas</t>
  </si>
  <si>
    <t>Spain</t>
  </si>
  <si>
    <t>España</t>
  </si>
  <si>
    <t>America</t>
  </si>
  <si>
    <t>América</t>
  </si>
  <si>
    <t xml:space="preserve">   México</t>
  </si>
  <si>
    <t xml:space="preserve">   Estados Unidos </t>
  </si>
  <si>
    <t xml:space="preserve">   Argentina </t>
  </si>
  <si>
    <t xml:space="preserve">   Colombia</t>
  </si>
  <si>
    <t xml:space="preserve">   Venezuela</t>
  </si>
  <si>
    <t xml:space="preserve">   Perú</t>
  </si>
  <si>
    <t xml:space="preserve">   Chile </t>
  </si>
  <si>
    <t>Panama</t>
  </si>
  <si>
    <t xml:space="preserve">   Panamá</t>
  </si>
  <si>
    <t>Paraguay</t>
  </si>
  <si>
    <t xml:space="preserve">   Paraguay</t>
  </si>
  <si>
    <t>Uruguay</t>
  </si>
  <si>
    <t xml:space="preserve">   Uruguay</t>
  </si>
  <si>
    <t>Ecuador</t>
  </si>
  <si>
    <t xml:space="preserve">   Ecuador</t>
  </si>
  <si>
    <t>Bolivia</t>
  </si>
  <si>
    <t xml:space="preserve">   Bolivia</t>
  </si>
  <si>
    <t>Rest of the world</t>
  </si>
  <si>
    <t>Resto del mundo</t>
  </si>
  <si>
    <t>Total</t>
  </si>
  <si>
    <t>Employees</t>
  </si>
  <si>
    <t>Empleados</t>
  </si>
  <si>
    <r>
      <t xml:space="preserve">BBVA Group. Consolidated income statement excluding one-offs </t>
    </r>
    <r>
      <rPr>
        <vertAlign val="superscript"/>
        <sz val="7.6"/>
        <rFont val="Arial"/>
        <family val="2"/>
      </rPr>
      <t>(*)</t>
    </r>
  </si>
  <si>
    <r>
      <t xml:space="preserve">Grupo BBVA. Cuentas de resultados consolidadas sin singulares </t>
    </r>
    <r>
      <rPr>
        <vertAlign val="superscript"/>
        <sz val="7.6"/>
        <rFont val="Arial"/>
        <family val="2"/>
      </rPr>
      <t>(*)</t>
    </r>
  </si>
  <si>
    <t>Provisions (net) and other gains/losses</t>
  </si>
  <si>
    <t>Customer deposits</t>
  </si>
  <si>
    <t>Depósitos de clientes</t>
  </si>
  <si>
    <t xml:space="preserve"> . Deposits </t>
  </si>
  <si>
    <t xml:space="preserve"> . Depósitos </t>
  </si>
  <si>
    <t>BBVA Group</t>
  </si>
  <si>
    <t>Grupo BBVA</t>
  </si>
  <si>
    <t>and in the fourth quarter of 2009, there was an extraordinary provision and a charge for goodwill impairment in the United States.</t>
  </si>
  <si>
    <t>y en el cuarto trimestre de 2009, dotación extraordinaria a saneamientos y cargo por el deterioro del valor del fondo de comercio en Estados Unidos.</t>
  </si>
  <si>
    <t>charge for goodwill impairment, both before tax.</t>
  </si>
  <si>
    <t>por 998 millones, ambas antes de impuestos.</t>
  </si>
  <si>
    <t>(Expressed in currency/euro)</t>
  </si>
  <si>
    <t>(Expresados en divisa/euro)</t>
  </si>
  <si>
    <t>Mexican peso</t>
  </si>
  <si>
    <t>Peso mexicano</t>
  </si>
  <si>
    <t>U.S. dollar</t>
  </si>
  <si>
    <t>Dólar estadounidense</t>
  </si>
  <si>
    <t>Argentine peso</t>
  </si>
  <si>
    <t>Peso argentino</t>
  </si>
  <si>
    <t>Chilean peso</t>
  </si>
  <si>
    <t>Peso chileno</t>
  </si>
  <si>
    <t>Colombian peso</t>
  </si>
  <si>
    <t>Peso colombiano</t>
  </si>
  <si>
    <t>Peruvian new sol</t>
  </si>
  <si>
    <t>Nuevo sol peruano</t>
  </si>
  <si>
    <t>Venezuelan bolivar fuerte</t>
  </si>
  <si>
    <t>Bolívar fuerte venezolano</t>
  </si>
  <si>
    <r>
      <t xml:space="preserve">Year-end exchange rates </t>
    </r>
    <r>
      <rPr>
        <vertAlign val="superscript"/>
        <sz val="7.6"/>
        <rFont val="Arial"/>
        <family val="2"/>
      </rPr>
      <t>(*)</t>
    </r>
  </si>
  <si>
    <r>
      <t xml:space="preserve">Cambios finales </t>
    </r>
    <r>
      <rPr>
        <vertAlign val="superscript"/>
        <sz val="7.6"/>
        <rFont val="Arial"/>
        <family val="2"/>
      </rPr>
      <t>(*)</t>
    </r>
  </si>
  <si>
    <r>
      <t xml:space="preserve">Average exchange rates </t>
    </r>
    <r>
      <rPr>
        <vertAlign val="superscript"/>
        <sz val="7.6"/>
        <rFont val="Arial"/>
        <family val="2"/>
      </rPr>
      <t>(**)</t>
    </r>
  </si>
  <si>
    <r>
      <t xml:space="preserve">Cambios medios </t>
    </r>
    <r>
      <rPr>
        <vertAlign val="superscript"/>
        <sz val="7.6"/>
        <rFont val="Arial"/>
        <family val="2"/>
      </rPr>
      <t>(**)</t>
    </r>
  </si>
  <si>
    <t>(*) Used in the constant euros comparisons for the balance sheet and business activity</t>
  </si>
  <si>
    <t>(*) Utilizados en el cálculo de euros constantes de los datos de balance y actividad</t>
  </si>
  <si>
    <t>(**) Used in the constant euros comparisons for the profit and loss</t>
  </si>
  <si>
    <t>(**) Utilizados en el cálculo de euros constantes de los datos de resultados</t>
  </si>
  <si>
    <t>Jan.-Dec. 2010</t>
  </si>
  <si>
    <t>Enero-Dic. 2010</t>
  </si>
  <si>
    <t>∆ % on</t>
  </si>
  <si>
    <t xml:space="preserve">∆% sobre </t>
  </si>
  <si>
    <t>Jan.-Dec. 2009</t>
  </si>
  <si>
    <t>Enero-Dic. 2009</t>
  </si>
  <si>
    <t>Exchange rates</t>
  </si>
  <si>
    <t>Tipos de cambio</t>
  </si>
  <si>
    <t>Rest of Eurasia</t>
  </si>
  <si>
    <t>Resto de Eurasia</t>
  </si>
  <si>
    <t>Local business</t>
  </si>
  <si>
    <t>Negocios locales</t>
  </si>
  <si>
    <r>
      <t xml:space="preserve">Quarterly series </t>
    </r>
    <r>
      <rPr>
        <vertAlign val="superscript"/>
        <sz val="7.6"/>
        <rFont val="Arial"/>
        <family val="2"/>
      </rPr>
      <t>(*)</t>
    </r>
    <r>
      <rPr>
        <sz val="8"/>
        <rFont val="Arial"/>
        <family val="2"/>
      </rPr>
      <t xml:space="preserve"> - March 2011. Information by segments</t>
    </r>
  </si>
  <si>
    <r>
      <t xml:space="preserve">Series trimestrales </t>
    </r>
    <r>
      <rPr>
        <vertAlign val="superscript"/>
        <sz val="7.6"/>
        <rFont val="Arial"/>
        <family val="2"/>
      </rPr>
      <t>(*)</t>
    </r>
    <r>
      <rPr>
        <sz val="8"/>
        <rFont val="Arial"/>
        <family val="2"/>
      </rPr>
      <t xml:space="preserve"> - Marzo 2011. Información por segmentos</t>
    </r>
  </si>
  <si>
    <r>
      <t xml:space="preserve">Quarterly series </t>
    </r>
    <r>
      <rPr>
        <vertAlign val="superscript"/>
        <sz val="7.6"/>
        <rFont val="Arial"/>
        <family val="2"/>
      </rPr>
      <t>(*)</t>
    </r>
    <r>
      <rPr>
        <sz val="8"/>
        <rFont val="Arial"/>
        <family val="2"/>
      </rPr>
      <t xml:space="preserve"> - March 2011. Main ratios</t>
    </r>
  </si>
  <si>
    <r>
      <t xml:space="preserve">Series trimestrales </t>
    </r>
    <r>
      <rPr>
        <vertAlign val="superscript"/>
        <sz val="7.6"/>
        <rFont val="Arial"/>
        <family val="2"/>
      </rPr>
      <t>(*)</t>
    </r>
    <r>
      <rPr>
        <sz val="8"/>
        <rFont val="Arial"/>
        <family val="2"/>
      </rPr>
      <t xml:space="preserve"> - Marzo 2011. Principales ratios</t>
    </r>
  </si>
  <si>
    <t>Asset management, Pensions and Insurance</t>
  </si>
  <si>
    <t>Gestión de activos, Pensiones y Seguros</t>
  </si>
  <si>
    <t>Turkish lira</t>
  </si>
  <si>
    <t>Lira turca</t>
  </si>
  <si>
    <t>Yuan Chinese</t>
  </si>
  <si>
    <t>Yuan chino</t>
  </si>
  <si>
    <t xml:space="preserve">Quarterly series 2014-2015 </t>
  </si>
  <si>
    <t xml:space="preserve">Series trimestrales 2014-2015 </t>
  </si>
  <si>
    <t>Business areas</t>
  </si>
  <si>
    <t>Additional information:</t>
  </si>
  <si>
    <t>Información adicional:</t>
  </si>
  <si>
    <t>Consolidated income statement</t>
  </si>
  <si>
    <t>Cuentas de resultados consolidadas</t>
  </si>
  <si>
    <t>Consolidated balance sheet</t>
  </si>
  <si>
    <t>Balances de situación consolidados</t>
  </si>
  <si>
    <t>March 2011</t>
  </si>
  <si>
    <t>Marzo 2011</t>
  </si>
  <si>
    <t>Cost of risk (%)</t>
  </si>
  <si>
    <t>Coste de riesgo (%)</t>
  </si>
  <si>
    <t>Breakdown of yields and costs</t>
  </si>
  <si>
    <t>Estructura de rendimientos y costes</t>
  </si>
  <si>
    <t>Annex:</t>
  </si>
  <si>
    <t>Anexo:</t>
  </si>
  <si>
    <t>(***) The addition of Corporate &amp; business banking businesses in all countries. Figures in current and constant euros</t>
  </si>
  <si>
    <t>(***) Como suma de los negocios globales de cada geografia, Datos en Euros corrientes y costantes</t>
  </si>
  <si>
    <t>1H15</t>
  </si>
  <si>
    <t>1er Sem. 15</t>
  </si>
  <si>
    <t>1H14</t>
  </si>
  <si>
    <t>1er Sem. 14</t>
  </si>
  <si>
    <t>ATM's</t>
  </si>
  <si>
    <t>Cajeros Automáticos</t>
  </si>
  <si>
    <t>Pension funds</t>
  </si>
  <si>
    <t>Fondos de pensiones</t>
  </si>
  <si>
    <t xml:space="preserve"> .Mortgage bonds</t>
  </si>
  <si>
    <t xml:space="preserve"> .Titulos hipotecarios y cédulas territoriales</t>
  </si>
  <si>
    <t xml:space="preserve"> .Other debt certificates</t>
  </si>
  <si>
    <t xml:space="preserve"> .Otros valores negociables</t>
  </si>
  <si>
    <t>Financial assets and derivatives</t>
  </si>
  <si>
    <t>Cartera de títulos y derivados</t>
  </si>
  <si>
    <t>Loans and advances to credit institutions</t>
  </si>
  <si>
    <t>Depósitos en entidades de crédito</t>
  </si>
  <si>
    <t>Loans and advances to customers</t>
  </si>
  <si>
    <t>Créditos a la clientela</t>
  </si>
  <si>
    <t>Euros</t>
  </si>
  <si>
    <t xml:space="preserve">  . Euros</t>
  </si>
  <si>
    <t>Domestic</t>
  </si>
  <si>
    <t xml:space="preserve">      - Residentes</t>
  </si>
  <si>
    <t>Other</t>
  </si>
  <si>
    <t xml:space="preserve">      - Otros</t>
  </si>
  <si>
    <t>Foreign currencies</t>
  </si>
  <si>
    <t xml:space="preserve">  . Moneda extranjera</t>
  </si>
  <si>
    <t>Debt certificates and subordinated liabilities</t>
  </si>
  <si>
    <t>Valores negociables y pasivos subordinados</t>
  </si>
  <si>
    <t>Net interest income/Average total assets (ATA)</t>
  </si>
  <si>
    <t>Margen de intereses/activos totales medios (ATM)</t>
  </si>
  <si>
    <r>
      <t>(1) I</t>
    </r>
    <r>
      <rPr>
        <sz val="8"/>
        <rFont val="Arial"/>
        <family val="2"/>
      </rPr>
      <t>n the fourth quarter of 2011, there was an extraordinary provision and a charge for goodwill impairment in the United States.</t>
    </r>
  </si>
  <si>
    <t xml:space="preserve">(*) En 2011, en el cuarto trimestre,  cargo por el deterioro del valor del fondo de comercio en Estados Unidos. </t>
  </si>
  <si>
    <r>
      <t>1</t>
    </r>
    <r>
      <rPr>
        <vertAlign val="superscript"/>
        <sz val="10"/>
        <rFont val="Tahoma"/>
        <family val="2"/>
      </rPr>
      <t>er</t>
    </r>
    <r>
      <rPr>
        <sz val="10"/>
        <rFont val="Tahoma"/>
        <family val="2"/>
      </rPr>
      <t xml:space="preserve"> Trim. </t>
    </r>
  </si>
  <si>
    <t xml:space="preserve">4th Quarter </t>
  </si>
  <si>
    <t xml:space="preserve">2º Trim. </t>
  </si>
  <si>
    <r>
      <t>3</t>
    </r>
    <r>
      <rPr>
        <vertAlign val="superscript"/>
        <sz val="10"/>
        <rFont val="Tahoma"/>
        <family val="2"/>
      </rPr>
      <t>er</t>
    </r>
    <r>
      <rPr>
        <sz val="10"/>
        <rFont val="Tahoma"/>
        <family val="2"/>
      </rPr>
      <t xml:space="preserve"> Trim. </t>
    </r>
  </si>
  <si>
    <t xml:space="preserve">4º Trim. </t>
  </si>
  <si>
    <t>% of ATA</t>
  </si>
  <si>
    <t>% s/ATM</t>
  </si>
  <si>
    <t>% yield/Cost</t>
  </si>
  <si>
    <t>% Rdto./Coste</t>
  </si>
  <si>
    <r>
      <t>Adjusted</t>
    </r>
    <r>
      <rPr>
        <vertAlign val="superscript"/>
        <sz val="7.6"/>
        <rFont val="Arial"/>
        <family val="2"/>
      </rPr>
      <t>(**)</t>
    </r>
  </si>
  <si>
    <r>
      <t>Ajustes</t>
    </r>
    <r>
      <rPr>
        <vertAlign val="superscript"/>
        <sz val="7.6"/>
        <rFont val="Arial"/>
        <family val="2"/>
      </rPr>
      <t>(**)</t>
    </r>
  </si>
  <si>
    <r>
      <t xml:space="preserve">Net attributable profit (excluding results from corporate operations) </t>
    </r>
    <r>
      <rPr>
        <vertAlign val="superscript"/>
        <sz val="7.6"/>
        <rFont val="Arial"/>
        <family val="2"/>
      </rPr>
      <t>(**)</t>
    </r>
  </si>
  <si>
    <r>
      <t xml:space="preserve">Beneficio atribuido al Grupo (sin el resultado de operaciones corporativas) </t>
    </r>
    <r>
      <rPr>
        <vertAlign val="superscript"/>
        <sz val="7.6"/>
        <rFont val="Arial"/>
        <family val="2"/>
      </rPr>
      <t>(**)</t>
    </r>
  </si>
  <si>
    <t>(Million of euros as of 30-Sep-15)</t>
  </si>
  <si>
    <t xml:space="preserve"> (Millones de euros a 30-09-15)</t>
  </si>
  <si>
    <t>Risk amount</t>
  </si>
  <si>
    <t>Importe del riesgo</t>
  </si>
  <si>
    <t>Provision</t>
  </si>
  <si>
    <t>Provisiones</t>
  </si>
  <si>
    <t>% Coverage over risk</t>
  </si>
  <si>
    <t>%  cobertura sobre riesgo</t>
  </si>
  <si>
    <t>NPL + Substandard</t>
  </si>
  <si>
    <t>Dudosos más subestándar</t>
  </si>
  <si>
    <t>Inmuebles adjudicados y otros activos</t>
  </si>
  <si>
    <t>Subtotal</t>
  </si>
  <si>
    <t>Performing</t>
  </si>
  <si>
    <t>Riesgo vivo</t>
  </si>
  <si>
    <t>Exposición Inmobiliaria</t>
  </si>
  <si>
    <t>Cobertura de la exposición inmobiliaria en España</t>
  </si>
  <si>
    <t>Print</t>
  </si>
  <si>
    <t>Imprimir</t>
  </si>
  <si>
    <t>BBVA Real Estate</t>
  </si>
  <si>
    <r>
      <rPr>
        <sz val="7.6"/>
        <rFont val="Arial"/>
        <family val="2"/>
      </rPr>
      <t>Memorandum Item:</t>
    </r>
    <r>
      <rPr>
        <sz val="8"/>
        <rFont val="Arial"/>
        <family val="2"/>
      </rPr>
      <t xml:space="preserve"> Consolidated income statement before ongoing/discounted operations </t>
    </r>
    <r>
      <rPr>
        <vertAlign val="superscript"/>
        <sz val="8"/>
        <rFont val="Arial"/>
        <family val="2"/>
      </rPr>
      <t>(**)</t>
    </r>
  </si>
  <si>
    <r>
      <t xml:space="preserve">Promemoria: Cuentas de resultados consolidadas antes de operaciones continuadas/interrumpidas </t>
    </r>
    <r>
      <rPr>
        <vertAlign val="superscript"/>
        <sz val="7.6"/>
        <rFont val="Arial"/>
        <family val="2"/>
      </rPr>
      <t>(**)</t>
    </r>
  </si>
  <si>
    <t>(**) Not considering pension business in Latin America as discontinued operations</t>
  </si>
  <si>
    <t>(**) Sin considerar el negocio previsional en Latinoamérica como operaciones interrumpidas</t>
  </si>
  <si>
    <t>Net income from ongoing operations</t>
  </si>
  <si>
    <t>Beneficio después de impuestos de operaciones continuadas</t>
  </si>
  <si>
    <t>Result from corporate operations</t>
  </si>
  <si>
    <t>Resultado de operaciones corporativas</t>
  </si>
  <si>
    <t>Banking business</t>
  </si>
  <si>
    <t>Actividad bancaria</t>
  </si>
  <si>
    <r>
      <t>Banking business</t>
    </r>
    <r>
      <rPr>
        <vertAlign val="superscript"/>
        <sz val="7.6"/>
        <rFont val="Arial"/>
        <family val="2"/>
      </rPr>
      <t>(*)</t>
    </r>
  </si>
  <si>
    <r>
      <t>Actividad bancaria</t>
    </r>
    <r>
      <rPr>
        <vertAlign val="superscript"/>
        <sz val="7.6"/>
        <rFont val="Arial"/>
        <family val="2"/>
      </rPr>
      <t>(*)</t>
    </r>
  </si>
  <si>
    <r>
      <t>BBVA Real Estate</t>
    </r>
    <r>
      <rPr>
        <vertAlign val="superscript"/>
        <sz val="7.6"/>
        <rFont val="Arial"/>
        <family val="2"/>
      </rPr>
      <t>(*)</t>
    </r>
  </si>
  <si>
    <t xml:space="preserve">(*)  In 2012 impairment charge related to the deterioration of the real-estate sector in Spain. </t>
  </si>
  <si>
    <t>(*) En  2012, cargo por el deterioro de los activos relacionados con el negocio inmobiliario.</t>
  </si>
  <si>
    <t>Eurasia</t>
  </si>
  <si>
    <t xml:space="preserve">(*) Financial statements with the assets and liabilities of the Garanti Group consolidated in proportion to the percentage of the Group's stake. </t>
  </si>
  <si>
    <t xml:space="preserve">(*)  Estados financieros con los activos y pasivos de Garanti Group integrados en la proporción correspondiente al porcentaje de participación del Grupo. </t>
  </si>
  <si>
    <r>
      <t xml:space="preserve">Corporate Center </t>
    </r>
    <r>
      <rPr>
        <vertAlign val="superscript"/>
        <sz val="7.6"/>
        <rFont val="Arial"/>
        <family val="2"/>
      </rPr>
      <t>(*)</t>
    </r>
  </si>
  <si>
    <r>
      <t xml:space="preserve">Centro corporativo </t>
    </r>
    <r>
      <rPr>
        <vertAlign val="superscript"/>
        <sz val="7.6"/>
        <rFont val="Arial"/>
        <family val="2"/>
      </rPr>
      <t>(*)</t>
    </r>
  </si>
  <si>
    <t xml:space="preserve">(*) In 2012, impairment charge related to the deterioration of the real-estate sector in Spain and impact of Unnim badwill. </t>
  </si>
  <si>
    <r>
      <t xml:space="preserve">(*) Ajustado del negocio previsional y abono por el </t>
    </r>
    <r>
      <rPr>
        <i/>
        <sz val="7.6"/>
        <rFont val="Arial"/>
        <family val="2"/>
      </rPr>
      <t>badwill</t>
    </r>
    <r>
      <rPr>
        <sz val="8"/>
        <rFont val="Arial"/>
        <family val="2"/>
      </rPr>
      <t xml:space="preserve"> de Unimm.</t>
    </r>
  </si>
  <si>
    <t>Actividad inmobiliaria en España</t>
  </si>
  <si>
    <r>
      <t>Actividad inmobiliaria en España</t>
    </r>
    <r>
      <rPr>
        <vertAlign val="superscript"/>
        <sz val="7.6"/>
        <rFont val="Arial"/>
        <family val="2"/>
      </rPr>
      <t>(*)</t>
    </r>
  </si>
  <si>
    <t>Note: Transparency scope according to Bank of Spain Circular 5/2011 dated November 30.</t>
  </si>
  <si>
    <t>Nota: Perímetro de transparencia según la Circular 5/2011 del 30 de noviembre del Banco de España.</t>
  </si>
  <si>
    <t>(*) Adjusted based on the reinsurance operation on the individual life-risk insurance portfolio in Spain</t>
  </si>
  <si>
    <t>(*) Ajustado de la operación de reaseguro sobre la cartera de vida-riesgo individual.</t>
  </si>
  <si>
    <t>(*) Adjusted based on the profit from the pension business.</t>
  </si>
  <si>
    <t>(*) Ajustado del beneficio del negocio previsional.</t>
  </si>
  <si>
    <t>(**) Excluding repos and including specific marketable debt securities.</t>
  </si>
  <si>
    <t>(**) No incluye las cesiones temporales de activos e incluye determinados valores negociables.</t>
  </si>
  <si>
    <t xml:space="preserve">(**) Excluding repos. </t>
  </si>
  <si>
    <t>(**) No incluye las cesiones temporales de activos.</t>
  </si>
  <si>
    <t>(*) Includes area's repos in Mexico.</t>
  </si>
  <si>
    <t>(*) Incluye las cesiones temporales de activos del área en México.</t>
  </si>
  <si>
    <t>(*) Including all the repos.</t>
  </si>
  <si>
    <t>(*) Incluye la totalidad de las cesiones temporales de activos.</t>
  </si>
  <si>
    <t>(**) Adjusted based on the result of real-estate activity in Spain, the profit from the pension business in Latin America, the badwill from Unnim, the reinsurance operation on the individual life-risk insurance portfolio in Spain and and of the new classification of refinanced loans.</t>
  </si>
  <si>
    <r>
      <t xml:space="preserve">(**) Ajustado del resultado de la actividad inmobiliaria en España, del beneficio del negocio previsional en Latinoamerica, del </t>
    </r>
    <r>
      <rPr>
        <i/>
        <sz val="7.6"/>
        <rFont val="Arial"/>
        <family val="2"/>
      </rPr>
      <t>badwill</t>
    </r>
    <r>
      <rPr>
        <sz val="8"/>
        <rFont val="Arial"/>
        <family val="2"/>
      </rPr>
      <t xml:space="preserve"> de Unnim, de la operación de reaseguro sobre la cartera de vida-riesgo individual de España y de la nueva clasificación de los créditos refinanciados.</t>
    </r>
  </si>
  <si>
    <t>(*) Since the third quarter of 2015, BBVA's total stake in Garanti is consolidated by the full integration method. For previous periods, Garanti's revenues and costs are integrated in the proportion corresponding to the percentage of the Group's stake (25.01%).</t>
  </si>
  <si>
    <t>Consolidated income statement (*)</t>
  </si>
  <si>
    <t>Cuentas de resultados consolidadas (*)</t>
  </si>
  <si>
    <t>BBVA Group. Consolidated balance sheet (*)</t>
  </si>
  <si>
    <t>Grupo BBVA. Balances de situación consolidados (*)</t>
  </si>
  <si>
    <t xml:space="preserve">Balance sheet (*)  </t>
  </si>
  <si>
    <t>Balances (*)</t>
  </si>
  <si>
    <t>(**) Excluding repos.</t>
  </si>
  <si>
    <t xml:space="preserve">Turkey </t>
  </si>
  <si>
    <t xml:space="preserve">Turquía </t>
  </si>
  <si>
    <t>Net attributable profit (excluding results from corporate operations)</t>
  </si>
  <si>
    <t>Beneficio atribuido al Grupo (sin el resultado de operaciones corporativas)</t>
  </si>
  <si>
    <t>(*) Including repos.</t>
  </si>
  <si>
    <t>(*) Incluye las cesiones temporales de activos.</t>
  </si>
  <si>
    <t>(*) Excluding repos.</t>
  </si>
  <si>
    <t>(*) No incluye las cesiones temporales de activos.</t>
  </si>
  <si>
    <t>Loans under management (*)</t>
  </si>
  <si>
    <t>Inversión en gestión (*)</t>
  </si>
  <si>
    <t>. Debt securities</t>
  </si>
  <si>
    <t>. Valores representativos de deuda</t>
  </si>
  <si>
    <t>Brazil</t>
  </si>
  <si>
    <t>Brasil</t>
  </si>
  <si>
    <t>Income statement (*)</t>
  </si>
  <si>
    <t>Cuentas de resultados (*)</t>
  </si>
  <si>
    <t>South America without Venezuela</t>
  </si>
  <si>
    <t>América del Sur sin Venezuela</t>
  </si>
  <si>
    <t>Yields and costs</t>
  </si>
  <si>
    <t>Rendimientos y costes</t>
  </si>
  <si>
    <t xml:space="preserve">(*) Excluding repos. </t>
  </si>
  <si>
    <t>(*) No incluye las adquisiciones temporales de activos.</t>
  </si>
  <si>
    <t>Other off balance-sheet funds</t>
  </si>
  <si>
    <t>Otros recursos fuera de balance</t>
  </si>
  <si>
    <t>Turkey presented on a like-for-like comparison</t>
  </si>
  <si>
    <t>Turquía en continuidad</t>
  </si>
  <si>
    <t xml:space="preserve">(*) Since the third quarter of 2015, BBVA's total stake in Garanti is consolidated by the full integration method. </t>
  </si>
  <si>
    <t xml:space="preserve">(*) Desde el tercer trimestre de 2015, la participación total de BBVA en Garanti se consolida por el método de integración global. </t>
  </si>
  <si>
    <t>(*) Garanti's financial statements integrated in the proportion corresponding to the percentage of the Group's stake (25.01%) until the second quarter of 2015.</t>
  </si>
  <si>
    <t>(*) Estados financieros de Garanti integrados en la proporción correspondiente al porcentaje de participación (25,01%) que el Grupo tenía hasta el segundo trimestre de 2015.</t>
  </si>
  <si>
    <t>(**) No incluye las adquisiciones temporales de activos.</t>
  </si>
  <si>
    <t xml:space="preserve">(***) Excluding repos. </t>
  </si>
  <si>
    <t>(***) No incluye las cesiones temporales de activos.</t>
  </si>
  <si>
    <t>Loans and advances to customers gross (**)</t>
  </si>
  <si>
    <t>Crédito a la clientela bruto (**)</t>
  </si>
  <si>
    <t>Customer deposits under management (***)</t>
  </si>
  <si>
    <t>Depósitos de clientes en gestión (***)</t>
  </si>
  <si>
    <t>-</t>
  </si>
  <si>
    <t>∆% sobre</t>
  </si>
  <si>
    <t>Ene-Sep. 15</t>
  </si>
  <si>
    <t>Ene-Sep. 14</t>
  </si>
  <si>
    <t>BBVA Group excluding Venezuela and with Turkey presented on a like-for-like comparison</t>
  </si>
  <si>
    <t>Grupo BBVA sin Venezuela y con Turquía en continuidad</t>
  </si>
  <si>
    <t>NPL ratio (%)</t>
  </si>
  <si>
    <t>NPL coverage ratio (%)</t>
  </si>
  <si>
    <t>. Loans and advances to credit institutions</t>
  </si>
  <si>
    <t>Investments in entities accounted for using the equity method</t>
  </si>
  <si>
    <t>Other financial liabilities designated at fair value</t>
  </si>
  <si>
    <t>Financial liabilities at amortized cost</t>
  </si>
  <si>
    <t>Total equity</t>
  </si>
  <si>
    <t>Held-to-maturity investments</t>
  </si>
  <si>
    <t>Available-for-sale financial assets</t>
  </si>
  <si>
    <t>Total equity and liabilities</t>
  </si>
  <si>
    <t>Foreclosed real-estate and other assets</t>
  </si>
  <si>
    <t xml:space="preserve">    Finished properties</t>
  </si>
  <si>
    <t xml:space="preserve">    Construction in progress</t>
  </si>
  <si>
    <t xml:space="preserve">    Land</t>
  </si>
  <si>
    <t>Real-estate exposure</t>
  </si>
  <si>
    <t xml:space="preserve">  NPL</t>
  </si>
  <si>
    <t xml:space="preserve">  Substandard</t>
  </si>
  <si>
    <t xml:space="preserve">  From real-estate developers</t>
  </si>
  <si>
    <t xml:space="preserve">  From dwellings</t>
  </si>
  <si>
    <t xml:space="preserve">  Other</t>
  </si>
  <si>
    <t xml:space="preserve">  With collateral</t>
  </si>
  <si>
    <t xml:space="preserve">  Without collateral and other</t>
  </si>
  <si>
    <t xml:space="preserve">  Dudosos</t>
  </si>
  <si>
    <t xml:space="preserve">  Subestándar</t>
  </si>
  <si>
    <t xml:space="preserve">  Procedentes de finalidad inmobiliaria</t>
  </si>
  <si>
    <t xml:space="preserve">  Procedentes de financiación a adquisición de vivienda</t>
  </si>
  <si>
    <t xml:space="preserve">  Resto de activos</t>
  </si>
  <si>
    <t xml:space="preserve">  Con garantía hipotecaria</t>
  </si>
  <si>
    <t xml:space="preserve">    Edificios terminados</t>
  </si>
  <si>
    <t xml:space="preserve">    Edificios en construcción</t>
  </si>
  <si>
    <t xml:space="preserve">    Suelo</t>
  </si>
  <si>
    <t xml:space="preserve">  Sin garantía hipotecaria y otros</t>
  </si>
  <si>
    <t>(*) 2015 incorpora las plusvalías procedentes de las distintas operaciones de venta equivalentes a un 6,34% de la participación del Grupo BBVA en CNCB, el badwill generado por la operación de CX, el efecto de la puesta a valor razonable de la participación inicial del 25,01% en Garanti y el impacto procedente de la venta de la participación del 29,68% en CIFH.</t>
  </si>
  <si>
    <t>Real-estate activity in Spain</t>
  </si>
  <si>
    <r>
      <t>Real-estate activity in Spain</t>
    </r>
    <r>
      <rPr>
        <vertAlign val="superscript"/>
        <sz val="7.6"/>
        <rFont val="Arial"/>
        <family val="2"/>
      </rPr>
      <t>(*)</t>
    </r>
  </si>
  <si>
    <t>Coverage of real-estate exposure in Spain</t>
  </si>
  <si>
    <t>Net attributable profit (excluding results from corporate operations) (*)</t>
  </si>
  <si>
    <t>Beneficio atribuido al Grupo (sin el resultado de operaciones corporativas) (*)</t>
  </si>
  <si>
    <t>(*) Desde el tercer trimestre de 2015, la participación total de BBVA en Garanti se consolida por el método de integración global. Para periodos anteriores, los ingresos y gastos de Garanti se integran en la proporción correspondiente al porcentaje de participación del Grupo (25,01%).</t>
  </si>
  <si>
    <t>(*) Desde el tercer trimestre de 2015, la participación total de BBVA en Garanti se consolida por el método de integración global. Para periodos anteriores, los activos y pasivos de Garanti se integran en la proporción correspondiente al porcentaje de participación del Grupo (25,01%).</t>
  </si>
  <si>
    <t>(**) 2015 includes the capital gains from the various sale operations equivalent to 6.34% of BBVA Group’s stake in CNCB, the badwill from the CX operation, the effect of the valuation at fair value of the 25.01% initial stake held by BBVA in Garanti, and the impact of the sale of BBVA’s 29.68% stake in CIFH.</t>
  </si>
  <si>
    <t>(*) 2015 includes the capital gains from the various sale operations equivalent to 6.34% of BBVA Group’s stake in CNCB, the badwill from the CX operation, the effect of the valuation at fair value of the 25.01% initial stake held by BBVA in Garanti, and the impact of the sale of BBVA’s 29.68% stake in CIFH.</t>
  </si>
  <si>
    <t>(*) Since the third quarter of 2015, BBVA’s total stake in Garanti is consolidated by the full integration method. For previous periods, Garanti’s assets and liabilities are integrated in the proportion corresponding to the percentage of the Group’s stake (25.01%).</t>
  </si>
  <si>
    <t>Turkey (*)</t>
  </si>
  <si>
    <t>Turquía (*)</t>
  </si>
  <si>
    <t>(*) Garanti’s financial statements integrated in the proportion corresponding to the percentage of the Group’s stake (25.01%) until the second quarter of 2015.</t>
  </si>
  <si>
    <t>Áreas de negocio</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</si>
</sst>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 #,##0.00\ &quot;€&quot;_-;\-* #,##0.00\ &quot;€&quot;_-;_-* &quot;-&quot;??\ &quot;€&quot;_-;_-@_-"/>
    <numFmt numFmtId="43" formatCode="_-* #,##0.00\ _€_-;\-* #,##0.00\ _€_-;_-* &quot;-&quot;??\ _€_-;_-@_-"/>
    <numFmt numFmtId="164" formatCode="_(&quot;$&quot;* #,##0_);_(&quot;$&quot;* \(#,##0\);_(&quot;$&quot;* &quot;-&quot;_);_(@_)"/>
    <numFmt numFmtId="165" formatCode="_(&quot;$&quot;* #,##0.00_);_(&quot;$&quot;* \(#,##0.00\);_(&quot;$&quot;* &quot;-&quot;??_);_(@_)"/>
    <numFmt numFmtId="166" formatCode="dd\-mm\-yy"/>
    <numFmt numFmtId="167" formatCode="#,##0.0"/>
    <numFmt numFmtId="168" formatCode="#,##0.0000"/>
    <numFmt numFmtId="169" formatCode="0.0"/>
    <numFmt numFmtId="170" formatCode="0.0%"/>
    <numFmt numFmtId="171" formatCode="#,##0.000"/>
    <numFmt numFmtId="172" formatCode="d\-m\-yy;@"/>
    <numFmt numFmtId="173" formatCode="#,##0.00000"/>
    <numFmt numFmtId="174" formatCode="_(&quot;€&quot;* #,##0.00_);_(&quot;€&quot;* \(#,##0.00\);_(&quot;€&quot;* &quot;-&quot;??_);_(@_)"/>
    <numFmt numFmtId="175" formatCode="_(* #,##0.00_);_(* \(#,##0.00\);_(* &quot;-&quot;??_);_(@_)"/>
    <numFmt numFmtId="176" formatCode="_-* #,##0.00\ _P_t_s_-;\-* #,##0.00\ _P_t_s_-;_-* &quot;-&quot;??\ _P_t_s_-;_-@_-"/>
    <numFmt numFmtId="177" formatCode="_-* #,##0.00_-;\-* #,##0.00_-;_-* &quot;-&quot;??_-;_-@_-"/>
  </numFmts>
  <fonts count="81">
    <font>
      <sz val="11"/>
      <color theme="1"/>
      <name val="Calibri"/>
      <family val="2"/>
      <scheme val="minor"/>
    </font>
    <font>
      <sz val="8"/>
      <name val="Tahoma"/>
      <family val="2"/>
    </font>
    <font>
      <sz val="10"/>
      <name val="Arial"/>
      <family val="2"/>
    </font>
    <font>
      <sz val="10"/>
      <name val="Lucida Sans Unicode"/>
      <family val="2"/>
    </font>
    <font>
      <vertAlign val="superscript"/>
      <sz val="10"/>
      <name val="Stag Sans Medium"/>
      <family val="2"/>
    </font>
    <font>
      <vertAlign val="superscript"/>
      <sz val="22"/>
      <color indexed="17"/>
      <name val="Stag Sans Medium"/>
      <family val="2"/>
    </font>
    <font>
      <vertAlign val="superscript"/>
      <sz val="10"/>
      <color indexed="21"/>
      <name val="Stag Sans Medium"/>
      <family val="2"/>
    </font>
    <font>
      <vertAlign val="superscript"/>
      <sz val="22"/>
      <color indexed="21"/>
      <name val="Stag Sans Medium"/>
      <family val="2"/>
    </font>
    <font>
      <b/>
      <sz val="16"/>
      <name val="Arial"/>
      <family val="2"/>
    </font>
    <font>
      <vertAlign val="superscript"/>
      <sz val="20"/>
      <name val="Stag Sans Medium"/>
      <family val="2"/>
    </font>
    <font>
      <vertAlign val="superscript"/>
      <sz val="10"/>
      <color indexed="9"/>
      <name val="Stag Sans Medium"/>
      <family val="2"/>
    </font>
    <font>
      <vertAlign val="superscript"/>
      <sz val="10"/>
      <color indexed="58"/>
      <name val="Stag Sans Medium"/>
      <family val="2"/>
    </font>
    <font>
      <u/>
      <sz val="6.4"/>
      <color indexed="12"/>
      <name val="Arial"/>
      <family val="2"/>
    </font>
    <font>
      <vertAlign val="superscript"/>
      <sz val="14"/>
      <color indexed="58"/>
      <name val="Stag Sans Medium"/>
      <family val="2"/>
    </font>
    <font>
      <sz val="10"/>
      <name val="Baskerville BE Regular"/>
    </font>
    <font>
      <sz val="8"/>
      <name val="Arial"/>
      <family val="2"/>
    </font>
    <font>
      <vertAlign val="superscript"/>
      <sz val="7.6"/>
      <name val="Arial"/>
      <family val="2"/>
    </font>
    <font>
      <vertAlign val="superscript"/>
      <sz val="10"/>
      <name val="Tahoma"/>
      <family val="2"/>
    </font>
    <font>
      <sz val="10"/>
      <name val="Tahoma"/>
      <family val="2"/>
    </font>
    <font>
      <vertAlign val="superscript"/>
      <sz val="8.5"/>
      <color indexed="18"/>
      <name val="Tahoma"/>
      <family val="2"/>
    </font>
    <font>
      <vertAlign val="superscript"/>
      <sz val="8.5"/>
      <name val="Tahoma"/>
      <family val="2"/>
    </font>
    <font>
      <b/>
      <vertAlign val="superscript"/>
      <sz val="8.5"/>
      <color indexed="18"/>
      <name val="Tahoma"/>
      <family val="2"/>
    </font>
    <font>
      <sz val="7.6"/>
      <name val="Arial"/>
      <family val="2"/>
    </font>
    <font>
      <vertAlign val="superscript"/>
      <sz val="8"/>
      <name val="Arial"/>
      <family val="2"/>
    </font>
    <font>
      <i/>
      <sz val="7.6"/>
      <name val="Arial"/>
      <family val="2"/>
    </font>
    <font>
      <sz val="10"/>
      <name val="Courier"/>
      <family val="3"/>
    </font>
    <font>
      <sz val="10"/>
      <name val="Helv"/>
    </font>
    <font>
      <sz val="10"/>
      <name val="MS Sans Serif"/>
      <family val="2"/>
    </font>
    <font>
      <u/>
      <sz val="10"/>
      <color indexed="20"/>
      <name val="Arial"/>
      <family val="2"/>
    </font>
    <font>
      <sz val="10"/>
      <color indexed="8"/>
      <name val="MS Sans Serif"/>
      <family val="2"/>
    </font>
    <font>
      <sz val="9"/>
      <name val="Geneva"/>
    </font>
    <font>
      <b/>
      <sz val="16"/>
      <color indexed="58"/>
      <name val="Stag Sans Book"/>
      <family val="2"/>
    </font>
    <font>
      <sz val="10"/>
      <color indexed="58"/>
      <name val="Stag Sans Book"/>
      <family val="2"/>
    </font>
    <font>
      <b/>
      <sz val="16"/>
      <color indexed="18"/>
      <name val="Tahoma"/>
      <family val="2"/>
    </font>
    <font>
      <b/>
      <sz val="12"/>
      <color indexed="58"/>
      <name val="Stag Sans Book"/>
      <family val="2"/>
    </font>
    <font>
      <b/>
      <sz val="12"/>
      <color indexed="18"/>
      <name val="Arial"/>
      <family val="2"/>
    </font>
    <font>
      <b/>
      <sz val="10"/>
      <color indexed="18"/>
      <name val="Tahoma"/>
      <family val="2"/>
    </font>
    <font>
      <sz val="10"/>
      <color indexed="12"/>
      <name val="Stag Sans Book"/>
      <family val="2"/>
    </font>
    <font>
      <sz val="10"/>
      <color rgb="FF094FA4"/>
      <name val="Stag Sans Book"/>
      <family val="2"/>
    </font>
    <font>
      <b/>
      <sz val="10"/>
      <color indexed="58"/>
      <name val="Stag Sans Book"/>
      <family val="2"/>
    </font>
    <font>
      <b/>
      <sz val="10"/>
      <color rgb="FF094FA4"/>
      <name val="Stag Sans Book"/>
      <family val="2"/>
    </font>
    <font>
      <sz val="10"/>
      <color indexed="10"/>
      <name val="Tahoma"/>
      <family val="2"/>
    </font>
    <font>
      <b/>
      <sz val="10"/>
      <color indexed="9"/>
      <name val="Tahoma"/>
      <family val="2"/>
    </font>
    <font>
      <sz val="10"/>
      <color indexed="18"/>
      <name val="Tahoma"/>
      <family val="2"/>
    </font>
    <font>
      <sz val="8"/>
      <color indexed="58"/>
      <name val="Stag Sans Book"/>
      <family val="2"/>
    </font>
    <font>
      <b/>
      <sz val="10"/>
      <name val="Tahoma"/>
      <family val="2"/>
    </font>
    <font>
      <sz val="11"/>
      <name val="Lucida Sans Unicode"/>
      <family val="2"/>
    </font>
    <font>
      <b/>
      <sz val="16"/>
      <color indexed="18"/>
      <name val="Arial"/>
      <family val="2"/>
    </font>
    <font>
      <sz val="10"/>
      <color indexed="18"/>
      <name val="Arial"/>
      <family val="2"/>
    </font>
    <font>
      <b/>
      <sz val="10"/>
      <color indexed="12"/>
      <name val="Stag Sans Book"/>
      <family val="2"/>
    </font>
    <font>
      <b/>
      <sz val="10"/>
      <name val="Arial"/>
      <family val="2"/>
    </font>
    <font>
      <b/>
      <sz val="10"/>
      <color indexed="18"/>
      <name val="Arial"/>
      <family val="2"/>
    </font>
    <font>
      <sz val="10"/>
      <color theme="5"/>
      <name val="Arial"/>
      <family val="2"/>
    </font>
    <font>
      <b/>
      <sz val="14"/>
      <color indexed="58"/>
      <name val="Stag Sans Book"/>
      <family val="2"/>
    </font>
    <font>
      <sz val="10"/>
      <color indexed="9"/>
      <name val="Tahoma"/>
      <family val="2"/>
    </font>
    <font>
      <b/>
      <vertAlign val="superscript"/>
      <sz val="10"/>
      <color indexed="58"/>
      <name val="Stag Sans Book"/>
    </font>
    <font>
      <sz val="10"/>
      <color indexed="58"/>
      <name val="Stag Sans Book"/>
    </font>
    <font>
      <sz val="8"/>
      <color indexed="58"/>
      <name val="Stag Sans Book"/>
    </font>
    <font>
      <b/>
      <sz val="12"/>
      <color indexed="18"/>
      <name val="Tahoma"/>
      <family val="2"/>
    </font>
    <font>
      <sz val="8"/>
      <color indexed="18"/>
      <name val="Tahoma"/>
      <family val="2"/>
    </font>
    <font>
      <sz val="10"/>
      <color indexed="12"/>
      <name val="Tahoma"/>
      <family val="2"/>
    </font>
    <font>
      <b/>
      <sz val="10"/>
      <color indexed="12"/>
      <name val="Tahoma"/>
      <family val="2"/>
    </font>
    <font>
      <vertAlign val="superscript"/>
      <sz val="10"/>
      <color indexed="58"/>
      <name val="Stag Sans Book"/>
      <family val="2"/>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
      <color indexed="8"/>
      <name val="Courier"/>
      <family val="3"/>
    </font>
    <font>
      <i/>
      <sz val="1"/>
      <color indexed="8"/>
      <name val="Courier"/>
      <family val="3"/>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s>
  <fills count="31">
    <fill>
      <patternFill patternType="none"/>
    </fill>
    <fill>
      <patternFill patternType="gray125"/>
    </fill>
    <fill>
      <patternFill patternType="solid">
        <fgColor indexed="58"/>
        <bgColor indexed="64"/>
      </patternFill>
    </fill>
    <fill>
      <patternFill patternType="solid">
        <fgColor indexed="56"/>
        <bgColor indexed="64"/>
      </patternFill>
    </fill>
    <fill>
      <patternFill patternType="solid">
        <fgColor indexed="59"/>
        <bgColor indexed="64"/>
      </patternFill>
    </fill>
    <fill>
      <patternFill patternType="solid">
        <fgColor theme="0"/>
        <bgColor indexed="64"/>
      </patternFill>
    </fill>
    <fill>
      <patternFill patternType="solid">
        <fgColor indexed="12"/>
        <bgColor indexed="64"/>
      </patternFill>
    </fill>
    <fill>
      <patternFill patternType="solid">
        <fgColor indexed="8"/>
        <bgColor indexed="64"/>
      </patternFill>
    </fill>
    <fill>
      <patternFill patternType="solid">
        <fgColor rgb="FF89D1F3"/>
        <bgColor rgb="FF000000"/>
      </patternFill>
    </fill>
    <fill>
      <patternFill patternType="solid">
        <fgColor indexed="6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s>
  <borders count="21">
    <border>
      <left/>
      <right/>
      <top/>
      <bottom/>
      <diagonal/>
    </border>
    <border>
      <left/>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rgb="FF094FA4"/>
      </left>
      <right/>
      <top/>
      <bottom/>
      <diagonal/>
    </border>
    <border>
      <left style="thin">
        <color indexed="58"/>
      </left>
      <right/>
      <top/>
      <bottom/>
      <diagonal/>
    </border>
    <border>
      <left/>
      <right style="thin">
        <color indexed="58"/>
      </right>
      <top/>
      <bottom/>
      <diagonal/>
    </border>
    <border>
      <left style="thin">
        <color indexed="58"/>
      </left>
      <right style="thin">
        <color indexed="58"/>
      </right>
      <top/>
      <bottom/>
      <diagonal/>
    </border>
    <border>
      <left style="thin">
        <color indexed="58"/>
      </left>
      <right style="thin">
        <color indexed="58"/>
      </right>
      <top/>
      <bottom style="thin">
        <color indexed="58"/>
      </bottom>
      <diagonal/>
    </border>
    <border>
      <left style="thin">
        <color theme="0"/>
      </left>
      <right style="thin">
        <color indexed="58"/>
      </right>
      <top/>
      <bottom/>
      <diagonal/>
    </border>
    <border>
      <left style="thin">
        <color indexed="64"/>
      </left>
      <right/>
      <top/>
      <bottom/>
      <diagonal/>
    </border>
    <border>
      <left style="thin">
        <color rgb="FF0070C0"/>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122">
    <xf numFmtId="0" fontId="0" fillId="0" borderId="0"/>
    <xf numFmtId="0" fontId="3" fillId="0" borderId="0"/>
    <xf numFmtId="0" fontId="2" fillId="0" borderId="0"/>
    <xf numFmtId="0" fontId="12" fillId="0" borderId="0" applyNumberFormat="0" applyFill="0" applyBorder="0" applyAlignment="0" applyProtection="0">
      <alignment vertical="top"/>
      <protection locked="0"/>
    </xf>
    <xf numFmtId="0" fontId="14" fillId="0" borderId="0"/>
    <xf numFmtId="0" fontId="25" fillId="0" borderId="0">
      <alignment vertical="center"/>
    </xf>
    <xf numFmtId="0" fontId="26" fillId="0" borderId="0"/>
    <xf numFmtId="0" fontId="27"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64" fontId="29" fillId="0" borderId="0" applyFont="0" applyFill="0" applyBorder="0" applyAlignment="0" applyProtection="0"/>
    <xf numFmtId="165" fontId="29" fillId="0" borderId="0" applyFont="0" applyFill="0" applyBorder="0" applyAlignment="0" applyProtection="0"/>
    <xf numFmtId="15" fontId="30" fillId="0" borderId="0" applyNumberFormat="0" applyBorder="0" applyAlignment="0">
      <alignment horizontal="left"/>
    </xf>
    <xf numFmtId="0" fontId="2" fillId="0" borderId="0"/>
    <xf numFmtId="0" fontId="2" fillId="0" borderId="0"/>
    <xf numFmtId="3" fontId="2" fillId="0" borderId="0"/>
    <xf numFmtId="0" fontId="3" fillId="0" borderId="0"/>
    <xf numFmtId="0" fontId="2" fillId="0" borderId="0"/>
    <xf numFmtId="0" fontId="2" fillId="0" borderId="0"/>
    <xf numFmtId="0" fontId="3"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8" fontId="27" fillId="0" borderId="0" applyFont="0" applyFill="0" applyBorder="0" applyAlignment="0" applyProtection="0"/>
    <xf numFmtId="40" fontId="27"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 fillId="0" borderId="0"/>
    <xf numFmtId="3" fontId="2" fillId="0" borderId="0"/>
    <xf numFmtId="0" fontId="63" fillId="0" borderId="0"/>
    <xf numFmtId="0" fontId="6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 fillId="0" borderId="0" applyFont="0" applyFill="0" applyBorder="0" applyAlignment="0" applyProtection="0"/>
    <xf numFmtId="43" fontId="63" fillId="0" borderId="0" applyFont="0" applyFill="0" applyBorder="0" applyAlignment="0" applyProtection="0"/>
    <xf numFmtId="0" fontId="2" fillId="0" borderId="0" applyNumberFormat="0" applyFill="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2"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9" borderId="0" applyNumberFormat="0" applyBorder="0" applyAlignment="0" applyProtection="0"/>
    <xf numFmtId="0" fontId="65" fillId="20"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7" borderId="0" applyNumberFormat="0" applyBorder="0" applyAlignment="0" applyProtection="0"/>
    <xf numFmtId="0" fontId="66" fillId="11" borderId="0" applyNumberFormat="0" applyBorder="0" applyAlignment="0" applyProtection="0"/>
    <xf numFmtId="0" fontId="67" fillId="28" borderId="13" applyNumberFormat="0" applyAlignment="0" applyProtection="0"/>
    <xf numFmtId="0" fontId="68" fillId="29" borderId="14" applyNumberFormat="0" applyAlignment="0" applyProtection="0"/>
    <xf numFmtId="177" fontId="2" fillId="0" borderId="0" applyFont="0" applyFill="0" applyBorder="0" applyAlignment="0" applyProtection="0"/>
    <xf numFmtId="0" fontId="2" fillId="0" borderId="0">
      <alignment vertical="top"/>
    </xf>
    <xf numFmtId="0" fontId="69" fillId="0" borderId="0" applyNumberFormat="0" applyFill="0" applyBorder="0" applyAlignment="0" applyProtection="0"/>
    <xf numFmtId="0" fontId="70" fillId="0" borderId="0">
      <protection locked="0"/>
    </xf>
    <xf numFmtId="0" fontId="70" fillId="0" borderId="0">
      <protection locked="0"/>
    </xf>
    <xf numFmtId="0" fontId="71" fillId="0" borderId="0">
      <protection locked="0"/>
    </xf>
    <xf numFmtId="0" fontId="70" fillId="0" borderId="0">
      <protection locked="0"/>
    </xf>
    <xf numFmtId="0" fontId="70" fillId="0" borderId="0">
      <protection locked="0"/>
    </xf>
    <xf numFmtId="0" fontId="70" fillId="0" borderId="0">
      <protection locked="0"/>
    </xf>
    <xf numFmtId="0" fontId="71" fillId="0" borderId="0">
      <protection locked="0"/>
    </xf>
    <xf numFmtId="0" fontId="72" fillId="12" borderId="0" applyNumberFormat="0" applyBorder="0" applyAlignment="0" applyProtection="0"/>
    <xf numFmtId="0" fontId="73" fillId="0" borderId="15" applyNumberFormat="0" applyFill="0" applyAlignment="0" applyProtection="0"/>
    <xf numFmtId="0" fontId="74" fillId="0" borderId="16" applyNumberFormat="0" applyFill="0" applyAlignment="0" applyProtection="0"/>
    <xf numFmtId="0" fontId="75" fillId="0" borderId="17" applyNumberFormat="0" applyFill="0" applyAlignment="0" applyProtection="0"/>
    <xf numFmtId="0" fontId="75" fillId="0" borderId="0" applyNumberFormat="0" applyFill="0" applyBorder="0" applyAlignment="0" applyProtection="0"/>
    <xf numFmtId="0" fontId="76" fillId="15" borderId="13" applyNumberFormat="0" applyAlignment="0" applyProtection="0"/>
    <xf numFmtId="0" fontId="77" fillId="0" borderId="18" applyNumberFormat="0" applyFill="0" applyAlignment="0" applyProtection="0"/>
    <xf numFmtId="0" fontId="2" fillId="30" borderId="19" applyNumberFormat="0" applyFont="0" applyAlignment="0" applyProtection="0"/>
    <xf numFmtId="0" fontId="78" fillId="28" borderId="20" applyNumberFormat="0" applyAlignment="0" applyProtection="0"/>
    <xf numFmtId="3" fontId="2" fillId="0" borderId="0"/>
    <xf numFmtId="0" fontId="79" fillId="0" borderId="0" applyNumberFormat="0" applyFill="0" applyBorder="0" applyAlignment="0" applyProtection="0"/>
    <xf numFmtId="0" fontId="80" fillId="0" borderId="0" applyNumberFormat="0" applyFill="0" applyBorder="0" applyAlignment="0" applyProtection="0"/>
  </cellStyleXfs>
  <cellXfs count="259">
    <xf numFmtId="0" fontId="0" fillId="0" borderId="0" xfId="0"/>
    <xf numFmtId="0" fontId="4" fillId="0" borderId="0" xfId="1" applyFont="1"/>
    <xf numFmtId="0" fontId="5" fillId="2" borderId="0" xfId="2" applyFont="1" applyFill="1" applyAlignment="1" applyProtection="1">
      <alignment horizontal="center" vertical="top"/>
      <protection hidden="1"/>
    </xf>
    <xf numFmtId="0" fontId="6" fillId="0" borderId="0" xfId="1" applyFont="1" applyProtection="1">
      <protection locked="0"/>
    </xf>
    <xf numFmtId="0" fontId="7" fillId="0" borderId="0" xfId="2" applyFont="1" applyFill="1" applyAlignment="1" applyProtection="1">
      <alignment horizontal="left" indent="4"/>
      <protection hidden="1"/>
    </xf>
    <xf numFmtId="0" fontId="5" fillId="2" borderId="0" xfId="2" applyFont="1" applyFill="1" applyAlignment="1" applyProtection="1">
      <alignment horizontal="left" vertical="top"/>
      <protection hidden="1"/>
    </xf>
    <xf numFmtId="0" fontId="8" fillId="0" borderId="0" xfId="2" applyFont="1"/>
    <xf numFmtId="0" fontId="4" fillId="0" borderId="0" xfId="1" applyFont="1" applyProtection="1">
      <protection hidden="1"/>
    </xf>
    <xf numFmtId="0" fontId="7" fillId="3" borderId="0" xfId="2" applyFont="1" applyFill="1" applyAlignment="1" applyProtection="1">
      <alignment horizontal="left" vertical="top" indent="1"/>
      <protection hidden="1"/>
    </xf>
    <xf numFmtId="0" fontId="7" fillId="3" borderId="0" xfId="2" applyFont="1" applyFill="1" applyAlignment="1" applyProtection="1">
      <alignment horizontal="center" vertical="top" wrapText="1"/>
      <protection hidden="1"/>
    </xf>
    <xf numFmtId="0" fontId="9" fillId="0" borderId="0" xfId="1" applyFont="1" applyAlignment="1">
      <alignment horizontal="left" vertical="top"/>
    </xf>
    <xf numFmtId="0" fontId="7" fillId="4" borderId="0" xfId="2" applyFont="1" applyFill="1" applyAlignment="1" applyProtection="1">
      <alignment horizontal="centerContinuous" vertical="top" wrapText="1"/>
      <protection hidden="1"/>
    </xf>
    <xf numFmtId="0" fontId="4" fillId="0" borderId="0" xfId="1" quotePrefix="1" applyFont="1"/>
    <xf numFmtId="0" fontId="10" fillId="0" borderId="0" xfId="1" quotePrefix="1" applyFont="1"/>
    <xf numFmtId="0" fontId="4" fillId="0" borderId="0" xfId="1" quotePrefix="1" applyFont="1" applyProtection="1">
      <protection hidden="1"/>
    </xf>
    <xf numFmtId="0" fontId="4" fillId="0" borderId="0" xfId="1" applyFont="1" applyFill="1"/>
    <xf numFmtId="0" fontId="4" fillId="0" borderId="0" xfId="1" applyFont="1" applyFill="1" applyProtection="1">
      <protection hidden="1"/>
    </xf>
    <xf numFmtId="0" fontId="7" fillId="4" borderId="0" xfId="2" applyFont="1" applyFill="1" applyAlignment="1" applyProtection="1">
      <alignment horizontal="left" vertical="top" indent="2"/>
      <protection hidden="1"/>
    </xf>
    <xf numFmtId="0" fontId="4" fillId="0" borderId="0" xfId="1" applyFont="1" applyAlignment="1">
      <alignment horizontal="left" indent="5"/>
    </xf>
    <xf numFmtId="0" fontId="4" fillId="0" borderId="0" xfId="1" applyFont="1" applyFill="1" applyAlignment="1">
      <alignment horizontal="left" indent="5"/>
    </xf>
    <xf numFmtId="0" fontId="4" fillId="0" borderId="0" xfId="1" applyFont="1" applyAlignment="1">
      <alignment horizontal="center"/>
    </xf>
    <xf numFmtId="0" fontId="4" fillId="0" borderId="0" xfId="1" applyFont="1" applyAlignment="1" applyProtection="1">
      <alignment horizontal="left" indent="5"/>
      <protection hidden="1"/>
    </xf>
    <xf numFmtId="0" fontId="7" fillId="4" borderId="0" xfId="2" applyFont="1" applyFill="1" applyAlignment="1" applyProtection="1">
      <alignment horizontal="left" vertical="top" indent="1"/>
      <protection hidden="1"/>
    </xf>
    <xf numFmtId="0" fontId="11" fillId="0" borderId="0" xfId="1" applyFont="1"/>
    <xf numFmtId="0" fontId="11" fillId="0" borderId="0" xfId="1" applyFont="1" applyProtection="1">
      <protection hidden="1"/>
    </xf>
    <xf numFmtId="0" fontId="13" fillId="0" borderId="0" xfId="3" applyFont="1" applyFill="1" applyAlignment="1" applyProtection="1">
      <alignment horizontal="left" vertical="top"/>
    </xf>
    <xf numFmtId="0" fontId="9" fillId="0" borderId="0" xfId="1" applyFont="1"/>
    <xf numFmtId="0" fontId="15" fillId="0" borderId="0" xfId="4" applyFont="1" applyProtection="1">
      <protection locked="0" hidden="1"/>
    </xf>
    <xf numFmtId="0" fontId="15" fillId="0" borderId="0" xfId="4" applyFont="1" applyFill="1" applyBorder="1" applyAlignment="1" applyProtection="1">
      <alignment horizontal="left"/>
      <protection locked="0" hidden="1"/>
    </xf>
    <xf numFmtId="0" fontId="15" fillId="0" borderId="1" xfId="4" applyFont="1" applyFill="1" applyBorder="1" applyAlignment="1" applyProtection="1">
      <alignment horizontal="left"/>
      <protection locked="0" hidden="1"/>
    </xf>
    <xf numFmtId="0" fontId="15" fillId="0" borderId="0" xfId="4" applyFont="1" applyFill="1" applyProtection="1">
      <protection locked="0" hidden="1"/>
    </xf>
    <xf numFmtId="0" fontId="18" fillId="0" borderId="0" xfId="2" applyFont="1" applyFill="1" applyBorder="1" applyAlignment="1"/>
    <xf numFmtId="49" fontId="15" fillId="0" borderId="0" xfId="4" applyNumberFormat="1" applyFont="1" applyFill="1" applyBorder="1" applyAlignment="1" applyProtection="1">
      <alignment horizontal="left"/>
      <protection locked="0" hidden="1"/>
    </xf>
    <xf numFmtId="0" fontId="16" fillId="0" borderId="0" xfId="4" applyFont="1" applyFill="1" applyBorder="1" applyAlignment="1" applyProtection="1">
      <alignment horizontal="left"/>
      <protection locked="0" hidden="1"/>
    </xf>
    <xf numFmtId="0" fontId="2" fillId="0" borderId="0" xfId="2"/>
    <xf numFmtId="0" fontId="15" fillId="5" borderId="2" xfId="2" applyFont="1" applyFill="1" applyBorder="1" applyAlignment="1">
      <alignment vertical="justify"/>
    </xf>
    <xf numFmtId="0" fontId="15" fillId="5" borderId="3" xfId="2" applyFont="1" applyFill="1" applyBorder="1" applyAlignment="1">
      <alignment vertical="justify"/>
    </xf>
    <xf numFmtId="0" fontId="15" fillId="0" borderId="0" xfId="4" quotePrefix="1" applyFont="1" applyFill="1" applyBorder="1" applyAlignment="1" applyProtection="1">
      <alignment horizontal="left"/>
      <protection locked="0" hidden="1"/>
    </xf>
    <xf numFmtId="0" fontId="31" fillId="0" borderId="0" xfId="0" applyFont="1" applyFill="1" applyAlignment="1">
      <alignment horizontal="left" vertical="center"/>
    </xf>
    <xf numFmtId="0" fontId="18" fillId="0" borderId="0" xfId="24" applyFont="1"/>
    <xf numFmtId="0" fontId="18" fillId="0" borderId="0" xfId="24" applyFont="1" applyFill="1"/>
    <xf numFmtId="0" fontId="32" fillId="0" borderId="0" xfId="0" applyFont="1" applyFill="1" applyAlignment="1">
      <alignment horizontal="left" vertical="center"/>
    </xf>
    <xf numFmtId="0" fontId="33" fillId="0" borderId="0" xfId="25" applyFont="1" applyFill="1" applyAlignment="1">
      <alignment horizontal="left" vertical="center"/>
    </xf>
    <xf numFmtId="0" fontId="34" fillId="0" borderId="0" xfId="0" applyFont="1" applyFill="1" applyAlignment="1">
      <alignment horizontal="center" vertical="center"/>
    </xf>
    <xf numFmtId="0" fontId="35" fillId="0" borderId="0" xfId="24" applyFont="1" applyAlignment="1">
      <alignment horizontal="left" vertical="center"/>
    </xf>
    <xf numFmtId="166" fontId="36" fillId="6" borderId="0" xfId="25" applyNumberFormat="1" applyFont="1" applyFill="1" applyAlignment="1">
      <alignment horizontal="right" vertical="center"/>
    </xf>
    <xf numFmtId="166" fontId="37" fillId="2" borderId="0" xfId="0" applyNumberFormat="1" applyFont="1" applyFill="1" applyAlignment="1">
      <alignment horizontal="right" vertical="center" wrapText="1"/>
    </xf>
    <xf numFmtId="0" fontId="37" fillId="2" borderId="0" xfId="0" applyNumberFormat="1" applyFont="1" applyFill="1" applyAlignment="1">
      <alignment horizontal="left" vertical="center" wrapText="1"/>
    </xf>
    <xf numFmtId="166" fontId="37" fillId="2" borderId="0" xfId="0" applyNumberFormat="1" applyFont="1" applyFill="1" applyAlignment="1">
      <alignment horizontal="center" vertical="center"/>
    </xf>
    <xf numFmtId="3" fontId="32" fillId="0" borderId="0" xfId="0" applyNumberFormat="1" applyFont="1" applyAlignment="1">
      <alignment vertical="center"/>
    </xf>
    <xf numFmtId="167" fontId="38" fillId="0" borderId="4" xfId="0" applyNumberFormat="1" applyFont="1" applyBorder="1"/>
    <xf numFmtId="4" fontId="38" fillId="0" borderId="0" xfId="0" applyNumberFormat="1" applyFont="1" applyBorder="1"/>
    <xf numFmtId="167" fontId="32" fillId="0" borderId="5" xfId="0" applyNumberFormat="1" applyFont="1" applyBorder="1"/>
    <xf numFmtId="4" fontId="32" fillId="0" borderId="6" xfId="0" applyNumberFormat="1" applyFont="1" applyBorder="1"/>
    <xf numFmtId="3" fontId="39" fillId="7" borderId="0" xfId="0" applyNumberFormat="1" applyFont="1" applyFill="1" applyAlignment="1">
      <alignment vertical="center"/>
    </xf>
    <xf numFmtId="167" fontId="40" fillId="8" borderId="0" xfId="0" applyNumberFormat="1" applyFont="1" applyFill="1" applyBorder="1" applyAlignment="1">
      <alignment vertical="center"/>
    </xf>
    <xf numFmtId="4" fontId="40" fillId="8" borderId="0" xfId="0" applyNumberFormat="1" applyFont="1" applyFill="1" applyBorder="1" applyAlignment="1">
      <alignment vertical="center"/>
    </xf>
    <xf numFmtId="167" fontId="39" fillId="7" borderId="0" xfId="0" applyNumberFormat="1" applyFont="1" applyFill="1" applyAlignment="1">
      <alignment vertical="center"/>
    </xf>
    <xf numFmtId="4" fontId="39" fillId="7" borderId="0" xfId="0" applyNumberFormat="1" applyFont="1" applyFill="1" applyAlignment="1">
      <alignment vertical="center"/>
    </xf>
    <xf numFmtId="4" fontId="38" fillId="0" borderId="0" xfId="0" applyNumberFormat="1" applyFont="1" applyBorder="1" applyAlignment="1">
      <alignment horizontal="center"/>
    </xf>
    <xf numFmtId="4" fontId="38" fillId="0" borderId="0" xfId="0" applyNumberFormat="1" applyFont="1" applyBorder="1" applyAlignment="1">
      <alignment horizontal="right"/>
    </xf>
    <xf numFmtId="0" fontId="18" fillId="0" borderId="0" xfId="24" applyFont="1" applyBorder="1"/>
    <xf numFmtId="167" fontId="32" fillId="0" borderId="0" xfId="0" applyNumberFormat="1" applyFont="1" applyBorder="1"/>
    <xf numFmtId="0" fontId="41" fillId="0" borderId="0" xfId="24" applyFont="1"/>
    <xf numFmtId="0" fontId="34" fillId="0" borderId="0" xfId="0" applyFont="1" applyFill="1" applyAlignment="1">
      <alignment vertical="center"/>
    </xf>
    <xf numFmtId="166" fontId="37" fillId="2" borderId="0" xfId="0" applyNumberFormat="1" applyFont="1" applyFill="1" applyAlignment="1">
      <alignment vertical="center"/>
    </xf>
    <xf numFmtId="166" fontId="42" fillId="0" borderId="0" xfId="0" applyNumberFormat="1" applyFont="1" applyFill="1" applyAlignment="1">
      <alignment horizontal="right" vertical="center"/>
    </xf>
    <xf numFmtId="1" fontId="37" fillId="2" borderId="0" xfId="0" applyNumberFormat="1" applyFont="1" applyFill="1" applyAlignment="1">
      <alignment vertical="center"/>
    </xf>
    <xf numFmtId="166" fontId="42" fillId="0" borderId="0" xfId="25" applyNumberFormat="1" applyFont="1" applyFill="1" applyAlignment="1">
      <alignment horizontal="right" vertical="center"/>
    </xf>
    <xf numFmtId="1" fontId="37" fillId="2" borderId="0" xfId="0" applyNumberFormat="1" applyFont="1" applyFill="1" applyAlignment="1">
      <alignment horizontal="center" vertical="center"/>
    </xf>
    <xf numFmtId="168" fontId="32" fillId="0" borderId="7" xfId="0" applyNumberFormat="1" applyFont="1" applyBorder="1"/>
    <xf numFmtId="167" fontId="32" fillId="0" borderId="7" xfId="0" applyNumberFormat="1" applyFont="1" applyBorder="1"/>
    <xf numFmtId="3" fontId="32" fillId="0" borderId="0" xfId="0" applyNumberFormat="1" applyFont="1"/>
    <xf numFmtId="3" fontId="32" fillId="0" borderId="0" xfId="0" applyNumberFormat="1" applyFont="1" applyAlignment="1">
      <alignment horizontal="right"/>
    </xf>
    <xf numFmtId="3" fontId="0" fillId="0" borderId="0" xfId="0" applyNumberFormat="1"/>
    <xf numFmtId="168" fontId="32" fillId="0" borderId="8" xfId="0" applyNumberFormat="1" applyFont="1" applyBorder="1"/>
    <xf numFmtId="167" fontId="32" fillId="0" borderId="8" xfId="0" applyNumberFormat="1" applyFont="1" applyBorder="1"/>
    <xf numFmtId="169" fontId="43" fillId="0" borderId="0" xfId="29" applyNumberFormat="1" applyFont="1" applyAlignment="1">
      <alignment horizontal="right"/>
    </xf>
    <xf numFmtId="169" fontId="18" fillId="0" borderId="0" xfId="24" applyNumberFormat="1" applyFont="1"/>
    <xf numFmtId="0" fontId="44" fillId="0" borderId="0" xfId="0" applyFont="1" applyFill="1" applyAlignment="1">
      <alignment horizontal="left"/>
    </xf>
    <xf numFmtId="0" fontId="45" fillId="0" borderId="0" xfId="24" applyFont="1" applyFill="1" applyBorder="1" applyAlignment="1">
      <alignment horizontal="center" vertical="center"/>
    </xf>
    <xf numFmtId="166" fontId="37" fillId="2" borderId="0" xfId="0" applyNumberFormat="1" applyFont="1" applyFill="1" applyBorder="1" applyAlignment="1">
      <alignment horizontal="right" vertical="center"/>
    </xf>
    <xf numFmtId="166" fontId="37" fillId="2" borderId="0" xfId="0" applyNumberFormat="1" applyFont="1" applyFill="1" applyAlignment="1">
      <alignment horizontal="right" vertical="center"/>
    </xf>
    <xf numFmtId="3" fontId="39" fillId="7" borderId="0" xfId="0" applyNumberFormat="1" applyFont="1" applyFill="1" applyBorder="1" applyAlignment="1">
      <alignment vertical="center"/>
    </xf>
    <xf numFmtId="3" fontId="32" fillId="0" borderId="0" xfId="0" applyNumberFormat="1" applyFont="1" applyBorder="1" applyAlignment="1">
      <alignment horizontal="right"/>
    </xf>
    <xf numFmtId="3" fontId="32" fillId="0" borderId="0" xfId="0" applyNumberFormat="1" applyFont="1" applyFill="1" applyBorder="1" applyAlignment="1">
      <alignment horizontal="right"/>
    </xf>
    <xf numFmtId="0" fontId="46" fillId="0" borderId="0" xfId="0" applyFont="1" applyFill="1"/>
    <xf numFmtId="0" fontId="46" fillId="0" borderId="0" xfId="0" applyFont="1"/>
    <xf numFmtId="3" fontId="32" fillId="0" borderId="0" xfId="0" applyNumberFormat="1" applyFont="1" applyAlignment="1">
      <alignment horizontal="left" vertical="center" indent="1"/>
    </xf>
    <xf numFmtId="3" fontId="18" fillId="0" borderId="0" xfId="24" applyNumberFormat="1" applyFont="1" applyFill="1"/>
    <xf numFmtId="0" fontId="47" fillId="0" borderId="0" xfId="25" applyFont="1" applyFill="1" applyAlignment="1">
      <alignment horizontal="left" vertical="center"/>
    </xf>
    <xf numFmtId="0" fontId="2" fillId="0" borderId="0" xfId="24" applyFont="1"/>
    <xf numFmtId="0" fontId="48" fillId="0" borderId="0" xfId="24" applyFont="1"/>
    <xf numFmtId="49" fontId="43" fillId="0" borderId="0" xfId="24" applyNumberFormat="1" applyFont="1" applyBorder="1" applyAlignment="1">
      <alignment horizontal="right"/>
    </xf>
    <xf numFmtId="3" fontId="49" fillId="2" borderId="0" xfId="0" applyNumberFormat="1" applyFont="1" applyFill="1" applyAlignment="1">
      <alignment vertical="center"/>
    </xf>
    <xf numFmtId="170" fontId="49" fillId="2" borderId="9" xfId="0" applyNumberFormat="1" applyFont="1" applyFill="1" applyBorder="1" applyAlignment="1">
      <alignment vertical="center"/>
    </xf>
    <xf numFmtId="170" fontId="49" fillId="2" borderId="5" xfId="0" applyNumberFormat="1" applyFont="1" applyFill="1" applyBorder="1" applyAlignment="1">
      <alignment vertical="center"/>
    </xf>
    <xf numFmtId="171" fontId="0" fillId="0" borderId="0" xfId="0" applyNumberFormat="1"/>
    <xf numFmtId="170" fontId="0" fillId="0" borderId="0" xfId="0" applyNumberFormat="1"/>
    <xf numFmtId="169" fontId="43" fillId="0" borderId="10" xfId="24" applyNumberFormat="1" applyFont="1" applyBorder="1" applyAlignment="1">
      <alignment horizontal="right"/>
    </xf>
    <xf numFmtId="169" fontId="43" fillId="0" borderId="0" xfId="24" applyNumberFormat="1" applyFont="1" applyBorder="1" applyAlignment="1">
      <alignment horizontal="right"/>
    </xf>
    <xf numFmtId="0" fontId="50" fillId="0" borderId="0" xfId="24" applyFont="1"/>
    <xf numFmtId="170" fontId="39" fillId="7" borderId="11" xfId="0" applyNumberFormat="1" applyFont="1" applyFill="1" applyBorder="1" applyAlignment="1">
      <alignment vertical="center"/>
    </xf>
    <xf numFmtId="170" fontId="39" fillId="7" borderId="0" xfId="0" applyNumberFormat="1" applyFont="1" applyFill="1" applyBorder="1" applyAlignment="1">
      <alignment vertical="center"/>
    </xf>
    <xf numFmtId="170" fontId="43" fillId="0" borderId="11" xfId="24" applyNumberFormat="1" applyFont="1" applyBorder="1" applyAlignment="1">
      <alignment horizontal="right"/>
    </xf>
    <xf numFmtId="170" fontId="43" fillId="0" borderId="0" xfId="24" applyNumberFormat="1" applyFont="1" applyBorder="1" applyAlignment="1">
      <alignment horizontal="right"/>
    </xf>
    <xf numFmtId="170" fontId="2" fillId="0" borderId="0" xfId="24" applyNumberFormat="1" applyFont="1"/>
    <xf numFmtId="0" fontId="51" fillId="0" borderId="0" xfId="24" applyFont="1" applyAlignment="1">
      <alignment horizontal="left"/>
    </xf>
    <xf numFmtId="170" fontId="32" fillId="0" borderId="11" xfId="0" applyNumberFormat="1" applyFont="1" applyBorder="1"/>
    <xf numFmtId="170" fontId="32" fillId="0" borderId="0" xfId="0" applyNumberFormat="1" applyFont="1" applyBorder="1"/>
    <xf numFmtId="170" fontId="43" fillId="0" borderId="0" xfId="29" applyNumberFormat="1" applyFont="1" applyBorder="1" applyAlignment="1">
      <alignment horizontal="right"/>
    </xf>
    <xf numFmtId="169" fontId="32" fillId="0" borderId="0" xfId="0" applyNumberFormat="1" applyFont="1" applyBorder="1"/>
    <xf numFmtId="170" fontId="2" fillId="0" borderId="0" xfId="24" applyNumberFormat="1" applyFont="1" applyBorder="1"/>
    <xf numFmtId="169" fontId="43" fillId="0" borderId="0" xfId="29" applyNumberFormat="1" applyFont="1" applyBorder="1" applyAlignment="1">
      <alignment horizontal="right"/>
    </xf>
    <xf numFmtId="0" fontId="50" fillId="0" borderId="0" xfId="24" applyFont="1" applyFill="1"/>
    <xf numFmtId="2" fontId="2" fillId="0" borderId="0" xfId="24" applyNumberFormat="1" applyFont="1" applyBorder="1"/>
    <xf numFmtId="9" fontId="49" fillId="2" borderId="9" xfId="0" applyNumberFormat="1" applyFont="1" applyFill="1" applyBorder="1" applyAlignment="1">
      <alignment vertical="center"/>
    </xf>
    <xf numFmtId="9" fontId="49" fillId="2" borderId="5" xfId="0" applyNumberFormat="1" applyFont="1" applyFill="1" applyBorder="1" applyAlignment="1">
      <alignment vertical="center"/>
    </xf>
    <xf numFmtId="9" fontId="49" fillId="2" borderId="0" xfId="0" applyNumberFormat="1" applyFont="1" applyFill="1" applyBorder="1" applyAlignment="1">
      <alignment vertical="center"/>
    </xf>
    <xf numFmtId="168" fontId="0" fillId="0" borderId="0" xfId="0" applyNumberFormat="1"/>
    <xf numFmtId="1" fontId="43" fillId="0" borderId="10" xfId="24" applyNumberFormat="1" applyFont="1" applyBorder="1" applyAlignment="1">
      <alignment horizontal="right"/>
    </xf>
    <xf numFmtId="1" fontId="43" fillId="0" borderId="0" xfId="24" applyNumberFormat="1" applyFont="1" applyBorder="1" applyAlignment="1">
      <alignment horizontal="right"/>
    </xf>
    <xf numFmtId="9" fontId="39" fillId="7" borderId="11" xfId="0" applyNumberFormat="1" applyFont="1" applyFill="1" applyBorder="1" applyAlignment="1">
      <alignment vertical="center"/>
    </xf>
    <xf numFmtId="9" fontId="39" fillId="7" borderId="0" xfId="0" applyNumberFormat="1" applyFont="1" applyFill="1" applyBorder="1" applyAlignment="1">
      <alignment vertical="center"/>
    </xf>
    <xf numFmtId="9" fontId="0" fillId="0" borderId="0" xfId="0" applyNumberFormat="1"/>
    <xf numFmtId="1" fontId="43" fillId="0" borderId="11" xfId="24" applyNumberFormat="1" applyFont="1" applyBorder="1" applyAlignment="1">
      <alignment horizontal="right"/>
    </xf>
    <xf numFmtId="1" fontId="32" fillId="0" borderId="11" xfId="0" applyNumberFormat="1" applyFont="1" applyBorder="1"/>
    <xf numFmtId="1" fontId="32" fillId="0" borderId="0" xfId="0" applyNumberFormat="1" applyFont="1" applyBorder="1"/>
    <xf numFmtId="1" fontId="43" fillId="0" borderId="0" xfId="29" applyNumberFormat="1" applyFont="1" applyBorder="1" applyAlignment="1">
      <alignment horizontal="right"/>
    </xf>
    <xf numFmtId="2" fontId="49" fillId="2" borderId="9" xfId="0" applyNumberFormat="1" applyFont="1" applyFill="1" applyBorder="1" applyAlignment="1">
      <alignment horizontal="right" vertical="center"/>
    </xf>
    <xf numFmtId="2" fontId="49" fillId="2" borderId="5" xfId="0" applyNumberFormat="1" applyFont="1" applyFill="1" applyBorder="1" applyAlignment="1">
      <alignment horizontal="right" vertical="center"/>
    </xf>
    <xf numFmtId="2" fontId="49" fillId="2" borderId="0" xfId="0" applyNumberFormat="1" applyFont="1" applyFill="1" applyBorder="1" applyAlignment="1">
      <alignment horizontal="right" vertical="center"/>
    </xf>
    <xf numFmtId="2" fontId="39" fillId="7" borderId="0" xfId="0" applyNumberFormat="1" applyFont="1" applyFill="1" applyBorder="1" applyAlignment="1">
      <alignment vertical="center"/>
    </xf>
    <xf numFmtId="0" fontId="43" fillId="0" borderId="0" xfId="24" applyFont="1"/>
    <xf numFmtId="169" fontId="49" fillId="2" borderId="5" xfId="0" applyNumberFormat="1" applyFont="1" applyFill="1" applyBorder="1" applyAlignment="1">
      <alignment vertical="center"/>
    </xf>
    <xf numFmtId="169" fontId="49" fillId="2" borderId="0" xfId="0" applyNumberFormat="1" applyFont="1" applyFill="1" applyBorder="1" applyAlignment="1">
      <alignment vertical="center"/>
    </xf>
    <xf numFmtId="169" fontId="43" fillId="0" borderId="5" xfId="24" applyNumberFormat="1" applyFont="1" applyBorder="1" applyAlignment="1">
      <alignment horizontal="right"/>
    </xf>
    <xf numFmtId="169" fontId="39" fillId="7" borderId="5" xfId="0" applyNumberFormat="1" applyFont="1" applyFill="1" applyBorder="1" applyAlignment="1">
      <alignment vertical="center"/>
    </xf>
    <xf numFmtId="169" fontId="39" fillId="7" borderId="0" xfId="0" applyNumberFormat="1" applyFont="1" applyFill="1" applyBorder="1" applyAlignment="1">
      <alignment vertical="center"/>
    </xf>
    <xf numFmtId="3" fontId="52" fillId="0" borderId="0" xfId="0" applyNumberFormat="1" applyFont="1"/>
    <xf numFmtId="0" fontId="43" fillId="0" borderId="0" xfId="24" applyFont="1" applyAlignment="1">
      <alignment horizontal="left" indent="1"/>
    </xf>
    <xf numFmtId="169" fontId="43" fillId="0" borderId="5" xfId="29" applyNumberFormat="1" applyFont="1" applyBorder="1" applyAlignment="1">
      <alignment horizontal="right"/>
    </xf>
    <xf numFmtId="0" fontId="43" fillId="0" borderId="0" xfId="24" applyFont="1" applyBorder="1"/>
    <xf numFmtId="0" fontId="18" fillId="0" borderId="0" xfId="0" applyFont="1"/>
    <xf numFmtId="0" fontId="53" fillId="0" borderId="0" xfId="0" applyFont="1" applyFill="1" applyAlignment="1">
      <alignment horizontal="left" vertical="center"/>
    </xf>
    <xf numFmtId="0" fontId="54" fillId="0" borderId="0" xfId="0" applyFont="1" applyAlignment="1">
      <alignment vertical="center"/>
    </xf>
    <xf numFmtId="0" fontId="37" fillId="2" borderId="0" xfId="0" applyFont="1" applyFill="1" applyAlignment="1">
      <alignment horizontal="right" vertical="center"/>
    </xf>
    <xf numFmtId="3" fontId="39" fillId="7" borderId="5" xfId="0" applyNumberFormat="1" applyFont="1" applyFill="1" applyBorder="1" applyAlignment="1">
      <alignment vertical="center"/>
    </xf>
    <xf numFmtId="3" fontId="39" fillId="7" borderId="6" xfId="0" applyNumberFormat="1" applyFont="1" applyFill="1" applyBorder="1" applyAlignment="1">
      <alignment vertical="center"/>
    </xf>
    <xf numFmtId="3" fontId="32" fillId="0" borderId="5" xfId="0" applyNumberFormat="1" applyFont="1" applyBorder="1"/>
    <xf numFmtId="3" fontId="32" fillId="0" borderId="6" xfId="0" applyNumberFormat="1" applyFont="1" applyBorder="1" applyAlignment="1">
      <alignment horizontal="right"/>
    </xf>
    <xf numFmtId="0" fontId="0" fillId="0" borderId="0" xfId="0" applyBorder="1"/>
    <xf numFmtId="0" fontId="45" fillId="0" borderId="0" xfId="0" applyFont="1"/>
    <xf numFmtId="0" fontId="43" fillId="6" borderId="0" xfId="0" applyFont="1" applyFill="1"/>
    <xf numFmtId="3" fontId="32" fillId="0" borderId="10" xfId="0" applyNumberFormat="1" applyFont="1" applyBorder="1" applyAlignment="1">
      <alignment horizontal="right"/>
    </xf>
    <xf numFmtId="3" fontId="32" fillId="0" borderId="10" xfId="0" applyNumberFormat="1" applyFont="1" applyBorder="1"/>
    <xf numFmtId="3" fontId="44" fillId="0" borderId="0" xfId="0" applyNumberFormat="1" applyFont="1" applyAlignment="1">
      <alignment vertical="center"/>
    </xf>
    <xf numFmtId="3" fontId="32" fillId="0" borderId="0" xfId="0" applyNumberFormat="1" applyFont="1" applyBorder="1"/>
    <xf numFmtId="3" fontId="32" fillId="0" borderId="5" xfId="0" applyNumberFormat="1" applyFont="1" applyBorder="1" applyAlignment="1">
      <alignment horizontal="right"/>
    </xf>
    <xf numFmtId="0" fontId="43" fillId="0" borderId="0" xfId="0" applyFont="1"/>
    <xf numFmtId="3" fontId="55" fillId="0" borderId="0" xfId="0" applyNumberFormat="1" applyFont="1" applyAlignment="1">
      <alignment vertical="center"/>
    </xf>
    <xf numFmtId="3" fontId="39" fillId="7" borderId="5" xfId="0" applyNumberFormat="1" applyFont="1" applyFill="1" applyBorder="1"/>
    <xf numFmtId="3" fontId="39" fillId="7" borderId="0" xfId="0" applyNumberFormat="1" applyFont="1" applyFill="1" applyBorder="1" applyAlignment="1">
      <alignment horizontal="right"/>
    </xf>
    <xf numFmtId="3" fontId="39" fillId="7" borderId="6" xfId="0" applyNumberFormat="1" applyFont="1" applyFill="1" applyBorder="1" applyAlignment="1">
      <alignment horizontal="right"/>
    </xf>
    <xf numFmtId="3" fontId="39" fillId="7" borderId="0" xfId="0" applyNumberFormat="1" applyFont="1" applyFill="1" applyAlignment="1">
      <alignment horizontal="right"/>
    </xf>
    <xf numFmtId="3" fontId="39" fillId="7" borderId="0" xfId="0" applyNumberFormat="1" applyFont="1" applyFill="1" applyBorder="1"/>
    <xf numFmtId="3" fontId="32" fillId="0" borderId="0" xfId="0" applyNumberFormat="1" applyFont="1" applyFill="1" applyAlignment="1">
      <alignment vertical="center"/>
    </xf>
    <xf numFmtId="3" fontId="39" fillId="7" borderId="0" xfId="0" applyNumberFormat="1" applyFont="1" applyFill="1" applyAlignment="1" applyProtection="1">
      <alignment vertical="center"/>
      <protection hidden="1"/>
    </xf>
    <xf numFmtId="3" fontId="32" fillId="0" borderId="0" xfId="0" applyNumberFormat="1" applyFont="1" applyAlignment="1" applyProtection="1">
      <alignment vertical="center"/>
      <protection hidden="1"/>
    </xf>
    <xf numFmtId="0" fontId="0" fillId="0" borderId="0" xfId="0" applyFill="1"/>
    <xf numFmtId="0" fontId="57" fillId="0" borderId="0" xfId="0" applyFont="1" applyFill="1" applyAlignment="1">
      <alignment vertical="center" wrapText="1"/>
    </xf>
    <xf numFmtId="0" fontId="0" fillId="6" borderId="0" xfId="0" applyFill="1"/>
    <xf numFmtId="3" fontId="39" fillId="7" borderId="12" xfId="0" applyNumberFormat="1" applyFont="1" applyFill="1" applyBorder="1" applyAlignment="1">
      <alignment vertical="center"/>
    </xf>
    <xf numFmtId="3" fontId="39" fillId="7" borderId="10" xfId="0" applyNumberFormat="1" applyFont="1" applyFill="1" applyBorder="1" applyAlignment="1">
      <alignment horizontal="right"/>
    </xf>
    <xf numFmtId="0" fontId="33" fillId="0" borderId="0" xfId="0" quotePrefix="1" applyFont="1" applyFill="1" applyAlignment="1">
      <alignment horizontal="left" vertical="center"/>
    </xf>
    <xf numFmtId="0" fontId="43" fillId="0" borderId="0" xfId="0" quotePrefix="1" applyFont="1" applyFill="1" applyAlignment="1">
      <alignment horizontal="left" vertical="center"/>
    </xf>
    <xf numFmtId="0" fontId="58" fillId="0" borderId="0" xfId="0" quotePrefix="1" applyFont="1" applyFill="1" applyAlignment="1">
      <alignment horizontal="left" vertical="center"/>
    </xf>
    <xf numFmtId="3" fontId="32" fillId="0" borderId="5" xfId="0" applyNumberFormat="1" applyFont="1" applyBorder="1" applyProtection="1">
      <protection hidden="1"/>
    </xf>
    <xf numFmtId="3" fontId="32" fillId="0" borderId="0" xfId="0" applyNumberFormat="1" applyFont="1" applyBorder="1" applyProtection="1">
      <protection hidden="1"/>
    </xf>
    <xf numFmtId="3" fontId="32" fillId="0" borderId="6" xfId="0" applyNumberFormat="1" applyFont="1" applyBorder="1" applyProtection="1">
      <protection hidden="1"/>
    </xf>
    <xf numFmtId="4" fontId="0" fillId="0" borderId="0" xfId="0" applyNumberFormat="1"/>
    <xf numFmtId="3" fontId="32" fillId="0" borderId="5" xfId="0" applyNumberFormat="1" applyFont="1" applyBorder="1" applyAlignment="1" applyProtection="1">
      <alignment horizontal="right"/>
      <protection hidden="1"/>
    </xf>
    <xf numFmtId="3" fontId="32" fillId="0" borderId="0" xfId="0" applyNumberFormat="1" applyFont="1" applyBorder="1" applyAlignment="1" applyProtection="1">
      <alignment horizontal="right"/>
      <protection hidden="1"/>
    </xf>
    <xf numFmtId="3" fontId="32" fillId="0" borderId="6" xfId="0" applyNumberFormat="1" applyFont="1" applyBorder="1" applyAlignment="1" applyProtection="1">
      <alignment horizontal="right"/>
      <protection hidden="1"/>
    </xf>
    <xf numFmtId="3" fontId="39" fillId="7" borderId="5" xfId="0" applyNumberFormat="1" applyFont="1" applyFill="1" applyBorder="1" applyAlignment="1" applyProtection="1">
      <alignment vertical="center"/>
      <protection hidden="1"/>
    </xf>
    <xf numFmtId="3" fontId="39" fillId="7" borderId="0" xfId="0" applyNumberFormat="1" applyFont="1" applyFill="1" applyBorder="1" applyAlignment="1" applyProtection="1">
      <alignment vertical="center"/>
      <protection hidden="1"/>
    </xf>
    <xf numFmtId="3" fontId="39" fillId="7" borderId="6" xfId="0" applyNumberFormat="1" applyFont="1" applyFill="1" applyBorder="1" applyAlignment="1" applyProtection="1">
      <alignment vertical="center"/>
      <protection hidden="1"/>
    </xf>
    <xf numFmtId="0" fontId="59" fillId="0" borderId="0" xfId="0" applyFont="1" applyFill="1" applyBorder="1"/>
    <xf numFmtId="0" fontId="59" fillId="0" borderId="0" xfId="0" applyFont="1"/>
    <xf numFmtId="3" fontId="32" fillId="0" borderId="0" xfId="0" applyNumberFormat="1" applyFont="1" applyAlignment="1">
      <alignment horizontal="left" vertical="center" indent="2"/>
    </xf>
    <xf numFmtId="3" fontId="39" fillId="0" borderId="0" xfId="0" applyNumberFormat="1" applyFont="1" applyFill="1" applyAlignment="1">
      <alignment vertical="center"/>
    </xf>
    <xf numFmtId="3" fontId="39" fillId="0" borderId="0" xfId="0" applyNumberFormat="1" applyFont="1" applyFill="1" applyBorder="1" applyAlignment="1">
      <alignment vertical="center"/>
    </xf>
    <xf numFmtId="3" fontId="55" fillId="0" borderId="0" xfId="0" applyNumberFormat="1" applyFont="1" applyBorder="1" applyAlignment="1">
      <alignment horizontal="left"/>
    </xf>
    <xf numFmtId="3" fontId="32" fillId="0" borderId="6" xfId="0" applyNumberFormat="1" applyFont="1" applyBorder="1"/>
    <xf numFmtId="0" fontId="32" fillId="9" borderId="0" xfId="0" applyFont="1" applyFill="1" applyBorder="1" applyAlignment="1">
      <alignment horizontal="left" vertical="center"/>
    </xf>
    <xf numFmtId="0" fontId="45" fillId="9" borderId="0" xfId="0" applyFont="1" applyFill="1" applyBorder="1"/>
    <xf numFmtId="0" fontId="45" fillId="9" borderId="0" xfId="0" applyFont="1" applyFill="1" applyBorder="1" applyAlignment="1">
      <alignment horizontal="left" vertical="justify" wrapText="1"/>
    </xf>
    <xf numFmtId="0" fontId="45" fillId="9" borderId="0" xfId="0" applyFont="1" applyFill="1" applyBorder="1" applyAlignment="1">
      <alignment horizontal="centerContinuous" vertical="justify"/>
    </xf>
    <xf numFmtId="0" fontId="60" fillId="2" borderId="0" xfId="0" applyFont="1" applyFill="1" applyBorder="1" applyAlignment="1">
      <alignment horizontal="right" vertical="center" wrapText="1"/>
    </xf>
    <xf numFmtId="172" fontId="61" fillId="2" borderId="0" xfId="0" quotePrefix="1" applyNumberFormat="1" applyFont="1" applyFill="1" applyBorder="1" applyAlignment="1">
      <alignment horizontal="center" vertical="center" wrapText="1"/>
    </xf>
    <xf numFmtId="0" fontId="61" fillId="2" borderId="0" xfId="0" applyFont="1" applyFill="1" applyBorder="1" applyAlignment="1">
      <alignment horizontal="center" vertical="center" wrapText="1"/>
    </xf>
    <xf numFmtId="0" fontId="61" fillId="2" borderId="0" xfId="0" applyFont="1" applyFill="1" applyBorder="1" applyAlignment="1">
      <alignment horizontal="center" vertical="top" wrapText="1"/>
    </xf>
    <xf numFmtId="3" fontId="39" fillId="7" borderId="0" xfId="0" applyNumberFormat="1" applyFont="1" applyFill="1" applyBorder="1" applyAlignment="1">
      <alignment horizontal="left" vertical="center"/>
    </xf>
    <xf numFmtId="3" fontId="32" fillId="9" borderId="0" xfId="0" applyNumberFormat="1" applyFont="1" applyFill="1" applyBorder="1" applyAlignment="1">
      <alignment vertical="center"/>
    </xf>
    <xf numFmtId="3" fontId="32" fillId="9" borderId="0" xfId="0" applyNumberFormat="1" applyFont="1" applyFill="1" applyBorder="1"/>
    <xf numFmtId="3" fontId="39" fillId="7" borderId="0" xfId="0" applyNumberFormat="1" applyFont="1" applyFill="1" applyBorder="1" applyAlignment="1">
      <alignment horizontal="right" vertical="center"/>
    </xf>
    <xf numFmtId="3" fontId="32" fillId="9" borderId="0" xfId="0" applyNumberFormat="1" applyFont="1" applyFill="1" applyBorder="1" applyAlignment="1">
      <alignment horizontal="left" vertical="center"/>
    </xf>
    <xf numFmtId="3" fontId="32" fillId="9" borderId="0" xfId="0" applyNumberFormat="1" applyFont="1" applyFill="1" applyBorder="1" applyAlignment="1">
      <alignment horizontal="left" vertical="center" indent="1"/>
    </xf>
    <xf numFmtId="3" fontId="62" fillId="0" borderId="0" xfId="0" quotePrefix="1" applyNumberFormat="1" applyFont="1" applyBorder="1"/>
    <xf numFmtId="0" fontId="3" fillId="0" borderId="0" xfId="27"/>
    <xf numFmtId="0" fontId="54" fillId="6" borderId="0" xfId="26" applyFont="1" applyFill="1" applyAlignment="1">
      <alignment vertical="center"/>
    </xf>
    <xf numFmtId="0" fontId="54" fillId="0" borderId="0" xfId="27" applyFont="1" applyAlignment="1">
      <alignment vertical="center"/>
    </xf>
    <xf numFmtId="0" fontId="18" fillId="0" borderId="0" xfId="26" applyFont="1" applyAlignment="1">
      <alignment horizontal="left" indent="2"/>
    </xf>
    <xf numFmtId="0" fontId="45" fillId="0" borderId="5" xfId="26" applyFont="1" applyBorder="1"/>
    <xf numFmtId="0" fontId="45" fillId="0" borderId="0" xfId="26" applyFont="1" applyBorder="1"/>
    <xf numFmtId="0" fontId="45" fillId="0" borderId="6" xfId="26" applyFont="1" applyBorder="1"/>
    <xf numFmtId="3" fontId="45" fillId="0" borderId="0" xfId="27" applyNumberFormat="1" applyFont="1"/>
    <xf numFmtId="0" fontId="18" fillId="0" borderId="0" xfId="27" applyFont="1"/>
    <xf numFmtId="173" fontId="45" fillId="0" borderId="0" xfId="27" applyNumberFormat="1" applyFont="1"/>
    <xf numFmtId="3" fontId="18" fillId="0" borderId="0" xfId="27" applyNumberFormat="1" applyFont="1"/>
    <xf numFmtId="3" fontId="32" fillId="0" borderId="12" xfId="0" applyNumberFormat="1" applyFont="1" applyBorder="1" applyAlignment="1">
      <alignment horizontal="right"/>
    </xf>
    <xf numFmtId="0" fontId="45" fillId="0" borderId="0" xfId="27" applyFont="1"/>
    <xf numFmtId="0" fontId="45" fillId="0" borderId="0" xfId="26" applyFont="1"/>
    <xf numFmtId="3" fontId="45" fillId="0" borderId="5" xfId="28" applyNumberFormat="1" applyFont="1" applyBorder="1" applyAlignment="1" applyProtection="1">
      <alignment horizontal="right"/>
      <protection hidden="1"/>
    </xf>
    <xf numFmtId="3" fontId="45" fillId="0" borderId="0" xfId="28" applyNumberFormat="1" applyFont="1" applyBorder="1" applyAlignment="1">
      <alignment horizontal="right"/>
    </xf>
    <xf numFmtId="0" fontId="18" fillId="0" borderId="0" xfId="26" applyFont="1" applyAlignment="1">
      <alignment horizontal="left"/>
    </xf>
    <xf numFmtId="3" fontId="45" fillId="0" borderId="0" xfId="28" applyNumberFormat="1" applyFont="1" applyBorder="1" applyAlignment="1" applyProtection="1">
      <alignment horizontal="right"/>
      <protection hidden="1"/>
    </xf>
    <xf numFmtId="0" fontId="18" fillId="0" borderId="0" xfId="27" applyFont="1" applyFill="1"/>
    <xf numFmtId="3" fontId="45" fillId="6" borderId="0" xfId="27" applyNumberFormat="1" applyFont="1" applyFill="1"/>
    <xf numFmtId="0" fontId="45" fillId="6" borderId="0" xfId="27" applyFont="1" applyFill="1"/>
    <xf numFmtId="3" fontId="45" fillId="0" borderId="6" xfId="28" applyNumberFormat="1" applyFont="1" applyBorder="1" applyAlignment="1" applyProtection="1">
      <alignment horizontal="right"/>
      <protection hidden="1"/>
    </xf>
    <xf numFmtId="170" fontId="45" fillId="0" borderId="0" xfId="27" applyNumberFormat="1" applyFont="1"/>
    <xf numFmtId="4" fontId="18" fillId="0" borderId="0" xfId="27" applyNumberFormat="1" applyFont="1" applyProtection="1">
      <protection hidden="1"/>
    </xf>
    <xf numFmtId="4" fontId="18" fillId="0" borderId="0" xfId="27" applyNumberFormat="1" applyFont="1" applyFill="1" applyProtection="1">
      <protection hidden="1"/>
    </xf>
    <xf numFmtId="3" fontId="39" fillId="7" borderId="0" xfId="0" applyNumberFormat="1" applyFont="1" applyFill="1" applyAlignment="1">
      <alignment horizontal="left" vertical="center" wrapText="1"/>
    </xf>
    <xf numFmtId="0" fontId="32" fillId="0" borderId="5" xfId="0" applyNumberFormat="1" applyFont="1" applyBorder="1" applyAlignment="1">
      <alignment horizontal="right"/>
    </xf>
    <xf numFmtId="0" fontId="32" fillId="0" borderId="0" xfId="0" applyNumberFormat="1" applyFont="1" applyBorder="1" applyAlignment="1">
      <alignment horizontal="right"/>
    </xf>
    <xf numFmtId="0" fontId="32" fillId="0" borderId="6" xfId="0" applyNumberFormat="1" applyFont="1" applyBorder="1" applyAlignment="1">
      <alignment horizontal="right"/>
    </xf>
    <xf numFmtId="0" fontId="32" fillId="0" borderId="10" xfId="0" applyNumberFormat="1" applyFont="1" applyBorder="1"/>
    <xf numFmtId="0" fontId="32" fillId="0" borderId="0" xfId="0" applyNumberFormat="1" applyFont="1" applyBorder="1"/>
    <xf numFmtId="0" fontId="32" fillId="0" borderId="10" xfId="0" applyNumberFormat="1" applyFont="1" applyBorder="1" applyAlignment="1">
      <alignment horizontal="right"/>
    </xf>
    <xf numFmtId="0" fontId="32" fillId="0" borderId="5" xfId="0" applyNumberFormat="1" applyFont="1" applyBorder="1"/>
    <xf numFmtId="0" fontId="32" fillId="0" borderId="0" xfId="0" applyNumberFormat="1" applyFont="1" applyAlignment="1">
      <alignment horizontal="right"/>
    </xf>
    <xf numFmtId="3" fontId="32" fillId="0" borderId="0" xfId="0" applyNumberFormat="1" applyFont="1" applyFill="1" applyBorder="1" applyProtection="1">
      <protection hidden="1"/>
    </xf>
    <xf numFmtId="166" fontId="37" fillId="2" borderId="0" xfId="0" applyNumberFormat="1" applyFont="1" applyFill="1" applyAlignment="1">
      <alignment horizontal="center" vertical="center" wrapText="1"/>
    </xf>
    <xf numFmtId="3" fontId="32" fillId="0" borderId="0" xfId="0" applyNumberFormat="1" applyFont="1" applyFill="1" applyBorder="1" applyAlignment="1" applyProtection="1">
      <alignment horizontal="right"/>
      <protection hidden="1"/>
    </xf>
    <xf numFmtId="0" fontId="15" fillId="0" borderId="0" xfId="2" applyFont="1" applyFill="1" applyAlignment="1"/>
    <xf numFmtId="3" fontId="0" fillId="0" borderId="0" xfId="0" applyNumberFormat="1"/>
    <xf numFmtId="3" fontId="32" fillId="0" borderId="0" xfId="0" applyNumberFormat="1" applyFont="1" applyBorder="1" applyAlignment="1">
      <alignment horizontal="right"/>
    </xf>
    <xf numFmtId="3" fontId="32" fillId="0" borderId="5" xfId="0" applyNumberFormat="1" applyFont="1" applyBorder="1" applyAlignment="1" applyProtection="1">
      <alignment horizontal="right"/>
      <protection hidden="1"/>
    </xf>
    <xf numFmtId="3" fontId="32" fillId="0" borderId="0" xfId="0" applyNumberFormat="1" applyFont="1" applyFill="1" applyBorder="1" applyProtection="1">
      <protection hidden="1"/>
    </xf>
    <xf numFmtId="3" fontId="56" fillId="0" borderId="0" xfId="0" applyNumberFormat="1" applyFont="1" applyFill="1" applyAlignment="1">
      <alignment horizontal="left" vertical="center" wrapText="1"/>
    </xf>
    <xf numFmtId="0" fontId="37" fillId="2" borderId="0" xfId="0" applyFont="1" applyFill="1" applyAlignment="1">
      <alignment horizontal="center" vertical="center"/>
    </xf>
    <xf numFmtId="0" fontId="37" fillId="2" borderId="5" xfId="0" applyFont="1" applyFill="1" applyBorder="1" applyAlignment="1">
      <alignment horizontal="center" wrapText="1"/>
    </xf>
    <xf numFmtId="0" fontId="37" fillId="2" borderId="0" xfId="0" applyFont="1" applyFill="1" applyBorder="1" applyAlignment="1">
      <alignment horizontal="center" wrapText="1"/>
    </xf>
    <xf numFmtId="3" fontId="56" fillId="6" borderId="0" xfId="0" applyNumberFormat="1" applyFont="1" applyFill="1" applyAlignment="1">
      <alignment horizontal="left" vertical="center" wrapText="1"/>
    </xf>
    <xf numFmtId="0" fontId="37" fillId="2" borderId="6" xfId="0" applyFont="1" applyFill="1" applyBorder="1" applyAlignment="1">
      <alignment horizontal="center" vertical="center"/>
    </xf>
    <xf numFmtId="3" fontId="32" fillId="0" borderId="0" xfId="0" applyNumberFormat="1" applyFont="1" applyAlignment="1" applyProtection="1">
      <alignment horizontal="left" vertical="center" wrapText="1"/>
      <protection hidden="1"/>
    </xf>
    <xf numFmtId="0" fontId="34" fillId="0" borderId="0" xfId="0" applyFont="1" applyFill="1" applyAlignment="1">
      <alignment horizontal="center" vertical="center"/>
    </xf>
  </cellXfs>
  <cellStyles count="122">
    <cellStyle name="_12181-FORMATOS G-12181" xfId="72"/>
    <cellStyle name="20% - Accent1" xfId="73"/>
    <cellStyle name="20% - Accent2" xfId="74"/>
    <cellStyle name="20% - Accent3" xfId="75"/>
    <cellStyle name="20% - Accent4" xfId="76"/>
    <cellStyle name="20% - Accent5" xfId="77"/>
    <cellStyle name="20% - Accent6" xfId="78"/>
    <cellStyle name="40% - Accent1" xfId="79"/>
    <cellStyle name="40% - Accent2" xfId="80"/>
    <cellStyle name="40% - Accent3" xfId="81"/>
    <cellStyle name="40% - Accent4" xfId="82"/>
    <cellStyle name="40% - Accent5" xfId="83"/>
    <cellStyle name="40% - Accent6" xfId="84"/>
    <cellStyle name="60% - Accent1" xfId="85"/>
    <cellStyle name="60% - Accent2" xfId="86"/>
    <cellStyle name="60% - Accent3" xfId="87"/>
    <cellStyle name="60% - Accent4" xfId="88"/>
    <cellStyle name="60% - Accent5" xfId="89"/>
    <cellStyle name="60% - Accent6" xfId="90"/>
    <cellStyle name="Accent1" xfId="91"/>
    <cellStyle name="Accent2" xfId="92"/>
    <cellStyle name="Accent3" xfId="93"/>
    <cellStyle name="Accent4" xfId="94"/>
    <cellStyle name="Accent5" xfId="95"/>
    <cellStyle name="Accent6" xfId="96"/>
    <cellStyle name="Bad" xfId="97"/>
    <cellStyle name="bstitutes]_x000d__x000a_; The following mappings take Word for MS-DOS names, PostScript names, and TrueType_x000d__x000a_; names into account" xfId="5"/>
    <cellStyle name="CACA" xfId="6"/>
    <cellStyle name="Calculation" xfId="98"/>
    <cellStyle name="Cambiar to&amp;do" xfId="7"/>
    <cellStyle name="Check Cell" xfId="99"/>
    <cellStyle name="Comma_Worksheet in (C) 621515 COPIA JUNIO" xfId="100"/>
    <cellStyle name="Estilo 1" xfId="8"/>
    <cellStyle name="Estilo 1 2" xfId="9"/>
    <cellStyle name="Estilo 1 2 2" xfId="36"/>
    <cellStyle name="Estilo 1 2 2 2" xfId="37"/>
    <cellStyle name="Estilo 1 2 3" xfId="38"/>
    <cellStyle name="Estilo 1 3" xfId="10"/>
    <cellStyle name="Estilo 1 3 2" xfId="39"/>
    <cellStyle name="Estilo 1 4" xfId="11"/>
    <cellStyle name="Estilo 2" xfId="101"/>
    <cellStyle name="Euro" xfId="12"/>
    <cellStyle name="Euro 2" xfId="13"/>
    <cellStyle name="Euro 2 2" xfId="40"/>
    <cellStyle name="Euro 2 2 2" xfId="41"/>
    <cellStyle name="Euro 2 3" xfId="42"/>
    <cellStyle name="Euro 3" xfId="14"/>
    <cellStyle name="Euro 3 2" xfId="43"/>
    <cellStyle name="Euro 4" xfId="15"/>
    <cellStyle name="Euro 4 2" xfId="70"/>
    <cellStyle name="Explanatory Text" xfId="102"/>
    <cellStyle name="F2" xfId="103"/>
    <cellStyle name="F3" xfId="104"/>
    <cellStyle name="F4" xfId="105"/>
    <cellStyle name="F5" xfId="106"/>
    <cellStyle name="F6" xfId="107"/>
    <cellStyle name="F7" xfId="108"/>
    <cellStyle name="F8" xfId="109"/>
    <cellStyle name="Followed Hyperlink 2" xfId="16"/>
    <cellStyle name="Followed Hyperlink 3" xfId="17"/>
    <cellStyle name="Good" xfId="110"/>
    <cellStyle name="Heading 1" xfId="111"/>
    <cellStyle name="Heading 2" xfId="112"/>
    <cellStyle name="Heading 3" xfId="113"/>
    <cellStyle name="Heading 4" xfId="114"/>
    <cellStyle name="Hipervínculo_08 pagweb-4T08 1" xfId="3"/>
    <cellStyle name="Input" xfId="115"/>
    <cellStyle name="Linked Cell" xfId="116"/>
    <cellStyle name="Millares 2" xfId="44"/>
    <cellStyle name="Millares 2 2" xfId="45"/>
    <cellStyle name="Millares 3" xfId="46"/>
    <cellStyle name="Millares 4" xfId="71"/>
    <cellStyle name="Moeda [0]_1805" xfId="18"/>
    <cellStyle name="Moeda_1805" xfId="19"/>
    <cellStyle name="monaco" xfId="20"/>
    <cellStyle name="Normal" xfId="0" builtinId="0"/>
    <cellStyle name="Normal 2" xfId="2"/>
    <cellStyle name="Normal 2 2" xfId="21"/>
    <cellStyle name="Normal 2 2 2" xfId="47"/>
    <cellStyle name="Normal 2 3" xfId="48"/>
    <cellStyle name="Normal 3" xfId="22"/>
    <cellStyle name="Normal 3 2" xfId="49"/>
    <cellStyle name="Normal 3 2 2" xfId="50"/>
    <cellStyle name="Normal 3 3" xfId="51"/>
    <cellStyle name="Normal 4" xfId="52"/>
    <cellStyle name="Normal 4 2" xfId="53"/>
    <cellStyle name="Normal 5" xfId="54"/>
    <cellStyle name="Normal 5 2" xfId="55"/>
    <cellStyle name="Normal 6" xfId="56"/>
    <cellStyle name="Normal 6 2" xfId="23"/>
    <cellStyle name="Normal 7" xfId="57"/>
    <cellStyle name="Normal 8" xfId="58"/>
    <cellStyle name="Normal 9" xfId="59"/>
    <cellStyle name="Normal_08 pagweb-4T08 1 2" xfId="1"/>
    <cellStyle name="Normal_ANEXO" xfId="24"/>
    <cellStyle name="Normal_Anexo analistas 1T06 vínculos" xfId="25"/>
    <cellStyle name="Normal_Balance Público" xfId="26"/>
    <cellStyle name="Normal_Libro1" xfId="27"/>
    <cellStyle name="Normal_Series Grupo Mora ROE y Eficiencia" xfId="28"/>
    <cellStyle name="Normal_Series web Sabadell 1T10-desprotegido" xfId="4"/>
    <cellStyle name="Note" xfId="117"/>
    <cellStyle name="Output" xfId="118"/>
    <cellStyle name="Porcentaje 2" xfId="29"/>
    <cellStyle name="Porcentaje 2 2" xfId="60"/>
    <cellStyle name="Porcentaje 3" xfId="30"/>
    <cellStyle name="Porcentaje 3 2" xfId="31"/>
    <cellStyle name="Porcentaje 3 2 2" xfId="61"/>
    <cellStyle name="Porcentaje 3 3" xfId="62"/>
    <cellStyle name="Porcentaje 4" xfId="32"/>
    <cellStyle name="Porcentaje 4 2" xfId="63"/>
    <cellStyle name="Porcentaje 4 2 2" xfId="64"/>
    <cellStyle name="Porcentaje 4 3" xfId="65"/>
    <cellStyle name="Porcentaje 5" xfId="33"/>
    <cellStyle name="Porcentaje 5 2" xfId="66"/>
    <cellStyle name="Porcentaje 6" xfId="67"/>
    <cellStyle name="Porcentual 2" xfId="68"/>
    <cellStyle name="Porcentual 2 2" xfId="69"/>
    <cellStyle name="Punto0" xfId="119"/>
    <cellStyle name="Separador de milhares [0]_ADM" xfId="34"/>
    <cellStyle name="Separador de milhares_ADM" xfId="35"/>
    <cellStyle name="Title" xfId="120"/>
    <cellStyle name="Warning Text" xfId="12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9D1F3"/>
      <rgbColor rgb="00003366"/>
      <rgbColor rgb="00FF0000"/>
      <rgbColor rgb="0000FF00"/>
      <rgbColor rgb="00FFFFFF"/>
      <rgbColor rgb="00FFFF00"/>
      <rgbColor rgb="00FF00FF"/>
      <rgbColor rgb="0000FFFF"/>
      <rgbColor rgb="003EB6BB"/>
      <rgbColor rgb="00FFFFFF"/>
      <rgbColor rgb="0086C82D"/>
      <rgbColor rgb="00FFFFFF"/>
      <rgbColor rgb="00800080"/>
      <rgbColor rgb="00FFFFFF"/>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B7C204"/>
      <rgbColor rgb="00666699"/>
      <rgbColor rgb="00969696"/>
      <rgbColor rgb="00006EC1"/>
      <rgbColor rgb="00339966"/>
      <rgbColor rgb="00094FA4"/>
      <rgbColor rgb="00009EE5"/>
      <rgbColor rgb="00F6891E"/>
      <rgbColor rgb="00993366"/>
      <rgbColor rgb="00FDBD2C"/>
      <rgbColor rgb="00C8175E"/>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s>
</file>

<file path=xl/ctrlProps/ctrlProp1.xml><?xml version="1.0" encoding="utf-8"?>
<formControlPr xmlns="http://schemas.microsoft.com/office/spreadsheetml/2009/9/main" objectType="Radio" firstButton="1" fmlaLink="$F$2" lockText="1" noThreeD="1"/>
</file>

<file path=xl/ctrlProps/ctrlProp10.xml><?xml version="1.0" encoding="utf-8"?>
<formControlPr xmlns="http://schemas.microsoft.com/office/spreadsheetml/2009/9/main" objectType="CheckBox" fmlaLink="$E$23" lockText="1" noThreeD="1"/>
</file>

<file path=xl/ctrlProps/ctrlProp11.xml><?xml version="1.0" encoding="utf-8"?>
<formControlPr xmlns="http://schemas.microsoft.com/office/spreadsheetml/2009/9/main" objectType="CheckBox" fmlaLink="$E$16" lockText="1" noThreeD="1"/>
</file>

<file path=xl/ctrlProps/ctrlProp12.xml><?xml version="1.0" encoding="utf-8"?>
<formControlPr xmlns="http://schemas.microsoft.com/office/spreadsheetml/2009/9/main" objectType="CheckBox" fmlaLink="$E$18" lockText="1" noThreeD="1"/>
</file>

<file path=xl/ctrlProps/ctrlProp13.xml><?xml version="1.0" encoding="utf-8"?>
<formControlPr xmlns="http://schemas.microsoft.com/office/spreadsheetml/2009/9/main" objectType="CheckBox" fmlaLink="$E$20" lockText="1" noThreeD="1"/>
</file>

<file path=xl/ctrlProps/ctrlProp14.xml><?xml version="1.0" encoding="utf-8"?>
<formControlPr xmlns="http://schemas.microsoft.com/office/spreadsheetml/2009/9/main" objectType="CheckBox" fmlaLink="$E$21" lockText="1" noThreeD="1"/>
</file>

<file path=xl/ctrlProps/ctrlProp15.xml><?xml version="1.0" encoding="utf-8"?>
<formControlPr xmlns="http://schemas.microsoft.com/office/spreadsheetml/2009/9/main" objectType="CheckBox" fmlaLink="$E$19" lockText="1" noThreeD="1"/>
</file>

<file path=xl/ctrlProps/ctrlProp16.xml><?xml version="1.0" encoding="utf-8"?>
<formControlPr xmlns="http://schemas.microsoft.com/office/spreadsheetml/2009/9/main" objectType="CheckBox" fmlaLink="$E$30" lockText="1" noThreeD="1"/>
</file>

<file path=xl/ctrlProps/ctrlProp17.xml><?xml version="1.0" encoding="utf-8"?>
<formControlPr xmlns="http://schemas.microsoft.com/office/spreadsheetml/2009/9/main" objectType="CheckBox" fmlaLink="$E$31" lockText="1" noThreeD="1"/>
</file>

<file path=xl/ctrlProps/ctrlProp18.xml><?xml version="1.0" encoding="utf-8"?>
<formControlPr xmlns="http://schemas.microsoft.com/office/spreadsheetml/2009/9/main" objectType="CheckBox" fmlaLink="$E$32" lockText="1" noThreeD="1"/>
</file>

<file path=xl/ctrlProps/ctrlProp19.xml><?xml version="1.0" encoding="utf-8"?>
<formControlPr xmlns="http://schemas.microsoft.com/office/spreadsheetml/2009/9/main" objectType="CheckBox" fmlaLink="$E$33"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CheckBox" fmlaLink="$E$10" lockText="1" noThreeD="1"/>
</file>

<file path=xl/ctrlProps/ctrlProp22.xml><?xml version="1.0" encoding="utf-8"?>
<formControlPr xmlns="http://schemas.microsoft.com/office/spreadsheetml/2009/9/main" objectType="CheckBox" fmlaLink="$E$11" lockText="1" noThreeD="1"/>
</file>

<file path=xl/ctrlProps/ctrlProp23.xml><?xml version="1.0" encoding="utf-8"?>
<formControlPr xmlns="http://schemas.microsoft.com/office/spreadsheetml/2009/9/main" objectType="CheckBox" fmlaLink="$E$4" lockText="1" noThreeD="1"/>
</file>

<file path=xl/ctrlProps/ctrlProp24.xml><?xml version="1.0" encoding="utf-8"?>
<formControlPr xmlns="http://schemas.microsoft.com/office/spreadsheetml/2009/9/main" objectType="CheckBox" fmlaLink="$E$8" lockText="1" noThreeD="1"/>
</file>

<file path=xl/ctrlProps/ctrlProp25.xml><?xml version="1.0" encoding="utf-8"?>
<formControlPr xmlns="http://schemas.microsoft.com/office/spreadsheetml/2009/9/main" objectType="CheckBox" fmlaLink="$E$13" lockText="1" noThreeD="1"/>
</file>

<file path=xl/ctrlProps/ctrlProp26.xml><?xml version="1.0" encoding="utf-8"?>
<formControlPr xmlns="http://schemas.microsoft.com/office/spreadsheetml/2009/9/main" objectType="CheckBox" fmlaLink="$E$26" lockText="1" noThreeD="1"/>
</file>

<file path=xl/ctrlProps/ctrlProp27.xml><?xml version="1.0" encoding="utf-8"?>
<formControlPr xmlns="http://schemas.microsoft.com/office/spreadsheetml/2009/9/main" objectType="CheckBox" fmlaLink="$E$27" lockText="1" noThreeD="1"/>
</file>

<file path=xl/ctrlProps/ctrlProp28.xml><?xml version="1.0" encoding="utf-8"?>
<formControlPr xmlns="http://schemas.microsoft.com/office/spreadsheetml/2009/9/main" objectType="CheckBox" fmlaLink="$E$28" lockText="1" noThreeD="1"/>
</file>

<file path=xl/ctrlProps/ctrlProp29.xml><?xml version="1.0" encoding="utf-8"?>
<formControlPr xmlns="http://schemas.microsoft.com/office/spreadsheetml/2009/9/main" objectType="CheckBox" fmlaLink="$E$26" lockText="1" noThreeD="1"/>
</file>

<file path=xl/ctrlProps/ctrlProp3.xml><?xml version="1.0" encoding="utf-8"?>
<formControlPr xmlns="http://schemas.microsoft.com/office/spreadsheetml/2009/9/main" objectType="CheckBox" fmlaLink="$E$9" lockText="1" noThreeD="1"/>
</file>

<file path=xl/ctrlProps/ctrlProp30.xml><?xml version="1.0" encoding="utf-8"?>
<formControlPr xmlns="http://schemas.microsoft.com/office/spreadsheetml/2009/9/main" objectType="CheckBox" fmlaLink="$E$27" lockText="1" noThreeD="1"/>
</file>

<file path=xl/ctrlProps/ctrlProp31.xml><?xml version="1.0" encoding="utf-8"?>
<formControlPr xmlns="http://schemas.microsoft.com/office/spreadsheetml/2009/9/main" objectType="CheckBox" fmlaLink="$E$28" lockText="1" noThreeD="1"/>
</file>

<file path=xl/ctrlProps/ctrlProp32.xml><?xml version="1.0" encoding="utf-8"?>
<formControlPr xmlns="http://schemas.microsoft.com/office/spreadsheetml/2009/9/main" objectType="CheckBox" fmlaLink="$E$26" lockText="1" noThreeD="1"/>
</file>

<file path=xl/ctrlProps/ctrlProp33.xml><?xml version="1.0" encoding="utf-8"?>
<formControlPr xmlns="http://schemas.microsoft.com/office/spreadsheetml/2009/9/main" objectType="CheckBox" fmlaLink="$E$28" lockText="1" noThreeD="1"/>
</file>

<file path=xl/ctrlProps/ctrlProp34.xml><?xml version="1.0" encoding="utf-8"?>
<formControlPr xmlns="http://schemas.microsoft.com/office/spreadsheetml/2009/9/main" objectType="CheckBox" fmlaLink="$E$29" lockText="1" noThreeD="1"/>
</file>

<file path=xl/ctrlProps/ctrlProp35.xml><?xml version="1.0" encoding="utf-8"?>
<formControlPr xmlns="http://schemas.microsoft.com/office/spreadsheetml/2009/9/main" objectType="CheckBox" fmlaLink="$E$26" lockText="1" noThreeD="1"/>
</file>

<file path=xl/ctrlProps/ctrlProp36.xml><?xml version="1.0" encoding="utf-8"?>
<formControlPr xmlns="http://schemas.microsoft.com/office/spreadsheetml/2009/9/main" objectType="CheckBox" fmlaLink="$E$27" lockText="1" noThreeD="1"/>
</file>

<file path=xl/ctrlProps/ctrlProp37.xml><?xml version="1.0" encoding="utf-8"?>
<formControlPr xmlns="http://schemas.microsoft.com/office/spreadsheetml/2009/9/main" objectType="CheckBox" fmlaLink="$E$34" lockText="1" noThreeD="1"/>
</file>

<file path=xl/ctrlProps/ctrlProp38.xml><?xml version="1.0" encoding="utf-8"?>
<formControlPr xmlns="http://schemas.microsoft.com/office/spreadsheetml/2009/9/main" objectType="CheckBox" fmlaLink="$E$14" lockText="1" noThreeD="1"/>
</file>

<file path=xl/ctrlProps/ctrlProp4.xml><?xml version="1.0" encoding="utf-8"?>
<formControlPr xmlns="http://schemas.microsoft.com/office/spreadsheetml/2009/9/main" objectType="CheckBox" fmlaLink="$E$12" lockText="1" noThreeD="1"/>
</file>

<file path=xl/ctrlProps/ctrlProp5.xml><?xml version="1.0" encoding="utf-8"?>
<formControlPr xmlns="http://schemas.microsoft.com/office/spreadsheetml/2009/9/main" objectType="CheckBox" fmlaLink="$E$15" lockText="1" noThreeD="1"/>
</file>

<file path=xl/ctrlProps/ctrlProp6.xml><?xml version="1.0" encoding="utf-8"?>
<formControlPr xmlns="http://schemas.microsoft.com/office/spreadsheetml/2009/9/main" objectType="CheckBox" fmlaLink="$E$5" lockText="1" noThreeD="1"/>
</file>

<file path=xl/ctrlProps/ctrlProp7.xml><?xml version="1.0" encoding="utf-8"?>
<formControlPr xmlns="http://schemas.microsoft.com/office/spreadsheetml/2009/9/main" objectType="CheckBox" fmlaLink="$E$6" lockText="1" noThreeD="1"/>
</file>

<file path=xl/ctrlProps/ctrlProp8.xml><?xml version="1.0" encoding="utf-8"?>
<formControlPr xmlns="http://schemas.microsoft.com/office/spreadsheetml/2009/9/main" objectType="CheckBox" fmlaLink="$E$17" lockText="1" noThreeD="1"/>
</file>

<file path=xl/ctrlProps/ctrlProp9.xml><?xml version="1.0" encoding="utf-8"?>
<formControlPr xmlns="http://schemas.microsoft.com/office/spreadsheetml/2009/9/main" objectType="CheckBox" fmlaLink="$E$22"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INDICE!C9"/></Relationships>
</file>

<file path=xl/drawings/_rels/drawing11.xml.rels><?xml version="1.0" encoding="UTF-8" standalone="yes"?>
<Relationships xmlns="http://schemas.openxmlformats.org/package/2006/relationships"><Relationship Id="rId1" Type="http://schemas.openxmlformats.org/officeDocument/2006/relationships/hyperlink" Target="#INDICE!C9"/></Relationships>
</file>

<file path=xl/drawings/_rels/drawing12.xml.rels><?xml version="1.0" encoding="UTF-8" standalone="yes"?>
<Relationships xmlns="http://schemas.openxmlformats.org/package/2006/relationships"><Relationship Id="rId1" Type="http://schemas.openxmlformats.org/officeDocument/2006/relationships/hyperlink" Target="#INDICE!C9"/></Relationships>
</file>

<file path=xl/drawings/_rels/drawing13.xml.rels><?xml version="1.0" encoding="UTF-8" standalone="yes"?>
<Relationships xmlns="http://schemas.openxmlformats.org/package/2006/relationships"><Relationship Id="rId1" Type="http://schemas.openxmlformats.org/officeDocument/2006/relationships/hyperlink" Target="#INDICE!C9"/></Relationships>
</file>

<file path=xl/drawings/_rels/drawing14.xml.rels><?xml version="1.0" encoding="UTF-8" standalone="yes"?>
<Relationships xmlns="http://schemas.openxmlformats.org/package/2006/relationships"><Relationship Id="rId1" Type="http://schemas.openxmlformats.org/officeDocument/2006/relationships/hyperlink" Target="#INDICE!C9"/></Relationships>
</file>

<file path=xl/drawings/_rels/drawing15.xml.rels><?xml version="1.0" encoding="UTF-8" standalone="yes"?>
<Relationships xmlns="http://schemas.openxmlformats.org/package/2006/relationships"><Relationship Id="rId1" Type="http://schemas.openxmlformats.org/officeDocument/2006/relationships/hyperlink" Target="#INDICE!C9"/></Relationships>
</file>

<file path=xl/drawings/_rels/drawing16.xml.rels><?xml version="1.0" encoding="UTF-8" standalone="yes"?>
<Relationships xmlns="http://schemas.openxmlformats.org/package/2006/relationships"><Relationship Id="rId1" Type="http://schemas.openxmlformats.org/officeDocument/2006/relationships/hyperlink" Target="#INDICE!C9"/></Relationships>
</file>

<file path=xl/drawings/_rels/drawing17.xml.rels><?xml version="1.0" encoding="UTF-8" standalone="yes"?>
<Relationships xmlns="http://schemas.openxmlformats.org/package/2006/relationships"><Relationship Id="rId1" Type="http://schemas.openxmlformats.org/officeDocument/2006/relationships/hyperlink" Target="#INDICE!C9"/></Relationships>
</file>

<file path=xl/drawings/_rels/drawing18.xml.rels><?xml version="1.0" encoding="UTF-8" standalone="yes"?>
<Relationships xmlns="http://schemas.openxmlformats.org/package/2006/relationships"><Relationship Id="rId1" Type="http://schemas.openxmlformats.org/officeDocument/2006/relationships/hyperlink" Target="#INDICE!C9"/></Relationships>
</file>

<file path=xl/drawings/_rels/drawing19.xml.rels><?xml version="1.0" encoding="UTF-8" standalone="yes"?>
<Relationships xmlns="http://schemas.openxmlformats.org/package/2006/relationships"><Relationship Id="rId1" Type="http://schemas.openxmlformats.org/officeDocument/2006/relationships/hyperlink" Target="#INDICE!C9"/></Relationships>
</file>

<file path=xl/drawings/_rels/drawing2.xml.rels><?xml version="1.0" encoding="UTF-8" standalone="yes"?>
<Relationships xmlns="http://schemas.openxmlformats.org/package/2006/relationships"><Relationship Id="rId1" Type="http://schemas.openxmlformats.org/officeDocument/2006/relationships/hyperlink" Target="#INDICE!C4"/></Relationships>
</file>

<file path=xl/drawings/_rels/drawing20.xml.rels><?xml version="1.0" encoding="UTF-8" standalone="yes"?>
<Relationships xmlns="http://schemas.openxmlformats.org/package/2006/relationships"><Relationship Id="rId1" Type="http://schemas.openxmlformats.org/officeDocument/2006/relationships/hyperlink" Target="#INDICE!C4"/></Relationships>
</file>

<file path=xl/drawings/_rels/drawing21.xml.rels><?xml version="1.0" encoding="UTF-8" standalone="yes"?>
<Relationships xmlns="http://schemas.openxmlformats.org/package/2006/relationships"><Relationship Id="rId1" Type="http://schemas.openxmlformats.org/officeDocument/2006/relationships/hyperlink" Target="#INDICE!C9"/></Relationships>
</file>

<file path=xl/drawings/_rels/drawing22.xml.rels><?xml version="1.0" encoding="UTF-8" standalone="yes"?>
<Relationships xmlns="http://schemas.openxmlformats.org/package/2006/relationships"><Relationship Id="rId1" Type="http://schemas.openxmlformats.org/officeDocument/2006/relationships/hyperlink" Target="#INDICE!C26"/></Relationships>
</file>

<file path=xl/drawings/_rels/drawing23.xml.rels><?xml version="1.0" encoding="UTF-8" standalone="yes"?>
<Relationships xmlns="http://schemas.openxmlformats.org/package/2006/relationships"><Relationship Id="rId1" Type="http://schemas.openxmlformats.org/officeDocument/2006/relationships/hyperlink" Target="#INDICE!C26"/></Relationships>
</file>

<file path=xl/drawings/_rels/drawing24.xml.rels><?xml version="1.0" encoding="UTF-8" standalone="yes"?>
<Relationships xmlns="http://schemas.openxmlformats.org/package/2006/relationships"><Relationship Id="rId1" Type="http://schemas.openxmlformats.org/officeDocument/2006/relationships/hyperlink" Target="#INDICE!C26"/></Relationships>
</file>

<file path=xl/drawings/_rels/drawing25.xml.rels><?xml version="1.0" encoding="UTF-8" standalone="yes"?>
<Relationships xmlns="http://schemas.openxmlformats.org/package/2006/relationships"><Relationship Id="rId1" Type="http://schemas.openxmlformats.org/officeDocument/2006/relationships/hyperlink" Target="#INDICE!C26"/></Relationships>
</file>

<file path=xl/drawings/_rels/drawing26.xml.rels><?xml version="1.0" encoding="UTF-8" standalone="yes"?>
<Relationships xmlns="http://schemas.openxmlformats.org/package/2006/relationships"><Relationship Id="rId1" Type="http://schemas.openxmlformats.org/officeDocument/2006/relationships/hyperlink" Target="#INDICE!C4"/></Relationships>
</file>

<file path=xl/drawings/_rels/drawing3.xml.rels><?xml version="1.0" encoding="UTF-8" standalone="yes"?>
<Relationships xmlns="http://schemas.openxmlformats.org/package/2006/relationships"><Relationship Id="rId1" Type="http://schemas.openxmlformats.org/officeDocument/2006/relationships/hyperlink" Target="#INDICE!C4"/></Relationships>
</file>

<file path=xl/drawings/_rels/drawing4.xml.rels><?xml version="1.0" encoding="UTF-8" standalone="yes"?>
<Relationships xmlns="http://schemas.openxmlformats.org/package/2006/relationships"><Relationship Id="rId1" Type="http://schemas.openxmlformats.org/officeDocument/2006/relationships/hyperlink" Target="#INDICE!C9"/></Relationships>
</file>

<file path=xl/drawings/_rels/drawing5.xml.rels><?xml version="1.0" encoding="UTF-8" standalone="yes"?>
<Relationships xmlns="http://schemas.openxmlformats.org/package/2006/relationships"><Relationship Id="rId1" Type="http://schemas.openxmlformats.org/officeDocument/2006/relationships/hyperlink" Target="#INDICE!C9"/></Relationships>
</file>

<file path=xl/drawings/_rels/drawing6.xml.rels><?xml version="1.0" encoding="UTF-8" standalone="yes"?>
<Relationships xmlns="http://schemas.openxmlformats.org/package/2006/relationships"><Relationship Id="rId1" Type="http://schemas.openxmlformats.org/officeDocument/2006/relationships/hyperlink" Target="#INDICE!C9"/></Relationships>
</file>

<file path=xl/drawings/_rels/drawing7.xml.rels><?xml version="1.0" encoding="UTF-8" standalone="yes"?>
<Relationships xmlns="http://schemas.openxmlformats.org/package/2006/relationships"><Relationship Id="rId1" Type="http://schemas.openxmlformats.org/officeDocument/2006/relationships/hyperlink" Target="#INDICE!C9"/></Relationships>
</file>

<file path=xl/drawings/_rels/drawing8.xml.rels><?xml version="1.0" encoding="UTF-8" standalone="yes"?>
<Relationships xmlns="http://schemas.openxmlformats.org/package/2006/relationships"><Relationship Id="rId1" Type="http://schemas.openxmlformats.org/officeDocument/2006/relationships/hyperlink" Target="#INDICE!C9"/></Relationships>
</file>

<file path=xl/drawings/_rels/drawing9.xml.rels><?xml version="1.0" encoding="UTF-8" standalone="yes"?>
<Relationships xmlns="http://schemas.openxmlformats.org/package/2006/relationships"><Relationship Id="rId1" Type="http://schemas.openxmlformats.org/officeDocument/2006/relationships/hyperlink" Target="#INDICE!C9"/></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1600200</xdr:colOff>
      <xdr:row>4</xdr:row>
      <xdr:rowOff>323850</xdr:rowOff>
    </xdr:to>
    <xdr:pic>
      <xdr:nvPicPr>
        <xdr:cNvPr id="2" name="Picture 3" descr="Sin título-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002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85725</xdr:colOff>
          <xdr:row>7</xdr:row>
          <xdr:rowOff>0</xdr:rowOff>
        </xdr:from>
        <xdr:to>
          <xdr:col>0</xdr:col>
          <xdr:colOff>419100</xdr:colOff>
          <xdr:row>7</xdr:row>
          <xdr:rowOff>266700</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6</xdr:row>
          <xdr:rowOff>0</xdr:rowOff>
        </xdr:from>
        <xdr:to>
          <xdr:col>0</xdr:col>
          <xdr:colOff>409575</xdr:colOff>
          <xdr:row>6</xdr:row>
          <xdr:rowOff>228600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8</xdr:row>
          <xdr:rowOff>28575</xdr:rowOff>
        </xdr:from>
        <xdr:to>
          <xdr:col>3</xdr:col>
          <xdr:colOff>19050</xdr:colOff>
          <xdr:row>8</xdr:row>
          <xdr:rowOff>247650</xdr:rowOff>
        </xdr:to>
        <xdr:sp macro="" textlink="">
          <xdr:nvSpPr>
            <xdr:cNvPr id="4099" name="Check Box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7734300</xdr:colOff>
          <xdr:row>11</xdr:row>
          <xdr:rowOff>38100</xdr:rowOff>
        </xdr:from>
        <xdr:to>
          <xdr:col>3</xdr:col>
          <xdr:colOff>9525</xdr:colOff>
          <xdr:row>11</xdr:row>
          <xdr:rowOff>257175</xdr:rowOff>
        </xdr:to>
        <xdr:sp macro="" textlink="">
          <xdr:nvSpPr>
            <xdr:cNvPr id="4100" name="Check Box 4"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14</xdr:row>
          <xdr:rowOff>47625</xdr:rowOff>
        </xdr:from>
        <xdr:to>
          <xdr:col>3</xdr:col>
          <xdr:colOff>19050</xdr:colOff>
          <xdr:row>14</xdr:row>
          <xdr:rowOff>266700</xdr:rowOff>
        </xdr:to>
        <xdr:sp macro="" textlink="">
          <xdr:nvSpPr>
            <xdr:cNvPr id="4101" name="Check Box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7705725</xdr:colOff>
          <xdr:row>4</xdr:row>
          <xdr:rowOff>19050</xdr:rowOff>
        </xdr:from>
        <xdr:to>
          <xdr:col>2</xdr:col>
          <xdr:colOff>8220075</xdr:colOff>
          <xdr:row>5</xdr:row>
          <xdr:rowOff>257175</xdr:rowOff>
        </xdr:to>
        <xdr:grpSp>
          <xdr:nvGrpSpPr>
            <xdr:cNvPr id="8" name="Group 30"/>
            <xdr:cNvGrpSpPr>
              <a:grpSpLocks/>
            </xdr:cNvGrpSpPr>
          </xdr:nvGrpSpPr>
          <xdr:grpSpPr bwMode="auto">
            <a:xfrm>
              <a:off x="10741819" y="1209675"/>
              <a:ext cx="514350" cy="535781"/>
              <a:chOff x="1138" y="134"/>
              <a:chExt cx="57" cy="55"/>
            </a:xfrm>
          </xdr:grpSpPr>
          <xdr:sp macro="" textlink="">
            <xdr:nvSpPr>
              <xdr:cNvPr id="4102" name="Check Box 6" hidden="1">
                <a:extLst>
                  <a:ext uri="{63B3BB69-23CF-44E3-9099-C40C66FF867C}">
                    <a14:compatExt spid="_x0000_s4102"/>
                  </a:ext>
                </a:extLst>
              </xdr:cNvPr>
              <xdr:cNvSpPr/>
            </xdr:nvSpPr>
            <xdr:spPr>
              <a:xfrm>
                <a:off x="1138" y="134"/>
                <a:ext cx="57" cy="23"/>
              </a:xfrm>
              <a:prstGeom prst="rect">
                <a:avLst/>
              </a:prstGeom>
            </xdr:spPr>
          </xdr:sp>
          <xdr:sp macro="" textlink="">
            <xdr:nvSpPr>
              <xdr:cNvPr id="4103" name="Check Box 7" hidden="1">
                <a:extLst>
                  <a:ext uri="{63B3BB69-23CF-44E3-9099-C40C66FF867C}">
                    <a14:compatExt spid="_x0000_s4103"/>
                  </a:ext>
                </a:extLst>
              </xdr:cNvPr>
              <xdr:cNvSpPr/>
            </xdr:nvSpPr>
            <xdr:spPr>
              <a:xfrm>
                <a:off x="1138" y="166"/>
                <a:ext cx="57" cy="23"/>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15</xdr:row>
          <xdr:rowOff>19050</xdr:rowOff>
        </xdr:from>
        <xdr:to>
          <xdr:col>3</xdr:col>
          <xdr:colOff>9525</xdr:colOff>
          <xdr:row>15</xdr:row>
          <xdr:rowOff>238125</xdr:rowOff>
        </xdr:to>
        <xdr:sp macro="" textlink="">
          <xdr:nvSpPr>
            <xdr:cNvPr id="4104" name="Check Box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7734300</xdr:colOff>
          <xdr:row>21</xdr:row>
          <xdr:rowOff>95250</xdr:rowOff>
        </xdr:from>
        <xdr:to>
          <xdr:col>3</xdr:col>
          <xdr:colOff>0</xdr:colOff>
          <xdr:row>22</xdr:row>
          <xdr:rowOff>19050</xdr:rowOff>
        </xdr:to>
        <xdr:sp macro="" textlink="">
          <xdr:nvSpPr>
            <xdr:cNvPr id="4105" name="Check Box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7734300</xdr:colOff>
          <xdr:row>22</xdr:row>
          <xdr:rowOff>95250</xdr:rowOff>
        </xdr:from>
        <xdr:to>
          <xdr:col>3</xdr:col>
          <xdr:colOff>0</xdr:colOff>
          <xdr:row>23</xdr:row>
          <xdr:rowOff>19050</xdr:rowOff>
        </xdr:to>
        <xdr:sp macro="" textlink="">
          <xdr:nvSpPr>
            <xdr:cNvPr id="4106" name="Check Box 10" hidden="1">
              <a:extLst>
                <a:ext uri="{63B3BB69-23CF-44E3-9099-C40C66FF867C}">
                  <a14:compatExt spid="_x0000_s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7734300</xdr:colOff>
          <xdr:row>16</xdr:row>
          <xdr:rowOff>28575</xdr:rowOff>
        </xdr:from>
        <xdr:to>
          <xdr:col>3</xdr:col>
          <xdr:colOff>9525</xdr:colOff>
          <xdr:row>20</xdr:row>
          <xdr:rowOff>285750</xdr:rowOff>
        </xdr:to>
        <xdr:grpSp>
          <xdr:nvGrpSpPr>
            <xdr:cNvPr id="14" name="3 Grupo"/>
            <xdr:cNvGrpSpPr>
              <a:grpSpLocks/>
            </xdr:cNvGrpSpPr>
          </xdr:nvGrpSpPr>
          <xdr:grpSpPr bwMode="auto">
            <a:xfrm>
              <a:off x="10770394" y="4791075"/>
              <a:ext cx="514350" cy="1423988"/>
              <a:chOff x="10773120" y="4489161"/>
              <a:chExt cx="514004" cy="1429605"/>
            </a:xfrm>
          </xdr:grpSpPr>
          <xdr:sp macro="" textlink="">
            <xdr:nvSpPr>
              <xdr:cNvPr id="4107" name="Check Box 11" hidden="1">
                <a:extLst>
                  <a:ext uri="{63B3BB69-23CF-44E3-9099-C40C66FF867C}">
                    <a14:compatExt spid="_x0000_s4107"/>
                  </a:ext>
                </a:extLst>
              </xdr:cNvPr>
              <xdr:cNvSpPr/>
            </xdr:nvSpPr>
            <xdr:spPr>
              <a:xfrm>
                <a:off x="10779220" y="4489161"/>
                <a:ext cx="507904" cy="223010"/>
              </a:xfrm>
              <a:prstGeom prst="rect">
                <a:avLst/>
              </a:prstGeom>
            </xdr:spPr>
          </xdr:sp>
          <xdr:sp macro="" textlink="">
            <xdr:nvSpPr>
              <xdr:cNvPr id="4108" name="Check Box 12" hidden="1">
                <a:extLst>
                  <a:ext uri="{63B3BB69-23CF-44E3-9099-C40C66FF867C}">
                    <a14:compatExt spid="_x0000_s4108"/>
                  </a:ext>
                </a:extLst>
              </xdr:cNvPr>
              <xdr:cNvSpPr/>
            </xdr:nvSpPr>
            <xdr:spPr>
              <a:xfrm>
                <a:off x="10773120" y="4760500"/>
                <a:ext cx="502117" cy="223010"/>
              </a:xfrm>
              <a:prstGeom prst="rect">
                <a:avLst/>
              </a:prstGeom>
            </xdr:spPr>
          </xdr:sp>
          <xdr:sp macro="" textlink="">
            <xdr:nvSpPr>
              <xdr:cNvPr id="4109" name="Check Box 13" hidden="1">
                <a:extLst>
                  <a:ext uri="{63B3BB69-23CF-44E3-9099-C40C66FF867C}">
                    <a14:compatExt spid="_x0000_s4109"/>
                  </a:ext>
                </a:extLst>
              </xdr:cNvPr>
              <xdr:cNvSpPr/>
            </xdr:nvSpPr>
            <xdr:spPr>
              <a:xfrm>
                <a:off x="10773120" y="5378840"/>
                <a:ext cx="502117" cy="223010"/>
              </a:xfrm>
              <a:prstGeom prst="rect">
                <a:avLst/>
              </a:prstGeom>
            </xdr:spPr>
          </xdr:sp>
          <xdr:sp macro="" textlink="">
            <xdr:nvSpPr>
              <xdr:cNvPr id="4110" name="Check Box 14" hidden="1">
                <a:extLst>
                  <a:ext uri="{63B3BB69-23CF-44E3-9099-C40C66FF867C}">
                    <a14:compatExt spid="_x0000_s4110"/>
                  </a:ext>
                </a:extLst>
              </xdr:cNvPr>
              <xdr:cNvSpPr/>
            </xdr:nvSpPr>
            <xdr:spPr>
              <a:xfrm>
                <a:off x="10773120" y="5695756"/>
                <a:ext cx="502117" cy="223010"/>
              </a:xfrm>
              <a:prstGeom prst="rect">
                <a:avLst/>
              </a:prstGeom>
            </xdr:spPr>
          </xdr:sp>
          <xdr:sp macro="" textlink="">
            <xdr:nvSpPr>
              <xdr:cNvPr id="4111" name="Check Box 15" hidden="1">
                <a:extLst>
                  <a:ext uri="{63B3BB69-23CF-44E3-9099-C40C66FF867C}">
                    <a14:compatExt spid="_x0000_s4111"/>
                  </a:ext>
                </a:extLst>
              </xdr:cNvPr>
              <xdr:cNvSpPr/>
            </xdr:nvSpPr>
            <xdr:spPr>
              <a:xfrm>
                <a:off x="10773120" y="5099007"/>
                <a:ext cx="502117" cy="22301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29</xdr:row>
          <xdr:rowOff>9525</xdr:rowOff>
        </xdr:from>
        <xdr:to>
          <xdr:col>3</xdr:col>
          <xdr:colOff>19050</xdr:colOff>
          <xdr:row>33</xdr:row>
          <xdr:rowOff>0</xdr:rowOff>
        </xdr:to>
        <xdr:grpSp>
          <xdr:nvGrpSpPr>
            <xdr:cNvPr id="20" name="2 Grupo"/>
            <xdr:cNvGrpSpPr>
              <a:grpSpLocks/>
            </xdr:cNvGrpSpPr>
          </xdr:nvGrpSpPr>
          <xdr:grpSpPr bwMode="auto">
            <a:xfrm>
              <a:off x="10779919" y="8439150"/>
              <a:ext cx="514350" cy="1169194"/>
              <a:chOff x="10776014" y="8139157"/>
              <a:chExt cx="513692" cy="1173225"/>
            </a:xfrm>
          </xdr:grpSpPr>
          <xdr:sp macro="" textlink="">
            <xdr:nvSpPr>
              <xdr:cNvPr id="4112" name="Check Box 16" hidden="1">
                <a:extLst>
                  <a:ext uri="{63B3BB69-23CF-44E3-9099-C40C66FF867C}">
                    <a14:compatExt spid="_x0000_s4112"/>
                  </a:ext>
                </a:extLst>
              </xdr:cNvPr>
              <xdr:cNvSpPr/>
            </xdr:nvSpPr>
            <xdr:spPr>
              <a:xfrm>
                <a:off x="10776014" y="8139157"/>
                <a:ext cx="513692" cy="223006"/>
              </a:xfrm>
              <a:prstGeom prst="rect">
                <a:avLst/>
              </a:prstGeom>
            </xdr:spPr>
          </xdr:sp>
          <xdr:sp macro="" textlink="">
            <xdr:nvSpPr>
              <xdr:cNvPr id="4113" name="Check Box 17" hidden="1">
                <a:extLst>
                  <a:ext uri="{63B3BB69-23CF-44E3-9099-C40C66FF867C}">
                    <a14:compatExt spid="_x0000_s4113"/>
                  </a:ext>
                </a:extLst>
              </xdr:cNvPr>
              <xdr:cNvSpPr/>
            </xdr:nvSpPr>
            <xdr:spPr>
              <a:xfrm>
                <a:off x="10776014" y="8420347"/>
                <a:ext cx="513692" cy="223010"/>
              </a:xfrm>
              <a:prstGeom prst="rect">
                <a:avLst/>
              </a:prstGeom>
            </xdr:spPr>
          </xdr:sp>
          <xdr:sp macro="" textlink="">
            <xdr:nvSpPr>
              <xdr:cNvPr id="4114" name="Check Box 18" hidden="1">
                <a:extLst>
                  <a:ext uri="{63B3BB69-23CF-44E3-9099-C40C66FF867C}">
                    <a14:compatExt spid="_x0000_s4114"/>
                  </a:ext>
                </a:extLst>
              </xdr:cNvPr>
              <xdr:cNvSpPr/>
            </xdr:nvSpPr>
            <xdr:spPr>
              <a:xfrm>
                <a:off x="10776014" y="8740318"/>
                <a:ext cx="513692" cy="223010"/>
              </a:xfrm>
              <a:prstGeom prst="rect">
                <a:avLst/>
              </a:prstGeom>
            </xdr:spPr>
          </xdr:sp>
          <xdr:sp macro="" textlink="">
            <xdr:nvSpPr>
              <xdr:cNvPr id="4115" name="Check Box 19" hidden="1">
                <a:extLst>
                  <a:ext uri="{63B3BB69-23CF-44E3-9099-C40C66FF867C}">
                    <a14:compatExt spid="_x0000_s4115"/>
                  </a:ext>
                </a:extLst>
              </xdr:cNvPr>
              <xdr:cNvSpPr/>
            </xdr:nvSpPr>
            <xdr:spPr>
              <a:xfrm>
                <a:off x="10776014" y="9089372"/>
                <a:ext cx="513692" cy="22301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xdr:row>
          <xdr:rowOff>9525</xdr:rowOff>
        </xdr:from>
        <xdr:to>
          <xdr:col>3</xdr:col>
          <xdr:colOff>762000</xdr:colOff>
          <xdr:row>3</xdr:row>
          <xdr:rowOff>19050</xdr:rowOff>
        </xdr:to>
        <xdr:sp macro="" textlink="">
          <xdr:nvSpPr>
            <xdr:cNvPr id="4116" name="luca" hidden="1">
              <a:extLst>
                <a:ext uri="{63B3BB69-23CF-44E3-9099-C40C66FF867C}">
                  <a14:compatExt spid="_x0000_s4116"/>
                </a:ext>
              </a:extLst>
            </xdr:cNvPr>
            <xdr:cNvSpPr/>
          </xdr:nvSpPr>
          <xdr:spPr>
            <a:xfrm>
              <a:off x="0" y="0"/>
              <a:ext cx="0" cy="0"/>
            </a:xfrm>
            <a:prstGeom prst="rect">
              <a:avLst/>
            </a:prstGeom>
          </xdr:spPr>
          <xdr:txBody>
            <a:bodyPr vertOverflow="clip" wrap="square" lIns="18288" tIns="0" rIns="0" bIns="0" anchor="ctr" upright="1"/>
            <a:lstStyle/>
            <a:p>
              <a:pPr algn="ctr" rtl="0">
                <a:defRPr sz="1000"/>
              </a:pPr>
              <a:endParaRPr lang="es-ES"/>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9</xdr:row>
          <xdr:rowOff>57150</xdr:rowOff>
        </xdr:from>
        <xdr:to>
          <xdr:col>3</xdr:col>
          <xdr:colOff>47625</xdr:colOff>
          <xdr:row>9</xdr:row>
          <xdr:rowOff>276225</xdr:rowOff>
        </xdr:to>
        <xdr:sp macro="" textlink="">
          <xdr:nvSpPr>
            <xdr:cNvPr id="4117" name="Check Box 21" hidden="1">
              <a:extLst>
                <a:ext uri="{63B3BB69-23CF-44E3-9099-C40C66FF867C}">
                  <a14:compatExt spid="_x0000_s4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10</xdr:row>
          <xdr:rowOff>47625</xdr:rowOff>
        </xdr:from>
        <xdr:to>
          <xdr:col>3</xdr:col>
          <xdr:colOff>47625</xdr:colOff>
          <xdr:row>10</xdr:row>
          <xdr:rowOff>247650</xdr:rowOff>
        </xdr:to>
        <xdr:sp macro="" textlink="">
          <xdr:nvSpPr>
            <xdr:cNvPr id="4118" name="Check Box 22" hidden="1">
              <a:extLst>
                <a:ext uri="{63B3BB69-23CF-44E3-9099-C40C66FF867C}">
                  <a14:compatExt spid="_x0000_s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7372350</xdr:colOff>
          <xdr:row>3</xdr:row>
          <xdr:rowOff>47625</xdr:rowOff>
        </xdr:from>
        <xdr:to>
          <xdr:col>2</xdr:col>
          <xdr:colOff>7915275</xdr:colOff>
          <xdr:row>3</xdr:row>
          <xdr:rowOff>257175</xdr:rowOff>
        </xdr:to>
        <xdr:sp macro="" textlink="">
          <xdr:nvSpPr>
            <xdr:cNvPr id="4119" name="Check Box 23" hidden="1">
              <a:extLst>
                <a:ext uri="{63B3BB69-23CF-44E3-9099-C40C66FF867C}">
                  <a14:compatExt spid="_x0000_s4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7400925</xdr:colOff>
          <xdr:row>7</xdr:row>
          <xdr:rowOff>19050</xdr:rowOff>
        </xdr:from>
        <xdr:to>
          <xdr:col>2</xdr:col>
          <xdr:colOff>7943850</xdr:colOff>
          <xdr:row>7</xdr:row>
          <xdr:rowOff>238125</xdr:rowOff>
        </xdr:to>
        <xdr:sp macro="" textlink="">
          <xdr:nvSpPr>
            <xdr:cNvPr id="4120" name="Check Box 24" hidden="1">
              <a:extLst>
                <a:ext uri="{63B3BB69-23CF-44E3-9099-C40C66FF867C}">
                  <a14:compatExt spid="_x0000_s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12</xdr:row>
          <xdr:rowOff>38100</xdr:rowOff>
        </xdr:from>
        <xdr:to>
          <xdr:col>3</xdr:col>
          <xdr:colOff>47625</xdr:colOff>
          <xdr:row>12</xdr:row>
          <xdr:rowOff>228600</xdr:rowOff>
        </xdr:to>
        <xdr:sp macro="" textlink="">
          <xdr:nvSpPr>
            <xdr:cNvPr id="4121" name="Check Box 25" hidden="1">
              <a:extLst>
                <a:ext uri="{63B3BB69-23CF-44E3-9099-C40C66FF867C}">
                  <a14:compatExt spid="_x0000_s4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7705725</xdr:colOff>
          <xdr:row>25</xdr:row>
          <xdr:rowOff>57150</xdr:rowOff>
        </xdr:from>
        <xdr:to>
          <xdr:col>3</xdr:col>
          <xdr:colOff>9525</xdr:colOff>
          <xdr:row>27</xdr:row>
          <xdr:rowOff>276225</xdr:rowOff>
        </xdr:to>
        <xdr:grpSp>
          <xdr:nvGrpSpPr>
            <xdr:cNvPr id="31" name="1 Grupo"/>
            <xdr:cNvGrpSpPr>
              <a:grpSpLocks/>
            </xdr:cNvGrpSpPr>
          </xdr:nvGrpSpPr>
          <xdr:grpSpPr bwMode="auto">
            <a:xfrm>
              <a:off x="10741819" y="7284244"/>
              <a:ext cx="542925" cy="814387"/>
              <a:chOff x="10737705" y="6983122"/>
              <a:chExt cx="547042" cy="815469"/>
            </a:xfrm>
          </xdr:grpSpPr>
          <xdr:sp macro="" textlink="">
            <xdr:nvSpPr>
              <xdr:cNvPr id="4122" name="Check Box 26" hidden="1">
                <a:extLst>
                  <a:ext uri="{63B3BB69-23CF-44E3-9099-C40C66FF867C}">
                    <a14:compatExt spid="_x0000_s4122"/>
                  </a:ext>
                </a:extLst>
              </xdr:cNvPr>
              <xdr:cNvSpPr/>
            </xdr:nvSpPr>
            <xdr:spPr>
              <a:xfrm>
                <a:off x="10737705" y="6983122"/>
                <a:ext cx="513690" cy="223009"/>
              </a:xfrm>
              <a:prstGeom prst="rect">
                <a:avLst/>
              </a:prstGeom>
            </xdr:spPr>
          </xdr:sp>
          <xdr:sp macro="" textlink="">
            <xdr:nvSpPr>
              <xdr:cNvPr id="4123" name="Check Box 27" hidden="1">
                <a:extLst>
                  <a:ext uri="{63B3BB69-23CF-44E3-9099-C40C66FF867C}">
                    <a14:compatExt spid="_x0000_s4123"/>
                  </a:ext>
                </a:extLst>
              </xdr:cNvPr>
              <xdr:cNvSpPr/>
            </xdr:nvSpPr>
            <xdr:spPr>
              <a:xfrm>
                <a:off x="10741822" y="7291388"/>
                <a:ext cx="542925" cy="209550"/>
              </a:xfrm>
              <a:prstGeom prst="rect">
                <a:avLst/>
              </a:prstGeom>
            </xdr:spPr>
          </xdr:sp>
          <xdr:sp macro="" textlink="">
            <xdr:nvSpPr>
              <xdr:cNvPr id="4124" name="Check Box 28" hidden="1">
                <a:extLst>
                  <a:ext uri="{63B3BB69-23CF-44E3-9099-C40C66FF867C}">
                    <a14:compatExt spid="_x0000_s4124"/>
                  </a:ext>
                </a:extLst>
              </xdr:cNvPr>
              <xdr:cNvSpPr/>
            </xdr:nvSpPr>
            <xdr:spPr>
              <a:xfrm>
                <a:off x="10741822" y="7579516"/>
                <a:ext cx="542925" cy="219075"/>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7705725</xdr:colOff>
          <xdr:row>26</xdr:row>
          <xdr:rowOff>57150</xdr:rowOff>
        </xdr:from>
        <xdr:to>
          <xdr:col>3</xdr:col>
          <xdr:colOff>9525</xdr:colOff>
          <xdr:row>28</xdr:row>
          <xdr:rowOff>276225</xdr:rowOff>
        </xdr:to>
        <xdr:grpSp>
          <xdr:nvGrpSpPr>
            <xdr:cNvPr id="35" name="1 Grupo"/>
            <xdr:cNvGrpSpPr>
              <a:grpSpLocks/>
            </xdr:cNvGrpSpPr>
          </xdr:nvGrpSpPr>
          <xdr:grpSpPr bwMode="auto">
            <a:xfrm>
              <a:off x="10741819" y="7581900"/>
              <a:ext cx="542925" cy="814388"/>
              <a:chOff x="10737705" y="6983117"/>
              <a:chExt cx="547042" cy="815469"/>
            </a:xfrm>
          </xdr:grpSpPr>
          <xdr:sp macro="" textlink="">
            <xdr:nvSpPr>
              <xdr:cNvPr id="4125" name="Check Box 29" hidden="1">
                <a:extLst>
                  <a:ext uri="{63B3BB69-23CF-44E3-9099-C40C66FF867C}">
                    <a14:compatExt spid="_x0000_s4125"/>
                  </a:ext>
                </a:extLst>
              </xdr:cNvPr>
              <xdr:cNvSpPr/>
            </xdr:nvSpPr>
            <xdr:spPr>
              <a:xfrm>
                <a:off x="10737705" y="6983117"/>
                <a:ext cx="513690" cy="223010"/>
              </a:xfrm>
              <a:prstGeom prst="rect">
                <a:avLst/>
              </a:prstGeom>
            </xdr:spPr>
          </xdr:sp>
          <xdr:sp macro="" textlink="">
            <xdr:nvSpPr>
              <xdr:cNvPr id="4126" name="Check Box 30" hidden="1">
                <a:extLst>
                  <a:ext uri="{63B3BB69-23CF-44E3-9099-C40C66FF867C}">
                    <a14:compatExt spid="_x0000_s4126"/>
                  </a:ext>
                </a:extLst>
              </xdr:cNvPr>
              <xdr:cNvSpPr/>
            </xdr:nvSpPr>
            <xdr:spPr>
              <a:xfrm>
                <a:off x="10741822" y="7291388"/>
                <a:ext cx="542925" cy="209550"/>
              </a:xfrm>
              <a:prstGeom prst="rect">
                <a:avLst/>
              </a:prstGeom>
            </xdr:spPr>
          </xdr:sp>
          <xdr:sp macro="" textlink="">
            <xdr:nvSpPr>
              <xdr:cNvPr id="4127" name="Check Box 31" hidden="1">
                <a:extLst>
                  <a:ext uri="{63B3BB69-23CF-44E3-9099-C40C66FF867C}">
                    <a14:compatExt spid="_x0000_s4127"/>
                  </a:ext>
                </a:extLst>
              </xdr:cNvPr>
              <xdr:cNvSpPr/>
            </xdr:nvSpPr>
            <xdr:spPr>
              <a:xfrm>
                <a:off x="10741822" y="7579511"/>
                <a:ext cx="542925" cy="219075"/>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7705725</xdr:colOff>
          <xdr:row>26</xdr:row>
          <xdr:rowOff>57150</xdr:rowOff>
        </xdr:from>
        <xdr:to>
          <xdr:col>3</xdr:col>
          <xdr:colOff>9525</xdr:colOff>
          <xdr:row>28</xdr:row>
          <xdr:rowOff>276225</xdr:rowOff>
        </xdr:to>
        <xdr:grpSp>
          <xdr:nvGrpSpPr>
            <xdr:cNvPr id="39" name="1 Grupo"/>
            <xdr:cNvGrpSpPr>
              <a:grpSpLocks/>
            </xdr:cNvGrpSpPr>
          </xdr:nvGrpSpPr>
          <xdr:grpSpPr bwMode="auto">
            <a:xfrm>
              <a:off x="10741819" y="7581900"/>
              <a:ext cx="542925" cy="814388"/>
              <a:chOff x="10737705" y="6983117"/>
              <a:chExt cx="547042" cy="815469"/>
            </a:xfrm>
          </xdr:grpSpPr>
          <xdr:sp macro="" textlink="">
            <xdr:nvSpPr>
              <xdr:cNvPr id="4128" name="Check Box 32" hidden="1">
                <a:extLst>
                  <a:ext uri="{63B3BB69-23CF-44E3-9099-C40C66FF867C}">
                    <a14:compatExt spid="_x0000_s4128"/>
                  </a:ext>
                </a:extLst>
              </xdr:cNvPr>
              <xdr:cNvSpPr/>
            </xdr:nvSpPr>
            <xdr:spPr>
              <a:xfrm>
                <a:off x="10737705" y="6983117"/>
                <a:ext cx="513690" cy="223010"/>
              </a:xfrm>
              <a:prstGeom prst="rect">
                <a:avLst/>
              </a:prstGeom>
            </xdr:spPr>
          </xdr:sp>
          <xdr:sp macro="" textlink="">
            <xdr:nvSpPr>
              <xdr:cNvPr id="4129" name="Check Box 33" hidden="1">
                <a:extLst>
                  <a:ext uri="{63B3BB69-23CF-44E3-9099-C40C66FF867C}">
                    <a14:compatExt spid="_x0000_s4129"/>
                  </a:ext>
                </a:extLst>
              </xdr:cNvPr>
              <xdr:cNvSpPr/>
            </xdr:nvSpPr>
            <xdr:spPr>
              <a:xfrm>
                <a:off x="10741822" y="7291388"/>
                <a:ext cx="542925" cy="209550"/>
              </a:xfrm>
              <a:prstGeom prst="rect">
                <a:avLst/>
              </a:prstGeom>
            </xdr:spPr>
          </xdr:sp>
          <xdr:sp macro="" textlink="">
            <xdr:nvSpPr>
              <xdr:cNvPr id="4130" name="Check Box 34" hidden="1">
                <a:extLst>
                  <a:ext uri="{63B3BB69-23CF-44E3-9099-C40C66FF867C}">
                    <a14:compatExt spid="_x0000_s4130"/>
                  </a:ext>
                </a:extLst>
              </xdr:cNvPr>
              <xdr:cNvSpPr/>
            </xdr:nvSpPr>
            <xdr:spPr>
              <a:xfrm>
                <a:off x="10741822" y="7579511"/>
                <a:ext cx="542925" cy="219075"/>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7705725</xdr:colOff>
          <xdr:row>25</xdr:row>
          <xdr:rowOff>57150</xdr:rowOff>
        </xdr:from>
        <xdr:to>
          <xdr:col>3</xdr:col>
          <xdr:colOff>9525</xdr:colOff>
          <xdr:row>26</xdr:row>
          <xdr:rowOff>276225</xdr:rowOff>
        </xdr:to>
        <xdr:grpSp>
          <xdr:nvGrpSpPr>
            <xdr:cNvPr id="43" name="1 Grupo"/>
            <xdr:cNvGrpSpPr>
              <a:grpSpLocks/>
            </xdr:cNvGrpSpPr>
          </xdr:nvGrpSpPr>
          <xdr:grpSpPr bwMode="auto">
            <a:xfrm>
              <a:off x="10741819" y="7284244"/>
              <a:ext cx="542925" cy="516731"/>
              <a:chOff x="10737724" y="6983178"/>
              <a:chExt cx="547053" cy="517791"/>
            </a:xfrm>
          </xdr:grpSpPr>
          <xdr:sp macro="" textlink="">
            <xdr:nvSpPr>
              <xdr:cNvPr id="4131" name="Check Box 35" hidden="1">
                <a:extLst>
                  <a:ext uri="{63B3BB69-23CF-44E3-9099-C40C66FF867C}">
                    <a14:compatExt spid="_x0000_s4131"/>
                  </a:ext>
                </a:extLst>
              </xdr:cNvPr>
              <xdr:cNvSpPr/>
            </xdr:nvSpPr>
            <xdr:spPr>
              <a:xfrm>
                <a:off x="10737724" y="6983178"/>
                <a:ext cx="513691" cy="223013"/>
              </a:xfrm>
              <a:prstGeom prst="rect">
                <a:avLst/>
              </a:prstGeom>
            </xdr:spPr>
          </xdr:sp>
          <xdr:sp macro="" textlink="">
            <xdr:nvSpPr>
              <xdr:cNvPr id="4132" name="Check Box 36" hidden="1">
                <a:extLst>
                  <a:ext uri="{63B3BB69-23CF-44E3-9099-C40C66FF867C}">
                    <a14:compatExt spid="_x0000_s4132"/>
                  </a:ext>
                </a:extLst>
              </xdr:cNvPr>
              <xdr:cNvSpPr/>
            </xdr:nvSpPr>
            <xdr:spPr>
              <a:xfrm>
                <a:off x="10741850" y="7291419"/>
                <a:ext cx="542927" cy="20955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33</xdr:row>
          <xdr:rowOff>28575</xdr:rowOff>
        </xdr:from>
        <xdr:to>
          <xdr:col>3</xdr:col>
          <xdr:colOff>19050</xdr:colOff>
          <xdr:row>33</xdr:row>
          <xdr:rowOff>247650</xdr:rowOff>
        </xdr:to>
        <xdr:sp macro="" textlink="">
          <xdr:nvSpPr>
            <xdr:cNvPr id="4133" name="Check Box 37" hidden="1">
              <a:extLst>
                <a:ext uri="{63B3BB69-23CF-44E3-9099-C40C66FF867C}">
                  <a14:compatExt spid="_x0000_s4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13</xdr:row>
          <xdr:rowOff>38100</xdr:rowOff>
        </xdr:from>
        <xdr:to>
          <xdr:col>3</xdr:col>
          <xdr:colOff>47625</xdr:colOff>
          <xdr:row>13</xdr:row>
          <xdr:rowOff>228600</xdr:rowOff>
        </xdr:to>
        <xdr:sp macro="" textlink="">
          <xdr:nvSpPr>
            <xdr:cNvPr id="4134" name="Check Box 38" hidden="1">
              <a:extLst>
                <a:ext uri="{63B3BB69-23CF-44E3-9099-C40C66FF867C}">
                  <a14:compatExt spid="_x0000_s4134"/>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515471</xdr:colOff>
      <xdr:row>4</xdr:row>
      <xdr:rowOff>123265</xdr:rowOff>
    </xdr:from>
    <xdr:to>
      <xdr:col>10</xdr:col>
      <xdr:colOff>268644</xdr:colOff>
      <xdr:row>8</xdr:row>
      <xdr:rowOff>78441</xdr:rowOff>
    </xdr:to>
    <xdr:sp macro="" textlink="">
      <xdr:nvSpPr>
        <xdr:cNvPr id="2" name="1 Rectángulo redondeado">
          <a:hlinkClick xmlns:r="http://schemas.openxmlformats.org/officeDocument/2006/relationships" r:id="rId1"/>
        </xdr:cNvPr>
        <xdr:cNvSpPr/>
      </xdr:nvSpPr>
      <xdr:spPr bwMode="auto">
        <a:xfrm>
          <a:off x="10307171" y="609040"/>
          <a:ext cx="972373" cy="517151"/>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392206</xdr:colOff>
      <xdr:row>1</xdr:row>
      <xdr:rowOff>0</xdr:rowOff>
    </xdr:from>
    <xdr:to>
      <xdr:col>10</xdr:col>
      <xdr:colOff>280798</xdr:colOff>
      <xdr:row>5</xdr:row>
      <xdr:rowOff>67236</xdr:rowOff>
    </xdr:to>
    <xdr:sp macro="" textlink="">
      <xdr:nvSpPr>
        <xdr:cNvPr id="2" name="3 Rectángulo redondeado">
          <a:hlinkClick xmlns:r="http://schemas.openxmlformats.org/officeDocument/2006/relationships" r:id="rId1"/>
        </xdr:cNvPr>
        <xdr:cNvSpPr/>
      </xdr:nvSpPr>
      <xdr:spPr bwMode="auto">
        <a:xfrm>
          <a:off x="10336306" y="228600"/>
          <a:ext cx="1107792" cy="676836"/>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392206</xdr:colOff>
      <xdr:row>1</xdr:row>
      <xdr:rowOff>0</xdr:rowOff>
    </xdr:from>
    <xdr:to>
      <xdr:col>10</xdr:col>
      <xdr:colOff>280798</xdr:colOff>
      <xdr:row>5</xdr:row>
      <xdr:rowOff>67236</xdr:rowOff>
    </xdr:to>
    <xdr:sp macro="" textlink="">
      <xdr:nvSpPr>
        <xdr:cNvPr id="2" name="3 Rectángulo redondeado">
          <a:hlinkClick xmlns:r="http://schemas.openxmlformats.org/officeDocument/2006/relationships" r:id="rId1"/>
        </xdr:cNvPr>
        <xdr:cNvSpPr/>
      </xdr:nvSpPr>
      <xdr:spPr bwMode="auto">
        <a:xfrm>
          <a:off x="10336306" y="228600"/>
          <a:ext cx="1107792" cy="676836"/>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291353</xdr:colOff>
      <xdr:row>0</xdr:row>
      <xdr:rowOff>143995</xdr:rowOff>
    </xdr:from>
    <xdr:to>
      <xdr:col>9</xdr:col>
      <xdr:colOff>414618</xdr:colOff>
      <xdr:row>4</xdr:row>
      <xdr:rowOff>11216</xdr:rowOff>
    </xdr:to>
    <xdr:sp macro="" textlink="">
      <xdr:nvSpPr>
        <xdr:cNvPr id="2" name="1 Rectángulo redondeado">
          <a:hlinkClick xmlns:r="http://schemas.openxmlformats.org/officeDocument/2006/relationships" r:id="rId1"/>
        </xdr:cNvPr>
        <xdr:cNvSpPr/>
      </xdr:nvSpPr>
      <xdr:spPr bwMode="auto">
        <a:xfrm>
          <a:off x="8701928" y="143995"/>
          <a:ext cx="961465" cy="505396"/>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324970</xdr:colOff>
      <xdr:row>0</xdr:row>
      <xdr:rowOff>134470</xdr:rowOff>
    </xdr:from>
    <xdr:to>
      <xdr:col>10</xdr:col>
      <xdr:colOff>11205</xdr:colOff>
      <xdr:row>4</xdr:row>
      <xdr:rowOff>44822</xdr:rowOff>
    </xdr:to>
    <xdr:sp macro="" textlink="">
      <xdr:nvSpPr>
        <xdr:cNvPr id="2" name="1 Rectángulo redondeado">
          <a:hlinkClick xmlns:r="http://schemas.openxmlformats.org/officeDocument/2006/relationships" r:id="rId1"/>
        </xdr:cNvPr>
        <xdr:cNvSpPr/>
      </xdr:nvSpPr>
      <xdr:spPr bwMode="auto">
        <a:xfrm>
          <a:off x="9411820" y="134470"/>
          <a:ext cx="962585" cy="491377"/>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347382</xdr:colOff>
      <xdr:row>0</xdr:row>
      <xdr:rowOff>100853</xdr:rowOff>
    </xdr:from>
    <xdr:to>
      <xdr:col>9</xdr:col>
      <xdr:colOff>470647</xdr:colOff>
      <xdr:row>5</xdr:row>
      <xdr:rowOff>33617</xdr:rowOff>
    </xdr:to>
    <xdr:sp macro="" textlink="">
      <xdr:nvSpPr>
        <xdr:cNvPr id="2" name="1 Rectángulo redondeado">
          <a:hlinkClick xmlns:r="http://schemas.openxmlformats.org/officeDocument/2006/relationships" r:id="rId1"/>
        </xdr:cNvPr>
        <xdr:cNvSpPr/>
      </xdr:nvSpPr>
      <xdr:spPr bwMode="auto">
        <a:xfrm>
          <a:off x="8510307" y="100853"/>
          <a:ext cx="961465" cy="837639"/>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582707</xdr:colOff>
      <xdr:row>2</xdr:row>
      <xdr:rowOff>190500</xdr:rowOff>
    </xdr:from>
    <xdr:to>
      <xdr:col>8</xdr:col>
      <xdr:colOff>705971</xdr:colOff>
      <xdr:row>5</xdr:row>
      <xdr:rowOff>22411</xdr:rowOff>
    </xdr:to>
    <xdr:sp macro="" textlink="">
      <xdr:nvSpPr>
        <xdr:cNvPr id="2" name="1 Rectángulo redondeado">
          <a:hlinkClick xmlns:r="http://schemas.openxmlformats.org/officeDocument/2006/relationships" r:id="rId1"/>
        </xdr:cNvPr>
        <xdr:cNvSpPr/>
      </xdr:nvSpPr>
      <xdr:spPr bwMode="auto">
        <a:xfrm>
          <a:off x="8717057" y="609600"/>
          <a:ext cx="961464" cy="508186"/>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347382</xdr:colOff>
      <xdr:row>2</xdr:row>
      <xdr:rowOff>156882</xdr:rowOff>
    </xdr:from>
    <xdr:to>
      <xdr:col>16</xdr:col>
      <xdr:colOff>470647</xdr:colOff>
      <xdr:row>4</xdr:row>
      <xdr:rowOff>190499</xdr:rowOff>
    </xdr:to>
    <xdr:sp macro="" textlink="">
      <xdr:nvSpPr>
        <xdr:cNvPr id="2" name="1 Rectángulo redondeado">
          <a:hlinkClick xmlns:r="http://schemas.openxmlformats.org/officeDocument/2006/relationships" r:id="rId1"/>
        </xdr:cNvPr>
        <xdr:cNvSpPr/>
      </xdr:nvSpPr>
      <xdr:spPr bwMode="auto">
        <a:xfrm>
          <a:off x="14949207" y="575982"/>
          <a:ext cx="961465" cy="509867"/>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493059</xdr:colOff>
      <xdr:row>2</xdr:row>
      <xdr:rowOff>67235</xdr:rowOff>
    </xdr:from>
    <xdr:to>
      <xdr:col>9</xdr:col>
      <xdr:colOff>616324</xdr:colOff>
      <xdr:row>5</xdr:row>
      <xdr:rowOff>22411</xdr:rowOff>
    </xdr:to>
    <xdr:sp macro="" textlink="">
      <xdr:nvSpPr>
        <xdr:cNvPr id="2" name="1 Rectángulo redondeado">
          <a:hlinkClick xmlns:r="http://schemas.openxmlformats.org/officeDocument/2006/relationships" r:id="rId1"/>
        </xdr:cNvPr>
        <xdr:cNvSpPr/>
      </xdr:nvSpPr>
      <xdr:spPr bwMode="auto">
        <a:xfrm>
          <a:off x="10846734" y="486335"/>
          <a:ext cx="961465" cy="498101"/>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919666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593911</xdr:colOff>
      <xdr:row>3</xdr:row>
      <xdr:rowOff>22412</xdr:rowOff>
    </xdr:from>
    <xdr:to>
      <xdr:col>6</xdr:col>
      <xdr:colOff>336176</xdr:colOff>
      <xdr:row>4</xdr:row>
      <xdr:rowOff>369793</xdr:rowOff>
    </xdr:to>
    <xdr:sp macro="" textlink="">
      <xdr:nvSpPr>
        <xdr:cNvPr id="2" name="1 Rectángulo redondeado">
          <a:hlinkClick xmlns:r="http://schemas.openxmlformats.org/officeDocument/2006/relationships" r:id="rId1"/>
        </xdr:cNvPr>
        <xdr:cNvSpPr/>
      </xdr:nvSpPr>
      <xdr:spPr bwMode="auto">
        <a:xfrm>
          <a:off x="6442261" y="574862"/>
          <a:ext cx="970990" cy="509306"/>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entre%20de%20dades\web\dades-accion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w906372\LOCALS~1\Temp\Directorio%20temporal%201%20para%20CNMV_IPP_0607.zip\CNMV_IPP_06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NTCOAP\FINMES\DEXT13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efan010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TEMP\USERS\U078671\13\RCE%20sim%203.0%20Hip%20Nuev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USERS\U078671\13\RCE%20sim%203.0%20Hip%20Nueva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area%20tecnica\rrpp\carga%20rrpp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area%20tecnica\rrpp\carga%20rrpp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COAP\FINMES\Rmer\RIESM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es Reuters"/>
      <sheetName val="Gràfica"/>
      <sheetName val="Accions BS "/>
      <sheetName val="Autocartera "/>
      <sheetName val="Autocartera  drets"/>
      <sheetName val="Accions BS  drets"/>
      <sheetName val="Accions BS juny"/>
      <sheetName val="Autocartera  BS juny"/>
      <sheetName val="Accions BS juliol"/>
      <sheetName val="Autocartera  BS juliol"/>
      <sheetName val="Hoja3"/>
      <sheetName val="ABRIL"/>
    </sheetNames>
    <sheetDataSet>
      <sheetData sheetId="0" refreshError="1">
        <row r="3">
          <cell r="A3">
            <v>37083</v>
          </cell>
          <cell r="B3">
            <v>17.68</v>
          </cell>
          <cell r="C3">
            <v>134972</v>
          </cell>
          <cell r="D3">
            <v>18.09</v>
          </cell>
          <cell r="E3">
            <v>17.62</v>
          </cell>
          <cell r="F3">
            <v>18</v>
          </cell>
          <cell r="G3">
            <v>0</v>
          </cell>
          <cell r="I3">
            <v>37083</v>
          </cell>
          <cell r="J3">
            <v>8266.1</v>
          </cell>
        </row>
        <row r="4">
          <cell r="A4">
            <v>37082</v>
          </cell>
          <cell r="B4">
            <v>18.100000000000001</v>
          </cell>
          <cell r="C4">
            <v>40655</v>
          </cell>
          <cell r="D4">
            <v>18.100000000000001</v>
          </cell>
          <cell r="E4">
            <v>17.809999999999999</v>
          </cell>
          <cell r="F4">
            <v>18</v>
          </cell>
          <cell r="G4">
            <v>0</v>
          </cell>
          <cell r="I4">
            <v>37082</v>
          </cell>
          <cell r="J4">
            <v>8465.1</v>
          </cell>
        </row>
        <row r="5">
          <cell r="A5">
            <v>37081</v>
          </cell>
          <cell r="B5">
            <v>17.899999999999999</v>
          </cell>
          <cell r="C5">
            <v>43097</v>
          </cell>
          <cell r="D5">
            <v>18.18</v>
          </cell>
          <cell r="E5">
            <v>17.75</v>
          </cell>
          <cell r="F5">
            <v>18.100000000000001</v>
          </cell>
          <cell r="G5">
            <v>0</v>
          </cell>
          <cell r="I5">
            <v>37081</v>
          </cell>
          <cell r="J5">
            <v>8526.2000000000007</v>
          </cell>
        </row>
        <row r="6">
          <cell r="A6">
            <v>37078</v>
          </cell>
          <cell r="B6">
            <v>18.13</v>
          </cell>
          <cell r="C6">
            <v>65312</v>
          </cell>
          <cell r="D6">
            <v>18.5</v>
          </cell>
          <cell r="E6">
            <v>18.07</v>
          </cell>
          <cell r="F6">
            <v>18.38</v>
          </cell>
          <cell r="G6">
            <v>0</v>
          </cell>
          <cell r="I6">
            <v>37078</v>
          </cell>
          <cell r="J6">
            <v>8501.9</v>
          </cell>
        </row>
        <row r="7">
          <cell r="A7">
            <v>37077</v>
          </cell>
          <cell r="B7">
            <v>18.399999999999999</v>
          </cell>
          <cell r="C7">
            <v>107992</v>
          </cell>
          <cell r="D7">
            <v>18.47</v>
          </cell>
          <cell r="E7">
            <v>17.61</v>
          </cell>
          <cell r="F7">
            <v>17.61</v>
          </cell>
          <cell r="G7">
            <v>0</v>
          </cell>
          <cell r="I7">
            <v>37077</v>
          </cell>
          <cell r="J7">
            <v>8787.6</v>
          </cell>
        </row>
        <row r="8">
          <cell r="A8">
            <v>37076</v>
          </cell>
          <cell r="B8">
            <v>18.309999999999999</v>
          </cell>
          <cell r="C8">
            <v>86435</v>
          </cell>
          <cell r="D8">
            <v>18.309999999999999</v>
          </cell>
          <cell r="E8">
            <v>17.899999999999999</v>
          </cell>
          <cell r="F8">
            <v>18.190000000000001</v>
          </cell>
          <cell r="G8">
            <v>0</v>
          </cell>
          <cell r="I8">
            <v>37076</v>
          </cell>
          <cell r="J8">
            <v>8885</v>
          </cell>
        </row>
        <row r="9">
          <cell r="A9">
            <v>37075</v>
          </cell>
          <cell r="B9">
            <v>18.2</v>
          </cell>
          <cell r="C9">
            <v>138062</v>
          </cell>
          <cell r="D9">
            <v>18.2</v>
          </cell>
          <cell r="E9">
            <v>17.8</v>
          </cell>
          <cell r="F9">
            <v>17.989999999999998</v>
          </cell>
          <cell r="G9">
            <v>0</v>
          </cell>
          <cell r="I9">
            <v>37075</v>
          </cell>
          <cell r="J9">
            <v>9015.9</v>
          </cell>
        </row>
        <row r="10">
          <cell r="A10">
            <v>37074</v>
          </cell>
          <cell r="B10">
            <v>17.91</v>
          </cell>
          <cell r="C10">
            <v>50827</v>
          </cell>
          <cell r="D10">
            <v>18.100000000000001</v>
          </cell>
          <cell r="E10">
            <v>17.899999999999999</v>
          </cell>
          <cell r="F10">
            <v>17.899999999999999</v>
          </cell>
          <cell r="G10">
            <v>0</v>
          </cell>
          <cell r="I10">
            <v>37074</v>
          </cell>
          <cell r="J10">
            <v>9073.2999999999993</v>
          </cell>
        </row>
        <row r="11">
          <cell r="A11">
            <v>37071</v>
          </cell>
          <cell r="B11">
            <v>17.899999999999999</v>
          </cell>
          <cell r="C11">
            <v>41089</v>
          </cell>
          <cell r="D11">
            <v>18.12</v>
          </cell>
          <cell r="E11">
            <v>17.8</v>
          </cell>
          <cell r="F11">
            <v>18.12</v>
          </cell>
          <cell r="G11">
            <v>0</v>
          </cell>
          <cell r="I11">
            <v>37071</v>
          </cell>
          <cell r="J11">
            <v>8878.4</v>
          </cell>
        </row>
        <row r="12">
          <cell r="A12">
            <v>37070</v>
          </cell>
          <cell r="B12">
            <v>18</v>
          </cell>
          <cell r="C12">
            <v>69332</v>
          </cell>
          <cell r="D12">
            <v>18.18</v>
          </cell>
          <cell r="E12">
            <v>17.95</v>
          </cell>
          <cell r="F12">
            <v>18.079999999999998</v>
          </cell>
          <cell r="G12">
            <v>0</v>
          </cell>
          <cell r="I12">
            <v>37070</v>
          </cell>
          <cell r="J12">
            <v>8866.5</v>
          </cell>
        </row>
        <row r="13">
          <cell r="A13">
            <v>37069</v>
          </cell>
          <cell r="B13">
            <v>18.010000000000002</v>
          </cell>
          <cell r="C13">
            <v>174547</v>
          </cell>
          <cell r="D13">
            <v>18.48</v>
          </cell>
          <cell r="E13">
            <v>18</v>
          </cell>
          <cell r="F13">
            <v>18.48</v>
          </cell>
          <cell r="G13">
            <v>0</v>
          </cell>
          <cell r="I13">
            <v>37069</v>
          </cell>
          <cell r="J13">
            <v>8787.6</v>
          </cell>
        </row>
        <row r="14">
          <cell r="A14">
            <v>37068</v>
          </cell>
          <cell r="B14">
            <v>18.399999999999999</v>
          </cell>
          <cell r="C14">
            <v>79779</v>
          </cell>
          <cell r="D14">
            <v>18.59</v>
          </cell>
          <cell r="E14">
            <v>18.34</v>
          </cell>
          <cell r="F14">
            <v>18.5</v>
          </cell>
          <cell r="G14">
            <v>0</v>
          </cell>
          <cell r="I14">
            <v>37068</v>
          </cell>
          <cell r="J14">
            <v>8792.7000000000007</v>
          </cell>
        </row>
        <row r="15">
          <cell r="A15">
            <v>37067</v>
          </cell>
          <cell r="B15">
            <v>18.54</v>
          </cell>
          <cell r="C15">
            <v>41976</v>
          </cell>
          <cell r="D15">
            <v>18.7</v>
          </cell>
          <cell r="E15">
            <v>18.510000000000002</v>
          </cell>
          <cell r="F15">
            <v>18.690000000000001</v>
          </cell>
          <cell r="G15">
            <v>0</v>
          </cell>
          <cell r="I15">
            <v>37067</v>
          </cell>
          <cell r="J15">
            <v>8964.2999999999993</v>
          </cell>
        </row>
        <row r="16">
          <cell r="A16">
            <v>37064</v>
          </cell>
          <cell r="B16">
            <v>18.7</v>
          </cell>
          <cell r="C16">
            <v>51565</v>
          </cell>
          <cell r="D16">
            <v>18.7</v>
          </cell>
          <cell r="E16">
            <v>18.53</v>
          </cell>
          <cell r="F16">
            <v>18.7</v>
          </cell>
          <cell r="G16">
            <v>0</v>
          </cell>
          <cell r="I16">
            <v>37064</v>
          </cell>
          <cell r="J16">
            <v>8925.2000000000007</v>
          </cell>
        </row>
        <row r="17">
          <cell r="A17">
            <v>37063</v>
          </cell>
          <cell r="B17">
            <v>18.66</v>
          </cell>
          <cell r="C17">
            <v>30098</v>
          </cell>
          <cell r="D17">
            <v>18.7</v>
          </cell>
          <cell r="E17">
            <v>18.61</v>
          </cell>
          <cell r="F17">
            <v>18.7</v>
          </cell>
          <cell r="G17">
            <v>0</v>
          </cell>
          <cell r="I17">
            <v>37063</v>
          </cell>
          <cell r="J17">
            <v>8920.9</v>
          </cell>
        </row>
        <row r="18">
          <cell r="A18">
            <v>37062</v>
          </cell>
          <cell r="B18">
            <v>18.649999999999999</v>
          </cell>
          <cell r="C18">
            <v>89030</v>
          </cell>
          <cell r="D18">
            <v>18.88</v>
          </cell>
          <cell r="E18">
            <v>18.62</v>
          </cell>
          <cell r="F18">
            <v>18.77</v>
          </cell>
          <cell r="G18">
            <v>0</v>
          </cell>
          <cell r="I18">
            <v>37062</v>
          </cell>
          <cell r="J18">
            <v>9021.5</v>
          </cell>
        </row>
        <row r="19">
          <cell r="A19">
            <v>37061</v>
          </cell>
          <cell r="B19">
            <v>18.739999999999998</v>
          </cell>
          <cell r="C19">
            <v>69562</v>
          </cell>
          <cell r="D19">
            <v>18.899999999999999</v>
          </cell>
          <cell r="E19">
            <v>18.63</v>
          </cell>
          <cell r="F19">
            <v>18.899999999999999</v>
          </cell>
          <cell r="G19">
            <v>0</v>
          </cell>
          <cell r="I19">
            <v>37061</v>
          </cell>
          <cell r="J19">
            <v>9047.9</v>
          </cell>
        </row>
        <row r="20">
          <cell r="A20">
            <v>37060</v>
          </cell>
          <cell r="B20">
            <v>18.899999999999999</v>
          </cell>
          <cell r="C20">
            <v>84979</v>
          </cell>
          <cell r="D20">
            <v>19</v>
          </cell>
          <cell r="E20">
            <v>18.62</v>
          </cell>
          <cell r="F20">
            <v>19</v>
          </cell>
          <cell r="G20">
            <v>0</v>
          </cell>
          <cell r="I20">
            <v>37060</v>
          </cell>
          <cell r="J20">
            <v>9018.7000000000007</v>
          </cell>
        </row>
        <row r="21">
          <cell r="A21">
            <v>37057</v>
          </cell>
          <cell r="B21">
            <v>18.87</v>
          </cell>
          <cell r="C21">
            <v>29314</v>
          </cell>
          <cell r="D21">
            <v>18.98</v>
          </cell>
          <cell r="E21">
            <v>18.8</v>
          </cell>
          <cell r="F21">
            <v>18.850000000000001</v>
          </cell>
          <cell r="G21">
            <v>0</v>
          </cell>
          <cell r="I21">
            <v>37057</v>
          </cell>
          <cell r="J21">
            <v>9363.2999999999993</v>
          </cell>
        </row>
        <row r="22">
          <cell r="A22">
            <v>37056</v>
          </cell>
          <cell r="B22">
            <v>19</v>
          </cell>
          <cell r="C22">
            <v>55427</v>
          </cell>
          <cell r="D22">
            <v>19</v>
          </cell>
          <cell r="E22">
            <v>18.75</v>
          </cell>
          <cell r="F22">
            <v>18.760000000000002</v>
          </cell>
          <cell r="G22">
            <v>0</v>
          </cell>
          <cell r="I22">
            <v>37056</v>
          </cell>
          <cell r="J22">
            <v>9476.6</v>
          </cell>
        </row>
        <row r="23">
          <cell r="A23">
            <v>37055</v>
          </cell>
          <cell r="B23">
            <v>18.7</v>
          </cell>
          <cell r="C23">
            <v>147670</v>
          </cell>
          <cell r="D23">
            <v>19.079999999999998</v>
          </cell>
          <cell r="E23">
            <v>18.66</v>
          </cell>
          <cell r="F23">
            <v>19.079999999999998</v>
          </cell>
          <cell r="G23">
            <v>0</v>
          </cell>
          <cell r="I23">
            <v>37055</v>
          </cell>
          <cell r="J23">
            <v>9522.5</v>
          </cell>
        </row>
        <row r="24">
          <cell r="A24">
            <v>37054</v>
          </cell>
          <cell r="B24">
            <v>19.149999999999999</v>
          </cell>
          <cell r="C24">
            <v>118034</v>
          </cell>
          <cell r="D24">
            <v>19.5</v>
          </cell>
          <cell r="E24">
            <v>19.07</v>
          </cell>
          <cell r="F24">
            <v>19.22</v>
          </cell>
          <cell r="G24">
            <v>0</v>
          </cell>
          <cell r="I24">
            <v>37054</v>
          </cell>
          <cell r="J24">
            <v>9444</v>
          </cell>
        </row>
        <row r="25">
          <cell r="A25">
            <v>37053</v>
          </cell>
          <cell r="B25">
            <v>19.3</v>
          </cell>
          <cell r="C25">
            <v>268546</v>
          </cell>
          <cell r="D25">
            <v>19.3</v>
          </cell>
          <cell r="E25">
            <v>19</v>
          </cell>
          <cell r="F25">
            <v>19.149999999999999</v>
          </cell>
          <cell r="G25">
            <v>0</v>
          </cell>
          <cell r="I25">
            <v>37053</v>
          </cell>
          <cell r="J25">
            <v>9606.7999999999993</v>
          </cell>
        </row>
        <row r="26">
          <cell r="A26">
            <v>37050</v>
          </cell>
          <cell r="B26">
            <v>19.149999999999999</v>
          </cell>
          <cell r="C26">
            <v>81773</v>
          </cell>
          <cell r="D26">
            <v>19.2</v>
          </cell>
          <cell r="E26">
            <v>19</v>
          </cell>
          <cell r="F26">
            <v>19.149999999999999</v>
          </cell>
          <cell r="G26">
            <v>0</v>
          </cell>
          <cell r="I26">
            <v>37050</v>
          </cell>
          <cell r="J26">
            <v>9607.2999999999993</v>
          </cell>
        </row>
        <row r="27">
          <cell r="A27">
            <v>37049</v>
          </cell>
          <cell r="B27">
            <v>19.2</v>
          </cell>
          <cell r="C27">
            <v>106300</v>
          </cell>
          <cell r="D27">
            <v>19.2</v>
          </cell>
          <cell r="E27">
            <v>19.010000000000002</v>
          </cell>
          <cell r="F27">
            <v>19.16</v>
          </cell>
          <cell r="G27">
            <v>0</v>
          </cell>
          <cell r="I27">
            <v>37049</v>
          </cell>
          <cell r="J27">
            <v>9516.7999999999993</v>
          </cell>
        </row>
        <row r="28">
          <cell r="A28">
            <v>37048</v>
          </cell>
          <cell r="B28">
            <v>19.07</v>
          </cell>
          <cell r="C28">
            <v>110983</v>
          </cell>
          <cell r="D28">
            <v>19.170000000000002</v>
          </cell>
          <cell r="E28">
            <v>19</v>
          </cell>
          <cell r="F28">
            <v>19.100000000000001</v>
          </cell>
          <cell r="G28">
            <v>0</v>
          </cell>
          <cell r="I28">
            <v>37048</v>
          </cell>
          <cell r="J28">
            <v>9530.7000000000007</v>
          </cell>
        </row>
        <row r="29">
          <cell r="A29">
            <v>37047</v>
          </cell>
          <cell r="B29">
            <v>19.09</v>
          </cell>
          <cell r="C29">
            <v>191606</v>
          </cell>
          <cell r="D29">
            <v>19.2</v>
          </cell>
          <cell r="E29">
            <v>18.7</v>
          </cell>
          <cell r="F29">
            <v>18.7</v>
          </cell>
          <cell r="G29">
            <v>0</v>
          </cell>
          <cell r="I29">
            <v>37047</v>
          </cell>
          <cell r="J29">
            <v>9601.7999999999993</v>
          </cell>
        </row>
        <row r="30">
          <cell r="A30">
            <v>37046</v>
          </cell>
          <cell r="B30">
            <v>18.66</v>
          </cell>
          <cell r="C30">
            <v>72625</v>
          </cell>
          <cell r="D30">
            <v>18.739999999999998</v>
          </cell>
          <cell r="E30">
            <v>18.600000000000001</v>
          </cell>
          <cell r="F30">
            <v>18.62</v>
          </cell>
          <cell r="G30">
            <v>0</v>
          </cell>
          <cell r="I30">
            <v>37046</v>
          </cell>
          <cell r="J30">
            <v>9561.5</v>
          </cell>
        </row>
        <row r="31">
          <cell r="A31">
            <v>37043</v>
          </cell>
          <cell r="B31">
            <v>18.5</v>
          </cell>
          <cell r="C31">
            <v>367388</v>
          </cell>
          <cell r="D31">
            <v>18.899999999999999</v>
          </cell>
          <cell r="E31">
            <v>18.399999999999999</v>
          </cell>
          <cell r="F31">
            <v>18.420000000000002</v>
          </cell>
          <cell r="G31">
            <v>0</v>
          </cell>
          <cell r="I31">
            <v>37043</v>
          </cell>
          <cell r="J31">
            <v>9399.4</v>
          </cell>
        </row>
        <row r="32">
          <cell r="A32">
            <v>37042</v>
          </cell>
          <cell r="B32">
            <v>19.277100000000001</v>
          </cell>
          <cell r="C32">
            <v>287359</v>
          </cell>
          <cell r="D32">
            <v>19.3371</v>
          </cell>
          <cell r="E32">
            <v>19.122900000000001</v>
          </cell>
          <cell r="F32">
            <v>19.122900000000001</v>
          </cell>
          <cell r="G32">
            <v>0</v>
          </cell>
          <cell r="I32">
            <v>37042</v>
          </cell>
          <cell r="J32">
            <v>9500.7000000000007</v>
          </cell>
        </row>
        <row r="33">
          <cell r="A33">
            <v>37041</v>
          </cell>
          <cell r="B33">
            <v>19.397099999999998</v>
          </cell>
          <cell r="C33">
            <v>238664</v>
          </cell>
          <cell r="D33">
            <v>19.5</v>
          </cell>
          <cell r="E33">
            <v>19.1143</v>
          </cell>
          <cell r="F33">
            <v>19.5</v>
          </cell>
          <cell r="G33">
            <v>37041</v>
          </cell>
          <cell r="I33">
            <v>37041</v>
          </cell>
          <cell r="J33">
            <v>9439.9</v>
          </cell>
        </row>
        <row r="34">
          <cell r="A34">
            <v>37040</v>
          </cell>
          <cell r="B34">
            <v>19.4057</v>
          </cell>
          <cell r="C34">
            <v>181881</v>
          </cell>
          <cell r="D34">
            <v>19.542899999999999</v>
          </cell>
          <cell r="E34">
            <v>19.328600000000002</v>
          </cell>
          <cell r="F34">
            <v>19.542899999999999</v>
          </cell>
          <cell r="G34">
            <v>37040</v>
          </cell>
          <cell r="I34">
            <v>37040</v>
          </cell>
          <cell r="J34">
            <v>9487.2000000000007</v>
          </cell>
        </row>
        <row r="35">
          <cell r="A35">
            <v>37039</v>
          </cell>
          <cell r="B35">
            <v>19.508600000000001</v>
          </cell>
          <cell r="C35">
            <v>327312</v>
          </cell>
          <cell r="D35">
            <v>19.534300000000002</v>
          </cell>
          <cell r="E35">
            <v>19.071400000000001</v>
          </cell>
          <cell r="F35">
            <v>19.174299999999999</v>
          </cell>
          <cell r="G35">
            <v>37039</v>
          </cell>
          <cell r="I35">
            <v>37039</v>
          </cell>
          <cell r="J35">
            <v>9545.6</v>
          </cell>
        </row>
        <row r="36">
          <cell r="A36">
            <v>37036</v>
          </cell>
          <cell r="B36">
            <v>18.891400000000001</v>
          </cell>
          <cell r="C36">
            <v>344436</v>
          </cell>
          <cell r="D36">
            <v>19.174299999999999</v>
          </cell>
          <cell r="E36">
            <v>18.84</v>
          </cell>
          <cell r="F36">
            <v>18.84</v>
          </cell>
          <cell r="G36">
            <v>37036</v>
          </cell>
          <cell r="I36">
            <v>37036</v>
          </cell>
          <cell r="J36">
            <v>9468.4</v>
          </cell>
        </row>
        <row r="37">
          <cell r="A37">
            <v>37035</v>
          </cell>
          <cell r="B37">
            <v>18.857099999999999</v>
          </cell>
          <cell r="C37">
            <v>126863</v>
          </cell>
          <cell r="D37">
            <v>18.857099999999999</v>
          </cell>
          <cell r="E37">
            <v>18.788599999999999</v>
          </cell>
          <cell r="F37">
            <v>18.814299999999999</v>
          </cell>
          <cell r="G37">
            <v>37035</v>
          </cell>
          <cell r="I37">
            <v>37035</v>
          </cell>
          <cell r="J37">
            <v>9616.2000000000007</v>
          </cell>
        </row>
        <row r="38">
          <cell r="A38">
            <v>37034</v>
          </cell>
          <cell r="B38">
            <v>18.814299999999999</v>
          </cell>
          <cell r="C38">
            <v>60201</v>
          </cell>
          <cell r="D38">
            <v>18.84</v>
          </cell>
          <cell r="E38">
            <v>18.66</v>
          </cell>
          <cell r="F38">
            <v>18.814299999999999</v>
          </cell>
          <cell r="G38">
            <v>37034</v>
          </cell>
          <cell r="I38">
            <v>37034</v>
          </cell>
          <cell r="J38">
            <v>9632.6</v>
          </cell>
        </row>
        <row r="39">
          <cell r="A39">
            <v>37033</v>
          </cell>
          <cell r="B39">
            <v>18.814299999999999</v>
          </cell>
          <cell r="C39">
            <v>54993</v>
          </cell>
          <cell r="D39">
            <v>18.822900000000001</v>
          </cell>
          <cell r="E39">
            <v>18.642900000000001</v>
          </cell>
          <cell r="F39">
            <v>18.642900000000001</v>
          </cell>
          <cell r="G39">
            <v>37033</v>
          </cell>
          <cell r="I39">
            <v>37033</v>
          </cell>
          <cell r="J39">
            <v>9626.9</v>
          </cell>
        </row>
        <row r="40">
          <cell r="A40">
            <v>37032</v>
          </cell>
          <cell r="B40">
            <v>18.694299999999998</v>
          </cell>
          <cell r="C40">
            <v>36415</v>
          </cell>
          <cell r="D40">
            <v>18.694299999999998</v>
          </cell>
          <cell r="E40">
            <v>18.600000000000001</v>
          </cell>
          <cell r="F40">
            <v>18.617100000000001</v>
          </cell>
          <cell r="G40">
            <v>37032</v>
          </cell>
          <cell r="I40">
            <v>37032</v>
          </cell>
          <cell r="J40">
            <v>9678.2000000000007</v>
          </cell>
        </row>
        <row r="41">
          <cell r="A41">
            <v>37029</v>
          </cell>
          <cell r="B41">
            <v>18.600000000000001</v>
          </cell>
          <cell r="C41">
            <v>65498</v>
          </cell>
          <cell r="D41">
            <v>18.677099999999999</v>
          </cell>
          <cell r="E41">
            <v>18.5657</v>
          </cell>
          <cell r="F41">
            <v>18.642900000000001</v>
          </cell>
          <cell r="G41">
            <v>37029</v>
          </cell>
          <cell r="I41">
            <v>37029</v>
          </cell>
          <cell r="J41">
            <v>9728.4</v>
          </cell>
        </row>
        <row r="42">
          <cell r="A42">
            <v>37028</v>
          </cell>
          <cell r="B42">
            <v>18.651399999999999</v>
          </cell>
          <cell r="C42">
            <v>43401</v>
          </cell>
          <cell r="D42">
            <v>18.754300000000001</v>
          </cell>
          <cell r="E42">
            <v>18.642900000000001</v>
          </cell>
          <cell r="F42">
            <v>18.745699999999999</v>
          </cell>
          <cell r="G42">
            <v>37028</v>
          </cell>
          <cell r="I42">
            <v>37028</v>
          </cell>
          <cell r="J42">
            <v>9661.5</v>
          </cell>
        </row>
        <row r="43">
          <cell r="A43">
            <v>37027</v>
          </cell>
          <cell r="B43">
            <v>18.677099999999999</v>
          </cell>
          <cell r="C43">
            <v>53769</v>
          </cell>
          <cell r="D43">
            <v>18.848600000000001</v>
          </cell>
          <cell r="E43">
            <v>18.677099999999999</v>
          </cell>
          <cell r="F43">
            <v>18.7714</v>
          </cell>
          <cell r="G43">
            <v>37027</v>
          </cell>
          <cell r="I43">
            <v>37027</v>
          </cell>
          <cell r="J43">
            <v>9588.1</v>
          </cell>
        </row>
        <row r="44">
          <cell r="A44">
            <v>37026</v>
          </cell>
          <cell r="B44">
            <v>18.7714</v>
          </cell>
          <cell r="C44">
            <v>45598</v>
          </cell>
          <cell r="D44">
            <v>18.822900000000001</v>
          </cell>
          <cell r="E44">
            <v>18.685700000000001</v>
          </cell>
          <cell r="F44">
            <v>18.788599999999999</v>
          </cell>
          <cell r="G44">
            <v>37026</v>
          </cell>
          <cell r="I44">
            <v>37026</v>
          </cell>
          <cell r="J44">
            <v>9667.6</v>
          </cell>
        </row>
        <row r="45">
          <cell r="A45">
            <v>37025</v>
          </cell>
          <cell r="B45">
            <v>18.788599999999999</v>
          </cell>
          <cell r="C45">
            <v>48201</v>
          </cell>
          <cell r="D45">
            <v>18.831399999999999</v>
          </cell>
          <cell r="E45">
            <v>18.685700000000001</v>
          </cell>
          <cell r="F45">
            <v>18.805700000000002</v>
          </cell>
          <cell r="G45">
            <v>37025</v>
          </cell>
          <cell r="I45">
            <v>37025</v>
          </cell>
          <cell r="J45">
            <v>9602.2000000000007</v>
          </cell>
        </row>
        <row r="46">
          <cell r="A46">
            <v>37022</v>
          </cell>
          <cell r="B46">
            <v>18.7971</v>
          </cell>
          <cell r="C46">
            <v>66578</v>
          </cell>
          <cell r="D46">
            <v>18.899999999999999</v>
          </cell>
          <cell r="E46">
            <v>18.788599999999999</v>
          </cell>
          <cell r="F46">
            <v>18.899999999999999</v>
          </cell>
          <cell r="G46">
            <v>37022</v>
          </cell>
          <cell r="I46">
            <v>37022</v>
          </cell>
          <cell r="J46">
            <v>9684.5</v>
          </cell>
        </row>
        <row r="47">
          <cell r="A47">
            <v>37021</v>
          </cell>
          <cell r="B47">
            <v>18.899999999999999</v>
          </cell>
          <cell r="C47">
            <v>154715</v>
          </cell>
          <cell r="D47">
            <v>18.899999999999999</v>
          </cell>
          <cell r="E47">
            <v>18.7714</v>
          </cell>
          <cell r="F47">
            <v>18.899999999999999</v>
          </cell>
          <cell r="G47">
            <v>37021</v>
          </cell>
          <cell r="I47">
            <v>37021</v>
          </cell>
          <cell r="J47">
            <v>9781.5</v>
          </cell>
        </row>
        <row r="48">
          <cell r="A48">
            <v>37020</v>
          </cell>
          <cell r="B48">
            <v>18.857099999999999</v>
          </cell>
          <cell r="C48">
            <v>77156</v>
          </cell>
          <cell r="D48">
            <v>18.942900000000002</v>
          </cell>
          <cell r="E48">
            <v>18.857099999999999</v>
          </cell>
          <cell r="F48">
            <v>18.942900000000002</v>
          </cell>
          <cell r="G48">
            <v>37020</v>
          </cell>
          <cell r="I48">
            <v>37020</v>
          </cell>
          <cell r="J48">
            <v>9654.2999999999993</v>
          </cell>
        </row>
        <row r="49">
          <cell r="A49">
            <v>37019</v>
          </cell>
          <cell r="B49">
            <v>18.9086</v>
          </cell>
          <cell r="C49">
            <v>48849</v>
          </cell>
          <cell r="D49">
            <v>19.011399999999998</v>
          </cell>
          <cell r="E49">
            <v>18.874300000000002</v>
          </cell>
          <cell r="F49">
            <v>19.011399999999998</v>
          </cell>
          <cell r="G49">
            <v>37019</v>
          </cell>
          <cell r="I49">
            <v>37019</v>
          </cell>
          <cell r="J49">
            <v>9658</v>
          </cell>
        </row>
        <row r="50">
          <cell r="A50">
            <v>37018</v>
          </cell>
          <cell r="B50">
            <v>18.882899999999999</v>
          </cell>
          <cell r="C50">
            <v>78986</v>
          </cell>
          <cell r="D50">
            <v>19.028600000000001</v>
          </cell>
          <cell r="E50">
            <v>18.874300000000002</v>
          </cell>
          <cell r="F50">
            <v>18.942900000000002</v>
          </cell>
          <cell r="G50">
            <v>37018</v>
          </cell>
          <cell r="I50">
            <v>37018</v>
          </cell>
          <cell r="J50">
            <v>9589.2000000000007</v>
          </cell>
        </row>
        <row r="51">
          <cell r="A51">
            <v>37015</v>
          </cell>
          <cell r="B51">
            <v>18.96</v>
          </cell>
          <cell r="C51">
            <v>76585</v>
          </cell>
          <cell r="D51">
            <v>18.968599999999999</v>
          </cell>
          <cell r="E51">
            <v>18.7714</v>
          </cell>
          <cell r="F51">
            <v>18.7714</v>
          </cell>
          <cell r="G51">
            <v>37015</v>
          </cell>
          <cell r="I51">
            <v>37015</v>
          </cell>
          <cell r="J51">
            <v>9542.7000000000007</v>
          </cell>
        </row>
        <row r="52">
          <cell r="A52">
            <v>37014</v>
          </cell>
          <cell r="B52">
            <v>18.857099999999999</v>
          </cell>
          <cell r="C52">
            <v>136318</v>
          </cell>
          <cell r="D52">
            <v>19.011399999999998</v>
          </cell>
          <cell r="E52">
            <v>18.694299999999998</v>
          </cell>
          <cell r="F52">
            <v>18.814299999999999</v>
          </cell>
          <cell r="G52">
            <v>37014</v>
          </cell>
          <cell r="I52">
            <v>37014</v>
          </cell>
          <cell r="J52">
            <v>9497.2000000000007</v>
          </cell>
        </row>
        <row r="53">
          <cell r="A53">
            <v>37013</v>
          </cell>
          <cell r="B53">
            <v>19.011399999999998</v>
          </cell>
          <cell r="C53">
            <v>107375</v>
          </cell>
          <cell r="D53">
            <v>19.0886</v>
          </cell>
          <cell r="E53">
            <v>18.651399999999999</v>
          </cell>
          <cell r="F53">
            <v>18.685700000000001</v>
          </cell>
          <cell r="G53">
            <v>37013</v>
          </cell>
          <cell r="I53">
            <v>37013</v>
          </cell>
          <cell r="J53">
            <v>9633.5</v>
          </cell>
        </row>
        <row r="54">
          <cell r="A54">
            <v>37011</v>
          </cell>
          <cell r="B54">
            <v>18.857099999999999</v>
          </cell>
          <cell r="C54">
            <v>214349</v>
          </cell>
          <cell r="D54">
            <v>19.1143</v>
          </cell>
          <cell r="E54">
            <v>18.557099999999998</v>
          </cell>
          <cell r="F54">
            <v>18.7714</v>
          </cell>
          <cell r="G54">
            <v>37011</v>
          </cell>
          <cell r="I54">
            <v>37011</v>
          </cell>
          <cell r="J54">
            <v>9761</v>
          </cell>
        </row>
        <row r="55">
          <cell r="A55">
            <v>37008</v>
          </cell>
          <cell r="B55">
            <v>18.7714</v>
          </cell>
          <cell r="C55">
            <v>143212</v>
          </cell>
          <cell r="D55">
            <v>18.7714</v>
          </cell>
          <cell r="E55">
            <v>18.445699999999999</v>
          </cell>
          <cell r="F55">
            <v>18.48</v>
          </cell>
          <cell r="G55">
            <v>37008</v>
          </cell>
          <cell r="I55">
            <v>37008</v>
          </cell>
          <cell r="J55">
            <v>9634.6</v>
          </cell>
        </row>
        <row r="56">
          <cell r="A56">
            <v>37007</v>
          </cell>
          <cell r="B56">
            <v>18.72</v>
          </cell>
          <cell r="C56">
            <v>266569</v>
          </cell>
          <cell r="D56">
            <v>18.754300000000001</v>
          </cell>
          <cell r="E56">
            <v>18.2743</v>
          </cell>
          <cell r="F56">
            <v>18.3</v>
          </cell>
          <cell r="G56">
            <v>37007</v>
          </cell>
          <cell r="I56">
            <v>37007</v>
          </cell>
          <cell r="J56">
            <v>9523.9</v>
          </cell>
        </row>
        <row r="57">
          <cell r="A57">
            <v>37006</v>
          </cell>
          <cell r="B57">
            <v>18.265699999999999</v>
          </cell>
          <cell r="C57">
            <v>203978</v>
          </cell>
          <cell r="D57">
            <v>18.420000000000002</v>
          </cell>
          <cell r="E57">
            <v>18.257100000000001</v>
          </cell>
          <cell r="F57">
            <v>18.282900000000001</v>
          </cell>
          <cell r="G57">
            <v>37006</v>
          </cell>
          <cell r="I57">
            <v>37006</v>
          </cell>
          <cell r="J57">
            <v>9350.4</v>
          </cell>
        </row>
        <row r="58">
          <cell r="A58">
            <v>37005</v>
          </cell>
          <cell r="B58">
            <v>18.445699999999999</v>
          </cell>
          <cell r="C58">
            <v>446789</v>
          </cell>
          <cell r="D58">
            <v>18.651399999999999</v>
          </cell>
          <cell r="E58">
            <v>18.428599999999999</v>
          </cell>
          <cell r="F58">
            <v>18.428599999999999</v>
          </cell>
          <cell r="G58">
            <v>37005</v>
          </cell>
          <cell r="I58">
            <v>37005</v>
          </cell>
          <cell r="J58">
            <v>9418.9</v>
          </cell>
        </row>
        <row r="59">
          <cell r="A59">
            <v>37004</v>
          </cell>
          <cell r="B59">
            <v>18.531400000000001</v>
          </cell>
          <cell r="C59">
            <v>781031</v>
          </cell>
          <cell r="D59">
            <v>19.1143</v>
          </cell>
          <cell r="E59">
            <v>18.531400000000001</v>
          </cell>
          <cell r="F59">
            <v>19.1143</v>
          </cell>
          <cell r="G59">
            <v>37004</v>
          </cell>
          <cell r="I59">
            <v>37004</v>
          </cell>
          <cell r="J59">
            <v>9269.4</v>
          </cell>
        </row>
        <row r="60">
          <cell r="A60">
            <v>37001</v>
          </cell>
          <cell r="B60">
            <v>19.371400000000001</v>
          </cell>
          <cell r="C60">
            <v>847540</v>
          </cell>
          <cell r="D60">
            <v>20.125699999999998</v>
          </cell>
          <cell r="E60">
            <v>19.285699999999999</v>
          </cell>
          <cell r="F60">
            <v>20.125699999999998</v>
          </cell>
          <cell r="G60">
            <v>37001</v>
          </cell>
          <cell r="I60">
            <v>37001</v>
          </cell>
          <cell r="J60">
            <v>9547.5</v>
          </cell>
        </row>
        <row r="61">
          <cell r="A61">
            <v>37000</v>
          </cell>
          <cell r="B61">
            <v>20.185700000000001</v>
          </cell>
          <cell r="C61">
            <v>720840</v>
          </cell>
          <cell r="D61">
            <v>20.828600000000002</v>
          </cell>
          <cell r="E61">
            <v>20.185700000000001</v>
          </cell>
          <cell r="F61">
            <v>20.6571</v>
          </cell>
          <cell r="G61">
            <v>37000</v>
          </cell>
          <cell r="I61">
            <v>37000</v>
          </cell>
          <cell r="J61">
            <v>9798</v>
          </cell>
        </row>
        <row r="62">
          <cell r="A62">
            <v>36999</v>
          </cell>
          <cell r="B62">
            <v>20.64</v>
          </cell>
          <cell r="C62">
            <v>3355490</v>
          </cell>
          <cell r="D62">
            <v>20.742899999999999</v>
          </cell>
          <cell r="E62">
            <v>19.542899999999999</v>
          </cell>
          <cell r="F62">
            <v>19.6114</v>
          </cell>
          <cell r="G62">
            <v>36999</v>
          </cell>
          <cell r="I62">
            <v>36999</v>
          </cell>
          <cell r="J62">
            <v>9797.7999999999993</v>
          </cell>
        </row>
        <row r="63">
          <cell r="A63" t="e">
            <v>#N/A</v>
          </cell>
          <cell r="B63" t="e">
            <v>#N/A</v>
          </cell>
          <cell r="C63" t="e">
            <v>#N/A</v>
          </cell>
          <cell r="D63" t="e">
            <v>#N/A</v>
          </cell>
          <cell r="E63" t="e">
            <v>#N/A</v>
          </cell>
          <cell r="F63" t="e">
            <v>#N/A</v>
          </cell>
          <cell r="G63">
            <v>36998</v>
          </cell>
          <cell r="I63">
            <v>36998</v>
          </cell>
          <cell r="J63">
            <v>9526.5</v>
          </cell>
        </row>
        <row r="64">
          <cell r="A64" t="e">
            <v>#N/A</v>
          </cell>
          <cell r="B64" t="e">
            <v>#N/A</v>
          </cell>
          <cell r="C64" t="e">
            <v>#N/A</v>
          </cell>
          <cell r="D64" t="e">
            <v>#N/A</v>
          </cell>
          <cell r="E64" t="e">
            <v>#N/A</v>
          </cell>
          <cell r="F64" t="e">
            <v>#N/A</v>
          </cell>
          <cell r="G64">
            <v>36993</v>
          </cell>
          <cell r="I64">
            <v>36993</v>
          </cell>
          <cell r="J64">
            <v>9648.7999999999993</v>
          </cell>
        </row>
        <row r="65">
          <cell r="A65" t="e">
            <v>#N/A</v>
          </cell>
          <cell r="B65" t="e">
            <v>#N/A</v>
          </cell>
          <cell r="C65" t="e">
            <v>#N/A</v>
          </cell>
          <cell r="D65" t="e">
            <v>#N/A</v>
          </cell>
          <cell r="E65" t="e">
            <v>#N/A</v>
          </cell>
          <cell r="F65" t="e">
            <v>#N/A</v>
          </cell>
          <cell r="G65">
            <v>36992</v>
          </cell>
          <cell r="I65">
            <v>36992</v>
          </cell>
          <cell r="J65">
            <v>9613.9</v>
          </cell>
        </row>
        <row r="66">
          <cell r="A66" t="e">
            <v>#N/A</v>
          </cell>
          <cell r="B66" t="e">
            <v>#N/A</v>
          </cell>
          <cell r="C66" t="e">
            <v>#N/A</v>
          </cell>
          <cell r="D66" t="e">
            <v>#N/A</v>
          </cell>
          <cell r="E66" t="e">
            <v>#N/A</v>
          </cell>
          <cell r="F66" t="e">
            <v>#N/A</v>
          </cell>
          <cell r="G66">
            <v>36991</v>
          </cell>
          <cell r="I66">
            <v>36991</v>
          </cell>
          <cell r="J66">
            <v>9601.7999999999993</v>
          </cell>
        </row>
        <row r="67">
          <cell r="A67" t="e">
            <v>#N/A</v>
          </cell>
          <cell r="B67" t="e">
            <v>#N/A</v>
          </cell>
          <cell r="C67" t="e">
            <v>#N/A</v>
          </cell>
          <cell r="D67" t="e">
            <v>#N/A</v>
          </cell>
          <cell r="E67" t="e">
            <v>#N/A</v>
          </cell>
          <cell r="F67" t="e">
            <v>#N/A</v>
          </cell>
          <cell r="G67">
            <v>36990</v>
          </cell>
          <cell r="I67">
            <v>36990</v>
          </cell>
          <cell r="J67">
            <v>9453.5</v>
          </cell>
        </row>
        <row r="68">
          <cell r="A68" t="e">
            <v>#N/A</v>
          </cell>
          <cell r="B68" t="e">
            <v>#N/A</v>
          </cell>
          <cell r="C68" t="e">
            <v>#N/A</v>
          </cell>
          <cell r="D68" t="e">
            <v>#N/A</v>
          </cell>
          <cell r="E68" t="e">
            <v>#N/A</v>
          </cell>
          <cell r="F68" t="e">
            <v>#N/A</v>
          </cell>
          <cell r="G68">
            <v>36987</v>
          </cell>
          <cell r="I68">
            <v>36987</v>
          </cell>
          <cell r="J68">
            <v>9328.4</v>
          </cell>
        </row>
        <row r="69">
          <cell r="A69" t="e">
            <v>#N/A</v>
          </cell>
          <cell r="B69" t="e">
            <v>#N/A</v>
          </cell>
          <cell r="C69" t="e">
            <v>#N/A</v>
          </cell>
          <cell r="D69" t="e">
            <v>#N/A</v>
          </cell>
          <cell r="E69" t="e">
            <v>#N/A</v>
          </cell>
          <cell r="F69" t="e">
            <v>#N/A</v>
          </cell>
          <cell r="G69">
            <v>36986</v>
          </cell>
          <cell r="I69">
            <v>36986</v>
          </cell>
          <cell r="J69">
            <v>9340.2000000000007</v>
          </cell>
        </row>
        <row r="70">
          <cell r="A70" t="e">
            <v>#N/A</v>
          </cell>
          <cell r="B70" t="e">
            <v>#N/A</v>
          </cell>
          <cell r="C70" t="e">
            <v>#N/A</v>
          </cell>
          <cell r="D70" t="e">
            <v>#N/A</v>
          </cell>
          <cell r="E70" t="e">
            <v>#N/A</v>
          </cell>
          <cell r="F70" t="e">
            <v>#N/A</v>
          </cell>
          <cell r="G70">
            <v>36985</v>
          </cell>
          <cell r="I70">
            <v>36985</v>
          </cell>
          <cell r="J70">
            <v>9172.4</v>
          </cell>
        </row>
        <row r="71">
          <cell r="A71" t="e">
            <v>#N/A</v>
          </cell>
          <cell r="B71" t="e">
            <v>#N/A</v>
          </cell>
          <cell r="C71" t="e">
            <v>#N/A</v>
          </cell>
          <cell r="D71" t="e">
            <v>#N/A</v>
          </cell>
          <cell r="E71" t="e">
            <v>#N/A</v>
          </cell>
          <cell r="F71" t="e">
            <v>#N/A</v>
          </cell>
          <cell r="G71">
            <v>36984</v>
          </cell>
          <cell r="I71">
            <v>36984</v>
          </cell>
          <cell r="J71">
            <v>9011.7999999999993</v>
          </cell>
        </row>
        <row r="72">
          <cell r="A72" t="e">
            <v>#N/A</v>
          </cell>
          <cell r="B72" t="e">
            <v>#N/A</v>
          </cell>
          <cell r="C72" t="e">
            <v>#N/A</v>
          </cell>
          <cell r="D72" t="e">
            <v>#N/A</v>
          </cell>
          <cell r="E72" t="e">
            <v>#N/A</v>
          </cell>
          <cell r="F72" t="e">
            <v>#N/A</v>
          </cell>
          <cell r="G72">
            <v>36983</v>
          </cell>
          <cell r="I72">
            <v>36983</v>
          </cell>
          <cell r="J72">
            <v>9324.2999999999993</v>
          </cell>
        </row>
        <row r="73">
          <cell r="A73" t="e">
            <v>#N/A</v>
          </cell>
          <cell r="B73" t="e">
            <v>#N/A</v>
          </cell>
          <cell r="C73" t="e">
            <v>#N/A</v>
          </cell>
          <cell r="D73" t="e">
            <v>#N/A</v>
          </cell>
          <cell r="E73" t="e">
            <v>#N/A</v>
          </cell>
          <cell r="F73" t="e">
            <v>#N/A</v>
          </cell>
          <cell r="G73">
            <v>36980</v>
          </cell>
          <cell r="I73">
            <v>36980</v>
          </cell>
          <cell r="J73">
            <v>9308.2999999999993</v>
          </cell>
        </row>
        <row r="74">
          <cell r="A74" t="e">
            <v>#N/A</v>
          </cell>
          <cell r="B74" t="e">
            <v>#N/A</v>
          </cell>
          <cell r="C74" t="e">
            <v>#N/A</v>
          </cell>
          <cell r="D74" t="e">
            <v>#N/A</v>
          </cell>
          <cell r="E74" t="e">
            <v>#N/A</v>
          </cell>
          <cell r="F74" t="e">
            <v>#N/A</v>
          </cell>
          <cell r="G74">
            <v>36979</v>
          </cell>
          <cell r="I74">
            <v>36979</v>
          </cell>
          <cell r="J74">
            <v>9222.7999999999993</v>
          </cell>
        </row>
        <row r="75">
          <cell r="A75" t="e">
            <v>#N/A</v>
          </cell>
          <cell r="B75" t="e">
            <v>#N/A</v>
          </cell>
          <cell r="C75" t="e">
            <v>#N/A</v>
          </cell>
          <cell r="D75" t="e">
            <v>#N/A</v>
          </cell>
          <cell r="E75" t="e">
            <v>#N/A</v>
          </cell>
          <cell r="F75" t="e">
            <v>#N/A</v>
          </cell>
          <cell r="G75">
            <v>36978</v>
          </cell>
          <cell r="I75">
            <v>36978</v>
          </cell>
          <cell r="J75">
            <v>9163.4</v>
          </cell>
        </row>
        <row r="76">
          <cell r="A76" t="e">
            <v>#N/A</v>
          </cell>
          <cell r="B76" t="e">
            <v>#N/A</v>
          </cell>
          <cell r="C76" t="e">
            <v>#N/A</v>
          </cell>
          <cell r="D76" t="e">
            <v>#N/A</v>
          </cell>
          <cell r="E76" t="e">
            <v>#N/A</v>
          </cell>
          <cell r="F76" t="e">
            <v>#N/A</v>
          </cell>
          <cell r="G76">
            <v>36977</v>
          </cell>
          <cell r="I76">
            <v>36977</v>
          </cell>
          <cell r="J76">
            <v>9263.2999999999993</v>
          </cell>
        </row>
        <row r="77">
          <cell r="A77" t="e">
            <v>#N/A</v>
          </cell>
          <cell r="B77" t="e">
            <v>#N/A</v>
          </cell>
          <cell r="C77" t="e">
            <v>#N/A</v>
          </cell>
          <cell r="D77" t="e">
            <v>#N/A</v>
          </cell>
          <cell r="E77" t="e">
            <v>#N/A</v>
          </cell>
          <cell r="F77" t="e">
            <v>#N/A</v>
          </cell>
          <cell r="G77">
            <v>36976</v>
          </cell>
          <cell r="I77">
            <v>36976</v>
          </cell>
          <cell r="J77">
            <v>9063.4</v>
          </cell>
        </row>
        <row r="78">
          <cell r="A78" t="e">
            <v>#N/A</v>
          </cell>
          <cell r="B78" t="e">
            <v>#N/A</v>
          </cell>
          <cell r="C78" t="e">
            <v>#N/A</v>
          </cell>
          <cell r="D78" t="e">
            <v>#N/A</v>
          </cell>
          <cell r="E78" t="e">
            <v>#N/A</v>
          </cell>
          <cell r="F78" t="e">
            <v>#N/A</v>
          </cell>
          <cell r="G78">
            <v>36973</v>
          </cell>
          <cell r="I78">
            <v>36973</v>
          </cell>
          <cell r="J78">
            <v>8810.5</v>
          </cell>
        </row>
        <row r="79">
          <cell r="A79" t="e">
            <v>#N/A</v>
          </cell>
          <cell r="B79" t="e">
            <v>#N/A</v>
          </cell>
          <cell r="C79" t="e">
            <v>#N/A</v>
          </cell>
          <cell r="D79" t="e">
            <v>#N/A</v>
          </cell>
          <cell r="E79" t="e">
            <v>#N/A</v>
          </cell>
          <cell r="F79" t="e">
            <v>#N/A</v>
          </cell>
          <cell r="G79">
            <v>36972</v>
          </cell>
          <cell r="I79">
            <v>36972</v>
          </cell>
          <cell r="J79">
            <v>8531.7999999999993</v>
          </cell>
        </row>
        <row r="80">
          <cell r="A80" t="e">
            <v>#N/A</v>
          </cell>
          <cell r="B80" t="e">
            <v>#N/A</v>
          </cell>
          <cell r="C80" t="e">
            <v>#N/A</v>
          </cell>
          <cell r="D80" t="e">
            <v>#N/A</v>
          </cell>
          <cell r="E80" t="e">
            <v>#N/A</v>
          </cell>
          <cell r="F80" t="e">
            <v>#N/A</v>
          </cell>
          <cell r="G80">
            <v>36971</v>
          </cell>
          <cell r="I80">
            <v>36971</v>
          </cell>
          <cell r="J80">
            <v>8899.7999999999993</v>
          </cell>
        </row>
        <row r="81">
          <cell r="A81" t="e">
            <v>#N/A</v>
          </cell>
          <cell r="B81" t="e">
            <v>#N/A</v>
          </cell>
          <cell r="C81" t="e">
            <v>#N/A</v>
          </cell>
          <cell r="D81" t="e">
            <v>#N/A</v>
          </cell>
          <cell r="E81" t="e">
            <v>#N/A</v>
          </cell>
          <cell r="F81" t="e">
            <v>#N/A</v>
          </cell>
          <cell r="G81">
            <v>36970</v>
          </cell>
          <cell r="I81">
            <v>36970</v>
          </cell>
          <cell r="J81">
            <v>9216.7000000000007</v>
          </cell>
        </row>
        <row r="82">
          <cell r="A82" t="e">
            <v>#N/A</v>
          </cell>
          <cell r="B82" t="e">
            <v>#N/A</v>
          </cell>
          <cell r="C82" t="e">
            <v>#N/A</v>
          </cell>
          <cell r="D82" t="e">
            <v>#N/A</v>
          </cell>
          <cell r="E82" t="e">
            <v>#N/A</v>
          </cell>
          <cell r="F82" t="e">
            <v>#N/A</v>
          </cell>
          <cell r="G82">
            <v>36969</v>
          </cell>
          <cell r="I82">
            <v>36969</v>
          </cell>
          <cell r="J82">
            <v>9251.2999999999993</v>
          </cell>
        </row>
        <row r="83">
          <cell r="A83" t="e">
            <v>#N/A</v>
          </cell>
          <cell r="B83" t="e">
            <v>#N/A</v>
          </cell>
          <cell r="C83" t="e">
            <v>#N/A</v>
          </cell>
          <cell r="D83" t="e">
            <v>#N/A</v>
          </cell>
          <cell r="E83" t="e">
            <v>#N/A</v>
          </cell>
          <cell r="F83" t="e">
            <v>#N/A</v>
          </cell>
          <cell r="G83">
            <v>36966</v>
          </cell>
          <cell r="I83">
            <v>36966</v>
          </cell>
          <cell r="J83">
            <v>9290</v>
          </cell>
        </row>
        <row r="84">
          <cell r="A84" t="e">
            <v>#N/A</v>
          </cell>
          <cell r="B84" t="e">
            <v>#N/A</v>
          </cell>
          <cell r="C84" t="e">
            <v>#N/A</v>
          </cell>
          <cell r="D84" t="e">
            <v>#N/A</v>
          </cell>
          <cell r="E84" t="e">
            <v>#N/A</v>
          </cell>
          <cell r="F84" t="e">
            <v>#N/A</v>
          </cell>
          <cell r="G84">
            <v>36965</v>
          </cell>
          <cell r="I84">
            <v>36965</v>
          </cell>
          <cell r="J84">
            <v>9476.2999999999993</v>
          </cell>
        </row>
        <row r="85">
          <cell r="A85" t="e">
            <v>#N/A</v>
          </cell>
          <cell r="B85" t="e">
            <v>#N/A</v>
          </cell>
          <cell r="C85" t="e">
            <v>#N/A</v>
          </cell>
          <cell r="D85" t="e">
            <v>#N/A</v>
          </cell>
          <cell r="E85" t="e">
            <v>#N/A</v>
          </cell>
          <cell r="F85" t="e">
            <v>#N/A</v>
          </cell>
          <cell r="G85">
            <v>36964</v>
          </cell>
          <cell r="I85">
            <v>36964</v>
          </cell>
          <cell r="J85">
            <v>9393</v>
          </cell>
        </row>
        <row r="86">
          <cell r="A86" t="e">
            <v>#N/A</v>
          </cell>
          <cell r="B86" t="e">
            <v>#N/A</v>
          </cell>
          <cell r="C86" t="e">
            <v>#N/A</v>
          </cell>
          <cell r="D86" t="e">
            <v>#N/A</v>
          </cell>
          <cell r="E86" t="e">
            <v>#N/A</v>
          </cell>
          <cell r="F86" t="e">
            <v>#N/A</v>
          </cell>
          <cell r="G86">
            <v>36963</v>
          </cell>
          <cell r="I86">
            <v>36963</v>
          </cell>
          <cell r="J86">
            <v>9510.9</v>
          </cell>
        </row>
        <row r="87">
          <cell r="A87" t="e">
            <v>#N/A</v>
          </cell>
          <cell r="B87" t="e">
            <v>#N/A</v>
          </cell>
          <cell r="C87" t="e">
            <v>#N/A</v>
          </cell>
          <cell r="D87" t="e">
            <v>#N/A</v>
          </cell>
          <cell r="E87" t="e">
            <v>#N/A</v>
          </cell>
          <cell r="F87" t="e">
            <v>#N/A</v>
          </cell>
          <cell r="G87">
            <v>36962</v>
          </cell>
          <cell r="I87">
            <v>36962</v>
          </cell>
          <cell r="J87">
            <v>9494.7999999999993</v>
          </cell>
        </row>
        <row r="88">
          <cell r="A88" t="e">
            <v>#N/A</v>
          </cell>
          <cell r="B88" t="e">
            <v>#N/A</v>
          </cell>
          <cell r="C88" t="e">
            <v>#N/A</v>
          </cell>
          <cell r="D88" t="e">
            <v>#N/A</v>
          </cell>
          <cell r="E88" t="e">
            <v>#N/A</v>
          </cell>
          <cell r="F88" t="e">
            <v>#N/A</v>
          </cell>
          <cell r="G88">
            <v>36959</v>
          </cell>
          <cell r="I88">
            <v>36959</v>
          </cell>
          <cell r="J88">
            <v>9726.6</v>
          </cell>
        </row>
        <row r="89">
          <cell r="A89" t="e">
            <v>#N/A</v>
          </cell>
          <cell r="B89" t="e">
            <v>#N/A</v>
          </cell>
          <cell r="C89" t="e">
            <v>#N/A</v>
          </cell>
          <cell r="D89" t="e">
            <v>#N/A</v>
          </cell>
          <cell r="E89" t="e">
            <v>#N/A</v>
          </cell>
          <cell r="F89" t="e">
            <v>#N/A</v>
          </cell>
          <cell r="G89">
            <v>36958</v>
          </cell>
          <cell r="I89">
            <v>36958</v>
          </cell>
          <cell r="J89">
            <v>9798.2000000000007</v>
          </cell>
        </row>
        <row r="90">
          <cell r="A90" t="e">
            <v>#N/A</v>
          </cell>
          <cell r="B90" t="e">
            <v>#N/A</v>
          </cell>
          <cell r="C90" t="e">
            <v>#N/A</v>
          </cell>
          <cell r="D90" t="e">
            <v>#N/A</v>
          </cell>
          <cell r="E90" t="e">
            <v>#N/A</v>
          </cell>
          <cell r="F90" t="e">
            <v>#N/A</v>
          </cell>
          <cell r="G90">
            <v>36957</v>
          </cell>
          <cell r="I90">
            <v>36957</v>
          </cell>
          <cell r="J90">
            <v>9923.2999999999993</v>
          </cell>
        </row>
        <row r="91">
          <cell r="A91" t="e">
            <v>#N/A</v>
          </cell>
          <cell r="B91" t="e">
            <v>#N/A</v>
          </cell>
          <cell r="C91" t="e">
            <v>#N/A</v>
          </cell>
          <cell r="D91" t="e">
            <v>#N/A</v>
          </cell>
          <cell r="E91" t="e">
            <v>#N/A</v>
          </cell>
          <cell r="F91" t="e">
            <v>#N/A</v>
          </cell>
          <cell r="G91">
            <v>36956</v>
          </cell>
          <cell r="I91">
            <v>36956</v>
          </cell>
          <cell r="J91">
            <v>9892.1</v>
          </cell>
        </row>
        <row r="92">
          <cell r="A92" t="e">
            <v>#N/A</v>
          </cell>
          <cell r="B92" t="e">
            <v>#N/A</v>
          </cell>
          <cell r="C92" t="e">
            <v>#N/A</v>
          </cell>
          <cell r="D92" t="e">
            <v>#N/A</v>
          </cell>
          <cell r="E92" t="e">
            <v>#N/A</v>
          </cell>
          <cell r="F92" t="e">
            <v>#N/A</v>
          </cell>
          <cell r="G92">
            <v>36955</v>
          </cell>
          <cell r="I92">
            <v>36955</v>
          </cell>
          <cell r="J92">
            <v>9688.1</v>
          </cell>
        </row>
        <row r="93">
          <cell r="A93" t="e">
            <v>#N/A</v>
          </cell>
          <cell r="B93" t="e">
            <v>#N/A</v>
          </cell>
          <cell r="C93" t="e">
            <v>#N/A</v>
          </cell>
          <cell r="D93" t="e">
            <v>#N/A</v>
          </cell>
          <cell r="E93" t="e">
            <v>#N/A</v>
          </cell>
          <cell r="F93" t="e">
            <v>#N/A</v>
          </cell>
          <cell r="G93">
            <v>36952</v>
          </cell>
          <cell r="I93">
            <v>36952</v>
          </cell>
          <cell r="J93">
            <v>9570.9</v>
          </cell>
        </row>
        <row r="94">
          <cell r="A94" t="e">
            <v>#N/A</v>
          </cell>
          <cell r="B94" t="e">
            <v>#N/A</v>
          </cell>
          <cell r="C94" t="e">
            <v>#N/A</v>
          </cell>
          <cell r="D94" t="e">
            <v>#N/A</v>
          </cell>
          <cell r="E94" t="e">
            <v>#N/A</v>
          </cell>
          <cell r="F94" t="e">
            <v>#N/A</v>
          </cell>
          <cell r="G94">
            <v>36951</v>
          </cell>
          <cell r="I94">
            <v>36951</v>
          </cell>
          <cell r="J94">
            <v>9486.1</v>
          </cell>
        </row>
        <row r="95">
          <cell r="A95" t="e">
            <v>#N/A</v>
          </cell>
          <cell r="B95" t="e">
            <v>#N/A</v>
          </cell>
          <cell r="C95" t="e">
            <v>#N/A</v>
          </cell>
          <cell r="D95" t="e">
            <v>#N/A</v>
          </cell>
          <cell r="E95" t="e">
            <v>#N/A</v>
          </cell>
          <cell r="F95" t="e">
            <v>#N/A</v>
          </cell>
          <cell r="G95">
            <v>36950</v>
          </cell>
          <cell r="I95">
            <v>36950</v>
          </cell>
          <cell r="J95">
            <v>9551.4</v>
          </cell>
        </row>
        <row r="96">
          <cell r="A96" t="e">
            <v>#N/A</v>
          </cell>
          <cell r="B96" t="e">
            <v>#N/A</v>
          </cell>
          <cell r="C96" t="e">
            <v>#N/A</v>
          </cell>
          <cell r="D96" t="e">
            <v>#N/A</v>
          </cell>
          <cell r="E96" t="e">
            <v>#N/A</v>
          </cell>
          <cell r="F96" t="e">
            <v>#N/A</v>
          </cell>
          <cell r="G96">
            <v>36949</v>
          </cell>
          <cell r="I96">
            <v>36949</v>
          </cell>
          <cell r="J96">
            <v>9554.1</v>
          </cell>
        </row>
        <row r="97">
          <cell r="A97" t="e">
            <v>#N/A</v>
          </cell>
          <cell r="B97" t="e">
            <v>#N/A</v>
          </cell>
          <cell r="C97" t="e">
            <v>#N/A</v>
          </cell>
          <cell r="D97" t="e">
            <v>#N/A</v>
          </cell>
          <cell r="E97" t="e">
            <v>#N/A</v>
          </cell>
          <cell r="F97" t="e">
            <v>#N/A</v>
          </cell>
          <cell r="G97">
            <v>36948</v>
          </cell>
          <cell r="I97">
            <v>36948</v>
          </cell>
          <cell r="J97">
            <v>9476.4</v>
          </cell>
        </row>
        <row r="98">
          <cell r="A98" t="e">
            <v>#N/A</v>
          </cell>
          <cell r="B98" t="e">
            <v>#N/A</v>
          </cell>
          <cell r="C98" t="e">
            <v>#N/A</v>
          </cell>
          <cell r="D98" t="e">
            <v>#N/A</v>
          </cell>
          <cell r="E98" t="e">
            <v>#N/A</v>
          </cell>
          <cell r="F98" t="e">
            <v>#N/A</v>
          </cell>
          <cell r="G98">
            <v>36945</v>
          </cell>
          <cell r="I98">
            <v>36945</v>
          </cell>
          <cell r="J98">
            <v>9344.7999999999993</v>
          </cell>
        </row>
        <row r="99">
          <cell r="A99" t="e">
            <v>#N/A</v>
          </cell>
          <cell r="B99" t="e">
            <v>#N/A</v>
          </cell>
          <cell r="C99" t="e">
            <v>#N/A</v>
          </cell>
          <cell r="D99" t="e">
            <v>#N/A</v>
          </cell>
          <cell r="E99" t="e">
            <v>#N/A</v>
          </cell>
          <cell r="F99" t="e">
            <v>#N/A</v>
          </cell>
          <cell r="G99">
            <v>36944</v>
          </cell>
          <cell r="I99">
            <v>36944</v>
          </cell>
          <cell r="J99">
            <v>9418.7999999999993</v>
          </cell>
        </row>
        <row r="100">
          <cell r="A100" t="e">
            <v>#N/A</v>
          </cell>
          <cell r="B100" t="e">
            <v>#N/A</v>
          </cell>
          <cell r="C100" t="e">
            <v>#N/A</v>
          </cell>
          <cell r="D100" t="e">
            <v>#N/A</v>
          </cell>
          <cell r="E100" t="e">
            <v>#N/A</v>
          </cell>
          <cell r="F100" t="e">
            <v>#N/A</v>
          </cell>
          <cell r="G100">
            <v>36943</v>
          </cell>
          <cell r="I100">
            <v>36943</v>
          </cell>
          <cell r="J100">
            <v>9592.1</v>
          </cell>
        </row>
        <row r="101">
          <cell r="A101" t="e">
            <v>#N/A</v>
          </cell>
          <cell r="B101" t="e">
            <v>#N/A</v>
          </cell>
          <cell r="C101" t="e">
            <v>#N/A</v>
          </cell>
          <cell r="D101" t="e">
            <v>#N/A</v>
          </cell>
          <cell r="E101" t="e">
            <v>#N/A</v>
          </cell>
          <cell r="F101" t="e">
            <v>#N/A</v>
          </cell>
          <cell r="G101">
            <v>36942</v>
          </cell>
          <cell r="I101">
            <v>36942</v>
          </cell>
          <cell r="J101">
            <v>9680.5</v>
          </cell>
        </row>
        <row r="102">
          <cell r="A102" t="e">
            <v>#N/A</v>
          </cell>
          <cell r="B102" t="e">
            <v>#N/A</v>
          </cell>
          <cell r="C102" t="e">
            <v>#N/A</v>
          </cell>
          <cell r="D102" t="e">
            <v>#N/A</v>
          </cell>
          <cell r="E102" t="e">
            <v>#N/A</v>
          </cell>
          <cell r="F102" t="e">
            <v>#N/A</v>
          </cell>
          <cell r="G102">
            <v>36941</v>
          </cell>
          <cell r="I102">
            <v>36941</v>
          </cell>
          <cell r="J102">
            <v>9861.2999999999993</v>
          </cell>
        </row>
        <row r="103">
          <cell r="A103" t="e">
            <v>#N/A</v>
          </cell>
          <cell r="B103" t="e">
            <v>#N/A</v>
          </cell>
          <cell r="C103" t="e">
            <v>#N/A</v>
          </cell>
          <cell r="D103" t="e">
            <v>#N/A</v>
          </cell>
          <cell r="E103" t="e">
            <v>#N/A</v>
          </cell>
          <cell r="F103" t="e">
            <v>#N/A</v>
          </cell>
          <cell r="G103">
            <v>36938</v>
          </cell>
          <cell r="I103">
            <v>36938</v>
          </cell>
          <cell r="J103">
            <v>9789.5</v>
          </cell>
        </row>
      </sheetData>
      <sheetData sheetId="1" refreshError="1"/>
      <sheetData sheetId="2" refreshError="1">
        <row r="45">
          <cell r="A45">
            <v>37013</v>
          </cell>
          <cell r="B45">
            <v>607610.69999999995</v>
          </cell>
        </row>
        <row r="46">
          <cell r="A46">
            <v>37014</v>
          </cell>
          <cell r="B46">
            <v>331543</v>
          </cell>
        </row>
        <row r="47">
          <cell r="A47">
            <v>37015</v>
          </cell>
          <cell r="B47">
            <v>276321.09999999998</v>
          </cell>
        </row>
        <row r="48">
          <cell r="A48">
            <v>37018</v>
          </cell>
          <cell r="B48">
            <v>204352</v>
          </cell>
        </row>
        <row r="49">
          <cell r="A49">
            <v>37019</v>
          </cell>
          <cell r="B49">
            <v>141593.60000000001</v>
          </cell>
        </row>
        <row r="50">
          <cell r="A50">
            <v>37020</v>
          </cell>
          <cell r="B50">
            <v>109910.8</v>
          </cell>
        </row>
        <row r="51">
          <cell r="A51">
            <v>37021</v>
          </cell>
          <cell r="B51">
            <v>105688.3</v>
          </cell>
        </row>
        <row r="52">
          <cell r="A52">
            <v>37022</v>
          </cell>
          <cell r="B52">
            <v>88546.2</v>
          </cell>
        </row>
        <row r="53">
          <cell r="A53">
            <v>37025</v>
          </cell>
          <cell r="B53">
            <v>80402.399999999994</v>
          </cell>
        </row>
        <row r="54">
          <cell r="A54">
            <v>37026</v>
          </cell>
          <cell r="B54">
            <v>65938</v>
          </cell>
        </row>
        <row r="55">
          <cell r="A55">
            <v>37027</v>
          </cell>
          <cell r="B55">
            <v>61343.199999999997</v>
          </cell>
        </row>
        <row r="56">
          <cell r="A56">
            <v>37028</v>
          </cell>
          <cell r="B56">
            <v>53378.9</v>
          </cell>
        </row>
        <row r="57">
          <cell r="A57">
            <v>37029</v>
          </cell>
          <cell r="B57">
            <v>52428.6</v>
          </cell>
        </row>
        <row r="58">
          <cell r="A58">
            <v>37032</v>
          </cell>
          <cell r="B58">
            <v>54872.7</v>
          </cell>
        </row>
        <row r="59">
          <cell r="A59">
            <v>37033</v>
          </cell>
          <cell r="B59">
            <v>55399.3</v>
          </cell>
        </row>
        <row r="60">
          <cell r="A60">
            <v>37034</v>
          </cell>
          <cell r="B60">
            <v>53946</v>
          </cell>
        </row>
        <row r="61">
          <cell r="A61">
            <v>37035</v>
          </cell>
          <cell r="B61">
            <v>51558.7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GE-A"/>
      <sheetName val="T-EN-A"/>
      <sheetName val="T-SO-A"/>
      <sheetName val="T-SE-A"/>
      <sheetName val="T-C-B"/>
      <sheetName val="T-C-C"/>
      <sheetName val="T-C-D"/>
      <sheetName val="T-C-F"/>
      <sheetName val="S-Menu"/>
      <sheetName val="S-C-2"/>
      <sheetName val="S-C-3"/>
      <sheetName val="S-GE-4"/>
      <sheetName val="S-SE-4"/>
      <sheetName val="S-SO-4"/>
      <sheetName val="S-EN-4"/>
      <sheetName val="S-EN-4b"/>
      <sheetName val="S-SO-5"/>
      <sheetName val="S-SO-4CN"/>
      <sheetName val="S-SO-5CN"/>
      <sheetName val="S-SO-4CA"/>
      <sheetName val="S-SO-5CA"/>
      <sheetName val="S-SE-5"/>
      <sheetName val="S-SE-4CN"/>
      <sheetName val="S-SE-5CN"/>
      <sheetName val="S-SE-4CA"/>
      <sheetName val="S-SE-5CA"/>
      <sheetName val="S-SE-6"/>
      <sheetName val="S-GE-5"/>
      <sheetName val="S-GE-4CN"/>
      <sheetName val="S-GE-5CN"/>
      <sheetName val="S-GE-4CA"/>
      <sheetName val="S-GE-5CA"/>
      <sheetName val="S-EN-5"/>
      <sheetName val="S-EN-4CA"/>
      <sheetName val="S-EN-4CAb"/>
      <sheetName val="S-SO-6"/>
      <sheetName val="S-GE-6"/>
      <sheetName val="S-SO-7"/>
      <sheetName val="S-GE-7"/>
      <sheetName val="S-EN-5CA"/>
      <sheetName val="S-EN-6"/>
      <sheetName val="S-EN-7"/>
      <sheetName val="S-SE-7"/>
      <sheetName val="S-GE-9"/>
      <sheetName val="S-EN-9"/>
      <sheetName val="S-SO-9"/>
      <sheetName val="S-SE-9"/>
      <sheetName val="S-GE-10"/>
      <sheetName val="S-EN-10"/>
      <sheetName val="S-SE-10"/>
      <sheetName val="S-SO-10"/>
      <sheetName val="S-SO-11"/>
      <sheetName val="S-EN-11"/>
      <sheetName val="S-GE-11"/>
      <sheetName val="S-SE-11"/>
      <sheetName val="S-C-11b"/>
      <sheetName val="S-C-13"/>
      <sheetName val="S-GE-14"/>
      <sheetName val="S-EN-14"/>
      <sheetName val="S-SO-14"/>
      <sheetName val="S-SE-14"/>
      <sheetName val="S-C-15"/>
      <sheetName val="S-GE-Instrucciones"/>
      <sheetName val="S-EN-Instrucciones"/>
      <sheetName val="S-SO-Instrucciones"/>
      <sheetName val="S-SE-Instrucciones"/>
      <sheetName val="T-GE-Instrucciones"/>
      <sheetName val="T-EN-Instrucciones"/>
      <sheetName val="T-SO-Instrucciones"/>
      <sheetName val="T-SE-Instrucciones"/>
      <sheetName val="TAX_S_SO"/>
      <sheetName val="TAX_S_GE"/>
      <sheetName val="TAX_T_GE"/>
      <sheetName val="TAX_S_EN"/>
      <sheetName val="TAX_T_SE"/>
      <sheetName val="TAX_S_SE"/>
      <sheetName val="TAX_T_EN"/>
      <sheetName val="TAX_T_SO"/>
      <sheetName val="Listas"/>
      <sheetName val="Multiidioma"/>
      <sheetName val="R1"/>
      <sheetName val="Pará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8">
          <cell r="A8" t="str">
            <v>ESPAÑA</v>
          </cell>
        </row>
        <row r="9">
          <cell r="A9" t="str">
            <v>AFGANISTÁN</v>
          </cell>
        </row>
        <row r="10">
          <cell r="A10" t="str">
            <v>ALBANIA</v>
          </cell>
        </row>
        <row r="11">
          <cell r="A11" t="str">
            <v>ALEMANIA</v>
          </cell>
        </row>
        <row r="12">
          <cell r="A12" t="str">
            <v>ANDORRA</v>
          </cell>
        </row>
        <row r="13">
          <cell r="A13" t="str">
            <v>ANGOLA</v>
          </cell>
        </row>
        <row r="14">
          <cell r="A14" t="str">
            <v>ANGUILA</v>
          </cell>
        </row>
        <row r="15">
          <cell r="A15" t="str">
            <v>ANTÁRTIDA</v>
          </cell>
        </row>
        <row r="16">
          <cell r="A16" t="str">
            <v>ANTIGUA Y BARBUDA</v>
          </cell>
        </row>
        <row r="17">
          <cell r="A17" t="str">
            <v>ANTILLAS HOLANDESAS</v>
          </cell>
        </row>
        <row r="18">
          <cell r="A18" t="str">
            <v>ARABIA SAUDITA</v>
          </cell>
        </row>
        <row r="19">
          <cell r="A19" t="str">
            <v>ARGELIA</v>
          </cell>
        </row>
        <row r="20">
          <cell r="A20" t="str">
            <v>ARGENTINA</v>
          </cell>
        </row>
        <row r="21">
          <cell r="A21" t="str">
            <v>ARMENIA</v>
          </cell>
        </row>
        <row r="22">
          <cell r="A22" t="str">
            <v>ARUBA</v>
          </cell>
        </row>
        <row r="23">
          <cell r="A23" t="str">
            <v>AUSTRALIA</v>
          </cell>
        </row>
        <row r="24">
          <cell r="A24" t="str">
            <v>AUSTRIA</v>
          </cell>
        </row>
        <row r="25">
          <cell r="A25" t="str">
            <v>AZERBAIYÁN</v>
          </cell>
        </row>
        <row r="26">
          <cell r="A26" t="str">
            <v>BAHAMAS</v>
          </cell>
        </row>
        <row r="27">
          <cell r="A27" t="str">
            <v>BAHREIN</v>
          </cell>
        </row>
        <row r="28">
          <cell r="A28" t="str">
            <v>BANGLADESH</v>
          </cell>
        </row>
        <row r="29">
          <cell r="A29" t="str">
            <v>BARBADOS</v>
          </cell>
        </row>
        <row r="30">
          <cell r="A30" t="str">
            <v>BÉLGICA</v>
          </cell>
        </row>
        <row r="31">
          <cell r="A31" t="str">
            <v>BELICE</v>
          </cell>
        </row>
        <row r="32">
          <cell r="A32" t="str">
            <v>BENÁN</v>
          </cell>
        </row>
        <row r="33">
          <cell r="A33" t="str">
            <v>BERMUDAS</v>
          </cell>
        </row>
        <row r="34">
          <cell r="A34" t="str">
            <v>BIELORRUSIA</v>
          </cell>
        </row>
        <row r="35">
          <cell r="A35" t="str">
            <v>BOLIVIA</v>
          </cell>
        </row>
        <row r="36">
          <cell r="A36" t="str">
            <v>BOSNIA-HERZEGOVINA</v>
          </cell>
        </row>
        <row r="37">
          <cell r="A37" t="str">
            <v>BOTSWANA</v>
          </cell>
        </row>
        <row r="38">
          <cell r="A38" t="str">
            <v>BRASIL</v>
          </cell>
        </row>
        <row r="39">
          <cell r="A39" t="str">
            <v>BRUNEI</v>
          </cell>
        </row>
        <row r="40">
          <cell r="A40" t="str">
            <v>BULGARIA</v>
          </cell>
        </row>
        <row r="41">
          <cell r="A41" t="str">
            <v>BURKINA FASO</v>
          </cell>
        </row>
        <row r="42">
          <cell r="A42" t="str">
            <v>BURUNDI</v>
          </cell>
        </row>
        <row r="43">
          <cell r="A43" t="str">
            <v>BUTÁN</v>
          </cell>
        </row>
        <row r="44">
          <cell r="A44" t="str">
            <v>CABO VERDE</v>
          </cell>
        </row>
        <row r="45">
          <cell r="A45" t="str">
            <v>CAMBOYA</v>
          </cell>
        </row>
        <row r="46">
          <cell r="A46" t="str">
            <v>CAMERÚN</v>
          </cell>
        </row>
        <row r="47">
          <cell r="A47" t="str">
            <v>CANADÁ</v>
          </cell>
        </row>
        <row r="48">
          <cell r="A48" t="str">
            <v>CHAD</v>
          </cell>
        </row>
        <row r="49">
          <cell r="A49" t="str">
            <v>CHILE</v>
          </cell>
        </row>
        <row r="50">
          <cell r="A50" t="str">
            <v>CHINA</v>
          </cell>
        </row>
        <row r="51">
          <cell r="A51" t="str">
            <v>CHIPRE</v>
          </cell>
        </row>
        <row r="52">
          <cell r="A52" t="str">
            <v>COCOS (KEELING)</v>
          </cell>
        </row>
        <row r="53">
          <cell r="A53" t="str">
            <v>COLOMBIA</v>
          </cell>
        </row>
        <row r="54">
          <cell r="A54" t="str">
            <v>COMORES</v>
          </cell>
        </row>
        <row r="55">
          <cell r="A55" t="str">
            <v>COSTA DEL MARFIL</v>
          </cell>
        </row>
        <row r="56">
          <cell r="A56" t="str">
            <v>COSTA RICA</v>
          </cell>
        </row>
        <row r="57">
          <cell r="A57" t="str">
            <v>CROACIA</v>
          </cell>
        </row>
        <row r="58">
          <cell r="A58" t="str">
            <v>CUBA</v>
          </cell>
        </row>
        <row r="59">
          <cell r="A59" t="str">
            <v>DINAMARCA</v>
          </cell>
        </row>
        <row r="60">
          <cell r="A60" t="str">
            <v>DJIBOUTI</v>
          </cell>
        </row>
        <row r="61">
          <cell r="A61" t="str">
            <v>DOMINICA</v>
          </cell>
        </row>
        <row r="62">
          <cell r="A62" t="str">
            <v>ECUADOR</v>
          </cell>
        </row>
        <row r="63">
          <cell r="A63" t="str">
            <v>EGIPTO</v>
          </cell>
        </row>
        <row r="64">
          <cell r="A64" t="str">
            <v>EL SALVADOR</v>
          </cell>
        </row>
        <row r="65">
          <cell r="A65" t="str">
            <v>EMIRATOS ÁRABES UNIDOS</v>
          </cell>
        </row>
        <row r="66">
          <cell r="A66" t="str">
            <v>ERITREA</v>
          </cell>
        </row>
        <row r="67">
          <cell r="A67" t="str">
            <v>ESLOVAQUIA</v>
          </cell>
        </row>
        <row r="68">
          <cell r="A68" t="str">
            <v>ESLOVENIA</v>
          </cell>
        </row>
        <row r="69">
          <cell r="A69" t="str">
            <v>ESTADOS FEDERADOS DE MICRONESIA</v>
          </cell>
        </row>
        <row r="70">
          <cell r="A70" t="str">
            <v>ESTADOS UNIDOS DE AMÉRICA</v>
          </cell>
        </row>
        <row r="71">
          <cell r="A71" t="str">
            <v>ESTONIA</v>
          </cell>
        </row>
        <row r="72">
          <cell r="A72" t="str">
            <v>ETIOPÍA</v>
          </cell>
        </row>
        <row r="73">
          <cell r="A73" t="str">
            <v>EX REPUBLICA YUGOSLAVA DE MACEDONIA</v>
          </cell>
        </row>
        <row r="74">
          <cell r="A74" t="str">
            <v>FEDERACIÓN RUSA</v>
          </cell>
        </row>
        <row r="75">
          <cell r="A75" t="str">
            <v>FILIPINAS</v>
          </cell>
        </row>
        <row r="76">
          <cell r="A76" t="str">
            <v>FINLANDIA</v>
          </cell>
        </row>
        <row r="77">
          <cell r="A77" t="str">
            <v>FRANCIA</v>
          </cell>
        </row>
        <row r="78">
          <cell r="A78" t="str">
            <v>GABÁN</v>
          </cell>
        </row>
        <row r="79">
          <cell r="A79" t="str">
            <v>GAMBIA</v>
          </cell>
        </row>
        <row r="80">
          <cell r="A80" t="str">
            <v>GEORGIA</v>
          </cell>
        </row>
        <row r="81">
          <cell r="A81" t="str">
            <v>GHANA</v>
          </cell>
        </row>
        <row r="82">
          <cell r="A82" t="str">
            <v>GIBRALTAR</v>
          </cell>
        </row>
        <row r="83">
          <cell r="A83" t="str">
            <v>GRANADA</v>
          </cell>
        </row>
        <row r="84">
          <cell r="A84" t="str">
            <v>GRECIA</v>
          </cell>
        </row>
        <row r="85">
          <cell r="A85" t="str">
            <v>GROENLANDIA</v>
          </cell>
        </row>
        <row r="86">
          <cell r="A86" t="str">
            <v>GUADALUPE</v>
          </cell>
        </row>
        <row r="87">
          <cell r="A87" t="str">
            <v>GUAM</v>
          </cell>
        </row>
        <row r="88">
          <cell r="A88" t="str">
            <v>GUATEMALA</v>
          </cell>
        </row>
        <row r="89">
          <cell r="A89" t="str">
            <v>GUAYANA FRANCESA</v>
          </cell>
        </row>
        <row r="90">
          <cell r="A90" t="str">
            <v>GUINEA</v>
          </cell>
        </row>
        <row r="91">
          <cell r="A91" t="str">
            <v>GUINEA ECUATORIAL</v>
          </cell>
        </row>
        <row r="92">
          <cell r="A92" t="str">
            <v>GUINEA-BISSAU</v>
          </cell>
        </row>
        <row r="93">
          <cell r="A93" t="str">
            <v>GUYANA</v>
          </cell>
        </row>
        <row r="94">
          <cell r="A94" t="str">
            <v>HAITÍ</v>
          </cell>
        </row>
        <row r="95">
          <cell r="A95" t="str">
            <v>HONDURAS</v>
          </cell>
        </row>
        <row r="96">
          <cell r="A96" t="str">
            <v>HONG KONG</v>
          </cell>
        </row>
        <row r="97">
          <cell r="A97" t="str">
            <v>HUNGRÍA</v>
          </cell>
        </row>
        <row r="98">
          <cell r="A98" t="str">
            <v>INDIA</v>
          </cell>
        </row>
        <row r="99">
          <cell r="A99" t="str">
            <v>INDONESIA</v>
          </cell>
        </row>
        <row r="100">
          <cell r="A100" t="str">
            <v>IRAK</v>
          </cell>
        </row>
        <row r="101">
          <cell r="A101" t="str">
            <v>IRLANDA</v>
          </cell>
        </row>
        <row r="102">
          <cell r="A102" t="str">
            <v>ISLA BOUVET</v>
          </cell>
        </row>
        <row r="103">
          <cell r="A103" t="str">
            <v>ISLA DE PASCUA</v>
          </cell>
        </row>
        <row r="104">
          <cell r="A104" t="str">
            <v>ISLA HEARD E ISLAS MCDONALD</v>
          </cell>
        </row>
        <row r="105">
          <cell r="A105" t="str">
            <v>ISLA NORFOLK</v>
          </cell>
        </row>
        <row r="106">
          <cell r="A106" t="str">
            <v>ISLANDIA</v>
          </cell>
        </row>
        <row r="107">
          <cell r="A107" t="str">
            <v>ISLAS CAIMÁN</v>
          </cell>
        </row>
        <row r="108">
          <cell r="A108" t="str">
            <v>ISLAS COOK</v>
          </cell>
        </row>
        <row r="109">
          <cell r="A109" t="str">
            <v>ISLAS FEROE</v>
          </cell>
        </row>
        <row r="110">
          <cell r="A110" t="str">
            <v>ISLAS FIDJI</v>
          </cell>
        </row>
        <row r="111">
          <cell r="A111" t="str">
            <v>ISLAS GEORGIA DEL SUR Y SANDWICH DEL SUR</v>
          </cell>
        </row>
        <row r="112">
          <cell r="A112" t="str">
            <v>ISLAS MALDIVAS</v>
          </cell>
        </row>
        <row r="113">
          <cell r="A113" t="str">
            <v>ISLAS MALVINAS (FALKLAND)</v>
          </cell>
        </row>
        <row r="114">
          <cell r="A114" t="str">
            <v>ISLAS MARIANAS SEPTENTRIONALES</v>
          </cell>
        </row>
        <row r="115">
          <cell r="A115" t="str">
            <v>ISLAS MARSHALL</v>
          </cell>
        </row>
        <row r="116">
          <cell r="A116" t="str">
            <v>ISLAS PERIFÉRICAS MENORES DE ESTADOS UNIDOS</v>
          </cell>
        </row>
        <row r="117">
          <cell r="A117" t="str">
            <v>ISLAS REUNIÓN</v>
          </cell>
        </row>
        <row r="118">
          <cell r="A118" t="str">
            <v>ISLAS SALOMÓN</v>
          </cell>
        </row>
        <row r="119">
          <cell r="A119" t="str">
            <v>ISLAS SEYCHELLES</v>
          </cell>
        </row>
        <row r="120">
          <cell r="A120" t="str">
            <v>ISLAS TURKS Y CAICOS</v>
          </cell>
        </row>
        <row r="121">
          <cell r="A121" t="str">
            <v>ISLAS VÍRGENES BRITÁNICAS</v>
          </cell>
        </row>
        <row r="122">
          <cell r="A122" t="str">
            <v>ISLAS VÍRGENES ESTADOUNIDENSES</v>
          </cell>
        </row>
        <row r="123">
          <cell r="A123" t="str">
            <v>ISRAEL</v>
          </cell>
        </row>
        <row r="124">
          <cell r="A124" t="str">
            <v>ITALIA</v>
          </cell>
        </row>
        <row r="125">
          <cell r="A125" t="str">
            <v>JAMAICA</v>
          </cell>
        </row>
        <row r="126">
          <cell r="A126" t="str">
            <v>JAPÁN</v>
          </cell>
        </row>
        <row r="127">
          <cell r="A127" t="str">
            <v>JORDANIA</v>
          </cell>
        </row>
        <row r="128">
          <cell r="A128" t="str">
            <v>KAZAJSTÁN</v>
          </cell>
        </row>
        <row r="129">
          <cell r="A129" t="str">
            <v>KENIA</v>
          </cell>
        </row>
        <row r="130">
          <cell r="A130" t="str">
            <v>KIRGUIZISTÁN</v>
          </cell>
        </row>
        <row r="131">
          <cell r="A131" t="str">
            <v>KIRIBATI</v>
          </cell>
        </row>
        <row r="132">
          <cell r="A132" t="str">
            <v>KUWAIT</v>
          </cell>
        </row>
        <row r="133">
          <cell r="A133" t="str">
            <v>LESOTHO</v>
          </cell>
        </row>
        <row r="134">
          <cell r="A134" t="str">
            <v>LETONIA</v>
          </cell>
        </row>
        <row r="135">
          <cell r="A135" t="str">
            <v>LÍBANO</v>
          </cell>
        </row>
        <row r="136">
          <cell r="A136" t="str">
            <v>LIBERIA</v>
          </cell>
        </row>
        <row r="137">
          <cell r="A137" t="str">
            <v>LIBIA</v>
          </cell>
        </row>
        <row r="138">
          <cell r="A138" t="str">
            <v>LIECHTENSTEIN</v>
          </cell>
        </row>
        <row r="139">
          <cell r="A139" t="str">
            <v>LITUANIA</v>
          </cell>
        </row>
        <row r="140">
          <cell r="A140" t="str">
            <v>LUXEMBURGO</v>
          </cell>
        </row>
        <row r="141">
          <cell r="A141" t="str">
            <v>MACAO</v>
          </cell>
        </row>
        <row r="142">
          <cell r="A142" t="str">
            <v>MADAGASCAR</v>
          </cell>
        </row>
        <row r="143">
          <cell r="A143" t="str">
            <v>MALASIA</v>
          </cell>
        </row>
        <row r="144">
          <cell r="A144" t="str">
            <v>MALAWI</v>
          </cell>
        </row>
        <row r="145">
          <cell r="A145" t="str">
            <v>MALI</v>
          </cell>
        </row>
        <row r="146">
          <cell r="A146" t="str">
            <v>MALTA</v>
          </cell>
        </row>
        <row r="147">
          <cell r="A147" t="str">
            <v>MARRUECOS</v>
          </cell>
        </row>
        <row r="148">
          <cell r="A148" t="str">
            <v>MARTINICA</v>
          </cell>
        </row>
        <row r="149">
          <cell r="A149" t="str">
            <v>MAURICIO</v>
          </cell>
        </row>
        <row r="150">
          <cell r="A150" t="str">
            <v>MAURITANIA</v>
          </cell>
        </row>
        <row r="151">
          <cell r="A151" t="str">
            <v>MAYOTTE</v>
          </cell>
        </row>
        <row r="152">
          <cell r="A152" t="str">
            <v>MÉJICO</v>
          </cell>
        </row>
        <row r="153">
          <cell r="A153" t="str">
            <v>MÓNACO</v>
          </cell>
        </row>
        <row r="154">
          <cell r="A154" t="str">
            <v>MONGOLIA</v>
          </cell>
        </row>
        <row r="155">
          <cell r="A155" t="str">
            <v>MONTSERRAT</v>
          </cell>
        </row>
        <row r="156">
          <cell r="A156" t="str">
            <v>MOZAMBIQUE</v>
          </cell>
        </row>
        <row r="157">
          <cell r="A157" t="str">
            <v>MYANMAR</v>
          </cell>
        </row>
        <row r="158">
          <cell r="A158" t="str">
            <v>NAMIBIA</v>
          </cell>
        </row>
        <row r="159">
          <cell r="A159" t="str">
            <v>NAURU</v>
          </cell>
        </row>
        <row r="160">
          <cell r="A160" t="str">
            <v>NEPAL</v>
          </cell>
        </row>
        <row r="161">
          <cell r="A161" t="str">
            <v>NICARAGUA</v>
          </cell>
        </row>
        <row r="162">
          <cell r="A162" t="str">
            <v>NÍGER</v>
          </cell>
        </row>
        <row r="163">
          <cell r="A163" t="str">
            <v>NIGERIA</v>
          </cell>
        </row>
        <row r="164">
          <cell r="A164" t="str">
            <v>NIUE</v>
          </cell>
        </row>
        <row r="165">
          <cell r="A165" t="str">
            <v>NORUEGA</v>
          </cell>
        </row>
        <row r="166">
          <cell r="A166" t="str">
            <v>NUEVA CALEDONIA</v>
          </cell>
        </row>
        <row r="167">
          <cell r="A167" t="str">
            <v>NUEVA ZELANDA</v>
          </cell>
        </row>
        <row r="168">
          <cell r="A168" t="str">
            <v>OMÁN</v>
          </cell>
        </row>
        <row r="169">
          <cell r="A169" t="str">
            <v>PAÍSES BAJOS</v>
          </cell>
        </row>
        <row r="170">
          <cell r="A170" t="str">
            <v>PAKISTÁN</v>
          </cell>
        </row>
        <row r="171">
          <cell r="A171" t="str">
            <v>PALAU</v>
          </cell>
        </row>
        <row r="172">
          <cell r="A172" t="str">
            <v>PANAMÁ</v>
          </cell>
        </row>
        <row r="173">
          <cell r="A173" t="str">
            <v>PAPUA-NUEVA GUINEA</v>
          </cell>
        </row>
        <row r="174">
          <cell r="A174" t="str">
            <v>PARAGUAY</v>
          </cell>
        </row>
        <row r="175">
          <cell r="A175" t="str">
            <v>PERÚ</v>
          </cell>
        </row>
        <row r="176">
          <cell r="A176" t="str">
            <v>PITCAIRN</v>
          </cell>
        </row>
        <row r="177">
          <cell r="A177" t="str">
            <v>POLINESIA FRANCESA</v>
          </cell>
        </row>
        <row r="178">
          <cell r="A178" t="str">
            <v>POLONIA</v>
          </cell>
        </row>
        <row r="179">
          <cell r="A179" t="str">
            <v>PORTUGAL</v>
          </cell>
        </row>
        <row r="180">
          <cell r="A180" t="str">
            <v>PUERTO RICO</v>
          </cell>
        </row>
        <row r="181">
          <cell r="A181" t="str">
            <v>QATAR</v>
          </cell>
        </row>
        <row r="182">
          <cell r="A182" t="str">
            <v>REINO UNIDO</v>
          </cell>
        </row>
        <row r="183">
          <cell r="A183" t="str">
            <v>REPÚBLICA ÁRABE SIRIA</v>
          </cell>
        </row>
        <row r="184">
          <cell r="A184" t="str">
            <v>REPÚBLICA CENTROAFRICANA</v>
          </cell>
        </row>
        <row r="185">
          <cell r="A185" t="str">
            <v>REPÚBLICA CHECA</v>
          </cell>
        </row>
        <row r="186">
          <cell r="A186" t="str">
            <v>REPÚBLICA DE COREA</v>
          </cell>
        </row>
        <row r="187">
          <cell r="A187" t="str">
            <v>REPÚBLICA DE MOLDAVIA</v>
          </cell>
        </row>
        <row r="188">
          <cell r="A188" t="str">
            <v>REPÚBLICA DE TANZANIA</v>
          </cell>
        </row>
        <row r="189">
          <cell r="A189" t="str">
            <v>REPÚBLICA DEL CONGO</v>
          </cell>
        </row>
        <row r="190">
          <cell r="A190" t="str">
            <v>REPÚBLICA DEMOCRÁTICA DEL CONGO</v>
          </cell>
        </row>
        <row r="191">
          <cell r="A191" t="str">
            <v>REPÚBLICA DEMOCRÁTICA POPULAR DE COREA</v>
          </cell>
        </row>
        <row r="192">
          <cell r="A192" t="str">
            <v>REPÚBLICA DEMOCRÁTICA POPULAR DE LAOS</v>
          </cell>
        </row>
        <row r="193">
          <cell r="A193" t="str">
            <v>REPÚBLICA DOMINICANA</v>
          </cell>
        </row>
        <row r="194">
          <cell r="A194" t="str">
            <v>REPÚBLICA ISLÁMICA DE IRÁN</v>
          </cell>
        </row>
        <row r="195">
          <cell r="A195" t="str">
            <v>RUANDA</v>
          </cell>
        </row>
        <row r="196">
          <cell r="A196" t="str">
            <v>RUMANIA</v>
          </cell>
        </row>
        <row r="197">
          <cell r="A197" t="str">
            <v>SAHARA OCCIDENTAL</v>
          </cell>
        </row>
        <row r="198">
          <cell r="A198" t="str">
            <v>SAINT KITTS Y NEVIS</v>
          </cell>
        </row>
        <row r="199">
          <cell r="A199" t="str">
            <v>SAINT PIERRE Y MIQUELON</v>
          </cell>
        </row>
        <row r="200">
          <cell r="A200" t="str">
            <v>SAMOA</v>
          </cell>
        </row>
        <row r="201">
          <cell r="A201" t="str">
            <v>SAMOA ESTADOUNIDENSE</v>
          </cell>
        </row>
        <row r="202">
          <cell r="A202" t="str">
            <v>SAN MARINO</v>
          </cell>
        </row>
        <row r="203">
          <cell r="A203" t="str">
            <v>SAN VICENTE Y GRANADINAS</v>
          </cell>
        </row>
        <row r="204">
          <cell r="A204" t="str">
            <v>SANTA ELENA</v>
          </cell>
        </row>
        <row r="205">
          <cell r="A205" t="str">
            <v>SANTA LUCÍA</v>
          </cell>
        </row>
        <row r="206">
          <cell r="A206" t="str">
            <v>SANTA SEDE (ESTADO DE LA CIUDAD DEL VATICANO)</v>
          </cell>
        </row>
        <row r="207">
          <cell r="A207" t="str">
            <v>SANTO TOMÉ Y PRÍNCIPE</v>
          </cell>
        </row>
        <row r="208">
          <cell r="A208" t="str">
            <v>SENEGAL</v>
          </cell>
        </row>
        <row r="209">
          <cell r="A209" t="str">
            <v>SERBIA Y MONTENEGRO</v>
          </cell>
        </row>
        <row r="210">
          <cell r="A210" t="str">
            <v>SIERRA LEONA</v>
          </cell>
        </row>
        <row r="211">
          <cell r="A211" t="str">
            <v>SINGAPUR</v>
          </cell>
        </row>
        <row r="212">
          <cell r="A212" t="str">
            <v>SOMALIA</v>
          </cell>
        </row>
        <row r="213">
          <cell r="A213" t="str">
            <v>SRI LANKA</v>
          </cell>
        </row>
        <row r="214">
          <cell r="A214" t="str">
            <v>SUAZILANDIA</v>
          </cell>
        </row>
        <row r="215">
          <cell r="A215" t="str">
            <v>SUDÁFRICA</v>
          </cell>
        </row>
        <row r="216">
          <cell r="A216" t="str">
            <v>SUDÁN</v>
          </cell>
        </row>
        <row r="217">
          <cell r="A217" t="str">
            <v>SUECIA</v>
          </cell>
        </row>
        <row r="218">
          <cell r="A218" t="str">
            <v>SUIZA</v>
          </cell>
        </row>
        <row r="219">
          <cell r="A219" t="str">
            <v>SURINAM</v>
          </cell>
        </row>
        <row r="220">
          <cell r="A220" t="str">
            <v>SVALVARD Y JAN MAYEN</v>
          </cell>
        </row>
        <row r="221">
          <cell r="A221" t="str">
            <v>TADJIKISTÁN</v>
          </cell>
        </row>
        <row r="222">
          <cell r="A222" t="str">
            <v>TAILANDIA</v>
          </cell>
        </row>
        <row r="223">
          <cell r="A223" t="str">
            <v>TAIYUAN, PROVINCIA DE CHINA</v>
          </cell>
        </row>
        <row r="224">
          <cell r="A224" t="str">
            <v>TERRITORIO BRITÁNICO DEL OCÉANO ÍNDICO</v>
          </cell>
        </row>
        <row r="225">
          <cell r="A225" t="str">
            <v>TERRITORIO PALESTINO OCUPADO</v>
          </cell>
        </row>
        <row r="226">
          <cell r="A226" t="str">
            <v>TERRITORIOS DEL SUR DE FRANCIA</v>
          </cell>
        </row>
        <row r="227">
          <cell r="A227" t="str">
            <v>TIMOR-LESTE</v>
          </cell>
        </row>
        <row r="228">
          <cell r="A228" t="str">
            <v>TOGO</v>
          </cell>
        </row>
        <row r="229">
          <cell r="A229" t="str">
            <v>TOKELAU</v>
          </cell>
        </row>
        <row r="230">
          <cell r="A230" t="str">
            <v>TONGA</v>
          </cell>
        </row>
        <row r="231">
          <cell r="A231" t="str">
            <v>TRINIDAD Y TOBAGO</v>
          </cell>
        </row>
        <row r="232">
          <cell r="A232" t="str">
            <v>TÚNEZ</v>
          </cell>
        </row>
        <row r="233">
          <cell r="A233" t="str">
            <v>TURKMENISTÁN</v>
          </cell>
        </row>
        <row r="234">
          <cell r="A234" t="str">
            <v>TURQUÍA</v>
          </cell>
        </row>
        <row r="235">
          <cell r="A235" t="str">
            <v>TUVALU</v>
          </cell>
        </row>
        <row r="236">
          <cell r="A236" t="str">
            <v>UCRANIA</v>
          </cell>
        </row>
        <row r="237">
          <cell r="A237" t="str">
            <v>UGANDA</v>
          </cell>
        </row>
        <row r="238">
          <cell r="A238" t="str">
            <v>URUGUAY</v>
          </cell>
        </row>
        <row r="239">
          <cell r="A239" t="str">
            <v>UZBEKISTÁN</v>
          </cell>
        </row>
        <row r="240">
          <cell r="A240" t="str">
            <v>VANUATU</v>
          </cell>
        </row>
        <row r="241">
          <cell r="A241" t="str">
            <v>VENEZUELA</v>
          </cell>
        </row>
        <row r="242">
          <cell r="A242" t="str">
            <v>VIETNAM</v>
          </cell>
        </row>
        <row r="243">
          <cell r="A243" t="str">
            <v>WALLIS Y FUTUNA</v>
          </cell>
        </row>
        <row r="244">
          <cell r="A244" t="str">
            <v>YEMEN</v>
          </cell>
        </row>
        <row r="245">
          <cell r="A245" t="str">
            <v>ZAMBIA</v>
          </cell>
        </row>
        <row r="246">
          <cell r="A246" t="str">
            <v>ZIMBABWE</v>
          </cell>
        </row>
        <row r="248">
          <cell r="A248" t="str">
            <v>Emisiones</v>
          </cell>
        </row>
        <row r="249">
          <cell r="A249" t="str">
            <v>Reembolsos</v>
          </cell>
        </row>
        <row r="250">
          <cell r="A250" t="str">
            <v>Cancelaciones</v>
          </cell>
        </row>
      </sheetData>
      <sheetData sheetId="80" refreshError="1"/>
      <sheetData sheetId="81" refreshError="1"/>
      <sheetData sheetId="8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s>
    <sheetDataSet>
      <sheetData sheetId="0" refreshError="1">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RESUMEN"/>
      <sheetName val="OPWSS"/>
      <sheetName val="OF1396"/>
      <sheetName val="OF0997"/>
      <sheetName val="OF997(DEUDA)"/>
      <sheetName val="OF0061"/>
      <sheetName val="INVERSESTRUCT"/>
      <sheetName val="OF0035"/>
      <sheetName val="OF2005"/>
      <sheetName val="OF4119"/>
      <sheetName val="OF.9857"/>
      <sheetName val="BBVANY Y BRUSELAS"/>
      <sheetName val="JERSEY"/>
      <sheetName val="PTORICO"/>
      <sheetName val="BNAPORT"/>
      <sheetName val="BCOEXCEL"/>
      <sheetName val="GIBRALTAR"/>
      <sheetName val="BBVAGLOBAL"/>
      <sheetName val="BBVAGLOBAL(SUB)"/>
      <sheetName val="BBVINTLTD"/>
      <sheetName val="CANAL Y BV AMERICA"/>
      <sheetName val="BBVACAPITAL"/>
      <sheetName val="BBVACAPFUND"/>
      <sheetName val="ARGPREFERRED"/>
      <sheetName val="BCL"/>
      <sheetName val="FINANZIA wss"/>
      <sheetName val="PILOT wss"/>
      <sheetName val="PRIV-SUIZA-wss "/>
      <sheetName val="BCOSMULTI"/>
      <sheetName val="RESBAN(UE)"/>
      <sheetName val="BCOS CENTRALES"/>
      <sheetName val="CAJAS"/>
      <sheetName val="ICO"/>
      <sheetName val="DIV &quot;IN&quot;"/>
      <sheetName val="SALDOSMEDIOS"/>
      <sheetName val="UPFRONT"/>
      <sheetName val="Mod 7250 (act)"/>
      <sheetName val="Mod 7250  (Ant.)"/>
      <sheetName val="REG.ORIGINAL"/>
      <sheetName val="Hoja1"/>
      <sheetName val="Mod 7250(ANTIGUO)"/>
      <sheetName val="BBVANY"/>
    </sheetNames>
    <sheetDataSet>
      <sheetData sheetId="0" refreshError="1">
        <row r="10">
          <cell r="A10" t="str">
            <v>ALL</v>
          </cell>
          <cell r="C10">
            <v>0</v>
          </cell>
          <cell r="D10">
            <v>0</v>
          </cell>
          <cell r="E10">
            <v>2</v>
          </cell>
        </row>
        <row r="11">
          <cell r="A11" t="str">
            <v>ARS</v>
          </cell>
          <cell r="C11">
            <v>0</v>
          </cell>
          <cell r="D11">
            <v>0</v>
          </cell>
          <cell r="E11">
            <v>2</v>
          </cell>
        </row>
        <row r="12">
          <cell r="A12" t="str">
            <v>ATS</v>
          </cell>
          <cell r="C12">
            <v>7.2672834167859704E-2</v>
          </cell>
          <cell r="D12">
            <v>12.091742185853505</v>
          </cell>
          <cell r="E12">
            <v>2</v>
          </cell>
        </row>
        <row r="13">
          <cell r="A13" t="str">
            <v>AUD</v>
          </cell>
          <cell r="B13">
            <v>1.728</v>
          </cell>
          <cell r="C13">
            <v>0.57870370370370372</v>
          </cell>
          <cell r="D13">
            <v>96.288194444444443</v>
          </cell>
          <cell r="E13">
            <v>2</v>
          </cell>
          <cell r="F13">
            <v>19</v>
          </cell>
        </row>
        <row r="14">
          <cell r="A14" t="str">
            <v>BEF</v>
          </cell>
          <cell r="C14">
            <v>2.4789352477323941E-2</v>
          </cell>
          <cell r="D14">
            <v>4.1246012012920215</v>
          </cell>
          <cell r="E14">
            <v>0</v>
          </cell>
        </row>
        <row r="15">
          <cell r="A15" t="str">
            <v>BGL</v>
          </cell>
          <cell r="C15">
            <v>0</v>
          </cell>
          <cell r="D15">
            <v>0</v>
          </cell>
          <cell r="E15">
            <v>2</v>
          </cell>
        </row>
        <row r="16">
          <cell r="A16" t="str">
            <v>BOB</v>
          </cell>
          <cell r="C16">
            <v>0</v>
          </cell>
          <cell r="D16">
            <v>0</v>
          </cell>
          <cell r="E16">
            <v>2</v>
          </cell>
        </row>
        <row r="17">
          <cell r="A17" t="str">
            <v>BRL</v>
          </cell>
          <cell r="B17">
            <v>2.0476999999999999</v>
          </cell>
          <cell r="C17">
            <v>0.48835278605264448</v>
          </cell>
          <cell r="D17">
            <v>81.255066660155308</v>
          </cell>
          <cell r="E17">
            <v>2</v>
          </cell>
          <cell r="F17">
            <v>32</v>
          </cell>
        </row>
        <row r="18">
          <cell r="A18" t="str">
            <v>BYR</v>
          </cell>
          <cell r="C18">
            <v>0</v>
          </cell>
          <cell r="D18">
            <v>0</v>
          </cell>
          <cell r="E18">
            <v>2</v>
          </cell>
        </row>
        <row r="19">
          <cell r="A19" t="str">
            <v>CAD</v>
          </cell>
          <cell r="B19">
            <v>1.4077</v>
          </cell>
          <cell r="C19">
            <v>0.71037863181075511</v>
          </cell>
          <cell r="D19">
            <v>118.1970590324643</v>
          </cell>
          <cell r="E19">
            <v>2</v>
          </cell>
          <cell r="F19" t="str">
            <v>04</v>
          </cell>
        </row>
        <row r="20">
          <cell r="A20" t="str">
            <v>CHF</v>
          </cell>
          <cell r="B20">
            <v>1.4829000000000001</v>
          </cell>
          <cell r="C20">
            <v>0.6743543057522422</v>
          </cell>
          <cell r="D20">
            <v>112.20311551689257</v>
          </cell>
          <cell r="E20">
            <v>2</v>
          </cell>
          <cell r="F20" t="str">
            <v>06</v>
          </cell>
        </row>
        <row r="21">
          <cell r="A21" t="str">
            <v>CLP</v>
          </cell>
          <cell r="C21">
            <v>0</v>
          </cell>
          <cell r="D21">
            <v>0</v>
          </cell>
          <cell r="E21">
            <v>2</v>
          </cell>
        </row>
        <row r="22">
          <cell r="A22" t="str">
            <v>CNY</v>
          </cell>
          <cell r="C22">
            <v>0</v>
          </cell>
          <cell r="D22">
            <v>0</v>
          </cell>
          <cell r="E22">
            <v>2</v>
          </cell>
        </row>
        <row r="23">
          <cell r="A23" t="str">
            <v>COP</v>
          </cell>
          <cell r="B23">
            <v>2017.07538</v>
          </cell>
          <cell r="C23">
            <v>4.9576729254411896E-4</v>
          </cell>
          <cell r="D23">
            <v>8.2488736737245771E-2</v>
          </cell>
          <cell r="E23">
            <v>2</v>
          </cell>
          <cell r="F23">
            <v>33</v>
          </cell>
        </row>
        <row r="24">
          <cell r="A24" t="str">
            <v>CRC</v>
          </cell>
          <cell r="C24">
            <v>0</v>
          </cell>
          <cell r="D24">
            <v>0</v>
          </cell>
          <cell r="E24">
            <v>2</v>
          </cell>
        </row>
        <row r="25">
          <cell r="A25" t="str">
            <v>CYP</v>
          </cell>
          <cell r="C25">
            <v>0</v>
          </cell>
          <cell r="D25">
            <v>0</v>
          </cell>
          <cell r="E25">
            <v>2</v>
          </cell>
        </row>
        <row r="26">
          <cell r="A26" t="str">
            <v>CZK</v>
          </cell>
          <cell r="C26">
            <v>0</v>
          </cell>
          <cell r="D26">
            <v>0</v>
          </cell>
          <cell r="E26">
            <v>2</v>
          </cell>
        </row>
        <row r="27">
          <cell r="A27" t="str">
            <v>DEM</v>
          </cell>
          <cell r="B27">
            <v>1.95583</v>
          </cell>
          <cell r="C27">
            <v>0.51129188119621849</v>
          </cell>
          <cell r="D27">
            <v>85.071810944714002</v>
          </cell>
          <cell r="E27">
            <v>2</v>
          </cell>
          <cell r="F27" t="str">
            <v>05</v>
          </cell>
        </row>
        <row r="28">
          <cell r="A28" t="str">
            <v>DKK</v>
          </cell>
          <cell r="B28">
            <v>7.4364999999999997</v>
          </cell>
          <cell r="C28">
            <v>0.13447186176292611</v>
          </cell>
          <cell r="D28">
            <v>22.374235191286225</v>
          </cell>
          <cell r="E28">
            <v>2</v>
          </cell>
          <cell r="F28">
            <v>12</v>
          </cell>
        </row>
        <row r="29">
          <cell r="A29" t="str">
            <v>ECS</v>
          </cell>
          <cell r="C29">
            <v>0</v>
          </cell>
          <cell r="D29">
            <v>0</v>
          </cell>
          <cell r="E29">
            <v>2</v>
          </cell>
        </row>
        <row r="30">
          <cell r="A30" t="str">
            <v>EEK</v>
          </cell>
          <cell r="C30">
            <v>0</v>
          </cell>
          <cell r="D30">
            <v>0</v>
          </cell>
          <cell r="E30">
            <v>0</v>
          </cell>
        </row>
        <row r="31">
          <cell r="A31" t="str">
            <v>EGP</v>
          </cell>
          <cell r="C31">
            <v>0</v>
          </cell>
          <cell r="D31">
            <v>0</v>
          </cell>
          <cell r="E31">
            <v>2</v>
          </cell>
        </row>
        <row r="32">
          <cell r="A32" t="str">
            <v>ESB</v>
          </cell>
          <cell r="C32">
            <v>6.0101210438378233E-3</v>
          </cell>
          <cell r="D32">
            <v>1</v>
          </cell>
          <cell r="E32">
            <v>0</v>
          </cell>
          <cell r="F32" t="str">
            <v>00</v>
          </cell>
        </row>
        <row r="33">
          <cell r="A33" t="str">
            <v>ESP</v>
          </cell>
          <cell r="C33">
            <v>6.0101210438378233E-3</v>
          </cell>
          <cell r="D33">
            <v>1</v>
          </cell>
          <cell r="E33">
            <v>0</v>
          </cell>
          <cell r="F33" t="str">
            <v>00</v>
          </cell>
        </row>
        <row r="34">
          <cell r="A34" t="str">
            <v>EUR</v>
          </cell>
          <cell r="B34">
            <v>1</v>
          </cell>
          <cell r="C34">
            <v>1</v>
          </cell>
          <cell r="D34">
            <v>166.386</v>
          </cell>
          <cell r="E34">
            <v>2</v>
          </cell>
          <cell r="F34">
            <v>31</v>
          </cell>
        </row>
        <row r="35">
          <cell r="A35" t="str">
            <v>FIM</v>
          </cell>
          <cell r="B35">
            <v>5.9457300000000002</v>
          </cell>
          <cell r="C35">
            <v>0.16818792646151104</v>
          </cell>
          <cell r="D35">
            <v>27.984116332224975</v>
          </cell>
          <cell r="E35">
            <v>2</v>
          </cell>
          <cell r="F35">
            <v>15</v>
          </cell>
        </row>
        <row r="36">
          <cell r="A36" t="str">
            <v>FRF</v>
          </cell>
          <cell r="B36">
            <v>6.5595699999999999</v>
          </cell>
          <cell r="C36">
            <v>0.15244901723741039</v>
          </cell>
          <cell r="D36">
            <v>25.365382182063765</v>
          </cell>
          <cell r="E36">
            <v>2</v>
          </cell>
          <cell r="F36" t="str">
            <v>01</v>
          </cell>
        </row>
        <row r="37">
          <cell r="A37" t="str">
            <v>GBP</v>
          </cell>
          <cell r="B37">
            <v>0.60850000000000004</v>
          </cell>
          <cell r="C37">
            <v>1.6433853738701725</v>
          </cell>
          <cell r="D37">
            <v>273.43631881676254</v>
          </cell>
          <cell r="E37">
            <v>2</v>
          </cell>
          <cell r="F37" t="str">
            <v>02</v>
          </cell>
        </row>
        <row r="38">
          <cell r="A38" t="str">
            <v>GRD</v>
          </cell>
          <cell r="B38">
            <v>340.75</v>
          </cell>
          <cell r="C38">
            <v>2.93470286133529E-3</v>
          </cell>
          <cell r="D38">
            <v>0.48829347028613357</v>
          </cell>
          <cell r="E38">
            <v>0</v>
          </cell>
          <cell r="F38">
            <v>23</v>
          </cell>
        </row>
        <row r="39">
          <cell r="A39" t="str">
            <v>HKD</v>
          </cell>
          <cell r="B39">
            <v>6.8723000000000001</v>
          </cell>
          <cell r="C39">
            <v>0.14551169186444129</v>
          </cell>
          <cell r="D39">
            <v>24.211108362556928</v>
          </cell>
          <cell r="E39">
            <v>2</v>
          </cell>
          <cell r="F39">
            <v>37</v>
          </cell>
        </row>
        <row r="40">
          <cell r="A40" t="str">
            <v>HRK</v>
          </cell>
          <cell r="C40">
            <v>0</v>
          </cell>
          <cell r="D40">
            <v>0</v>
          </cell>
          <cell r="E40">
            <v>2</v>
          </cell>
        </row>
        <row r="41">
          <cell r="A41" t="str">
            <v>HUF</v>
          </cell>
          <cell r="C41">
            <v>0</v>
          </cell>
          <cell r="D41">
            <v>0</v>
          </cell>
          <cell r="E41">
            <v>2</v>
          </cell>
        </row>
        <row r="42">
          <cell r="A42" t="str">
            <v>IDR</v>
          </cell>
          <cell r="C42">
            <v>0</v>
          </cell>
          <cell r="D42">
            <v>0</v>
          </cell>
          <cell r="E42">
            <v>2</v>
          </cell>
        </row>
        <row r="43">
          <cell r="A43" t="str">
            <v>IEP</v>
          </cell>
          <cell r="C43">
            <v>1.2697380784291816</v>
          </cell>
          <cell r="D43">
            <v>211.26663991751781</v>
          </cell>
          <cell r="E43">
            <v>2</v>
          </cell>
        </row>
        <row r="44">
          <cell r="A44" t="str">
            <v>ITL</v>
          </cell>
          <cell r="B44">
            <v>1936.27</v>
          </cell>
          <cell r="C44">
            <v>5.1645689908948644E-4</v>
          </cell>
          <cell r="D44">
            <v>8.5931197611903293E-2</v>
          </cell>
          <cell r="E44">
            <v>0</v>
          </cell>
          <cell r="F44">
            <v>13</v>
          </cell>
        </row>
        <row r="45">
          <cell r="A45" t="str">
            <v>JPY</v>
          </cell>
          <cell r="B45">
            <v>115.33</v>
          </cell>
          <cell r="C45">
            <v>8.6707708315269232E-3</v>
          </cell>
          <cell r="D45">
            <v>1.4426948755744387</v>
          </cell>
          <cell r="E45">
            <v>0</v>
          </cell>
          <cell r="F45">
            <v>16</v>
          </cell>
        </row>
        <row r="46">
          <cell r="A46" t="str">
            <v>KRW</v>
          </cell>
          <cell r="C46">
            <v>0</v>
          </cell>
          <cell r="D46">
            <v>0</v>
          </cell>
          <cell r="E46">
            <v>2</v>
          </cell>
        </row>
        <row r="47">
          <cell r="A47" t="str">
            <v>LTL</v>
          </cell>
          <cell r="C47">
            <v>0</v>
          </cell>
          <cell r="D47">
            <v>0</v>
          </cell>
          <cell r="E47">
            <v>2</v>
          </cell>
        </row>
        <row r="48">
          <cell r="A48" t="str">
            <v>LVL</v>
          </cell>
          <cell r="C48">
            <v>0</v>
          </cell>
          <cell r="D48">
            <v>0</v>
          </cell>
          <cell r="E48">
            <v>2</v>
          </cell>
        </row>
        <row r="49">
          <cell r="A49" t="str">
            <v>MAD</v>
          </cell>
          <cell r="C49">
            <v>0</v>
          </cell>
          <cell r="D49">
            <v>0</v>
          </cell>
          <cell r="E49">
            <v>2</v>
          </cell>
        </row>
        <row r="50">
          <cell r="A50" t="str">
            <v>MXN</v>
          </cell>
          <cell r="C50">
            <v>0</v>
          </cell>
          <cell r="D50">
            <v>0</v>
          </cell>
          <cell r="E50">
            <v>2</v>
          </cell>
        </row>
        <row r="51">
          <cell r="A51" t="str">
            <v>MYR</v>
          </cell>
          <cell r="C51">
            <v>0</v>
          </cell>
          <cell r="D51">
            <v>0</v>
          </cell>
          <cell r="E51">
            <v>2</v>
          </cell>
        </row>
        <row r="52">
          <cell r="A52" t="str">
            <v>NLG</v>
          </cell>
          <cell r="B52">
            <v>2.2037100000000001</v>
          </cell>
          <cell r="C52">
            <v>0.45378021609013891</v>
          </cell>
          <cell r="D52">
            <v>75.502675034373851</v>
          </cell>
          <cell r="E52">
            <v>2</v>
          </cell>
          <cell r="F52" t="str">
            <v>08</v>
          </cell>
        </row>
        <row r="53">
          <cell r="A53" t="str">
            <v>NOK</v>
          </cell>
          <cell r="B53">
            <v>7.9515000000000002</v>
          </cell>
          <cell r="C53">
            <v>0.12576243476073695</v>
          </cell>
          <cell r="D53">
            <v>20.925108470099978</v>
          </cell>
          <cell r="E53">
            <v>2</v>
          </cell>
          <cell r="F53">
            <v>11</v>
          </cell>
        </row>
        <row r="54">
          <cell r="A54" t="str">
            <v>NZD</v>
          </cell>
          <cell r="B54">
            <v>2.1215000000000002</v>
          </cell>
          <cell r="C54">
            <v>0.47136460051850104</v>
          </cell>
          <cell r="D54">
            <v>78.42847042187131</v>
          </cell>
          <cell r="E54">
            <v>2</v>
          </cell>
          <cell r="F54">
            <v>25</v>
          </cell>
        </row>
        <row r="55">
          <cell r="A55" t="str">
            <v>PAB</v>
          </cell>
          <cell r="C55">
            <v>0</v>
          </cell>
          <cell r="D55">
            <v>0</v>
          </cell>
          <cell r="E55">
            <v>2</v>
          </cell>
        </row>
        <row r="56">
          <cell r="A56" t="str">
            <v>PEN</v>
          </cell>
          <cell r="C56">
            <v>0</v>
          </cell>
          <cell r="D56">
            <v>0</v>
          </cell>
          <cell r="E56">
            <v>2</v>
          </cell>
        </row>
        <row r="57">
          <cell r="A57" t="str">
            <v>PHP</v>
          </cell>
          <cell r="C57">
            <v>0</v>
          </cell>
          <cell r="D57">
            <v>0</v>
          </cell>
          <cell r="E57">
            <v>2</v>
          </cell>
        </row>
        <row r="58">
          <cell r="A58" t="str">
            <v>PLN</v>
          </cell>
          <cell r="C58">
            <v>0</v>
          </cell>
          <cell r="D58">
            <v>0</v>
          </cell>
          <cell r="E58">
            <v>2</v>
          </cell>
        </row>
        <row r="59">
          <cell r="A59" t="str">
            <v>PTA</v>
          </cell>
          <cell r="B59">
            <v>166.386</v>
          </cell>
          <cell r="C59">
            <v>6.0101210438378233E-3</v>
          </cell>
          <cell r="D59">
            <v>1</v>
          </cell>
          <cell r="E59">
            <v>0</v>
          </cell>
          <cell r="F59" t="str">
            <v>00</v>
          </cell>
        </row>
        <row r="60">
          <cell r="A60" t="str">
            <v>PTE</v>
          </cell>
          <cell r="B60">
            <v>200.482</v>
          </cell>
          <cell r="C60">
            <v>4.9879789706806597E-3</v>
          </cell>
          <cell r="D60">
            <v>0.82992986901567223</v>
          </cell>
          <cell r="E60">
            <v>0</v>
          </cell>
          <cell r="F60" t="str">
            <v>09</v>
          </cell>
        </row>
        <row r="61">
          <cell r="A61" t="str">
            <v>PYG</v>
          </cell>
          <cell r="C61">
            <v>0</v>
          </cell>
          <cell r="D61">
            <v>0</v>
          </cell>
          <cell r="E61">
            <v>2</v>
          </cell>
        </row>
        <row r="62">
          <cell r="A62" t="str">
            <v>ROL</v>
          </cell>
          <cell r="C62">
            <v>0</v>
          </cell>
          <cell r="D62">
            <v>0</v>
          </cell>
          <cell r="E62">
            <v>2</v>
          </cell>
        </row>
        <row r="63">
          <cell r="A63" t="str">
            <v>RUB</v>
          </cell>
          <cell r="C63">
            <v>0</v>
          </cell>
          <cell r="D63">
            <v>0</v>
          </cell>
          <cell r="E63">
            <v>2</v>
          </cell>
        </row>
        <row r="64">
          <cell r="A64" t="str">
            <v>SEK</v>
          </cell>
          <cell r="B64">
            <v>9.3011999999999997</v>
          </cell>
          <cell r="C64">
            <v>0.10751300907409797</v>
          </cell>
          <cell r="D64">
            <v>17.888659527802865</v>
          </cell>
          <cell r="E64">
            <v>2</v>
          </cell>
          <cell r="F64">
            <v>10</v>
          </cell>
        </row>
        <row r="65">
          <cell r="A65" t="str">
            <v>SGD</v>
          </cell>
          <cell r="C65">
            <v>0</v>
          </cell>
          <cell r="D65">
            <v>0</v>
          </cell>
          <cell r="E65">
            <v>2</v>
          </cell>
        </row>
        <row r="66">
          <cell r="A66" t="str">
            <v>SIT</v>
          </cell>
          <cell r="C66">
            <v>0</v>
          </cell>
          <cell r="D66">
            <v>0</v>
          </cell>
          <cell r="E66">
            <v>2</v>
          </cell>
        </row>
        <row r="67">
          <cell r="A67" t="str">
            <v>SKK</v>
          </cell>
          <cell r="C67">
            <v>0</v>
          </cell>
          <cell r="D67">
            <v>0</v>
          </cell>
          <cell r="E67">
            <v>2</v>
          </cell>
        </row>
        <row r="68">
          <cell r="A68" t="str">
            <v>SVC</v>
          </cell>
          <cell r="C68">
            <v>0</v>
          </cell>
          <cell r="D68">
            <v>0</v>
          </cell>
          <cell r="E68">
            <v>2</v>
          </cell>
        </row>
        <row r="69">
          <cell r="A69" t="str">
            <v>THB</v>
          </cell>
          <cell r="C69">
            <v>0</v>
          </cell>
          <cell r="D69">
            <v>0</v>
          </cell>
          <cell r="E69">
            <v>2</v>
          </cell>
        </row>
        <row r="70">
          <cell r="A70" t="str">
            <v>TRL</v>
          </cell>
          <cell r="C70">
            <v>0</v>
          </cell>
          <cell r="D70">
            <v>0</v>
          </cell>
          <cell r="E70">
            <v>2</v>
          </cell>
        </row>
        <row r="71">
          <cell r="A71" t="str">
            <v>TWD</v>
          </cell>
          <cell r="C71">
            <v>0</v>
          </cell>
          <cell r="D71">
            <v>0</v>
          </cell>
          <cell r="E71">
            <v>2</v>
          </cell>
        </row>
        <row r="72">
          <cell r="A72" t="str">
            <v>UAH</v>
          </cell>
          <cell r="C72">
            <v>0</v>
          </cell>
          <cell r="D72">
            <v>0</v>
          </cell>
          <cell r="E72">
            <v>2</v>
          </cell>
        </row>
        <row r="73">
          <cell r="A73" t="str">
            <v>USD</v>
          </cell>
          <cell r="B73">
            <v>0.88129999999999997</v>
          </cell>
          <cell r="C73">
            <v>1.1346873936230568</v>
          </cell>
          <cell r="D73">
            <v>188.79609667536593</v>
          </cell>
          <cell r="E73">
            <v>2</v>
          </cell>
          <cell r="F73" t="str">
            <v>03</v>
          </cell>
        </row>
        <row r="74">
          <cell r="A74" t="str">
            <v>UYU</v>
          </cell>
          <cell r="C74">
            <v>0</v>
          </cell>
          <cell r="D74">
            <v>0</v>
          </cell>
          <cell r="E74">
            <v>2</v>
          </cell>
        </row>
        <row r="75">
          <cell r="A75" t="str">
            <v>VEB</v>
          </cell>
          <cell r="C75">
            <v>0</v>
          </cell>
          <cell r="D75">
            <v>0</v>
          </cell>
          <cell r="E75">
            <v>2</v>
          </cell>
        </row>
        <row r="76">
          <cell r="A76" t="str">
            <v>XEU</v>
          </cell>
          <cell r="C76">
            <v>0</v>
          </cell>
          <cell r="D76">
            <v>0</v>
          </cell>
          <cell r="E76">
            <v>2</v>
          </cell>
        </row>
        <row r="77">
          <cell r="A77" t="str">
            <v>YUM</v>
          </cell>
          <cell r="C77">
            <v>0</v>
          </cell>
          <cell r="D77">
            <v>0</v>
          </cell>
          <cell r="E77">
            <v>2</v>
          </cell>
        </row>
        <row r="78">
          <cell r="A78" t="str">
            <v>ZAR</v>
          </cell>
          <cell r="C78">
            <v>0</v>
          </cell>
          <cell r="D78">
            <v>0</v>
          </cell>
          <cell r="E78">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DEXTERIOR"/>
      <sheetName val="BRASIL"/>
      <sheetName val="CARTA"/>
      <sheetName val="MINORITARIOS"/>
      <sheetName val="DEP.SUBORD."/>
      <sheetName val="GENERICA"/>
      <sheetName val="BBV MEXICO"/>
      <sheetName val="TIT.CORPORATIVA"/>
      <sheetName val="efan01021"/>
      <sheetName val="ESSBASE_RESULT_Mes"/>
      <sheetName val="Bancomer"/>
      <sheetName val="NIE Input"/>
      <sheetName val="Modelo con dudosos Bruto (2)"/>
      <sheetName val="Margen14"/>
      <sheetName val="Compara-tipos"/>
      <sheetName val="Compara-escenarios"/>
      <sheetName val="España-BASE"/>
      <sheetName val="Modelo con dudosos Neto (2)"/>
      <sheetName val="España-ADV"/>
      <sheetName val="Tipos SSEEE Riesgo"/>
      <sheetName val="Matriz EUR"/>
      <sheetName val="Matriztiposponderados"/>
      <sheetName val="TABLA EURO def"/>
      <sheetName val="Spg_saldos"/>
      <sheetName val="Spg_Rtdos"/>
      <sheetName val="CSLEuro"/>
      <sheetName val="Hoja3"/>
      <sheetName val="México"/>
      <sheetName val="CSLBancoscentrales"/>
      <sheetName val="CSLplazo"/>
      <sheetName val="LQ Pasivo"/>
      <sheetName val="LQ Activo"/>
      <sheetName val="Hoja1"/>
      <sheetName val="VTO Mayorista"/>
      <sheetName val="Covered bond"/>
      <sheetName val="Senior debt"/>
      <sheetName val="Ajuste Other own 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ciones"/>
      <sheetName val="Previsiones"/>
      <sheetName val="Tipos de cambio"/>
      <sheetName val="Simulaciones"/>
      <sheetName val="Resumen"/>
      <sheetName val="RCE sim 3.0 Hip Nuevas"/>
      <sheetName val="afiliaciones"/>
      <sheetName val="CATALOGO PROMEX PARA ESPAÑA"/>
      <sheetName val="TARİH"/>
    </sheetNames>
    <sheetDataSet>
      <sheetData sheetId="0" refreshError="1">
        <row r="24">
          <cell r="L24">
            <v>2456.3912642597575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ciones"/>
      <sheetName val="Previsiones"/>
      <sheetName val="Tipos de cambio"/>
      <sheetName val="Simulaciones"/>
      <sheetName val="Resumen"/>
    </sheetNames>
    <sheetDataSet>
      <sheetData sheetId="0" refreshError="1">
        <row r="24">
          <cell r="L24">
            <v>2456.3912642597575</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rrpp 2005"/>
      <sheetName val="prefe_subor"/>
      <sheetName val="Tabla_de_Tipos"/>
      <sheetName val="datos_rrpp"/>
      <sheetName val="datos_rrpp_medios"/>
      <sheetName val="datos_rrpp (2)"/>
      <sheetName val="datos_rrpp_medios (2)"/>
      <sheetName val="datos_rrpp (3)"/>
      <sheetName val="datos_rrpp_medios (3)"/>
      <sheetName val="SUMA"/>
      <sheetName val="SUMAMEDIOS"/>
      <sheetName val="consulta dc"/>
      <sheetName val="consulta peg"/>
      <sheetName val="consultamedios dc"/>
      <sheetName val="consultamedios peg"/>
      <sheetName val="sumarec"/>
      <sheetName val="sumamediosrec"/>
      <sheetName val="sumadac"/>
      <sheetName val="sumamediosdac"/>
      <sheetName val="consultarec dc"/>
      <sheetName val="consultarec ag"/>
      <sheetName val="consultarec oag"/>
      <sheetName val="consultarec ct"/>
      <sheetName val="consultarec peg"/>
      <sheetName val="consultarec ias"/>
      <sheetName val="consultarec medios dc"/>
      <sheetName val="consultarec medios ag"/>
      <sheetName val="consultarec medios oag"/>
      <sheetName val="consultarec medios ct"/>
      <sheetName val="consultarec medios peg"/>
      <sheetName val="consultarec medios ias"/>
      <sheetName val="consultadac dc"/>
      <sheetName val="consultadac ag"/>
      <sheetName val="consultadac oag"/>
      <sheetName val="consultadac ct"/>
      <sheetName val="consultadac peg"/>
      <sheetName val="consultadac ias"/>
      <sheetName val="consultadac medios dc"/>
      <sheetName val="consultadac medios ag"/>
      <sheetName val="consultadac medios oag"/>
      <sheetName val="consultadac medios ct"/>
      <sheetName val="consultadac medios peg"/>
      <sheetName val="consultadac medios ias"/>
      <sheetName val="unidades_anulacion_rtdosCC"/>
      <sheetName val="unidades_SIN_rtdosCC"/>
      <sheetName val="CONSULTA CSL FONDO COMERCIO"/>
      <sheetName val="consulta desglose corporativa"/>
      <sheetName val="TABLA_UNIDADES"/>
      <sheetName val="TABLA_EPIGRAFES"/>
      <sheetName val="statics"/>
      <sheetName val="DATOS"/>
      <sheetName val="PRC 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rrpp 2004"/>
      <sheetName val="america"/>
      <sheetName val="prefe_subor"/>
      <sheetName val="Tabla_de_Tipos"/>
      <sheetName val="datos_rrpp"/>
      <sheetName val="datos_rrpp_medios"/>
      <sheetName val="datos_rrpp (2)"/>
      <sheetName val="datos_rrpp_medios (2)"/>
      <sheetName val="datos_rrpp (3)"/>
      <sheetName val="datos_rrpp_medios (3)"/>
      <sheetName val="suma"/>
      <sheetName val="sumamedios"/>
      <sheetName val="sumarec"/>
      <sheetName val="sumamediosrec"/>
      <sheetName val="sumadac"/>
      <sheetName val="sumamediosdac"/>
      <sheetName val="consulta dc"/>
      <sheetName val="consulta peg"/>
      <sheetName val="consultamedios dc"/>
      <sheetName val="consultamedios peg"/>
      <sheetName val="consultarec dc"/>
      <sheetName val="consultarec ag"/>
      <sheetName val="consultarec oag"/>
      <sheetName val="consultarec ct"/>
      <sheetName val="consultarec peg"/>
      <sheetName val="consultarec ias"/>
      <sheetName val="consultarec medios dc"/>
      <sheetName val="consultarec medios ag"/>
      <sheetName val="consultarec medios oag"/>
      <sheetName val="consultarec medios ct"/>
      <sheetName val="consultarec medios peg"/>
      <sheetName val="consultarec medios ias"/>
      <sheetName val="consultadac dc"/>
      <sheetName val="consultadac ag"/>
      <sheetName val="consultadac oag"/>
      <sheetName val="consultadac ct"/>
      <sheetName val="consultadac peg"/>
      <sheetName val="consultadac ias"/>
      <sheetName val="consultadac medios dc"/>
      <sheetName val="consultadac medios ag"/>
      <sheetName val="consultadac medios oag"/>
      <sheetName val="consultadac medios ct"/>
      <sheetName val="consultadac medios peg"/>
      <sheetName val="consultadac medios ias"/>
      <sheetName val="CONSULTA CSL FONDO COMERCIO"/>
      <sheetName val="TABLA_UNIDADES"/>
      <sheetName val="unidades_anulacion_rtdosCC"/>
      <sheetName val="unidades_SIN_rtdosCC"/>
      <sheetName val="TABLA_EPIGRAFES"/>
      <sheetName val="consulta"/>
      <sheetName val="consultamedios"/>
      <sheetName val="consulta desglose corporativa"/>
    </sheetNames>
    <sheetDataSet>
      <sheetData sheetId="0" refreshError="1"/>
      <sheetData sheetId="1" refreshError="1"/>
      <sheetData sheetId="2" refreshError="1"/>
      <sheetData sheetId="3" refreshError="1">
        <row r="6">
          <cell r="B6" t="str">
            <v xml:space="preserve"> MIBOR año</v>
          </cell>
          <cell r="C6">
            <v>2.2999999999999998</v>
          </cell>
          <cell r="D6">
            <v>2.266</v>
          </cell>
          <cell r="E6">
            <v>2.2349999999999999</v>
          </cell>
          <cell r="F6">
            <v>2.2280000000000002</v>
          </cell>
          <cell r="G6">
            <v>2.2168000000000001</v>
          </cell>
          <cell r="H6">
            <v>2.2483686507936507</v>
          </cell>
          <cell r="I6">
            <v>2.2721985256289599</v>
          </cell>
          <cell r="J6">
            <v>2.2752882426752001</v>
          </cell>
          <cell r="K6">
            <v>2.2845683653303199</v>
          </cell>
          <cell r="L6">
            <v>2.2865173113118802</v>
          </cell>
          <cell r="M6">
            <v>2.2797532961603619</v>
          </cell>
          <cell r="N6">
            <v>2.2726092312880355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ERIVADOS"/>
      <sheetName val="C-V DIVISAS"/>
      <sheetName val="DPTOS. BBVA"/>
      <sheetName val="CUADREDPTOS"/>
      <sheetName val="DPTOS  BBVA - COMERCIO"/>
      <sheetName val="DPTOS COMERCIO"/>
    </sheetNames>
    <sheetDataSet>
      <sheetData sheetId="0" refreshError="1">
        <row r="11">
          <cell r="A11">
            <v>1</v>
          </cell>
          <cell r="B11" t="str">
            <v>BBV PRIVANZA INT'L. (GIBRALTAR) LTD.</v>
          </cell>
          <cell r="D11">
            <v>7672</v>
          </cell>
          <cell r="E11">
            <v>4612</v>
          </cell>
          <cell r="F11">
            <v>1344</v>
          </cell>
          <cell r="G11">
            <v>1573</v>
          </cell>
          <cell r="H11">
            <v>432</v>
          </cell>
          <cell r="I11">
            <v>6936</v>
          </cell>
          <cell r="J11">
            <v>3</v>
          </cell>
        </row>
        <row r="12">
          <cell r="A12">
            <v>2</v>
          </cell>
          <cell r="B12" t="str">
            <v>BBVA GLOBAL FINANCE, LTD.</v>
          </cell>
          <cell r="D12">
            <v>158</v>
          </cell>
          <cell r="E12">
            <v>964</v>
          </cell>
          <cell r="F12">
            <v>1344</v>
          </cell>
          <cell r="G12">
            <v>1573</v>
          </cell>
          <cell r="H12">
            <v>432</v>
          </cell>
          <cell r="I12">
            <v>6936</v>
          </cell>
          <cell r="J12">
            <v>3</v>
          </cell>
        </row>
        <row r="13">
          <cell r="A13">
            <v>3</v>
          </cell>
          <cell r="B13" t="str">
            <v>BILBAO VIZCAYA INTERNATIONAL LTD.</v>
          </cell>
          <cell r="D13">
            <v>7673</v>
          </cell>
          <cell r="E13">
            <v>964</v>
          </cell>
          <cell r="F13">
            <v>1344</v>
          </cell>
          <cell r="G13">
            <v>1573</v>
          </cell>
          <cell r="H13">
            <v>432</v>
          </cell>
          <cell r="I13">
            <v>6936</v>
          </cell>
          <cell r="J13">
            <v>3</v>
          </cell>
        </row>
        <row r="14">
          <cell r="A14">
            <v>4</v>
          </cell>
          <cell r="B14" t="str">
            <v>BILBAO VIZCAYA INVESTMENT, BV</v>
          </cell>
          <cell r="E14">
            <v>5586</v>
          </cell>
          <cell r="F14">
            <v>1344</v>
          </cell>
          <cell r="G14">
            <v>1573</v>
          </cell>
          <cell r="H14">
            <v>432</v>
          </cell>
          <cell r="I14">
            <v>6936</v>
          </cell>
          <cell r="J14">
            <v>3</v>
          </cell>
        </row>
        <row r="15">
          <cell r="A15">
            <v>5</v>
          </cell>
          <cell r="B15" t="str">
            <v>BBV LATINVEST SECURITIES - NEW  YORK</v>
          </cell>
          <cell r="F15">
            <v>1344</v>
          </cell>
          <cell r="G15">
            <v>1573</v>
          </cell>
          <cell r="H15">
            <v>432</v>
          </cell>
          <cell r="I15">
            <v>6936</v>
          </cell>
          <cell r="J15">
            <v>3</v>
          </cell>
        </row>
        <row r="16">
          <cell r="A16">
            <v>6</v>
          </cell>
          <cell r="B16" t="str">
            <v>BBV-INTERNATIONAL INVEST. CORP. - PUERTO RICO</v>
          </cell>
          <cell r="C16">
            <v>1521</v>
          </cell>
          <cell r="D16">
            <v>5159</v>
          </cell>
          <cell r="F16">
            <v>1344</v>
          </cell>
          <cell r="G16">
            <v>1573</v>
          </cell>
          <cell r="H16">
            <v>432</v>
          </cell>
          <cell r="I16">
            <v>6936</v>
          </cell>
          <cell r="J16">
            <v>3</v>
          </cell>
        </row>
        <row r="17">
          <cell r="A17">
            <v>7</v>
          </cell>
          <cell r="B17" t="str">
            <v>BANCO EUROPEO DE INVERSIONES</v>
          </cell>
          <cell r="C17">
            <v>124</v>
          </cell>
          <cell r="D17">
            <v>233</v>
          </cell>
        </row>
        <row r="18">
          <cell r="A18">
            <v>22</v>
          </cell>
          <cell r="B18" t="str">
            <v>BBVA GLOBAL FINANCE, LTD.</v>
          </cell>
          <cell r="D18">
            <v>7673</v>
          </cell>
          <cell r="E18">
            <v>964</v>
          </cell>
          <cell r="F18">
            <v>1344</v>
          </cell>
          <cell r="G18">
            <v>1573</v>
          </cell>
          <cell r="H18">
            <v>432</v>
          </cell>
          <cell r="I18">
            <v>6936</v>
          </cell>
          <cell r="J18">
            <v>3</v>
          </cell>
        </row>
        <row r="19">
          <cell r="A19">
            <v>30</v>
          </cell>
          <cell r="B19" t="str">
            <v>EUROSEGUROS, S.A.</v>
          </cell>
          <cell r="D19">
            <v>5381</v>
          </cell>
          <cell r="E19">
            <v>964</v>
          </cell>
          <cell r="F19">
            <v>4421</v>
          </cell>
          <cell r="G19">
            <v>4429</v>
          </cell>
          <cell r="H19">
            <v>4453</v>
          </cell>
          <cell r="I19">
            <v>4535</v>
          </cell>
          <cell r="J19">
            <v>3</v>
          </cell>
        </row>
        <row r="20">
          <cell r="A20">
            <v>35</v>
          </cell>
          <cell r="B20" t="str">
            <v>BBV- CARTERA DE TITULOS</v>
          </cell>
          <cell r="C20">
            <v>6650</v>
          </cell>
          <cell r="D20">
            <v>5381</v>
          </cell>
          <cell r="F20">
            <v>4421</v>
          </cell>
          <cell r="G20">
            <v>4429</v>
          </cell>
          <cell r="H20">
            <v>4453</v>
          </cell>
          <cell r="I20">
            <v>4535</v>
          </cell>
          <cell r="J20">
            <v>0</v>
          </cell>
        </row>
        <row r="21">
          <cell r="A21">
            <v>50</v>
          </cell>
          <cell r="B21" t="str">
            <v>INTERNATIONAL FINANCE CORPORATION</v>
          </cell>
          <cell r="C21">
            <v>6650</v>
          </cell>
          <cell r="D21">
            <v>6628</v>
          </cell>
          <cell r="F21">
            <v>1344</v>
          </cell>
          <cell r="G21">
            <v>1573</v>
          </cell>
          <cell r="H21">
            <v>432</v>
          </cell>
          <cell r="I21">
            <v>6936</v>
          </cell>
          <cell r="J21">
            <v>0</v>
          </cell>
        </row>
        <row r="22">
          <cell r="A22">
            <v>51</v>
          </cell>
          <cell r="B22" t="str">
            <v>BERD (BCO. EUROPEO RECONSTR. Y DESARROLLO)</v>
          </cell>
          <cell r="F22">
            <v>1344</v>
          </cell>
          <cell r="G22">
            <v>1573</v>
          </cell>
          <cell r="H22">
            <v>432</v>
          </cell>
          <cell r="I22">
            <v>6936</v>
          </cell>
        </row>
        <row r="23">
          <cell r="A23">
            <v>52</v>
          </cell>
          <cell r="B23" t="str">
            <v>MORGAN GUARANTY TRUST CO OF NEW YORK - LONDON</v>
          </cell>
          <cell r="F23">
            <v>1344</v>
          </cell>
          <cell r="G23">
            <v>1573</v>
          </cell>
          <cell r="H23">
            <v>432</v>
          </cell>
          <cell r="I23">
            <v>6936</v>
          </cell>
        </row>
        <row r="24">
          <cell r="A24">
            <v>53</v>
          </cell>
          <cell r="B24" t="str">
            <v>MORGAN STANLEY AND CO. INT'L. LTD. - LONDON</v>
          </cell>
          <cell r="F24">
            <v>1344</v>
          </cell>
          <cell r="G24">
            <v>1573</v>
          </cell>
          <cell r="H24">
            <v>432</v>
          </cell>
          <cell r="I24">
            <v>6936</v>
          </cell>
        </row>
        <row r="25">
          <cell r="A25">
            <v>54</v>
          </cell>
          <cell r="B25" t="str">
            <v>MERRILL LYNCH DERIVATIVE  PRODUCTS - LONDON</v>
          </cell>
          <cell r="C25">
            <v>4597</v>
          </cell>
          <cell r="F25">
            <v>1344</v>
          </cell>
          <cell r="G25">
            <v>1573</v>
          </cell>
          <cell r="H25">
            <v>432</v>
          </cell>
          <cell r="I25">
            <v>6936</v>
          </cell>
        </row>
        <row r="26">
          <cell r="A26">
            <v>55</v>
          </cell>
          <cell r="B26" t="str">
            <v>GOLDMAN SACHS MITSUI MARINE DER. PROD. - NEW YORK</v>
          </cell>
          <cell r="C26">
            <v>4597</v>
          </cell>
          <cell r="F26">
            <v>1344</v>
          </cell>
          <cell r="G26">
            <v>1573</v>
          </cell>
          <cell r="H26">
            <v>432</v>
          </cell>
          <cell r="I26">
            <v>6936</v>
          </cell>
        </row>
        <row r="27">
          <cell r="A27">
            <v>56</v>
          </cell>
          <cell r="B27" t="str">
            <v>BANCO CENTRAL DO BRASIL</v>
          </cell>
          <cell r="D27">
            <v>5138</v>
          </cell>
          <cell r="F27">
            <v>1344</v>
          </cell>
          <cell r="G27">
            <v>1573</v>
          </cell>
          <cell r="H27">
            <v>432</v>
          </cell>
          <cell r="I27">
            <v>6936</v>
          </cell>
        </row>
        <row r="28">
          <cell r="A28">
            <v>57</v>
          </cell>
          <cell r="B28" t="str">
            <v>BANCO BILBAO VIZCAYA BRASIL, S.A. - NASSAU</v>
          </cell>
          <cell r="C28">
            <v>1521</v>
          </cell>
          <cell r="D28">
            <v>5138</v>
          </cell>
          <cell r="F28">
            <v>1344</v>
          </cell>
          <cell r="G28">
            <v>1573</v>
          </cell>
          <cell r="H28">
            <v>432</v>
          </cell>
          <cell r="I28">
            <v>6936</v>
          </cell>
          <cell r="J28">
            <v>3</v>
          </cell>
        </row>
        <row r="29">
          <cell r="A29">
            <v>58</v>
          </cell>
          <cell r="B29" t="str">
            <v>ING BARING (US) CAPITAL MARKETS - NEW YORK</v>
          </cell>
          <cell r="C29">
            <v>1521</v>
          </cell>
          <cell r="D29">
            <v>5159</v>
          </cell>
          <cell r="F29">
            <v>1344</v>
          </cell>
          <cell r="G29">
            <v>1573</v>
          </cell>
          <cell r="H29">
            <v>432</v>
          </cell>
          <cell r="I29">
            <v>6936</v>
          </cell>
          <cell r="J29">
            <v>3</v>
          </cell>
        </row>
        <row r="30">
          <cell r="A30">
            <v>59</v>
          </cell>
          <cell r="B30" t="str">
            <v>BANCO DE DESARROLLO DEL CONSEJO DE EUROPA</v>
          </cell>
          <cell r="F30">
            <v>1344</v>
          </cell>
          <cell r="G30">
            <v>1573</v>
          </cell>
          <cell r="H30">
            <v>432</v>
          </cell>
          <cell r="I30">
            <v>6936</v>
          </cell>
        </row>
        <row r="31">
          <cell r="A31">
            <v>60</v>
          </cell>
          <cell r="B31" t="str">
            <v>BILBAO VIZCAYA AMERICA BV</v>
          </cell>
          <cell r="D31">
            <v>158</v>
          </cell>
          <cell r="F31">
            <v>1593</v>
          </cell>
          <cell r="G31">
            <v>6945</v>
          </cell>
          <cell r="H31">
            <v>6935</v>
          </cell>
          <cell r="I31">
            <v>6937</v>
          </cell>
          <cell r="J31">
            <v>3</v>
          </cell>
        </row>
        <row r="32">
          <cell r="A32">
            <v>61</v>
          </cell>
          <cell r="B32" t="str">
            <v>BBV - DPTO CENTRAL EXTRANJERO</v>
          </cell>
          <cell r="C32">
            <v>6650</v>
          </cell>
          <cell r="D32">
            <v>158</v>
          </cell>
          <cell r="F32">
            <v>1593</v>
          </cell>
          <cell r="G32">
            <v>6945</v>
          </cell>
          <cell r="H32">
            <v>6935</v>
          </cell>
          <cell r="I32">
            <v>6937</v>
          </cell>
          <cell r="J32">
            <v>0</v>
          </cell>
        </row>
        <row r="33">
          <cell r="A33">
            <v>70</v>
          </cell>
          <cell r="B33" t="str">
            <v>BANCO FRANCES, S.A.</v>
          </cell>
          <cell r="C33">
            <v>1521</v>
          </cell>
          <cell r="D33">
            <v>5159</v>
          </cell>
          <cell r="J33">
            <v>3</v>
          </cell>
        </row>
        <row r="34">
          <cell r="A34">
            <v>71</v>
          </cell>
          <cell r="B34" t="str">
            <v xml:space="preserve">BBV PRIVANZA BANK (JERSEY) LTD. </v>
          </cell>
          <cell r="C34">
            <v>1521</v>
          </cell>
          <cell r="D34">
            <v>5159</v>
          </cell>
          <cell r="J34">
            <v>3</v>
          </cell>
        </row>
        <row r="35">
          <cell r="A35">
            <v>72</v>
          </cell>
          <cell r="B35" t="str">
            <v xml:space="preserve">BBV PRIVANZA BANK (SWITZERLAND) LTD. </v>
          </cell>
          <cell r="C35">
            <v>1521</v>
          </cell>
          <cell r="D35">
            <v>5159</v>
          </cell>
          <cell r="J35">
            <v>3</v>
          </cell>
        </row>
        <row r="36">
          <cell r="A36">
            <v>80</v>
          </cell>
          <cell r="B36" t="str">
            <v>PLATON INVESTMENTS</v>
          </cell>
          <cell r="C36">
            <v>1521</v>
          </cell>
          <cell r="D36">
            <v>5159</v>
          </cell>
          <cell r="E36">
            <v>944</v>
          </cell>
          <cell r="F36">
            <v>1344</v>
          </cell>
          <cell r="G36">
            <v>1573</v>
          </cell>
          <cell r="H36">
            <v>432</v>
          </cell>
          <cell r="I36">
            <v>6936</v>
          </cell>
          <cell r="J36">
            <v>3</v>
          </cell>
        </row>
        <row r="37">
          <cell r="A37">
            <v>81</v>
          </cell>
          <cell r="B37" t="str">
            <v>SEGUNDA CIA. GRAL. DE INTERCAMBIO</v>
          </cell>
          <cell r="E37">
            <v>944</v>
          </cell>
          <cell r="F37">
            <v>1344</v>
          </cell>
          <cell r="G37">
            <v>1573</v>
          </cell>
          <cell r="H37">
            <v>432</v>
          </cell>
          <cell r="I37">
            <v>6936</v>
          </cell>
        </row>
        <row r="38">
          <cell r="A38">
            <v>182</v>
          </cell>
          <cell r="B38" t="str">
            <v>BANCO BILBAO VIZCAYA ARGENTARIA, S.A.</v>
          </cell>
          <cell r="C38">
            <v>6650</v>
          </cell>
          <cell r="D38">
            <v>6628</v>
          </cell>
          <cell r="E38">
            <v>944</v>
          </cell>
          <cell r="F38">
            <v>1344</v>
          </cell>
          <cell r="G38">
            <v>1573</v>
          </cell>
          <cell r="H38">
            <v>432</v>
          </cell>
          <cell r="I38">
            <v>6936</v>
          </cell>
          <cell r="J38">
            <v>0</v>
          </cell>
        </row>
        <row r="39">
          <cell r="A39">
            <v>729</v>
          </cell>
          <cell r="B39" t="str">
            <v>BBVA  NASSAU</v>
          </cell>
          <cell r="C39">
            <v>3886</v>
          </cell>
          <cell r="D39">
            <v>5942</v>
          </cell>
          <cell r="J39">
            <v>0</v>
          </cell>
        </row>
        <row r="40">
          <cell r="A40">
            <v>997</v>
          </cell>
          <cell r="B40" t="str">
            <v>BBVA - TESORERIA</v>
          </cell>
          <cell r="C40">
            <v>433</v>
          </cell>
          <cell r="D40">
            <v>2019</v>
          </cell>
          <cell r="F40">
            <v>1344</v>
          </cell>
          <cell r="G40">
            <v>1573</v>
          </cell>
          <cell r="H40">
            <v>432</v>
          </cell>
          <cell r="I40">
            <v>6936</v>
          </cell>
          <cell r="J40">
            <v>0</v>
          </cell>
        </row>
        <row r="41">
          <cell r="A41">
            <v>1396</v>
          </cell>
          <cell r="B41" t="str">
            <v>BBVA - INSTRUMENTAL TESORERIA</v>
          </cell>
          <cell r="C41">
            <v>6650</v>
          </cell>
          <cell r="D41">
            <v>6628</v>
          </cell>
          <cell r="F41">
            <v>1344</v>
          </cell>
          <cell r="G41">
            <v>1573</v>
          </cell>
          <cell r="H41">
            <v>432</v>
          </cell>
          <cell r="I41">
            <v>6936</v>
          </cell>
          <cell r="J41">
            <v>0</v>
          </cell>
        </row>
        <row r="42">
          <cell r="A42">
            <v>1997</v>
          </cell>
          <cell r="B42" t="str">
            <v>BBVA - TESORERIA - CESIONES REPO</v>
          </cell>
          <cell r="C42">
            <v>6650</v>
          </cell>
          <cell r="D42">
            <v>6628</v>
          </cell>
          <cell r="J42">
            <v>0</v>
          </cell>
        </row>
        <row r="43">
          <cell r="A43">
            <v>2005</v>
          </cell>
          <cell r="B43" t="str">
            <v>BBVA - CARTERA ESTRATEGICA COAP</v>
          </cell>
          <cell r="C43">
            <v>6650</v>
          </cell>
          <cell r="D43">
            <v>6628</v>
          </cell>
          <cell r="J43">
            <v>0</v>
          </cell>
        </row>
        <row r="44">
          <cell r="A44">
            <v>3008</v>
          </cell>
          <cell r="B44" t="str">
            <v>BANCO DEL COMERCIO, S.A.</v>
          </cell>
          <cell r="C44">
            <v>6650</v>
          </cell>
          <cell r="D44">
            <v>6628</v>
          </cell>
          <cell r="J44">
            <v>3</v>
          </cell>
        </row>
        <row r="45">
          <cell r="A45">
            <v>3842</v>
          </cell>
          <cell r="B45" t="str">
            <v>FINANZIA, BANCO DE CREDITO, S.A.</v>
          </cell>
          <cell r="J45">
            <v>3</v>
          </cell>
        </row>
        <row r="46">
          <cell r="A46">
            <v>4119</v>
          </cell>
          <cell r="B46" t="str">
            <v>CARTERA INVERSION - COAP</v>
          </cell>
          <cell r="C46">
            <v>433</v>
          </cell>
          <cell r="D46">
            <v>2019</v>
          </cell>
          <cell r="F46">
            <v>1344</v>
          </cell>
          <cell r="G46">
            <v>1573</v>
          </cell>
          <cell r="H46">
            <v>432</v>
          </cell>
          <cell r="I46">
            <v>6936</v>
          </cell>
          <cell r="J46">
            <v>3</v>
          </cell>
        </row>
        <row r="47">
          <cell r="A47">
            <v>4500</v>
          </cell>
          <cell r="B47" t="str">
            <v>BANCA CATALANA, S.A.</v>
          </cell>
          <cell r="C47">
            <v>433</v>
          </cell>
          <cell r="D47">
            <v>2019</v>
          </cell>
          <cell r="F47">
            <v>1344</v>
          </cell>
          <cell r="G47">
            <v>1573</v>
          </cell>
          <cell r="H47">
            <v>432</v>
          </cell>
          <cell r="I47">
            <v>6936</v>
          </cell>
          <cell r="J47">
            <v>3</v>
          </cell>
        </row>
        <row r="48">
          <cell r="A48">
            <v>7760</v>
          </cell>
          <cell r="B48" t="str">
            <v>BBVA NUEVA YORK</v>
          </cell>
          <cell r="C48">
            <v>3886</v>
          </cell>
          <cell r="D48">
            <v>5942</v>
          </cell>
          <cell r="J48">
            <v>0</v>
          </cell>
        </row>
        <row r="49">
          <cell r="A49">
            <v>9851</v>
          </cell>
          <cell r="B49" t="str">
            <v>BBVA - COMPLEMENTO BANCA COMERCIAL</v>
          </cell>
          <cell r="C49">
            <v>3886</v>
          </cell>
          <cell r="D49">
            <v>5942</v>
          </cell>
          <cell r="J49">
            <v>0</v>
          </cell>
        </row>
        <row r="50">
          <cell r="A50">
            <v>9857</v>
          </cell>
          <cell r="B50" t="str">
            <v>BBVA - COMPLEMENTO BANCA INSTITUCIONAL</v>
          </cell>
          <cell r="J50">
            <v>0</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2:G36"/>
  <sheetViews>
    <sheetView showGridLines="0" tabSelected="1" zoomScale="80" zoomScaleNormal="80" workbookViewId="0">
      <selection activeCell="E1" sqref="E1"/>
    </sheetView>
  </sheetViews>
  <sheetFormatPr baseColWidth="10" defaultColWidth="12.5703125" defaultRowHeight="23.25" customHeight="1"/>
  <cols>
    <col min="1" max="1" width="35.140625" style="1" customWidth="1"/>
    <col min="2" max="2" width="10.42578125" style="1" customWidth="1"/>
    <col min="3" max="3" width="123.5703125" style="26" bestFit="1" customWidth="1"/>
    <col min="4" max="4" width="13.28515625" style="1" customWidth="1"/>
    <col min="5" max="5" width="18.140625" style="1" hidden="1" customWidth="1"/>
    <col min="6" max="6" width="12.5703125" style="1" hidden="1" customWidth="1"/>
    <col min="7" max="256" width="12.5703125" style="1"/>
    <col min="257" max="257" width="35.140625" style="1" customWidth="1"/>
    <col min="258" max="258" width="10.42578125" style="1" customWidth="1"/>
    <col min="259" max="259" width="123.5703125" style="1" bestFit="1" customWidth="1"/>
    <col min="260" max="260" width="13.28515625" style="1" customWidth="1"/>
    <col min="261" max="262" width="0" style="1" hidden="1" customWidth="1"/>
    <col min="263" max="512" width="12.5703125" style="1"/>
    <col min="513" max="513" width="35.140625" style="1" customWidth="1"/>
    <col min="514" max="514" width="10.42578125" style="1" customWidth="1"/>
    <col min="515" max="515" width="123.5703125" style="1" bestFit="1" customWidth="1"/>
    <col min="516" max="516" width="13.28515625" style="1" customWidth="1"/>
    <col min="517" max="518" width="0" style="1" hidden="1" customWidth="1"/>
    <col min="519" max="768" width="12.5703125" style="1"/>
    <col min="769" max="769" width="35.140625" style="1" customWidth="1"/>
    <col min="770" max="770" width="10.42578125" style="1" customWidth="1"/>
    <col min="771" max="771" width="123.5703125" style="1" bestFit="1" customWidth="1"/>
    <col min="772" max="772" width="13.28515625" style="1" customWidth="1"/>
    <col min="773" max="774" width="0" style="1" hidden="1" customWidth="1"/>
    <col min="775" max="1024" width="12.5703125" style="1"/>
    <col min="1025" max="1025" width="35.140625" style="1" customWidth="1"/>
    <col min="1026" max="1026" width="10.42578125" style="1" customWidth="1"/>
    <col min="1027" max="1027" width="123.5703125" style="1" bestFit="1" customWidth="1"/>
    <col min="1028" max="1028" width="13.28515625" style="1" customWidth="1"/>
    <col min="1029" max="1030" width="0" style="1" hidden="1" customWidth="1"/>
    <col min="1031" max="1280" width="12.5703125" style="1"/>
    <col min="1281" max="1281" width="35.140625" style="1" customWidth="1"/>
    <col min="1282" max="1282" width="10.42578125" style="1" customWidth="1"/>
    <col min="1283" max="1283" width="123.5703125" style="1" bestFit="1" customWidth="1"/>
    <col min="1284" max="1284" width="13.28515625" style="1" customWidth="1"/>
    <col min="1285" max="1286" width="0" style="1" hidden="1" customWidth="1"/>
    <col min="1287" max="1536" width="12.5703125" style="1"/>
    <col min="1537" max="1537" width="35.140625" style="1" customWidth="1"/>
    <col min="1538" max="1538" width="10.42578125" style="1" customWidth="1"/>
    <col min="1539" max="1539" width="123.5703125" style="1" bestFit="1" customWidth="1"/>
    <col min="1540" max="1540" width="13.28515625" style="1" customWidth="1"/>
    <col min="1541" max="1542" width="0" style="1" hidden="1" customWidth="1"/>
    <col min="1543" max="1792" width="12.5703125" style="1"/>
    <col min="1793" max="1793" width="35.140625" style="1" customWidth="1"/>
    <col min="1794" max="1794" width="10.42578125" style="1" customWidth="1"/>
    <col min="1795" max="1795" width="123.5703125" style="1" bestFit="1" customWidth="1"/>
    <col min="1796" max="1796" width="13.28515625" style="1" customWidth="1"/>
    <col min="1797" max="1798" width="0" style="1" hidden="1" customWidth="1"/>
    <col min="1799" max="2048" width="12.5703125" style="1"/>
    <col min="2049" max="2049" width="35.140625" style="1" customWidth="1"/>
    <col min="2050" max="2050" width="10.42578125" style="1" customWidth="1"/>
    <col min="2051" max="2051" width="123.5703125" style="1" bestFit="1" customWidth="1"/>
    <col min="2052" max="2052" width="13.28515625" style="1" customWidth="1"/>
    <col min="2053" max="2054" width="0" style="1" hidden="1" customWidth="1"/>
    <col min="2055" max="2304" width="12.5703125" style="1"/>
    <col min="2305" max="2305" width="35.140625" style="1" customWidth="1"/>
    <col min="2306" max="2306" width="10.42578125" style="1" customWidth="1"/>
    <col min="2307" max="2307" width="123.5703125" style="1" bestFit="1" customWidth="1"/>
    <col min="2308" max="2308" width="13.28515625" style="1" customWidth="1"/>
    <col min="2309" max="2310" width="0" style="1" hidden="1" customWidth="1"/>
    <col min="2311" max="2560" width="12.5703125" style="1"/>
    <col min="2561" max="2561" width="35.140625" style="1" customWidth="1"/>
    <col min="2562" max="2562" width="10.42578125" style="1" customWidth="1"/>
    <col min="2563" max="2563" width="123.5703125" style="1" bestFit="1" customWidth="1"/>
    <col min="2564" max="2564" width="13.28515625" style="1" customWidth="1"/>
    <col min="2565" max="2566" width="0" style="1" hidden="1" customWidth="1"/>
    <col min="2567" max="2816" width="12.5703125" style="1"/>
    <col min="2817" max="2817" width="35.140625" style="1" customWidth="1"/>
    <col min="2818" max="2818" width="10.42578125" style="1" customWidth="1"/>
    <col min="2819" max="2819" width="123.5703125" style="1" bestFit="1" customWidth="1"/>
    <col min="2820" max="2820" width="13.28515625" style="1" customWidth="1"/>
    <col min="2821" max="2822" width="0" style="1" hidden="1" customWidth="1"/>
    <col min="2823" max="3072" width="12.5703125" style="1"/>
    <col min="3073" max="3073" width="35.140625" style="1" customWidth="1"/>
    <col min="3074" max="3074" width="10.42578125" style="1" customWidth="1"/>
    <col min="3075" max="3075" width="123.5703125" style="1" bestFit="1" customWidth="1"/>
    <col min="3076" max="3076" width="13.28515625" style="1" customWidth="1"/>
    <col min="3077" max="3078" width="0" style="1" hidden="1" customWidth="1"/>
    <col min="3079" max="3328" width="12.5703125" style="1"/>
    <col min="3329" max="3329" width="35.140625" style="1" customWidth="1"/>
    <col min="3330" max="3330" width="10.42578125" style="1" customWidth="1"/>
    <col min="3331" max="3331" width="123.5703125" style="1" bestFit="1" customWidth="1"/>
    <col min="3332" max="3332" width="13.28515625" style="1" customWidth="1"/>
    <col min="3333" max="3334" width="0" style="1" hidden="1" customWidth="1"/>
    <col min="3335" max="3584" width="12.5703125" style="1"/>
    <col min="3585" max="3585" width="35.140625" style="1" customWidth="1"/>
    <col min="3586" max="3586" width="10.42578125" style="1" customWidth="1"/>
    <col min="3587" max="3587" width="123.5703125" style="1" bestFit="1" customWidth="1"/>
    <col min="3588" max="3588" width="13.28515625" style="1" customWidth="1"/>
    <col min="3589" max="3590" width="0" style="1" hidden="1" customWidth="1"/>
    <col min="3591" max="3840" width="12.5703125" style="1"/>
    <col min="3841" max="3841" width="35.140625" style="1" customWidth="1"/>
    <col min="3842" max="3842" width="10.42578125" style="1" customWidth="1"/>
    <col min="3843" max="3843" width="123.5703125" style="1" bestFit="1" customWidth="1"/>
    <col min="3844" max="3844" width="13.28515625" style="1" customWidth="1"/>
    <col min="3845" max="3846" width="0" style="1" hidden="1" customWidth="1"/>
    <col min="3847" max="4096" width="12.5703125" style="1"/>
    <col min="4097" max="4097" width="35.140625" style="1" customWidth="1"/>
    <col min="4098" max="4098" width="10.42578125" style="1" customWidth="1"/>
    <col min="4099" max="4099" width="123.5703125" style="1" bestFit="1" customWidth="1"/>
    <col min="4100" max="4100" width="13.28515625" style="1" customWidth="1"/>
    <col min="4101" max="4102" width="0" style="1" hidden="1" customWidth="1"/>
    <col min="4103" max="4352" width="12.5703125" style="1"/>
    <col min="4353" max="4353" width="35.140625" style="1" customWidth="1"/>
    <col min="4354" max="4354" width="10.42578125" style="1" customWidth="1"/>
    <col min="4355" max="4355" width="123.5703125" style="1" bestFit="1" customWidth="1"/>
    <col min="4356" max="4356" width="13.28515625" style="1" customWidth="1"/>
    <col min="4357" max="4358" width="0" style="1" hidden="1" customWidth="1"/>
    <col min="4359" max="4608" width="12.5703125" style="1"/>
    <col min="4609" max="4609" width="35.140625" style="1" customWidth="1"/>
    <col min="4610" max="4610" width="10.42578125" style="1" customWidth="1"/>
    <col min="4611" max="4611" width="123.5703125" style="1" bestFit="1" customWidth="1"/>
    <col min="4612" max="4612" width="13.28515625" style="1" customWidth="1"/>
    <col min="4613" max="4614" width="0" style="1" hidden="1" customWidth="1"/>
    <col min="4615" max="4864" width="12.5703125" style="1"/>
    <col min="4865" max="4865" width="35.140625" style="1" customWidth="1"/>
    <col min="4866" max="4866" width="10.42578125" style="1" customWidth="1"/>
    <col min="4867" max="4867" width="123.5703125" style="1" bestFit="1" customWidth="1"/>
    <col min="4868" max="4868" width="13.28515625" style="1" customWidth="1"/>
    <col min="4869" max="4870" width="0" style="1" hidden="1" customWidth="1"/>
    <col min="4871" max="5120" width="12.5703125" style="1"/>
    <col min="5121" max="5121" width="35.140625" style="1" customWidth="1"/>
    <col min="5122" max="5122" width="10.42578125" style="1" customWidth="1"/>
    <col min="5123" max="5123" width="123.5703125" style="1" bestFit="1" customWidth="1"/>
    <col min="5124" max="5124" width="13.28515625" style="1" customWidth="1"/>
    <col min="5125" max="5126" width="0" style="1" hidden="1" customWidth="1"/>
    <col min="5127" max="5376" width="12.5703125" style="1"/>
    <col min="5377" max="5377" width="35.140625" style="1" customWidth="1"/>
    <col min="5378" max="5378" width="10.42578125" style="1" customWidth="1"/>
    <col min="5379" max="5379" width="123.5703125" style="1" bestFit="1" customWidth="1"/>
    <col min="5380" max="5380" width="13.28515625" style="1" customWidth="1"/>
    <col min="5381" max="5382" width="0" style="1" hidden="1" customWidth="1"/>
    <col min="5383" max="5632" width="12.5703125" style="1"/>
    <col min="5633" max="5633" width="35.140625" style="1" customWidth="1"/>
    <col min="5634" max="5634" width="10.42578125" style="1" customWidth="1"/>
    <col min="5635" max="5635" width="123.5703125" style="1" bestFit="1" customWidth="1"/>
    <col min="5636" max="5636" width="13.28515625" style="1" customWidth="1"/>
    <col min="5637" max="5638" width="0" style="1" hidden="1" customWidth="1"/>
    <col min="5639" max="5888" width="12.5703125" style="1"/>
    <col min="5889" max="5889" width="35.140625" style="1" customWidth="1"/>
    <col min="5890" max="5890" width="10.42578125" style="1" customWidth="1"/>
    <col min="5891" max="5891" width="123.5703125" style="1" bestFit="1" customWidth="1"/>
    <col min="5892" max="5892" width="13.28515625" style="1" customWidth="1"/>
    <col min="5893" max="5894" width="0" style="1" hidden="1" customWidth="1"/>
    <col min="5895" max="6144" width="12.5703125" style="1"/>
    <col min="6145" max="6145" width="35.140625" style="1" customWidth="1"/>
    <col min="6146" max="6146" width="10.42578125" style="1" customWidth="1"/>
    <col min="6147" max="6147" width="123.5703125" style="1" bestFit="1" customWidth="1"/>
    <col min="6148" max="6148" width="13.28515625" style="1" customWidth="1"/>
    <col min="6149" max="6150" width="0" style="1" hidden="1" customWidth="1"/>
    <col min="6151" max="6400" width="12.5703125" style="1"/>
    <col min="6401" max="6401" width="35.140625" style="1" customWidth="1"/>
    <col min="6402" max="6402" width="10.42578125" style="1" customWidth="1"/>
    <col min="6403" max="6403" width="123.5703125" style="1" bestFit="1" customWidth="1"/>
    <col min="6404" max="6404" width="13.28515625" style="1" customWidth="1"/>
    <col min="6405" max="6406" width="0" style="1" hidden="1" customWidth="1"/>
    <col min="6407" max="6656" width="12.5703125" style="1"/>
    <col min="6657" max="6657" width="35.140625" style="1" customWidth="1"/>
    <col min="6658" max="6658" width="10.42578125" style="1" customWidth="1"/>
    <col min="6659" max="6659" width="123.5703125" style="1" bestFit="1" customWidth="1"/>
    <col min="6660" max="6660" width="13.28515625" style="1" customWidth="1"/>
    <col min="6661" max="6662" width="0" style="1" hidden="1" customWidth="1"/>
    <col min="6663" max="6912" width="12.5703125" style="1"/>
    <col min="6913" max="6913" width="35.140625" style="1" customWidth="1"/>
    <col min="6914" max="6914" width="10.42578125" style="1" customWidth="1"/>
    <col min="6915" max="6915" width="123.5703125" style="1" bestFit="1" customWidth="1"/>
    <col min="6916" max="6916" width="13.28515625" style="1" customWidth="1"/>
    <col min="6917" max="6918" width="0" style="1" hidden="1" customWidth="1"/>
    <col min="6919" max="7168" width="12.5703125" style="1"/>
    <col min="7169" max="7169" width="35.140625" style="1" customWidth="1"/>
    <col min="7170" max="7170" width="10.42578125" style="1" customWidth="1"/>
    <col min="7171" max="7171" width="123.5703125" style="1" bestFit="1" customWidth="1"/>
    <col min="7172" max="7172" width="13.28515625" style="1" customWidth="1"/>
    <col min="7173" max="7174" width="0" style="1" hidden="1" customWidth="1"/>
    <col min="7175" max="7424" width="12.5703125" style="1"/>
    <col min="7425" max="7425" width="35.140625" style="1" customWidth="1"/>
    <col min="7426" max="7426" width="10.42578125" style="1" customWidth="1"/>
    <col min="7427" max="7427" width="123.5703125" style="1" bestFit="1" customWidth="1"/>
    <col min="7428" max="7428" width="13.28515625" style="1" customWidth="1"/>
    <col min="7429" max="7430" width="0" style="1" hidden="1" customWidth="1"/>
    <col min="7431" max="7680" width="12.5703125" style="1"/>
    <col min="7681" max="7681" width="35.140625" style="1" customWidth="1"/>
    <col min="7682" max="7682" width="10.42578125" style="1" customWidth="1"/>
    <col min="7683" max="7683" width="123.5703125" style="1" bestFit="1" customWidth="1"/>
    <col min="7684" max="7684" width="13.28515625" style="1" customWidth="1"/>
    <col min="7685" max="7686" width="0" style="1" hidden="1" customWidth="1"/>
    <col min="7687" max="7936" width="12.5703125" style="1"/>
    <col min="7937" max="7937" width="35.140625" style="1" customWidth="1"/>
    <col min="7938" max="7938" width="10.42578125" style="1" customWidth="1"/>
    <col min="7939" max="7939" width="123.5703125" style="1" bestFit="1" customWidth="1"/>
    <col min="7940" max="7940" width="13.28515625" style="1" customWidth="1"/>
    <col min="7941" max="7942" width="0" style="1" hidden="1" customWidth="1"/>
    <col min="7943" max="8192" width="12.5703125" style="1"/>
    <col min="8193" max="8193" width="35.140625" style="1" customWidth="1"/>
    <col min="8194" max="8194" width="10.42578125" style="1" customWidth="1"/>
    <col min="8195" max="8195" width="123.5703125" style="1" bestFit="1" customWidth="1"/>
    <col min="8196" max="8196" width="13.28515625" style="1" customWidth="1"/>
    <col min="8197" max="8198" width="0" style="1" hidden="1" customWidth="1"/>
    <col min="8199" max="8448" width="12.5703125" style="1"/>
    <col min="8449" max="8449" width="35.140625" style="1" customWidth="1"/>
    <col min="8450" max="8450" width="10.42578125" style="1" customWidth="1"/>
    <col min="8451" max="8451" width="123.5703125" style="1" bestFit="1" customWidth="1"/>
    <col min="8452" max="8452" width="13.28515625" style="1" customWidth="1"/>
    <col min="8453" max="8454" width="0" style="1" hidden="1" customWidth="1"/>
    <col min="8455" max="8704" width="12.5703125" style="1"/>
    <col min="8705" max="8705" width="35.140625" style="1" customWidth="1"/>
    <col min="8706" max="8706" width="10.42578125" style="1" customWidth="1"/>
    <col min="8707" max="8707" width="123.5703125" style="1" bestFit="1" customWidth="1"/>
    <col min="8708" max="8708" width="13.28515625" style="1" customWidth="1"/>
    <col min="8709" max="8710" width="0" style="1" hidden="1" customWidth="1"/>
    <col min="8711" max="8960" width="12.5703125" style="1"/>
    <col min="8961" max="8961" width="35.140625" style="1" customWidth="1"/>
    <col min="8962" max="8962" width="10.42578125" style="1" customWidth="1"/>
    <col min="8963" max="8963" width="123.5703125" style="1" bestFit="1" customWidth="1"/>
    <col min="8964" max="8964" width="13.28515625" style="1" customWidth="1"/>
    <col min="8965" max="8966" width="0" style="1" hidden="1" customWidth="1"/>
    <col min="8967" max="9216" width="12.5703125" style="1"/>
    <col min="9217" max="9217" width="35.140625" style="1" customWidth="1"/>
    <col min="9218" max="9218" width="10.42578125" style="1" customWidth="1"/>
    <col min="9219" max="9219" width="123.5703125" style="1" bestFit="1" customWidth="1"/>
    <col min="9220" max="9220" width="13.28515625" style="1" customWidth="1"/>
    <col min="9221" max="9222" width="0" style="1" hidden="1" customWidth="1"/>
    <col min="9223" max="9472" width="12.5703125" style="1"/>
    <col min="9473" max="9473" width="35.140625" style="1" customWidth="1"/>
    <col min="9474" max="9474" width="10.42578125" style="1" customWidth="1"/>
    <col min="9475" max="9475" width="123.5703125" style="1" bestFit="1" customWidth="1"/>
    <col min="9476" max="9476" width="13.28515625" style="1" customWidth="1"/>
    <col min="9477" max="9478" width="0" style="1" hidden="1" customWidth="1"/>
    <col min="9479" max="9728" width="12.5703125" style="1"/>
    <col min="9729" max="9729" width="35.140625" style="1" customWidth="1"/>
    <col min="9730" max="9730" width="10.42578125" style="1" customWidth="1"/>
    <col min="9731" max="9731" width="123.5703125" style="1" bestFit="1" customWidth="1"/>
    <col min="9732" max="9732" width="13.28515625" style="1" customWidth="1"/>
    <col min="9733" max="9734" width="0" style="1" hidden="1" customWidth="1"/>
    <col min="9735" max="9984" width="12.5703125" style="1"/>
    <col min="9985" max="9985" width="35.140625" style="1" customWidth="1"/>
    <col min="9986" max="9986" width="10.42578125" style="1" customWidth="1"/>
    <col min="9987" max="9987" width="123.5703125" style="1" bestFit="1" customWidth="1"/>
    <col min="9988" max="9988" width="13.28515625" style="1" customWidth="1"/>
    <col min="9989" max="9990" width="0" style="1" hidden="1" customWidth="1"/>
    <col min="9991" max="10240" width="12.5703125" style="1"/>
    <col min="10241" max="10241" width="35.140625" style="1" customWidth="1"/>
    <col min="10242" max="10242" width="10.42578125" style="1" customWidth="1"/>
    <col min="10243" max="10243" width="123.5703125" style="1" bestFit="1" customWidth="1"/>
    <col min="10244" max="10244" width="13.28515625" style="1" customWidth="1"/>
    <col min="10245" max="10246" width="0" style="1" hidden="1" customWidth="1"/>
    <col min="10247" max="10496" width="12.5703125" style="1"/>
    <col min="10497" max="10497" width="35.140625" style="1" customWidth="1"/>
    <col min="10498" max="10498" width="10.42578125" style="1" customWidth="1"/>
    <col min="10499" max="10499" width="123.5703125" style="1" bestFit="1" customWidth="1"/>
    <col min="10500" max="10500" width="13.28515625" style="1" customWidth="1"/>
    <col min="10501" max="10502" width="0" style="1" hidden="1" customWidth="1"/>
    <col min="10503" max="10752" width="12.5703125" style="1"/>
    <col min="10753" max="10753" width="35.140625" style="1" customWidth="1"/>
    <col min="10754" max="10754" width="10.42578125" style="1" customWidth="1"/>
    <col min="10755" max="10755" width="123.5703125" style="1" bestFit="1" customWidth="1"/>
    <col min="10756" max="10756" width="13.28515625" style="1" customWidth="1"/>
    <col min="10757" max="10758" width="0" style="1" hidden="1" customWidth="1"/>
    <col min="10759" max="11008" width="12.5703125" style="1"/>
    <col min="11009" max="11009" width="35.140625" style="1" customWidth="1"/>
    <col min="11010" max="11010" width="10.42578125" style="1" customWidth="1"/>
    <col min="11011" max="11011" width="123.5703125" style="1" bestFit="1" customWidth="1"/>
    <col min="11012" max="11012" width="13.28515625" style="1" customWidth="1"/>
    <col min="11013" max="11014" width="0" style="1" hidden="1" customWidth="1"/>
    <col min="11015" max="11264" width="12.5703125" style="1"/>
    <col min="11265" max="11265" width="35.140625" style="1" customWidth="1"/>
    <col min="11266" max="11266" width="10.42578125" style="1" customWidth="1"/>
    <col min="11267" max="11267" width="123.5703125" style="1" bestFit="1" customWidth="1"/>
    <col min="11268" max="11268" width="13.28515625" style="1" customWidth="1"/>
    <col min="11269" max="11270" width="0" style="1" hidden="1" customWidth="1"/>
    <col min="11271" max="11520" width="12.5703125" style="1"/>
    <col min="11521" max="11521" width="35.140625" style="1" customWidth="1"/>
    <col min="11522" max="11522" width="10.42578125" style="1" customWidth="1"/>
    <col min="11523" max="11523" width="123.5703125" style="1" bestFit="1" customWidth="1"/>
    <col min="11524" max="11524" width="13.28515625" style="1" customWidth="1"/>
    <col min="11525" max="11526" width="0" style="1" hidden="1" customWidth="1"/>
    <col min="11527" max="11776" width="12.5703125" style="1"/>
    <col min="11777" max="11777" width="35.140625" style="1" customWidth="1"/>
    <col min="11778" max="11778" width="10.42578125" style="1" customWidth="1"/>
    <col min="11779" max="11779" width="123.5703125" style="1" bestFit="1" customWidth="1"/>
    <col min="11780" max="11780" width="13.28515625" style="1" customWidth="1"/>
    <col min="11781" max="11782" width="0" style="1" hidden="1" customWidth="1"/>
    <col min="11783" max="12032" width="12.5703125" style="1"/>
    <col min="12033" max="12033" width="35.140625" style="1" customWidth="1"/>
    <col min="12034" max="12034" width="10.42578125" style="1" customWidth="1"/>
    <col min="12035" max="12035" width="123.5703125" style="1" bestFit="1" customWidth="1"/>
    <col min="12036" max="12036" width="13.28515625" style="1" customWidth="1"/>
    <col min="12037" max="12038" width="0" style="1" hidden="1" customWidth="1"/>
    <col min="12039" max="12288" width="12.5703125" style="1"/>
    <col min="12289" max="12289" width="35.140625" style="1" customWidth="1"/>
    <col min="12290" max="12290" width="10.42578125" style="1" customWidth="1"/>
    <col min="12291" max="12291" width="123.5703125" style="1" bestFit="1" customWidth="1"/>
    <col min="12292" max="12292" width="13.28515625" style="1" customWidth="1"/>
    <col min="12293" max="12294" width="0" style="1" hidden="1" customWidth="1"/>
    <col min="12295" max="12544" width="12.5703125" style="1"/>
    <col min="12545" max="12545" width="35.140625" style="1" customWidth="1"/>
    <col min="12546" max="12546" width="10.42578125" style="1" customWidth="1"/>
    <col min="12547" max="12547" width="123.5703125" style="1" bestFit="1" customWidth="1"/>
    <col min="12548" max="12548" width="13.28515625" style="1" customWidth="1"/>
    <col min="12549" max="12550" width="0" style="1" hidden="1" customWidth="1"/>
    <col min="12551" max="12800" width="12.5703125" style="1"/>
    <col min="12801" max="12801" width="35.140625" style="1" customWidth="1"/>
    <col min="12802" max="12802" width="10.42578125" style="1" customWidth="1"/>
    <col min="12803" max="12803" width="123.5703125" style="1" bestFit="1" customWidth="1"/>
    <col min="12804" max="12804" width="13.28515625" style="1" customWidth="1"/>
    <col min="12805" max="12806" width="0" style="1" hidden="1" customWidth="1"/>
    <col min="12807" max="13056" width="12.5703125" style="1"/>
    <col min="13057" max="13057" width="35.140625" style="1" customWidth="1"/>
    <col min="13058" max="13058" width="10.42578125" style="1" customWidth="1"/>
    <col min="13059" max="13059" width="123.5703125" style="1" bestFit="1" customWidth="1"/>
    <col min="13060" max="13060" width="13.28515625" style="1" customWidth="1"/>
    <col min="13061" max="13062" width="0" style="1" hidden="1" customWidth="1"/>
    <col min="13063" max="13312" width="12.5703125" style="1"/>
    <col min="13313" max="13313" width="35.140625" style="1" customWidth="1"/>
    <col min="13314" max="13314" width="10.42578125" style="1" customWidth="1"/>
    <col min="13315" max="13315" width="123.5703125" style="1" bestFit="1" customWidth="1"/>
    <col min="13316" max="13316" width="13.28515625" style="1" customWidth="1"/>
    <col min="13317" max="13318" width="0" style="1" hidden="1" customWidth="1"/>
    <col min="13319" max="13568" width="12.5703125" style="1"/>
    <col min="13569" max="13569" width="35.140625" style="1" customWidth="1"/>
    <col min="13570" max="13570" width="10.42578125" style="1" customWidth="1"/>
    <col min="13571" max="13571" width="123.5703125" style="1" bestFit="1" customWidth="1"/>
    <col min="13572" max="13572" width="13.28515625" style="1" customWidth="1"/>
    <col min="13573" max="13574" width="0" style="1" hidden="1" customWidth="1"/>
    <col min="13575" max="13824" width="12.5703125" style="1"/>
    <col min="13825" max="13825" width="35.140625" style="1" customWidth="1"/>
    <col min="13826" max="13826" width="10.42578125" style="1" customWidth="1"/>
    <col min="13827" max="13827" width="123.5703125" style="1" bestFit="1" customWidth="1"/>
    <col min="13828" max="13828" width="13.28515625" style="1" customWidth="1"/>
    <col min="13829" max="13830" width="0" style="1" hidden="1" customWidth="1"/>
    <col min="13831" max="14080" width="12.5703125" style="1"/>
    <col min="14081" max="14081" width="35.140625" style="1" customWidth="1"/>
    <col min="14082" max="14082" width="10.42578125" style="1" customWidth="1"/>
    <col min="14083" max="14083" width="123.5703125" style="1" bestFit="1" customWidth="1"/>
    <col min="14084" max="14084" width="13.28515625" style="1" customWidth="1"/>
    <col min="14085" max="14086" width="0" style="1" hidden="1" customWidth="1"/>
    <col min="14087" max="14336" width="12.5703125" style="1"/>
    <col min="14337" max="14337" width="35.140625" style="1" customWidth="1"/>
    <col min="14338" max="14338" width="10.42578125" style="1" customWidth="1"/>
    <col min="14339" max="14339" width="123.5703125" style="1" bestFit="1" customWidth="1"/>
    <col min="14340" max="14340" width="13.28515625" style="1" customWidth="1"/>
    <col min="14341" max="14342" width="0" style="1" hidden="1" customWidth="1"/>
    <col min="14343" max="14592" width="12.5703125" style="1"/>
    <col min="14593" max="14593" width="35.140625" style="1" customWidth="1"/>
    <col min="14594" max="14594" width="10.42578125" style="1" customWidth="1"/>
    <col min="14595" max="14595" width="123.5703125" style="1" bestFit="1" customWidth="1"/>
    <col min="14596" max="14596" width="13.28515625" style="1" customWidth="1"/>
    <col min="14597" max="14598" width="0" style="1" hidden="1" customWidth="1"/>
    <col min="14599" max="14848" width="12.5703125" style="1"/>
    <col min="14849" max="14849" width="35.140625" style="1" customWidth="1"/>
    <col min="14850" max="14850" width="10.42578125" style="1" customWidth="1"/>
    <col min="14851" max="14851" width="123.5703125" style="1" bestFit="1" customWidth="1"/>
    <col min="14852" max="14852" width="13.28515625" style="1" customWidth="1"/>
    <col min="14853" max="14854" width="0" style="1" hidden="1" customWidth="1"/>
    <col min="14855" max="15104" width="12.5703125" style="1"/>
    <col min="15105" max="15105" width="35.140625" style="1" customWidth="1"/>
    <col min="15106" max="15106" width="10.42578125" style="1" customWidth="1"/>
    <col min="15107" max="15107" width="123.5703125" style="1" bestFit="1" customWidth="1"/>
    <col min="15108" max="15108" width="13.28515625" style="1" customWidth="1"/>
    <col min="15109" max="15110" width="0" style="1" hidden="1" customWidth="1"/>
    <col min="15111" max="15360" width="12.5703125" style="1"/>
    <col min="15361" max="15361" width="35.140625" style="1" customWidth="1"/>
    <col min="15362" max="15362" width="10.42578125" style="1" customWidth="1"/>
    <col min="15363" max="15363" width="123.5703125" style="1" bestFit="1" customWidth="1"/>
    <col min="15364" max="15364" width="13.28515625" style="1" customWidth="1"/>
    <col min="15365" max="15366" width="0" style="1" hidden="1" customWidth="1"/>
    <col min="15367" max="15616" width="12.5703125" style="1"/>
    <col min="15617" max="15617" width="35.140625" style="1" customWidth="1"/>
    <col min="15618" max="15618" width="10.42578125" style="1" customWidth="1"/>
    <col min="15619" max="15619" width="123.5703125" style="1" bestFit="1" customWidth="1"/>
    <col min="15620" max="15620" width="13.28515625" style="1" customWidth="1"/>
    <col min="15621" max="15622" width="0" style="1" hidden="1" customWidth="1"/>
    <col min="15623" max="15872" width="12.5703125" style="1"/>
    <col min="15873" max="15873" width="35.140625" style="1" customWidth="1"/>
    <col min="15874" max="15874" width="10.42578125" style="1" customWidth="1"/>
    <col min="15875" max="15875" width="123.5703125" style="1" bestFit="1" customWidth="1"/>
    <col min="15876" max="15876" width="13.28515625" style="1" customWidth="1"/>
    <col min="15877" max="15878" width="0" style="1" hidden="1" customWidth="1"/>
    <col min="15879" max="16128" width="12.5703125" style="1"/>
    <col min="16129" max="16129" width="35.140625" style="1" customWidth="1"/>
    <col min="16130" max="16130" width="10.42578125" style="1" customWidth="1"/>
    <col min="16131" max="16131" width="123.5703125" style="1" bestFit="1" customWidth="1"/>
    <col min="16132" max="16132" width="13.28515625" style="1" customWidth="1"/>
    <col min="16133" max="16134" width="0" style="1" hidden="1" customWidth="1"/>
    <col min="16135" max="16384" width="12.5703125" style="1"/>
  </cols>
  <sheetData>
    <row r="2" spans="1:7" ht="23.25" customHeight="1">
      <c r="C2" s="2" t="str">
        <f>HLOOKUP($F$2,Nombres!$C$3:$E$853,192)</f>
        <v xml:space="preserve">Series trimestrales 2014-2015 </v>
      </c>
      <c r="F2" s="3">
        <v>2</v>
      </c>
    </row>
    <row r="4" spans="1:7" ht="23.25" customHeight="1">
      <c r="A4" s="4"/>
      <c r="C4" s="5" t="str">
        <f>HLOOKUP($F$2,Nombres!$C$3:$E$853,200)</f>
        <v>Grupo BBVA</v>
      </c>
      <c r="D4" s="6" t="str">
        <f>HLOOKUP($F$2,Nombres!$C$3:$E$853,263)</f>
        <v>Imprimir</v>
      </c>
      <c r="E4" s="1" t="b">
        <v>0</v>
      </c>
      <c r="G4" s="7"/>
    </row>
    <row r="5" spans="1:7" ht="23.25" customHeight="1">
      <c r="C5" s="8" t="str">
        <f>HLOOKUP($F$2,Nombres!$C$3:$E$853,267)</f>
        <v>Cuentas de resultados consolidadas</v>
      </c>
      <c r="E5" s="1" t="b">
        <v>0</v>
      </c>
      <c r="F5" s="1" t="b">
        <f>OR($E$4,E5)</f>
        <v>0</v>
      </c>
      <c r="G5" s="7"/>
    </row>
    <row r="6" spans="1:7" ht="23.25" customHeight="1">
      <c r="C6" s="8" t="str">
        <f>HLOOKUP($F$2,Nombres!$C$3:$E$853,196)</f>
        <v>Balances de situación consolidados</v>
      </c>
      <c r="E6" s="1" t="b">
        <v>0</v>
      </c>
      <c r="F6" s="1" t="b">
        <f>OR($E$4,E6)</f>
        <v>0</v>
      </c>
      <c r="G6" s="7"/>
    </row>
    <row r="7" spans="1:7" ht="23.25" customHeight="1">
      <c r="A7" s="9" t="s">
        <v>0</v>
      </c>
      <c r="C7" s="10"/>
      <c r="G7" s="7"/>
    </row>
    <row r="8" spans="1:7" ht="23.25" customHeight="1">
      <c r="A8" s="11" t="s">
        <v>1</v>
      </c>
      <c r="B8" s="12"/>
      <c r="C8" s="5" t="str">
        <f>HLOOKUP($F$2,Nombres!$C$3:$E$853,193)</f>
        <v>Áreas de negocio</v>
      </c>
      <c r="D8" s="12"/>
      <c r="E8" s="12" t="b">
        <v>0</v>
      </c>
      <c r="F8" s="13"/>
      <c r="G8" s="14"/>
    </row>
    <row r="9" spans="1:7" s="15" customFormat="1" ht="23.25" customHeight="1">
      <c r="C9" s="8" t="str">
        <f>HLOOKUP($F$2,Nombres!$C$3:$E$853,7)</f>
        <v>Actividad bancaria en España</v>
      </c>
      <c r="E9" s="15" t="b">
        <v>0</v>
      </c>
      <c r="F9" s="1" t="b">
        <f t="shared" ref="F9:F23" si="0">OR($E$8,E9)</f>
        <v>0</v>
      </c>
      <c r="G9" s="16"/>
    </row>
    <row r="10" spans="1:7" ht="23.25" customHeight="1">
      <c r="C10" s="8" t="str">
        <f>HLOOKUP($F$2,Nombres!$C$3:$E$853,279)</f>
        <v>Actividad inmobiliaria en España</v>
      </c>
      <c r="E10" s="1" t="b">
        <v>0</v>
      </c>
      <c r="F10" s="1" t="b">
        <f t="shared" si="0"/>
        <v>0</v>
      </c>
      <c r="G10" s="7"/>
    </row>
    <row r="11" spans="1:7" ht="23.25" customHeight="1">
      <c r="C11" s="17" t="str">
        <f>HLOOKUP($F$2,Nombres!$C$3:$E$853,262)</f>
        <v>Cobertura de la exposición inmobiliaria en España</v>
      </c>
      <c r="E11" s="1" t="b">
        <v>0</v>
      </c>
      <c r="F11" s="1" t="b">
        <f t="shared" si="0"/>
        <v>0</v>
      </c>
      <c r="G11" s="7"/>
    </row>
    <row r="12" spans="1:7" ht="23.25" customHeight="1">
      <c r="C12" s="8" t="str">
        <f>HLOOKUP($F$2,Nombres!$C$3:$E$853,20)</f>
        <v>Estados Unidos</v>
      </c>
      <c r="E12" s="1" t="b">
        <v>0</v>
      </c>
      <c r="F12" s="1" t="b">
        <f t="shared" si="0"/>
        <v>0</v>
      </c>
      <c r="G12" s="7"/>
    </row>
    <row r="13" spans="1:7" ht="23.25" customHeight="1">
      <c r="C13" s="8" t="str">
        <f>HLOOKUP($F$2,Nombres!$C$3:$E$853,295)</f>
        <v xml:space="preserve">Turquía </v>
      </c>
      <c r="E13" s="1" t="b">
        <v>0</v>
      </c>
      <c r="F13" s="1" t="b">
        <f t="shared" si="0"/>
        <v>0</v>
      </c>
      <c r="G13" s="7"/>
    </row>
    <row r="14" spans="1:7" ht="23.25" customHeight="1">
      <c r="C14" s="8" t="str">
        <f>HLOOKUP($F$2,Nombres!$C$3:$E$853,309)</f>
        <v>Turquía en continuidad</v>
      </c>
      <c r="E14" s="1" t="b">
        <v>0</v>
      </c>
      <c r="F14" s="1" t="b">
        <f t="shared" si="0"/>
        <v>0</v>
      </c>
      <c r="G14" s="7"/>
    </row>
    <row r="15" spans="1:7" s="18" customFormat="1" ht="23.25" customHeight="1">
      <c r="B15" s="19"/>
      <c r="C15" s="8" t="str">
        <f>HLOOKUP($F$2,Nombres!$C$3:$E$853,9)</f>
        <v>México</v>
      </c>
      <c r="D15" s="1"/>
      <c r="E15" s="1" t="b">
        <v>0</v>
      </c>
      <c r="F15" s="20" t="b">
        <f t="shared" si="0"/>
        <v>0</v>
      </c>
      <c r="G15" s="21"/>
    </row>
    <row r="16" spans="1:7" s="18" customFormat="1" ht="23.25" customHeight="1">
      <c r="A16" s="19"/>
      <c r="B16" s="19"/>
      <c r="C16" s="8" t="str">
        <f>HLOOKUP($F$2,Nombres!$C$3:$E$853,12)</f>
        <v xml:space="preserve">América del Sur </v>
      </c>
      <c r="E16" s="1" t="b">
        <v>0</v>
      </c>
      <c r="F16" s="20" t="b">
        <f t="shared" si="0"/>
        <v>0</v>
      </c>
      <c r="G16" s="21"/>
    </row>
    <row r="17" spans="1:7" s="18" customFormat="1" ht="23.25" customHeight="1">
      <c r="A17" s="19"/>
      <c r="B17" s="19"/>
      <c r="C17" s="17" t="str">
        <f>HLOOKUP($F$2,Nombres!$C$3:$E$853,15)</f>
        <v>Argentina</v>
      </c>
      <c r="E17" s="1" t="b">
        <v>0</v>
      </c>
      <c r="F17" s="20" t="b">
        <f t="shared" si="0"/>
        <v>0</v>
      </c>
      <c r="G17" s="21"/>
    </row>
    <row r="18" spans="1:7" ht="23.25" customHeight="1">
      <c r="C18" s="17" t="str">
        <f>HLOOKUP($F$2,Nombres!$C$3:$E$853,16)</f>
        <v>Chile</v>
      </c>
      <c r="D18" s="18"/>
      <c r="E18" s="1" t="b">
        <v>0</v>
      </c>
      <c r="F18" s="1" t="b">
        <f t="shared" si="0"/>
        <v>0</v>
      </c>
      <c r="G18" s="7"/>
    </row>
    <row r="19" spans="1:7" ht="21.75" customHeight="1">
      <c r="C19" s="17" t="str">
        <f>HLOOKUP($F$2,Nombres!$C$3:$E$853,17)</f>
        <v>Colombia</v>
      </c>
      <c r="D19" s="18"/>
      <c r="E19" s="1" t="b">
        <v>0</v>
      </c>
      <c r="F19" s="1" t="b">
        <f t="shared" si="0"/>
        <v>0</v>
      </c>
      <c r="G19" s="7"/>
    </row>
    <row r="20" spans="1:7" ht="23.25" customHeight="1">
      <c r="A20" s="4"/>
      <c r="C20" s="17" t="str">
        <f>HLOOKUP($F$2,Nombres!$C$3:$E$853,18)</f>
        <v>Perú</v>
      </c>
      <c r="D20" s="18"/>
      <c r="E20" s="1" t="b">
        <v>0</v>
      </c>
      <c r="F20" s="1" t="b">
        <f t="shared" si="0"/>
        <v>0</v>
      </c>
      <c r="G20" s="7"/>
    </row>
    <row r="21" spans="1:7" ht="23.25" customHeight="1">
      <c r="C21" s="17" t="str">
        <f>HLOOKUP($F$2,Nombres!$C$3:$E$853,19)</f>
        <v>Venezuela</v>
      </c>
      <c r="D21" s="18"/>
      <c r="E21" s="1" t="b">
        <v>0</v>
      </c>
      <c r="F21" s="1" t="b">
        <f t="shared" si="0"/>
        <v>0</v>
      </c>
      <c r="G21" s="7"/>
    </row>
    <row r="22" spans="1:7" ht="23.25" customHeight="1">
      <c r="C22" s="8" t="str">
        <f>HLOOKUP($F$2,Nombres!$C$3:$E$853,184)</f>
        <v>Resto de Eurasia</v>
      </c>
      <c r="D22" s="18"/>
      <c r="E22" s="1" t="b">
        <v>0</v>
      </c>
      <c r="F22" s="1" t="b">
        <f>OR($E$8,E22)</f>
        <v>0</v>
      </c>
      <c r="G22" s="7"/>
    </row>
    <row r="23" spans="1:7" ht="23.25" customHeight="1">
      <c r="C23" s="8" t="str">
        <f>HLOOKUP($F$2,Nombres!$C$3:$E$853,25)</f>
        <v>Centro Corporativo</v>
      </c>
      <c r="E23" s="1" t="b">
        <v>0</v>
      </c>
      <c r="F23" s="1" t="b">
        <f t="shared" si="0"/>
        <v>0</v>
      </c>
      <c r="G23" s="7"/>
    </row>
    <row r="24" spans="1:7" ht="8.25" customHeight="1">
      <c r="C24" s="10"/>
      <c r="G24" s="7"/>
    </row>
    <row r="25" spans="1:7" ht="23.25" customHeight="1">
      <c r="C25" s="5" t="str">
        <f>HLOOKUP($F$2,Nombres!$C$3:$E$853,194)</f>
        <v>Información adicional:</v>
      </c>
      <c r="G25" s="7"/>
    </row>
    <row r="26" spans="1:7" ht="23.25" customHeight="1">
      <c r="C26" s="8" t="str">
        <f>HLOOKUP($F$2,Nombres!$C$3:$E$853,268)</f>
        <v>Corporate &amp; Investment Banking</v>
      </c>
      <c r="E26" s="1" t="b">
        <v>0</v>
      </c>
      <c r="F26" s="1" t="b">
        <f>OR($E$8,E26)</f>
        <v>0</v>
      </c>
      <c r="G26" s="7"/>
    </row>
    <row r="27" spans="1:7" ht="23.25" customHeight="1">
      <c r="C27" s="8" t="str">
        <f>HLOOKUP($F$2,Nombres!$C$3:$E$853,303)</f>
        <v>Grupo BBVA sin Venezuela y con Turquía en continuidad</v>
      </c>
      <c r="E27" s="1" t="b">
        <v>0</v>
      </c>
      <c r="F27" s="1" t="b">
        <f>OR($E$8,E27)</f>
        <v>0</v>
      </c>
      <c r="G27" s="7"/>
    </row>
    <row r="28" spans="1:7" ht="23.25" customHeight="1">
      <c r="C28" s="8" t="s">
        <v>480</v>
      </c>
      <c r="E28" s="1" t="b">
        <v>0</v>
      </c>
      <c r="F28" s="1" t="b">
        <f>OR($E$8,E28)</f>
        <v>0</v>
      </c>
      <c r="G28" s="7"/>
    </row>
    <row r="29" spans="1:7" ht="24.75" customHeight="1">
      <c r="C29" s="5" t="str">
        <f>HLOOKUP($F$2,Nombres!$C$3:$E$853,201)</f>
        <v>Anexo:</v>
      </c>
      <c r="D29" s="15"/>
      <c r="G29" s="7"/>
    </row>
    <row r="30" spans="1:7" s="15" customFormat="1" ht="23.25" customHeight="1">
      <c r="C30" s="22" t="str">
        <f>HLOOKUP($F$2,Nombres!$C$3:$E$853,26)</f>
        <v>Eficiencia</v>
      </c>
      <c r="D30" s="1"/>
      <c r="E30" s="15" t="b">
        <v>0</v>
      </c>
      <c r="F30" s="1" t="b">
        <f>OR($E$29,E30)</f>
        <v>0</v>
      </c>
      <c r="G30" s="16"/>
    </row>
    <row r="31" spans="1:7" s="23" customFormat="1" ht="23.25" customHeight="1">
      <c r="C31" s="22" t="str">
        <f>HLOOKUP($F$2,Nombres!$C$3:$E$853,27)</f>
        <v>Tasas de mora, cobertura y prima de riesgo</v>
      </c>
      <c r="D31" s="1"/>
      <c r="E31" s="23" t="b">
        <v>0</v>
      </c>
      <c r="F31" s="23" t="b">
        <f>OR($E$29,E31)</f>
        <v>0</v>
      </c>
      <c r="G31" s="24"/>
    </row>
    <row r="32" spans="1:7" ht="23.25" customHeight="1">
      <c r="C32" s="22" t="str">
        <f>HLOOKUP($F$2,Nombres!$C$3:$E$853,28)</f>
        <v>Empleados, oficinas y cajeros automáticos</v>
      </c>
      <c r="E32" s="1" t="b">
        <v>0</v>
      </c>
      <c r="F32" s="1" t="b">
        <f>OR($E$29,E32)</f>
        <v>0</v>
      </c>
      <c r="G32" s="7"/>
    </row>
    <row r="33" spans="3:7" ht="22.5" customHeight="1">
      <c r="C33" s="22" t="str">
        <f>HLOOKUP($F$2,Nombres!$C$3:$E$853,182)</f>
        <v>Tipos de cambio</v>
      </c>
      <c r="E33" s="1" t="b">
        <v>0</v>
      </c>
      <c r="F33" s="1" t="b">
        <f>OR($E$29,E33)</f>
        <v>0</v>
      </c>
      <c r="G33" s="7"/>
    </row>
    <row r="34" spans="3:7" ht="22.5" customHeight="1">
      <c r="C34" s="22" t="str">
        <f>HLOOKUP($F$2,Nombres!$C$3:$E$853,199)</f>
        <v>Estructura de rendimientos y costes</v>
      </c>
      <c r="E34" s="1" t="b">
        <v>0</v>
      </c>
      <c r="F34" s="1" t="b">
        <f>OR($E$29,E34)</f>
        <v>0</v>
      </c>
      <c r="G34" s="7"/>
    </row>
    <row r="35" spans="3:7" ht="14.25" customHeight="1">
      <c r="C35" s="25"/>
      <c r="D35" s="15"/>
    </row>
    <row r="36" spans="3:7" ht="13.5" customHeight="1">
      <c r="C36" s="25"/>
      <c r="D36" s="23"/>
    </row>
  </sheetData>
  <hyperlinks>
    <hyperlink ref="C15" location="México!A1" display="México!A1"/>
    <hyperlink ref="C16" location="'América del Sur'!A1" display="'América del Sur'!A1"/>
    <hyperlink ref="C23" location="'Centro corporativo'!A1" display="'Centro corporativo'!A1"/>
    <hyperlink ref="C30:C32" location="'Cuenta de resultados'!A1" display="'Cuenta de resultados'!A1"/>
    <hyperlink ref="C17" location="Argentina!A1" display="Argentina!A1"/>
    <hyperlink ref="C18" location="Chile!A1" display="Chile!A1"/>
    <hyperlink ref="C20" location="Perú!A1" display="Perú!A1"/>
    <hyperlink ref="C21" location="Venezuela!A1" display="Venezuela!A1"/>
    <hyperlink ref="C30" location="Eficiencia!A1" display="Eficiencia!A1"/>
    <hyperlink ref="C31" location="'Mora,cobertura,prima de riesgo'!A1" display="'Mora,cobertura,prima de riesgo'!A1"/>
    <hyperlink ref="C32" location="'Empleados,oficinas y cajeros'!A1" display="'Empleados,oficinas y cajeros'!A1"/>
    <hyperlink ref="C5" location="'Cuenta de resultados'!A1" display="'Cuenta de resultados'!A1"/>
    <hyperlink ref="C33" location="'Tipos de cambio'!A1" display="'Tipos de cambio'!A1"/>
    <hyperlink ref="C9" location="'Actividad bancaria en España'!A1" display="'Actividad bancaria en España'!A1"/>
    <hyperlink ref="C6" location="'Balances consolidados'!A1" display="'Balances consolidados'!A1"/>
    <hyperlink ref="C19" location="Colombia!A1" display="Colombia!A1"/>
    <hyperlink ref="C11" location="'Riesgo promoción inmobiliaria'!A1" display="'Riesgo promoción inmobiliaria'!A1"/>
    <hyperlink ref="C26" location="'Corporate &amp; Investment Banking'!A1" display="'Corporate &amp; Investment Banking'!A1"/>
    <hyperlink ref="C10" location="'Actividad inm. en España'!A1" display="'Actividad inm. en España'!A1"/>
    <hyperlink ref="C13" location="Turquía!A1" display="Turquía!A1"/>
    <hyperlink ref="C12" location="'Estados Unidos'!A1" display="'Estados Unidos'!A1"/>
    <hyperlink ref="C22" location="'Resto de Eurasia'!A1" display="'Resto de Eurasia'!A1"/>
    <hyperlink ref="C27" location="'Grupo BBVA sin V y Turq cont'!A1" display="'Grupo BBVA sin V y Turq cont'!A1"/>
    <hyperlink ref="C28" location="AdS_sinVenezuela!A1" display="AdS_sinVenezuela!A1"/>
    <hyperlink ref="C14" location="'Turquía en continuidad'!A1" display="'Turquía en continuidad'!A1"/>
    <hyperlink ref="C34" location="'Rendimientos y costes'!A1" display="'Rendimientos y costes'!A1"/>
  </hyperlinks>
  <pageMargins left="0.75" right="0.75" top="1" bottom="1" header="0" footer="0"/>
  <pageSetup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0</xdr:col>
                    <xdr:colOff>85725</xdr:colOff>
                    <xdr:row>7</xdr:row>
                    <xdr:rowOff>0</xdr:rowOff>
                  </from>
                  <to>
                    <xdr:col>0</xdr:col>
                    <xdr:colOff>419100</xdr:colOff>
                    <xdr:row>7</xdr:row>
                    <xdr:rowOff>266700</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0</xdr:col>
                    <xdr:colOff>85725</xdr:colOff>
                    <xdr:row>6</xdr:row>
                    <xdr:rowOff>0</xdr:rowOff>
                  </from>
                  <to>
                    <xdr:col>0</xdr:col>
                    <xdr:colOff>409575</xdr:colOff>
                    <xdr:row>6</xdr:row>
                    <xdr:rowOff>228600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sizeWithCells="1">
                  <from>
                    <xdr:col>2</xdr:col>
                    <xdr:colOff>7743825</xdr:colOff>
                    <xdr:row>8</xdr:row>
                    <xdr:rowOff>28575</xdr:rowOff>
                  </from>
                  <to>
                    <xdr:col>3</xdr:col>
                    <xdr:colOff>19050</xdr:colOff>
                    <xdr:row>8</xdr:row>
                    <xdr:rowOff>247650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sizeWithCells="1">
                  <from>
                    <xdr:col>2</xdr:col>
                    <xdr:colOff>7734300</xdr:colOff>
                    <xdr:row>11</xdr:row>
                    <xdr:rowOff>38100</xdr:rowOff>
                  </from>
                  <to>
                    <xdr:col>3</xdr:col>
                    <xdr:colOff>9525</xdr:colOff>
                    <xdr:row>11</xdr:row>
                    <xdr:rowOff>257175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sizeWithCells="1">
                  <from>
                    <xdr:col>2</xdr:col>
                    <xdr:colOff>7743825</xdr:colOff>
                    <xdr:row>14</xdr:row>
                    <xdr:rowOff>47625</xdr:rowOff>
                  </from>
                  <to>
                    <xdr:col>3</xdr:col>
                    <xdr:colOff>19050</xdr:colOff>
                    <xdr:row>14</xdr:row>
                    <xdr:rowOff>266700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sizeWithCells="1">
                  <from>
                    <xdr:col>2</xdr:col>
                    <xdr:colOff>7705725</xdr:colOff>
                    <xdr:row>4</xdr:row>
                    <xdr:rowOff>19050</xdr:rowOff>
                  </from>
                  <to>
                    <xdr:col>2</xdr:col>
                    <xdr:colOff>8220075</xdr:colOff>
                    <xdr:row>4</xdr:row>
                    <xdr:rowOff>247650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sizeWithCells="1">
                  <from>
                    <xdr:col>2</xdr:col>
                    <xdr:colOff>7705725</xdr:colOff>
                    <xdr:row>5</xdr:row>
                    <xdr:rowOff>28575</xdr:rowOff>
                  </from>
                  <to>
                    <xdr:col>2</xdr:col>
                    <xdr:colOff>8220075</xdr:colOff>
                    <xdr:row>5</xdr:row>
                    <xdr:rowOff>257175</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sizeWithCells="1">
                  <from>
                    <xdr:col>2</xdr:col>
                    <xdr:colOff>7743825</xdr:colOff>
                    <xdr:row>15</xdr:row>
                    <xdr:rowOff>19050</xdr:rowOff>
                  </from>
                  <to>
                    <xdr:col>3</xdr:col>
                    <xdr:colOff>9525</xdr:colOff>
                    <xdr:row>15</xdr:row>
                    <xdr:rowOff>238125</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sizeWithCells="1">
                  <from>
                    <xdr:col>2</xdr:col>
                    <xdr:colOff>7734300</xdr:colOff>
                    <xdr:row>21</xdr:row>
                    <xdr:rowOff>95250</xdr:rowOff>
                  </from>
                  <to>
                    <xdr:col>3</xdr:col>
                    <xdr:colOff>0</xdr:colOff>
                    <xdr:row>22</xdr:row>
                    <xdr:rowOff>19050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sizeWithCells="1">
                  <from>
                    <xdr:col>2</xdr:col>
                    <xdr:colOff>7734300</xdr:colOff>
                    <xdr:row>22</xdr:row>
                    <xdr:rowOff>95250</xdr:rowOff>
                  </from>
                  <to>
                    <xdr:col>3</xdr:col>
                    <xdr:colOff>0</xdr:colOff>
                    <xdr:row>23</xdr:row>
                    <xdr:rowOff>19050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sizeWithCells="1">
                  <from>
                    <xdr:col>2</xdr:col>
                    <xdr:colOff>7743825</xdr:colOff>
                    <xdr:row>16</xdr:row>
                    <xdr:rowOff>28575</xdr:rowOff>
                  </from>
                  <to>
                    <xdr:col>3</xdr:col>
                    <xdr:colOff>9525</xdr:colOff>
                    <xdr:row>16</xdr:row>
                    <xdr:rowOff>247650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sizeWithCells="1">
                  <from>
                    <xdr:col>2</xdr:col>
                    <xdr:colOff>7734300</xdr:colOff>
                    <xdr:row>17</xdr:row>
                    <xdr:rowOff>0</xdr:rowOff>
                  </from>
                  <to>
                    <xdr:col>2</xdr:col>
                    <xdr:colOff>8239125</xdr:colOff>
                    <xdr:row>17</xdr:row>
                    <xdr:rowOff>219075</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sizeWithCells="1">
                  <from>
                    <xdr:col>2</xdr:col>
                    <xdr:colOff>7734300</xdr:colOff>
                    <xdr:row>19</xdr:row>
                    <xdr:rowOff>47625</xdr:rowOff>
                  </from>
                  <to>
                    <xdr:col>2</xdr:col>
                    <xdr:colOff>8239125</xdr:colOff>
                    <xdr:row>19</xdr:row>
                    <xdr:rowOff>266700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sizeWithCells="1">
                  <from>
                    <xdr:col>2</xdr:col>
                    <xdr:colOff>7734300</xdr:colOff>
                    <xdr:row>20</xdr:row>
                    <xdr:rowOff>66675</xdr:rowOff>
                  </from>
                  <to>
                    <xdr:col>2</xdr:col>
                    <xdr:colOff>8239125</xdr:colOff>
                    <xdr:row>20</xdr:row>
                    <xdr:rowOff>285750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sizeWithCells="1">
                  <from>
                    <xdr:col>2</xdr:col>
                    <xdr:colOff>7734300</xdr:colOff>
                    <xdr:row>18</xdr:row>
                    <xdr:rowOff>38100</xdr:rowOff>
                  </from>
                  <to>
                    <xdr:col>2</xdr:col>
                    <xdr:colOff>8239125</xdr:colOff>
                    <xdr:row>18</xdr:row>
                    <xdr:rowOff>266700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sizeWithCells="1">
                  <from>
                    <xdr:col>2</xdr:col>
                    <xdr:colOff>7743825</xdr:colOff>
                    <xdr:row>29</xdr:row>
                    <xdr:rowOff>9525</xdr:rowOff>
                  </from>
                  <to>
                    <xdr:col>3</xdr:col>
                    <xdr:colOff>19050</xdr:colOff>
                    <xdr:row>29</xdr:row>
                    <xdr:rowOff>228600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sizeWithCells="1">
                  <from>
                    <xdr:col>2</xdr:col>
                    <xdr:colOff>7743825</xdr:colOff>
                    <xdr:row>29</xdr:row>
                    <xdr:rowOff>285750</xdr:rowOff>
                  </from>
                  <to>
                    <xdr:col>3</xdr:col>
                    <xdr:colOff>19050</xdr:colOff>
                    <xdr:row>30</xdr:row>
                    <xdr:rowOff>219075</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sizeWithCells="1">
                  <from>
                    <xdr:col>2</xdr:col>
                    <xdr:colOff>7743825</xdr:colOff>
                    <xdr:row>31</xdr:row>
                    <xdr:rowOff>9525</xdr:rowOff>
                  </from>
                  <to>
                    <xdr:col>3</xdr:col>
                    <xdr:colOff>19050</xdr:colOff>
                    <xdr:row>31</xdr:row>
                    <xdr:rowOff>238125</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sizeWithCells="1">
                  <from>
                    <xdr:col>2</xdr:col>
                    <xdr:colOff>7743825</xdr:colOff>
                    <xdr:row>32</xdr:row>
                    <xdr:rowOff>66675</xdr:rowOff>
                  </from>
                  <to>
                    <xdr:col>3</xdr:col>
                    <xdr:colOff>19050</xdr:colOff>
                    <xdr:row>33</xdr:row>
                    <xdr:rowOff>0</xdr:rowOff>
                  </to>
                </anchor>
              </controlPr>
            </control>
          </mc:Choice>
        </mc:AlternateContent>
        <mc:AlternateContent xmlns:mc="http://schemas.openxmlformats.org/markup-compatibility/2006">
          <mc:Choice Requires="x14">
            <control shapeId="4116" r:id="rId23" name="luca">
              <controlPr defaultSize="0" print="0" autoFill="0" autoPict="0" macro="[0]!ThisWorkbook.m_bbva_print">
                <anchor moveWithCells="1" sizeWithCells="1">
                  <from>
                    <xdr:col>3</xdr:col>
                    <xdr:colOff>76200</xdr:colOff>
                    <xdr:row>2</xdr:row>
                    <xdr:rowOff>9525</xdr:rowOff>
                  </from>
                  <to>
                    <xdr:col>3</xdr:col>
                    <xdr:colOff>762000</xdr:colOff>
                    <xdr:row>3</xdr:row>
                    <xdr:rowOff>19050</xdr:rowOff>
                  </to>
                </anchor>
              </controlPr>
            </control>
          </mc:Choice>
        </mc:AlternateContent>
        <mc:AlternateContent xmlns:mc="http://schemas.openxmlformats.org/markup-compatibility/2006">
          <mc:Choice Requires="x14">
            <control shapeId="4117" r:id="rId24" name="Check Box 21">
              <controlPr defaultSize="0" autoFill="0" autoLine="0" autoPict="0">
                <anchor moveWithCells="1" sizeWithCells="1">
                  <from>
                    <xdr:col>2</xdr:col>
                    <xdr:colOff>7743825</xdr:colOff>
                    <xdr:row>9</xdr:row>
                    <xdr:rowOff>57150</xdr:rowOff>
                  </from>
                  <to>
                    <xdr:col>3</xdr:col>
                    <xdr:colOff>47625</xdr:colOff>
                    <xdr:row>9</xdr:row>
                    <xdr:rowOff>276225</xdr:rowOff>
                  </to>
                </anchor>
              </controlPr>
            </control>
          </mc:Choice>
        </mc:AlternateContent>
        <mc:AlternateContent xmlns:mc="http://schemas.openxmlformats.org/markup-compatibility/2006">
          <mc:Choice Requires="x14">
            <control shapeId="4118" r:id="rId25" name="Check Box 22">
              <controlPr defaultSize="0" autoFill="0" autoLine="0" autoPict="0">
                <anchor moveWithCells="1" sizeWithCells="1">
                  <from>
                    <xdr:col>2</xdr:col>
                    <xdr:colOff>7743825</xdr:colOff>
                    <xdr:row>10</xdr:row>
                    <xdr:rowOff>47625</xdr:rowOff>
                  </from>
                  <to>
                    <xdr:col>3</xdr:col>
                    <xdr:colOff>47625</xdr:colOff>
                    <xdr:row>10</xdr:row>
                    <xdr:rowOff>247650</xdr:rowOff>
                  </to>
                </anchor>
              </controlPr>
            </control>
          </mc:Choice>
        </mc:AlternateContent>
        <mc:AlternateContent xmlns:mc="http://schemas.openxmlformats.org/markup-compatibility/2006">
          <mc:Choice Requires="x14">
            <control shapeId="4119" r:id="rId26" name="Check Box 23">
              <controlPr defaultSize="0" autoFill="0" autoLine="0" autoPict="0">
                <anchor moveWithCells="1" sizeWithCells="1">
                  <from>
                    <xdr:col>2</xdr:col>
                    <xdr:colOff>7372350</xdr:colOff>
                    <xdr:row>3</xdr:row>
                    <xdr:rowOff>47625</xdr:rowOff>
                  </from>
                  <to>
                    <xdr:col>2</xdr:col>
                    <xdr:colOff>7915275</xdr:colOff>
                    <xdr:row>3</xdr:row>
                    <xdr:rowOff>257175</xdr:rowOff>
                  </to>
                </anchor>
              </controlPr>
            </control>
          </mc:Choice>
        </mc:AlternateContent>
        <mc:AlternateContent xmlns:mc="http://schemas.openxmlformats.org/markup-compatibility/2006">
          <mc:Choice Requires="x14">
            <control shapeId="4120" r:id="rId27" name="Check Box 24">
              <controlPr defaultSize="0" autoFill="0" autoLine="0" autoPict="0">
                <anchor moveWithCells="1" sizeWithCells="1">
                  <from>
                    <xdr:col>2</xdr:col>
                    <xdr:colOff>7400925</xdr:colOff>
                    <xdr:row>7</xdr:row>
                    <xdr:rowOff>19050</xdr:rowOff>
                  </from>
                  <to>
                    <xdr:col>2</xdr:col>
                    <xdr:colOff>7943850</xdr:colOff>
                    <xdr:row>7</xdr:row>
                    <xdr:rowOff>238125</xdr:rowOff>
                  </to>
                </anchor>
              </controlPr>
            </control>
          </mc:Choice>
        </mc:AlternateContent>
        <mc:AlternateContent xmlns:mc="http://schemas.openxmlformats.org/markup-compatibility/2006">
          <mc:Choice Requires="x14">
            <control shapeId="4121" r:id="rId28" name="Check Box 25">
              <controlPr defaultSize="0" autoFill="0" autoLine="0" autoPict="0">
                <anchor moveWithCells="1" sizeWithCells="1">
                  <from>
                    <xdr:col>2</xdr:col>
                    <xdr:colOff>7743825</xdr:colOff>
                    <xdr:row>12</xdr:row>
                    <xdr:rowOff>38100</xdr:rowOff>
                  </from>
                  <to>
                    <xdr:col>3</xdr:col>
                    <xdr:colOff>47625</xdr:colOff>
                    <xdr:row>12</xdr:row>
                    <xdr:rowOff>228600</xdr:rowOff>
                  </to>
                </anchor>
              </controlPr>
            </control>
          </mc:Choice>
        </mc:AlternateContent>
        <mc:AlternateContent xmlns:mc="http://schemas.openxmlformats.org/markup-compatibility/2006">
          <mc:Choice Requires="x14">
            <control shapeId="4122" r:id="rId29" name="Check Box 26">
              <controlPr defaultSize="0" autoFill="0" autoLine="0" autoPict="0">
                <anchor moveWithCells="1" sizeWithCells="1">
                  <from>
                    <xdr:col>2</xdr:col>
                    <xdr:colOff>7705725</xdr:colOff>
                    <xdr:row>25</xdr:row>
                    <xdr:rowOff>57150</xdr:rowOff>
                  </from>
                  <to>
                    <xdr:col>2</xdr:col>
                    <xdr:colOff>8220075</xdr:colOff>
                    <xdr:row>25</xdr:row>
                    <xdr:rowOff>276225</xdr:rowOff>
                  </to>
                </anchor>
              </controlPr>
            </control>
          </mc:Choice>
        </mc:AlternateContent>
        <mc:AlternateContent xmlns:mc="http://schemas.openxmlformats.org/markup-compatibility/2006">
          <mc:Choice Requires="x14">
            <control shapeId="4123" r:id="rId30" name="Check Box 27">
              <controlPr defaultSize="0" autoFill="0" autoLine="0" autoPict="0">
                <anchor moveWithCells="1" sizeWithCells="1">
                  <from>
                    <xdr:col>2</xdr:col>
                    <xdr:colOff>7705725</xdr:colOff>
                    <xdr:row>26</xdr:row>
                    <xdr:rowOff>66675</xdr:rowOff>
                  </from>
                  <to>
                    <xdr:col>3</xdr:col>
                    <xdr:colOff>9525</xdr:colOff>
                    <xdr:row>26</xdr:row>
                    <xdr:rowOff>276225</xdr:rowOff>
                  </to>
                </anchor>
              </controlPr>
            </control>
          </mc:Choice>
        </mc:AlternateContent>
        <mc:AlternateContent xmlns:mc="http://schemas.openxmlformats.org/markup-compatibility/2006">
          <mc:Choice Requires="x14">
            <control shapeId="4124" r:id="rId31" name="Check Box 28">
              <controlPr defaultSize="0" autoFill="0" autoLine="0" autoPict="0">
                <anchor moveWithCells="1" sizeWithCells="1">
                  <from>
                    <xdr:col>2</xdr:col>
                    <xdr:colOff>7705725</xdr:colOff>
                    <xdr:row>27</xdr:row>
                    <xdr:rowOff>57150</xdr:rowOff>
                  </from>
                  <to>
                    <xdr:col>3</xdr:col>
                    <xdr:colOff>9525</xdr:colOff>
                    <xdr:row>27</xdr:row>
                    <xdr:rowOff>276225</xdr:rowOff>
                  </to>
                </anchor>
              </controlPr>
            </control>
          </mc:Choice>
        </mc:AlternateContent>
        <mc:AlternateContent xmlns:mc="http://schemas.openxmlformats.org/markup-compatibility/2006">
          <mc:Choice Requires="x14">
            <control shapeId="4125" r:id="rId32" name="Check Box 29">
              <controlPr defaultSize="0" autoFill="0" autoLine="0" autoPict="0">
                <anchor moveWithCells="1" sizeWithCells="1">
                  <from>
                    <xdr:col>2</xdr:col>
                    <xdr:colOff>7705725</xdr:colOff>
                    <xdr:row>26</xdr:row>
                    <xdr:rowOff>57150</xdr:rowOff>
                  </from>
                  <to>
                    <xdr:col>2</xdr:col>
                    <xdr:colOff>8220075</xdr:colOff>
                    <xdr:row>26</xdr:row>
                    <xdr:rowOff>276225</xdr:rowOff>
                  </to>
                </anchor>
              </controlPr>
            </control>
          </mc:Choice>
        </mc:AlternateContent>
        <mc:AlternateContent xmlns:mc="http://schemas.openxmlformats.org/markup-compatibility/2006">
          <mc:Choice Requires="x14">
            <control shapeId="4126" r:id="rId33" name="Check Box 30">
              <controlPr defaultSize="0" autoFill="0" autoLine="0" autoPict="0">
                <anchor moveWithCells="1" sizeWithCells="1">
                  <from>
                    <xdr:col>2</xdr:col>
                    <xdr:colOff>7705725</xdr:colOff>
                    <xdr:row>27</xdr:row>
                    <xdr:rowOff>66675</xdr:rowOff>
                  </from>
                  <to>
                    <xdr:col>3</xdr:col>
                    <xdr:colOff>9525</xdr:colOff>
                    <xdr:row>27</xdr:row>
                    <xdr:rowOff>276225</xdr:rowOff>
                  </to>
                </anchor>
              </controlPr>
            </control>
          </mc:Choice>
        </mc:AlternateContent>
        <mc:AlternateContent xmlns:mc="http://schemas.openxmlformats.org/markup-compatibility/2006">
          <mc:Choice Requires="x14">
            <control shapeId="4127" r:id="rId34" name="Check Box 31">
              <controlPr defaultSize="0" autoFill="0" autoLine="0" autoPict="0">
                <anchor moveWithCells="1" sizeWithCells="1">
                  <from>
                    <xdr:col>2</xdr:col>
                    <xdr:colOff>7705725</xdr:colOff>
                    <xdr:row>28</xdr:row>
                    <xdr:rowOff>57150</xdr:rowOff>
                  </from>
                  <to>
                    <xdr:col>3</xdr:col>
                    <xdr:colOff>9525</xdr:colOff>
                    <xdr:row>28</xdr:row>
                    <xdr:rowOff>276225</xdr:rowOff>
                  </to>
                </anchor>
              </controlPr>
            </control>
          </mc:Choice>
        </mc:AlternateContent>
        <mc:AlternateContent xmlns:mc="http://schemas.openxmlformats.org/markup-compatibility/2006">
          <mc:Choice Requires="x14">
            <control shapeId="4128" r:id="rId35" name="Check Box 32">
              <controlPr defaultSize="0" autoFill="0" autoLine="0" autoPict="0">
                <anchor moveWithCells="1" sizeWithCells="1">
                  <from>
                    <xdr:col>2</xdr:col>
                    <xdr:colOff>7705725</xdr:colOff>
                    <xdr:row>26</xdr:row>
                    <xdr:rowOff>57150</xdr:rowOff>
                  </from>
                  <to>
                    <xdr:col>2</xdr:col>
                    <xdr:colOff>8220075</xdr:colOff>
                    <xdr:row>26</xdr:row>
                    <xdr:rowOff>276225</xdr:rowOff>
                  </to>
                </anchor>
              </controlPr>
            </control>
          </mc:Choice>
        </mc:AlternateContent>
        <mc:AlternateContent xmlns:mc="http://schemas.openxmlformats.org/markup-compatibility/2006">
          <mc:Choice Requires="x14">
            <control shapeId="4129" r:id="rId36" name="Check Box 33">
              <controlPr defaultSize="0" autoFill="0" autoLine="0" autoPict="0">
                <anchor moveWithCells="1" sizeWithCells="1">
                  <from>
                    <xdr:col>2</xdr:col>
                    <xdr:colOff>7705725</xdr:colOff>
                    <xdr:row>27</xdr:row>
                    <xdr:rowOff>66675</xdr:rowOff>
                  </from>
                  <to>
                    <xdr:col>3</xdr:col>
                    <xdr:colOff>9525</xdr:colOff>
                    <xdr:row>27</xdr:row>
                    <xdr:rowOff>276225</xdr:rowOff>
                  </to>
                </anchor>
              </controlPr>
            </control>
          </mc:Choice>
        </mc:AlternateContent>
        <mc:AlternateContent xmlns:mc="http://schemas.openxmlformats.org/markup-compatibility/2006">
          <mc:Choice Requires="x14">
            <control shapeId="4130" r:id="rId37" name="Check Box 34">
              <controlPr defaultSize="0" autoFill="0" autoLine="0" autoPict="0">
                <anchor moveWithCells="1" sizeWithCells="1">
                  <from>
                    <xdr:col>2</xdr:col>
                    <xdr:colOff>7705725</xdr:colOff>
                    <xdr:row>28</xdr:row>
                    <xdr:rowOff>57150</xdr:rowOff>
                  </from>
                  <to>
                    <xdr:col>3</xdr:col>
                    <xdr:colOff>9525</xdr:colOff>
                    <xdr:row>28</xdr:row>
                    <xdr:rowOff>276225</xdr:rowOff>
                  </to>
                </anchor>
              </controlPr>
            </control>
          </mc:Choice>
        </mc:AlternateContent>
        <mc:AlternateContent xmlns:mc="http://schemas.openxmlformats.org/markup-compatibility/2006">
          <mc:Choice Requires="x14">
            <control shapeId="4131" r:id="rId38" name="Check Box 35">
              <controlPr defaultSize="0" autoFill="0" autoLine="0" autoPict="0">
                <anchor moveWithCells="1" sizeWithCells="1">
                  <from>
                    <xdr:col>2</xdr:col>
                    <xdr:colOff>7705725</xdr:colOff>
                    <xdr:row>25</xdr:row>
                    <xdr:rowOff>57150</xdr:rowOff>
                  </from>
                  <to>
                    <xdr:col>2</xdr:col>
                    <xdr:colOff>8220075</xdr:colOff>
                    <xdr:row>25</xdr:row>
                    <xdr:rowOff>276225</xdr:rowOff>
                  </to>
                </anchor>
              </controlPr>
            </control>
          </mc:Choice>
        </mc:AlternateContent>
        <mc:AlternateContent xmlns:mc="http://schemas.openxmlformats.org/markup-compatibility/2006">
          <mc:Choice Requires="x14">
            <control shapeId="4132" r:id="rId39" name="Check Box 36">
              <controlPr defaultSize="0" autoFill="0" autoLine="0" autoPict="0">
                <anchor moveWithCells="1" sizeWithCells="1">
                  <from>
                    <xdr:col>2</xdr:col>
                    <xdr:colOff>7705725</xdr:colOff>
                    <xdr:row>26</xdr:row>
                    <xdr:rowOff>66675</xdr:rowOff>
                  </from>
                  <to>
                    <xdr:col>3</xdr:col>
                    <xdr:colOff>9525</xdr:colOff>
                    <xdr:row>26</xdr:row>
                    <xdr:rowOff>276225</xdr:rowOff>
                  </to>
                </anchor>
              </controlPr>
            </control>
          </mc:Choice>
        </mc:AlternateContent>
        <mc:AlternateContent xmlns:mc="http://schemas.openxmlformats.org/markup-compatibility/2006">
          <mc:Choice Requires="x14">
            <control shapeId="4133" r:id="rId40" name="Check Box 37">
              <controlPr defaultSize="0" autoFill="0" autoLine="0" autoPict="0">
                <anchor moveWithCells="1" sizeWithCells="1">
                  <from>
                    <xdr:col>2</xdr:col>
                    <xdr:colOff>7743825</xdr:colOff>
                    <xdr:row>33</xdr:row>
                    <xdr:rowOff>28575</xdr:rowOff>
                  </from>
                  <to>
                    <xdr:col>3</xdr:col>
                    <xdr:colOff>19050</xdr:colOff>
                    <xdr:row>33</xdr:row>
                    <xdr:rowOff>247650</xdr:rowOff>
                  </to>
                </anchor>
              </controlPr>
            </control>
          </mc:Choice>
        </mc:AlternateContent>
        <mc:AlternateContent xmlns:mc="http://schemas.openxmlformats.org/markup-compatibility/2006">
          <mc:Choice Requires="x14">
            <control shapeId="4134" r:id="rId41" name="Check Box 38">
              <controlPr defaultSize="0" autoFill="0" autoLine="0" autoPict="0">
                <anchor moveWithCells="1" sizeWithCells="1">
                  <from>
                    <xdr:col>2</xdr:col>
                    <xdr:colOff>7743825</xdr:colOff>
                    <xdr:row>13</xdr:row>
                    <xdr:rowOff>38100</xdr:rowOff>
                  </from>
                  <to>
                    <xdr:col>3</xdr:col>
                    <xdr:colOff>47625</xdr:colOff>
                    <xdr:row>13</xdr:row>
                    <xdr:rowOff>228600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H102"/>
  <sheetViews>
    <sheetView showGridLines="0" topLeftCell="A82" workbookViewId="0">
      <selection activeCell="A87" sqref="A87"/>
    </sheetView>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HLOOKUP(INDICE!$F$2,Nombres!$C$3:$E$853,9)</f>
        <v>México</v>
      </c>
    </row>
    <row r="2" spans="1:8" ht="18">
      <c r="A2" s="144" t="str">
        <f>HLOOKUP(INDICE!$F$2,Nombres!$C$3:$E$853,93)</f>
        <v xml:space="preserve">Cuentas de resultados  </v>
      </c>
      <c r="C2" s="145"/>
      <c r="D2" s="145"/>
      <c r="E2" s="145"/>
    </row>
    <row r="3" spans="1:8">
      <c r="A3" s="41" t="str">
        <f>HLOOKUP(INDICE!$F$2,Nombres!$C$3:$E$853,30)</f>
        <v>(Millones de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1172.6951419100001</v>
      </c>
      <c r="C6" s="83">
        <v>1181.3981738299999</v>
      </c>
      <c r="D6" s="83">
        <v>1232.7636235499999</v>
      </c>
      <c r="E6" s="148">
        <v>1323.55857971</v>
      </c>
      <c r="F6" s="83">
        <v>1340.3771765199999</v>
      </c>
      <c r="G6" s="83">
        <v>1393.4643517</v>
      </c>
      <c r="H6" s="83">
        <v>1298.68225119</v>
      </c>
    </row>
    <row r="7" spans="1:8">
      <c r="A7" s="49" t="str">
        <f>HLOOKUP(INDICE!$F$2,Nombres!$C$3:$E$853,39)</f>
        <v>Comisiones</v>
      </c>
      <c r="B7" s="149">
        <v>262.01400457</v>
      </c>
      <c r="C7" s="84">
        <v>297.97400040000002</v>
      </c>
      <c r="D7" s="84">
        <v>302.05513836</v>
      </c>
      <c r="E7" s="150">
        <v>303.94969006999997</v>
      </c>
      <c r="F7" s="84">
        <v>295.11765385000001</v>
      </c>
      <c r="G7" s="84">
        <v>309.60095422999996</v>
      </c>
      <c r="H7" s="84">
        <v>292.08054607000003</v>
      </c>
    </row>
    <row r="8" spans="1:8">
      <c r="A8" s="49" t="str">
        <f>HLOOKUP(INDICE!$F$2,Nombres!$C$3:$E$853,40)</f>
        <v>Resultados de operaciones financieras</v>
      </c>
      <c r="B8" s="149">
        <v>48.448978030000006</v>
      </c>
      <c r="C8" s="84">
        <v>59.467708529999996</v>
      </c>
      <c r="D8" s="84">
        <v>55.668369040000002</v>
      </c>
      <c r="E8" s="150">
        <v>31.766891309999998</v>
      </c>
      <c r="F8" s="84">
        <v>51.942804140000007</v>
      </c>
      <c r="G8" s="84">
        <v>57.484435680000004</v>
      </c>
      <c r="H8" s="84">
        <v>57.595655469999997</v>
      </c>
    </row>
    <row r="9" spans="1:8">
      <c r="A9" s="49" t="str">
        <f>HLOOKUP(INDICE!$F$2,Nombres!$C$3:$E$853,95)</f>
        <v>Otros ingresos netos</v>
      </c>
      <c r="B9" s="149">
        <v>53.53275206</v>
      </c>
      <c r="C9" s="84">
        <v>58.640973540000005</v>
      </c>
      <c r="D9" s="84">
        <v>55.854762960000002</v>
      </c>
      <c r="E9" s="150">
        <v>82.111964130000004</v>
      </c>
      <c r="F9" s="84">
        <v>64.212608860000003</v>
      </c>
      <c r="G9" s="84">
        <v>45.469974620000002</v>
      </c>
      <c r="H9" s="84">
        <v>47.457934439999995</v>
      </c>
    </row>
    <row r="10" spans="1:8">
      <c r="A10" s="54" t="str">
        <f>HLOOKUP(INDICE!$F$2,Nombres!$C$3:$E$853,44)</f>
        <v>Margen bruto</v>
      </c>
      <c r="B10" s="147">
        <v>1536.69087657</v>
      </c>
      <c r="C10" s="83">
        <v>1597.4808562999999</v>
      </c>
      <c r="D10" s="83">
        <v>1646.3418939099997</v>
      </c>
      <c r="E10" s="148">
        <v>1741.3871252200001</v>
      </c>
      <c r="F10" s="83">
        <v>1751.6502433699998</v>
      </c>
      <c r="G10" s="83">
        <v>1806.0197162300001</v>
      </c>
      <c r="H10" s="83">
        <v>1695.8163871700001</v>
      </c>
    </row>
    <row r="11" spans="1:8">
      <c r="A11" s="49" t="str">
        <f>HLOOKUP(INDICE!$F$2,Nombres!$C$3:$E$853,45)</f>
        <v>Gastos de explotación</v>
      </c>
      <c r="B11" s="149">
        <v>-567.56908724999994</v>
      </c>
      <c r="C11" s="84">
        <v>-586.93718613999999</v>
      </c>
      <c r="D11" s="84">
        <v>-617.39127126000005</v>
      </c>
      <c r="E11" s="150">
        <v>-634.56400030999998</v>
      </c>
      <c r="F11" s="84">
        <v>-646.72280568999997</v>
      </c>
      <c r="G11" s="84">
        <v>-662.47228629000006</v>
      </c>
      <c r="H11" s="84">
        <v>-642.41754194999999</v>
      </c>
    </row>
    <row r="12" spans="1:8">
      <c r="A12" s="49" t="str">
        <f>HLOOKUP(INDICE!$F$2,Nombres!$C$3:$E$853,46)</f>
        <v xml:space="preserve">  Gastos de administración</v>
      </c>
      <c r="B12" s="149">
        <v>-523.98837075000006</v>
      </c>
      <c r="C12" s="84">
        <v>-542.70871855999997</v>
      </c>
      <c r="D12" s="84">
        <v>-569.74083267000003</v>
      </c>
      <c r="E12" s="150">
        <v>-582.77316885000005</v>
      </c>
      <c r="F12" s="84">
        <v>-592.41684379000003</v>
      </c>
      <c r="G12" s="84">
        <v>-608.72188013000005</v>
      </c>
      <c r="H12" s="84">
        <v>-589.81161653000004</v>
      </c>
    </row>
    <row r="13" spans="1:8">
      <c r="A13" s="88" t="str">
        <f>HLOOKUP(INDICE!$F$2,Nombres!$C$3:$E$853,47)</f>
        <v xml:space="preserve">  Gastos de personal</v>
      </c>
      <c r="B13" s="149">
        <v>-244.26564548000002</v>
      </c>
      <c r="C13" s="84">
        <v>-254.00511219999999</v>
      </c>
      <c r="D13" s="84">
        <v>-265.67318500000005</v>
      </c>
      <c r="E13" s="150">
        <v>-256.37710708999998</v>
      </c>
      <c r="F13" s="84">
        <v>-287.81489001</v>
      </c>
      <c r="G13" s="84">
        <v>-292.35707563</v>
      </c>
      <c r="H13" s="84">
        <v>-273.00052769000001</v>
      </c>
    </row>
    <row r="14" spans="1:8">
      <c r="A14" s="88" t="str">
        <f>HLOOKUP(INDICE!$F$2,Nombres!$C$3:$E$853,48)</f>
        <v xml:space="preserve">  Otros gastos generales de administración</v>
      </c>
      <c r="B14" s="149">
        <v>-279.72272526999996</v>
      </c>
      <c r="C14" s="84">
        <v>-288.70360635999998</v>
      </c>
      <c r="D14" s="84">
        <v>-304.06764767000004</v>
      </c>
      <c r="E14" s="150">
        <v>-326.39606176000001</v>
      </c>
      <c r="F14" s="84">
        <v>-304.60195378000003</v>
      </c>
      <c r="G14" s="84">
        <v>-316.36480449999999</v>
      </c>
      <c r="H14" s="84">
        <v>-316.81108884000002</v>
      </c>
    </row>
    <row r="15" spans="1:8" ht="13.5" customHeight="1">
      <c r="A15" s="49" t="str">
        <f>HLOOKUP(INDICE!$F$2,Nombres!$C$3:$E$853,49)</f>
        <v xml:space="preserve">  Amortizaciones</v>
      </c>
      <c r="B15" s="149">
        <v>-43.580716500000001</v>
      </c>
      <c r="C15" s="84">
        <v>-44.22846758</v>
      </c>
      <c r="D15" s="84">
        <v>-47.65043859</v>
      </c>
      <c r="E15" s="150">
        <v>-51.790831460000007</v>
      </c>
      <c r="F15" s="84">
        <v>-54.3059619</v>
      </c>
      <c r="G15" s="84">
        <v>-53.750406160000004</v>
      </c>
      <c r="H15" s="84">
        <v>-52.605925420000005</v>
      </c>
    </row>
    <row r="16" spans="1:8" ht="12.75" customHeight="1">
      <c r="A16" s="54" t="str">
        <f>HLOOKUP(INDICE!$F$2,Nombres!$C$3:$E$853,50)</f>
        <v>Margen neto</v>
      </c>
      <c r="B16" s="147">
        <v>969.12178932000006</v>
      </c>
      <c r="C16" s="83">
        <v>1010.54367016</v>
      </c>
      <c r="D16" s="83">
        <v>1028.9506226499998</v>
      </c>
      <c r="E16" s="148">
        <v>1106.8231249099999</v>
      </c>
      <c r="F16" s="83">
        <v>1104.9274376799999</v>
      </c>
      <c r="G16" s="83">
        <v>1143.54742994</v>
      </c>
      <c r="H16" s="83">
        <v>1053.3988452200001</v>
      </c>
    </row>
    <row r="17" spans="1:8" ht="13.5" customHeight="1">
      <c r="A17" s="49" t="str">
        <f>HLOOKUP(INDICE!$F$2,Nombres!$C$3:$E$853,51)</f>
        <v>Pérdidas por deterioro de activos financieros</v>
      </c>
      <c r="B17" s="149">
        <v>-355.43361687999999</v>
      </c>
      <c r="C17" s="84">
        <v>-394.96267798999997</v>
      </c>
      <c r="D17" s="84">
        <v>-396.21081185000003</v>
      </c>
      <c r="E17" s="150">
        <v>-370.64715236000001</v>
      </c>
      <c r="F17" s="84">
        <v>-421.86768575000008</v>
      </c>
      <c r="G17" s="84">
        <v>-429.76270519000002</v>
      </c>
      <c r="H17" s="84">
        <v>-408.20250263000003</v>
      </c>
    </row>
    <row r="18" spans="1:8" ht="13.5" customHeight="1">
      <c r="A18" s="49" t="str">
        <f>HLOOKUP(INDICE!$F$2,Nombres!$C$3:$E$853,160)</f>
        <v>Dotaciones a provisiones y otros resultados</v>
      </c>
      <c r="B18" s="149">
        <v>-16.087999830000001</v>
      </c>
      <c r="C18" s="84">
        <v>-25.494001019999999</v>
      </c>
      <c r="D18" s="84">
        <v>-43.767999289999999</v>
      </c>
      <c r="E18" s="150">
        <v>6.6240006299999976</v>
      </c>
      <c r="F18" s="84">
        <v>10.37400083</v>
      </c>
      <c r="G18" s="84">
        <v>-26.870638249999999</v>
      </c>
      <c r="H18" s="84">
        <v>-22.004998990000001</v>
      </c>
    </row>
    <row r="19" spans="1:8" ht="12.75" customHeight="1">
      <c r="A19" s="54" t="str">
        <f>HLOOKUP(INDICE!$F$2,Nombres!$C$3:$E$853,54)</f>
        <v>Beneficio antes de impuestos</v>
      </c>
      <c r="B19" s="147">
        <v>597.60017261000007</v>
      </c>
      <c r="C19" s="83">
        <v>590.08699115000002</v>
      </c>
      <c r="D19" s="83">
        <v>588.97181150999995</v>
      </c>
      <c r="E19" s="148">
        <v>742.79997318000005</v>
      </c>
      <c r="F19" s="83">
        <v>693.43375276000006</v>
      </c>
      <c r="G19" s="83">
        <v>686.91408649999994</v>
      </c>
      <c r="H19" s="83">
        <v>623.19134359999998</v>
      </c>
    </row>
    <row r="20" spans="1:8" ht="13.5" customHeight="1">
      <c r="A20" s="49" t="str">
        <f>HLOOKUP(INDICE!$F$2,Nombres!$C$3:$E$853,55)</f>
        <v>Impuesto sobre beneficios</v>
      </c>
      <c r="B20" s="149">
        <v>-143.72496473000001</v>
      </c>
      <c r="C20" s="84">
        <v>-143.37294134000001</v>
      </c>
      <c r="D20" s="84">
        <v>-140.51005241000001</v>
      </c>
      <c r="E20" s="150">
        <v>-175.99982081000002</v>
      </c>
      <c r="F20" s="84">
        <v>-169.58439347000001</v>
      </c>
      <c r="G20" s="84">
        <v>-169.05025959</v>
      </c>
      <c r="H20" s="84">
        <v>-151.46832411</v>
      </c>
    </row>
    <row r="21" spans="1:8" ht="13.5" customHeight="1">
      <c r="A21" s="54" t="str">
        <f>HLOOKUP(INDICE!$F$2,Nombres!$C$3:$E$853,56)</f>
        <v>Beneficio después de impuestos</v>
      </c>
      <c r="B21" s="147">
        <v>453.87520788</v>
      </c>
      <c r="C21" s="83">
        <v>446.71404981000001</v>
      </c>
      <c r="D21" s="83">
        <v>448.46175909999999</v>
      </c>
      <c r="E21" s="148">
        <v>566.80015236999998</v>
      </c>
      <c r="F21" s="83">
        <v>523.84935929000005</v>
      </c>
      <c r="G21" s="83">
        <v>517.86382690999994</v>
      </c>
      <c r="H21" s="83">
        <v>471.72301949000007</v>
      </c>
    </row>
    <row r="22" spans="1:8" ht="12" customHeight="1">
      <c r="A22" s="49" t="str">
        <f>HLOOKUP(INDICE!$F$2,Nombres!$C$3:$E$853,57)</f>
        <v>Resultado atribuido a la minoría</v>
      </c>
      <c r="B22" s="149">
        <v>-0.14499999999999999</v>
      </c>
      <c r="C22" s="84">
        <v>-0.13799999999999998</v>
      </c>
      <c r="D22" s="84">
        <v>-0.13900000000000001</v>
      </c>
      <c r="E22" s="150">
        <v>-0.17399999999999999</v>
      </c>
      <c r="F22" s="84">
        <v>-0.16400000000000001</v>
      </c>
      <c r="G22" s="84">
        <v>-0.16299999999999998</v>
      </c>
      <c r="H22" s="84">
        <v>-0.14800000000000002</v>
      </c>
    </row>
    <row r="23" spans="1:8" ht="14.25" customHeight="1">
      <c r="A23" s="54" t="str">
        <f>HLOOKUP(INDICE!$F$2,Nombres!$C$3:$E$853,58)</f>
        <v>Beneficio atribuido al Grupo</v>
      </c>
      <c r="B23" s="147">
        <v>453.73020787999997</v>
      </c>
      <c r="C23" s="83">
        <v>446.57604980999997</v>
      </c>
      <c r="D23" s="83">
        <v>448.32275909999998</v>
      </c>
      <c r="E23" s="148">
        <v>566.62615237</v>
      </c>
      <c r="F23" s="83">
        <v>523.68535928999995</v>
      </c>
      <c r="G23" s="83">
        <v>517.70082690999993</v>
      </c>
      <c r="H23" s="83">
        <v>471.57501948999999</v>
      </c>
    </row>
    <row r="24" spans="1:8" ht="13.5" customHeight="1">
      <c r="A24" s="144" t="str">
        <f>HLOOKUP(INDICE!$F$2,Nombres!$C$3:$E$853,94)</f>
        <v>Balances</v>
      </c>
      <c r="F24" s="151"/>
      <c r="G24" s="74"/>
      <c r="H24" s="74"/>
    </row>
    <row r="25" spans="1:8" ht="12.75" customHeight="1">
      <c r="A25" s="41" t="str">
        <f>HLOOKUP(INDICE!$F$2,Nombres!$C$3:$E$853,30)</f>
        <v>(Millones de euros)</v>
      </c>
      <c r="B25" s="74"/>
      <c r="C25" s="74"/>
      <c r="D25" s="74"/>
      <c r="E25" s="74"/>
      <c r="F25" s="74"/>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5298.7435213600002</v>
      </c>
      <c r="C27" s="84">
        <v>4442.4611275400002</v>
      </c>
      <c r="D27" s="84">
        <v>4888.5786617200001</v>
      </c>
      <c r="E27" s="150">
        <v>6004.1734723</v>
      </c>
      <c r="F27" s="84">
        <v>6328.3115172099997</v>
      </c>
      <c r="G27" s="84">
        <v>5326.4556505299997</v>
      </c>
      <c r="H27" s="84">
        <v>5104.0660631800001</v>
      </c>
    </row>
    <row r="28" spans="1:8">
      <c r="A28" s="49" t="str">
        <f>HLOOKUP(INDICE!$F$2,Nombres!$C$3:$E$853,101)</f>
        <v>Cartera de títulos</v>
      </c>
      <c r="B28" s="149">
        <v>32502.395393589999</v>
      </c>
      <c r="C28" s="84">
        <v>34870.235104740001</v>
      </c>
      <c r="D28" s="84">
        <v>37888.280866169996</v>
      </c>
      <c r="E28" s="150">
        <v>34311.300632229999</v>
      </c>
      <c r="F28" s="84">
        <v>37896.320647840002</v>
      </c>
      <c r="G28" s="84">
        <v>35355.609344049997</v>
      </c>
      <c r="H28" s="84">
        <v>35992.292378400001</v>
      </c>
    </row>
    <row r="29" spans="1:8">
      <c r="A29" s="49" t="str">
        <f>HLOOKUP(INDICE!$F$2,Nombres!$C$3:$E$853,102)</f>
        <v>Inversiones crediticias</v>
      </c>
      <c r="B29" s="149">
        <v>42672.863102900003</v>
      </c>
      <c r="C29" s="84">
        <v>43942.023027160001</v>
      </c>
      <c r="D29" s="84">
        <v>46078.475219059997</v>
      </c>
      <c r="E29" s="150">
        <v>47800.076362879998</v>
      </c>
      <c r="F29" s="84">
        <v>51672.297989990002</v>
      </c>
      <c r="G29" s="84">
        <v>50340.092902520002</v>
      </c>
      <c r="H29" s="84">
        <v>50463.991113659999</v>
      </c>
    </row>
    <row r="30" spans="1:8">
      <c r="A30" s="49" t="str">
        <f>HLOOKUP(INDICE!$F$2,Nombres!$C$3:$E$853,103)</f>
        <v xml:space="preserve">  . Crédito a la clientela neto</v>
      </c>
      <c r="B30" s="149">
        <v>40381.055399049998</v>
      </c>
      <c r="C30" s="84">
        <v>41504.047758610002</v>
      </c>
      <c r="D30" s="84">
        <v>44869.056695159998</v>
      </c>
      <c r="E30" s="150">
        <v>45223.713459619998</v>
      </c>
      <c r="F30" s="84">
        <v>49986.859236470002</v>
      </c>
      <c r="G30" s="84">
        <v>48006.040030620003</v>
      </c>
      <c r="H30" s="84">
        <v>46925.626076519999</v>
      </c>
    </row>
    <row r="31" spans="1:8">
      <c r="A31" s="49" t="str">
        <f>HLOOKUP(INDICE!$F$2,Nombres!$C$3:$E$853,104)</f>
        <v xml:space="preserve">  . Depósitos en entidades de crédito y otros</v>
      </c>
      <c r="B31" s="154">
        <v>2291.8077038500001</v>
      </c>
      <c r="C31" s="84">
        <v>2437.9752685499998</v>
      </c>
      <c r="D31" s="84">
        <v>1209.4185239000001</v>
      </c>
      <c r="E31" s="150">
        <v>2576.3629032600002</v>
      </c>
      <c r="F31" s="84">
        <v>1685.4387535200001</v>
      </c>
      <c r="G31" s="84">
        <v>2334.0528718999999</v>
      </c>
      <c r="H31" s="84">
        <v>3538.3650371399999</v>
      </c>
    </row>
    <row r="32" spans="1:8">
      <c r="A32" s="49" t="str">
        <f>HLOOKUP(INDICE!$F$2,Nombres!$C$3:$E$853,106)</f>
        <v>Activo material</v>
      </c>
      <c r="B32" s="155">
        <v>1333.0714861599999</v>
      </c>
      <c r="C32" s="84">
        <v>1410.8360059300001</v>
      </c>
      <c r="D32" s="84">
        <v>1566.3091462</v>
      </c>
      <c r="E32" s="150">
        <v>1662.12129114</v>
      </c>
      <c r="F32" s="84">
        <v>1898.0046650100001</v>
      </c>
      <c r="G32" s="84">
        <v>1898.72807741</v>
      </c>
      <c r="H32" s="84">
        <v>1896.7437099799999</v>
      </c>
    </row>
    <row r="33" spans="1:8">
      <c r="A33" s="49" t="str">
        <f>HLOOKUP(INDICE!$F$2,Nombres!$C$3:$E$853,107)</f>
        <v>Otros activos</v>
      </c>
      <c r="B33" s="149">
        <v>3681.8737708699969</v>
      </c>
      <c r="C33" s="84">
        <v>3813.0630064099814</v>
      </c>
      <c r="D33" s="84">
        <v>3391.9593029499729</v>
      </c>
      <c r="E33" s="150">
        <v>3952.9017752900181</v>
      </c>
      <c r="F33" s="84">
        <v>4504.6929190099963</v>
      </c>
      <c r="G33" s="84">
        <v>3934.5687472599861</v>
      </c>
      <c r="H33" s="84">
        <v>5609.1632185999979</v>
      </c>
    </row>
    <row r="34" spans="1:8">
      <c r="A34" s="54" t="str">
        <f>HLOOKUP(INDICE!$F$2,Nombres!$C$3:$E$853,108)</f>
        <v>Total activo / pasivo</v>
      </c>
      <c r="B34" s="147">
        <v>85488.947274880018</v>
      </c>
      <c r="C34" s="83">
        <v>88478.618271779997</v>
      </c>
      <c r="D34" s="83">
        <v>93813.603196099983</v>
      </c>
      <c r="E34" s="148">
        <v>93730.573533840012</v>
      </c>
      <c r="F34" s="83">
        <v>102299.62773906</v>
      </c>
      <c r="G34" s="83">
        <v>96855.454721770016</v>
      </c>
      <c r="H34" s="83">
        <v>99066.256483820005</v>
      </c>
    </row>
    <row r="35" spans="1:8">
      <c r="A35" s="49" t="str">
        <f>HLOOKUP(INDICE!$F$2,Nombres!$C$3:$E$853,109)</f>
        <v>Depósitos de bancos centrales y entidades de crédito</v>
      </c>
      <c r="B35" s="149">
        <v>9366.2657944000002</v>
      </c>
      <c r="C35" s="84">
        <v>8617.1685771400007</v>
      </c>
      <c r="D35" s="84">
        <v>11411.538662430001</v>
      </c>
      <c r="E35" s="150">
        <v>11617.07061904</v>
      </c>
      <c r="F35" s="84">
        <v>9241.1327790800005</v>
      </c>
      <c r="G35" s="84">
        <v>8851.0170856299992</v>
      </c>
      <c r="H35" s="84">
        <v>14736.76502268</v>
      </c>
    </row>
    <row r="36" spans="1:8">
      <c r="A36" s="49" t="str">
        <f>HLOOKUP(INDICE!$F$2,Nombres!$C$3:$E$853,110)</f>
        <v>Depósitos de la clientela</v>
      </c>
      <c r="B36" s="149">
        <v>44341.9797817</v>
      </c>
      <c r="C36" s="84">
        <v>46030.330859610003</v>
      </c>
      <c r="D36" s="84">
        <v>48334.198945290002</v>
      </c>
      <c r="E36" s="150">
        <v>45937.425730479998</v>
      </c>
      <c r="F36" s="84">
        <v>50963.076128139997</v>
      </c>
      <c r="G36" s="84">
        <v>50497.327835919998</v>
      </c>
      <c r="H36" s="84">
        <v>46771.346545840002</v>
      </c>
    </row>
    <row r="37" spans="1:8">
      <c r="A37" s="49" t="str">
        <f>HLOOKUP(INDICE!$F$2,Nombres!$C$3:$E$853,111)</f>
        <v>Débitos representados por valores negociables</v>
      </c>
      <c r="B37" s="149">
        <v>3882.7719999999999</v>
      </c>
      <c r="C37" s="84">
        <v>4345.4849999999997</v>
      </c>
      <c r="D37" s="84">
        <v>4586.8680000000004</v>
      </c>
      <c r="E37" s="150">
        <v>5032.5739999999996</v>
      </c>
      <c r="F37" s="84">
        <v>6188.79</v>
      </c>
      <c r="G37" s="84">
        <v>5447.7560000000003</v>
      </c>
      <c r="H37" s="84">
        <v>5418.9639999999999</v>
      </c>
    </row>
    <row r="38" spans="1:8" ht="13.5" customHeight="1">
      <c r="A38" s="49" t="str">
        <f>HLOOKUP(INDICE!$F$2,Nombres!$C$3:$E$853,112)</f>
        <v>Pasivos subordinados</v>
      </c>
      <c r="B38" s="149">
        <v>3638.23999998</v>
      </c>
      <c r="C38" s="84">
        <v>3770.49</v>
      </c>
      <c r="D38" s="84">
        <v>3712.9990000100001</v>
      </c>
      <c r="E38" s="150">
        <v>4128.1230000200003</v>
      </c>
      <c r="F38" s="84">
        <v>4683.3580000000002</v>
      </c>
      <c r="G38" s="84">
        <v>4465.6559999999999</v>
      </c>
      <c r="H38" s="84">
        <v>4527.6450000000004</v>
      </c>
    </row>
    <row r="39" spans="1:8">
      <c r="A39" s="49" t="str">
        <f>HLOOKUP(INDICE!$F$2,Nombres!$C$3:$E$853,114)</f>
        <v>Cartera de negociación</v>
      </c>
      <c r="B39" s="149">
        <v>6890.4229999999998</v>
      </c>
      <c r="C39" s="84">
        <v>7291.1030000000001</v>
      </c>
      <c r="D39" s="84">
        <v>6824.7979999999998</v>
      </c>
      <c r="E39" s="150">
        <v>7615.9660000000003</v>
      </c>
      <c r="F39" s="84">
        <v>7860.9009999999998</v>
      </c>
      <c r="G39" s="84">
        <v>7251.9390000000003</v>
      </c>
      <c r="H39" s="84">
        <v>7840.4470000000001</v>
      </c>
    </row>
    <row r="40" spans="1:8">
      <c r="A40" s="49" t="str">
        <f>HLOOKUP(INDICE!$F$2,Nombres!$C$3:$E$853,115)</f>
        <v>Otros pasivos</v>
      </c>
      <c r="B40" s="149">
        <v>12806.96383755</v>
      </c>
      <c r="C40" s="84">
        <v>13627.419967869999</v>
      </c>
      <c r="D40" s="84">
        <v>14028.670972190001</v>
      </c>
      <c r="E40" s="150">
        <v>14420.724252880002</v>
      </c>
      <c r="F40" s="84">
        <v>18320.92464184</v>
      </c>
      <c r="G40" s="84">
        <v>15091.78614022</v>
      </c>
      <c r="H40" s="84">
        <v>14892.094736339999</v>
      </c>
    </row>
    <row r="41" spans="1:8" ht="12.75" customHeight="1">
      <c r="A41" s="49" t="str">
        <f>HLOOKUP(INDICE!$F$2,Nombres!$C$3:$E$853,116)</f>
        <v>Dotación de capital económico</v>
      </c>
      <c r="B41" s="149">
        <v>4562.3028612500002</v>
      </c>
      <c r="C41" s="84">
        <v>4796.6208671599998</v>
      </c>
      <c r="D41" s="84">
        <v>4914.5296161799997</v>
      </c>
      <c r="E41" s="150">
        <v>4978.68993142</v>
      </c>
      <c r="F41" s="84">
        <v>5041.4451900000004</v>
      </c>
      <c r="G41" s="84">
        <v>5249.9726600000004</v>
      </c>
      <c r="H41" s="84">
        <v>4878.9941789599998</v>
      </c>
    </row>
    <row r="42" spans="1:8" ht="15" customHeight="1">
      <c r="A42" s="144" t="str">
        <f>HLOOKUP(INDICE!$F$2,Nombres!$C$3:$E$853,117)</f>
        <v>Indicadores relevantes</v>
      </c>
      <c r="F42" s="151"/>
      <c r="G42" s="74"/>
      <c r="H42" s="74"/>
    </row>
    <row r="43" spans="1:8" ht="13.5" customHeight="1">
      <c r="A43" s="144" t="str">
        <f>HLOOKUP(INDICE!$F$2,Nombres!$C$3:$E$853,201)</f>
        <v>Anexo:</v>
      </c>
      <c r="F43" s="151"/>
      <c r="G43" s="74"/>
      <c r="H43" s="74"/>
    </row>
    <row r="44" spans="1:8" ht="12.75" customHeight="1">
      <c r="A44" s="41" t="str">
        <f>HLOOKUP(INDICE!$F$2,Nombres!$C$3:$E$853,30)</f>
        <v>(Millones de euros)</v>
      </c>
      <c r="B44" s="81">
        <v>41729</v>
      </c>
      <c r="C44" s="82">
        <v>41820</v>
      </c>
      <c r="D44" s="82">
        <v>41912</v>
      </c>
      <c r="E44" s="82">
        <v>42004</v>
      </c>
      <c r="F44" s="81">
        <v>42094</v>
      </c>
      <c r="G44" s="82">
        <v>42185</v>
      </c>
      <c r="H44" s="82">
        <v>42277</v>
      </c>
    </row>
    <row r="45" spans="1:8" ht="12" customHeight="1">
      <c r="A45" s="49" t="str">
        <f>HLOOKUP(INDICE!$F$2,Nombres!$C$3:$E$853,118)</f>
        <v>Crédito a la clientela bruto (*)</v>
      </c>
      <c r="B45" s="149">
        <v>41433.284250539997</v>
      </c>
      <c r="C45" s="84">
        <v>43156.838932009996</v>
      </c>
      <c r="D45" s="84">
        <v>46582.416289530003</v>
      </c>
      <c r="E45" s="150">
        <v>46630.286911299998</v>
      </c>
      <c r="F45" s="84">
        <v>51597.245550259999</v>
      </c>
      <c r="G45" s="84">
        <v>49245.764993329998</v>
      </c>
      <c r="H45" s="84">
        <v>48208.551458030008</v>
      </c>
    </row>
    <row r="46" spans="1:8">
      <c r="A46" s="49" t="str">
        <f>HLOOKUP(INDICE!$F$2,Nombres!$C$3:$E$853,121)</f>
        <v>Depósitos de clientes en gestión (**)</v>
      </c>
      <c r="B46" s="149">
        <v>35511.508863360003</v>
      </c>
      <c r="C46" s="84">
        <v>38253.648365660003</v>
      </c>
      <c r="D46" s="84">
        <v>40144.694070799997</v>
      </c>
      <c r="E46" s="150">
        <v>39090.869563909997</v>
      </c>
      <c r="F46" s="84">
        <v>45225.909641259997</v>
      </c>
      <c r="G46" s="84">
        <v>42514.339521870002</v>
      </c>
      <c r="H46" s="84">
        <v>41096.083948699998</v>
      </c>
    </row>
    <row r="47" spans="1:8">
      <c r="A47" s="49" t="str">
        <f>HLOOKUP(INDICE!$F$2,Nombres!$C$3:$E$853,122)</f>
        <v>Fondos de inversión</v>
      </c>
      <c r="B47" s="149">
        <v>17191.113939999999</v>
      </c>
      <c r="C47" s="84">
        <v>18362.39992</v>
      </c>
      <c r="D47" s="84">
        <v>20027.190189000001</v>
      </c>
      <c r="E47" s="150">
        <v>18691.020986</v>
      </c>
      <c r="F47" s="84">
        <v>20797.48302068</v>
      </c>
      <c r="G47" s="84">
        <v>20260.315936629999</v>
      </c>
      <c r="H47" s="84">
        <v>18219.24646382</v>
      </c>
    </row>
    <row r="48" spans="1:8">
      <c r="A48" s="49" t="str">
        <f>HLOOKUP(INDICE!$F$2,Nombres!$C$3:$E$853,206)</f>
        <v>Fondos de pensiones</v>
      </c>
      <c r="B48" s="241">
        <v>0</v>
      </c>
      <c r="C48" s="236">
        <v>0</v>
      </c>
      <c r="D48" s="236">
        <v>0</v>
      </c>
      <c r="E48" s="237">
        <v>0</v>
      </c>
      <c r="F48" s="236">
        <v>0</v>
      </c>
      <c r="G48" s="236">
        <v>0</v>
      </c>
      <c r="H48" s="236">
        <v>0</v>
      </c>
    </row>
    <row r="49" spans="1:8">
      <c r="A49" s="49" t="str">
        <f>HLOOKUP(INDICE!$F$2,Nombres!$C$3:$E$853,308)</f>
        <v>Otros recursos fuera de balance</v>
      </c>
      <c r="B49" s="149">
        <v>3099.78167635</v>
      </c>
      <c r="C49" s="84">
        <v>3402.22214923</v>
      </c>
      <c r="D49" s="84">
        <v>3626.78790828</v>
      </c>
      <c r="E49" s="150">
        <v>3402.6483752899999</v>
      </c>
      <c r="F49" s="84">
        <v>3660.2034078699999</v>
      </c>
      <c r="G49" s="84">
        <v>3711.3380650300001</v>
      </c>
      <c r="H49" s="84">
        <v>3682.5437178900002</v>
      </c>
    </row>
    <row r="50" spans="1:8">
      <c r="A50" s="156" t="str">
        <f>HLOOKUP(INDICE!$F$2,Nombres!$C$3:$E$853,307)</f>
        <v>(*) No incluye las adquisiciones temporales de activos.</v>
      </c>
      <c r="B50" s="157"/>
      <c r="C50" s="84"/>
      <c r="D50" s="84"/>
      <c r="E50" s="84"/>
      <c r="F50" s="84"/>
      <c r="G50" s="84"/>
      <c r="H50" s="84"/>
    </row>
    <row r="51" spans="1:8">
      <c r="A51" s="156" t="str">
        <f>HLOOKUP(INDICE!$F$2,Nombres!$C$3:$E$853,285)</f>
        <v>(**) No incluye las cesiones temporales de activos.</v>
      </c>
      <c r="C51"/>
      <c r="D51"/>
      <c r="E51"/>
    </row>
    <row r="52" spans="1:8" ht="18">
      <c r="A52" s="144" t="str">
        <f>HLOOKUP(INDICE!$F$2,Nombres!$C$3:$E$853,93)</f>
        <v xml:space="preserve">Cuentas de resultados  </v>
      </c>
      <c r="C52" s="145"/>
      <c r="D52" s="145"/>
      <c r="E52" s="145"/>
      <c r="G52" s="74"/>
      <c r="H52" s="74"/>
    </row>
    <row r="53" spans="1:8">
      <c r="A53" s="41" t="str">
        <f>HLOOKUP(INDICE!$F$2,Nombres!$C$3:$E$853,31)</f>
        <v>(Millones de euros constantes)</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1er Trim.</v>
      </c>
      <c r="C55" s="146" t="str">
        <f>HLOOKUP(INDICE!$F$2,Nombres!$C$3:$E$857,35)</f>
        <v>2º Trim.</v>
      </c>
      <c r="D55" s="146" t="str">
        <f>HLOOKUP(INDICE!$F$2,Nombres!$C$3:$E$857,36)</f>
        <v>3er Trim.</v>
      </c>
      <c r="E55" s="146" t="str">
        <f>HLOOKUP(INDICE!$F$2,Nombres!$C$3:$E$857,37)</f>
        <v>4º Trim.</v>
      </c>
      <c r="F55" s="146" t="str">
        <f>HLOOKUP(INDICE!$F$2,Nombres!$C$3:$E$857,34)</f>
        <v>1er Trim.</v>
      </c>
      <c r="G55" s="146" t="str">
        <f>HLOOKUP(INDICE!$F$2,Nombres!$C$3:$E$857,35)</f>
        <v>2º Trim.</v>
      </c>
      <c r="H55" s="146" t="str">
        <f>HLOOKUP(INDICE!$F$2,Nombres!$C$3:$E$857,36)</f>
        <v>3er Trim.</v>
      </c>
    </row>
    <row r="56" spans="1:8">
      <c r="A56" s="54" t="str">
        <f>HLOOKUP(INDICE!$F$2,Nombres!$C$3:$E$853,38)</f>
        <v>Margen de intereses</v>
      </c>
      <c r="B56" s="147">
        <v>1224.6774404337</v>
      </c>
      <c r="C56" s="83">
        <v>1212.8634498356</v>
      </c>
      <c r="D56" s="83">
        <v>1234.7432089419001</v>
      </c>
      <c r="E56" s="148">
        <v>1322.4125358642</v>
      </c>
      <c r="F56" s="54">
        <v>1299.2368199484999</v>
      </c>
      <c r="G56" s="54">
        <v>1359.6878676895999</v>
      </c>
      <c r="H56" s="54">
        <v>1373.5990917719</v>
      </c>
    </row>
    <row r="57" spans="1:8">
      <c r="A57" s="49" t="str">
        <f>HLOOKUP(INDICE!$F$2,Nombres!$C$3:$E$853,39)</f>
        <v>Comisiones</v>
      </c>
      <c r="B57" s="149">
        <v>273.62835318980001</v>
      </c>
      <c r="C57" s="84">
        <v>306.21002919199998</v>
      </c>
      <c r="D57" s="84">
        <v>302.73579932259997</v>
      </c>
      <c r="E57" s="150">
        <v>303.43145447259997</v>
      </c>
      <c r="F57" s="73">
        <v>286.05957249599999</v>
      </c>
      <c r="G57" s="73">
        <v>302.08762605239997</v>
      </c>
      <c r="H57" s="73">
        <v>308.65195560149999</v>
      </c>
    </row>
    <row r="58" spans="1:8">
      <c r="A58" s="49" t="str">
        <f>HLOOKUP(INDICE!$F$2,Nombres!$C$3:$E$853,40)</f>
        <v>Resultados de operaciones financieras</v>
      </c>
      <c r="B58" s="149">
        <v>50.596585834600006</v>
      </c>
      <c r="C58" s="84">
        <v>61.145516516900003</v>
      </c>
      <c r="D58" s="84">
        <v>55.739012372700003</v>
      </c>
      <c r="E58" s="150">
        <v>31.223803039099998</v>
      </c>
      <c r="F58" s="73">
        <v>50.348517456300002</v>
      </c>
      <c r="G58" s="73">
        <v>56.080032426300001</v>
      </c>
      <c r="H58" s="73">
        <v>60.594345407299997</v>
      </c>
    </row>
    <row r="59" spans="1:8" ht="17.25" customHeight="1">
      <c r="A59" s="49" t="str">
        <f>HLOOKUP(INDICE!$F$2,Nombres!$C$3:$E$853,95)</f>
        <v>Otros ingresos netos</v>
      </c>
      <c r="B59" s="149">
        <v>55.9057093606</v>
      </c>
      <c r="C59" s="84">
        <v>60.244334962399996</v>
      </c>
      <c r="D59" s="84">
        <v>55.880331350399999</v>
      </c>
      <c r="E59" s="150">
        <v>82.403423770199993</v>
      </c>
      <c r="F59" s="73">
        <v>62.241723596299998</v>
      </c>
      <c r="G59" s="73">
        <v>44.435172634899999</v>
      </c>
      <c r="H59" s="73">
        <v>50.463621688700002</v>
      </c>
    </row>
    <row r="60" spans="1:8" ht="15.75" customHeight="1">
      <c r="A60" s="54" t="str">
        <f>HLOOKUP(INDICE!$F$2,Nombres!$C$3:$E$853,44)</f>
        <v>Margen bruto</v>
      </c>
      <c r="B60" s="147">
        <v>1604.8080888188001</v>
      </c>
      <c r="C60" s="83">
        <v>1640.4633305071002</v>
      </c>
      <c r="D60" s="83">
        <v>1649.0983519877002</v>
      </c>
      <c r="E60" s="148">
        <v>1739.4712171462002</v>
      </c>
      <c r="F60" s="54">
        <v>1697.8866334971999</v>
      </c>
      <c r="G60" s="54">
        <v>1762.2906988034001</v>
      </c>
      <c r="H60" s="54">
        <v>1793.3090144694002</v>
      </c>
    </row>
    <row r="61" spans="1:8">
      <c r="A61" s="49" t="str">
        <f>HLOOKUP(INDICE!$F$2,Nombres!$C$3:$E$853,45)</f>
        <v>Gastos de explotación</v>
      </c>
      <c r="B61" s="149">
        <v>-592.72783880600002</v>
      </c>
      <c r="C61" s="84">
        <v>-602.70321341459999</v>
      </c>
      <c r="D61" s="84">
        <v>-618.66727642289993</v>
      </c>
      <c r="E61" s="150">
        <v>-633.66710679509993</v>
      </c>
      <c r="F61" s="73">
        <v>-626.87286546790006</v>
      </c>
      <c r="G61" s="73">
        <v>-646.44569197850001</v>
      </c>
      <c r="H61" s="73">
        <v>-678.29407648350002</v>
      </c>
    </row>
    <row r="62" spans="1:8">
      <c r="A62" s="49" t="str">
        <f>HLOOKUP(INDICE!$F$2,Nombres!$C$3:$E$853,46)</f>
        <v xml:space="preserve">  Gastos de administración</v>
      </c>
      <c r="B62" s="149">
        <v>-547.21531093060003</v>
      </c>
      <c r="C62" s="84">
        <v>-557.29390938760002</v>
      </c>
      <c r="D62" s="84">
        <v>-570.90328203349998</v>
      </c>
      <c r="E62" s="150">
        <v>-581.88856005360003</v>
      </c>
      <c r="F62" s="73">
        <v>-574.2337229346</v>
      </c>
      <c r="G62" s="73">
        <v>-593.98958969780006</v>
      </c>
      <c r="H62" s="73">
        <v>-622.72702781769999</v>
      </c>
    </row>
    <row r="63" spans="1:8">
      <c r="A63" s="88" t="str">
        <f>HLOOKUP(INDICE!$F$2,Nombres!$C$3:$E$853,47)</f>
        <v xml:space="preserve">  Gastos de personal</v>
      </c>
      <c r="B63" s="149">
        <v>-255.0932589395</v>
      </c>
      <c r="C63" s="84">
        <v>-260.84013169960002</v>
      </c>
      <c r="D63" s="84">
        <v>-266.20518942590002</v>
      </c>
      <c r="E63" s="150">
        <v>-255.6949992449</v>
      </c>
      <c r="F63" s="73">
        <v>-278.98095325769998</v>
      </c>
      <c r="G63" s="73">
        <v>-285.29226689500001</v>
      </c>
      <c r="H63" s="73">
        <v>-288.8992731774</v>
      </c>
    </row>
    <row r="64" spans="1:8">
      <c r="A64" s="88" t="str">
        <f>HLOOKUP(INDICE!$F$2,Nombres!$C$3:$E$853,48)</f>
        <v xml:space="preserve">  Otros gastos generales de administración</v>
      </c>
      <c r="B64" s="149">
        <v>-292.12205199120001</v>
      </c>
      <c r="C64" s="84">
        <v>-296.453777688</v>
      </c>
      <c r="D64" s="84">
        <v>-304.69809260750003</v>
      </c>
      <c r="E64" s="150">
        <v>-326.1935608087</v>
      </c>
      <c r="F64" s="73">
        <v>-295.25276967690002</v>
      </c>
      <c r="G64" s="73">
        <v>-308.69732280279999</v>
      </c>
      <c r="H64" s="73">
        <v>-333.82775464029999</v>
      </c>
    </row>
    <row r="65" spans="1:8" ht="13.5" customHeight="1">
      <c r="A65" s="49" t="str">
        <f>HLOOKUP(INDICE!$F$2,Nombres!$C$3:$E$853,49)</f>
        <v xml:space="preserve">  Amortizaciones</v>
      </c>
      <c r="B65" s="149">
        <v>-45.512527875300002</v>
      </c>
      <c r="C65" s="84">
        <v>-45.409304027000005</v>
      </c>
      <c r="D65" s="84">
        <v>-47.763994389499999</v>
      </c>
      <c r="E65" s="150">
        <v>-51.778546741400007</v>
      </c>
      <c r="F65" s="73">
        <v>-52.639142533300003</v>
      </c>
      <c r="G65" s="73">
        <v>-52.456102280899998</v>
      </c>
      <c r="H65" s="73">
        <v>-55.567048665899996</v>
      </c>
    </row>
    <row r="66" spans="1:8" ht="14.25" customHeight="1">
      <c r="A66" s="54" t="str">
        <f>HLOOKUP(INDICE!$F$2,Nombres!$C$3:$E$853,50)</f>
        <v>Margen neto</v>
      </c>
      <c r="B66" s="147">
        <v>1012.0802500126999</v>
      </c>
      <c r="C66" s="83">
        <v>1037.7601170925</v>
      </c>
      <c r="D66" s="83">
        <v>1030.4310755647</v>
      </c>
      <c r="E66" s="148">
        <v>1105.804110351</v>
      </c>
      <c r="F66" s="54">
        <v>1071.0137680293999</v>
      </c>
      <c r="G66" s="54">
        <v>1115.8450068248999</v>
      </c>
      <c r="H66" s="54">
        <v>1115.0149379857</v>
      </c>
    </row>
    <row r="67" spans="1:8">
      <c r="A67" s="49" t="str">
        <f>HLOOKUP(INDICE!$F$2,Nombres!$C$3:$E$853,51)</f>
        <v>Pérdidas por deterioro de activos financieros</v>
      </c>
      <c r="B67" s="149">
        <v>-371.18899585079998</v>
      </c>
      <c r="C67" s="84">
        <v>-405.8072431777</v>
      </c>
      <c r="D67" s="84">
        <v>-396.9192857104</v>
      </c>
      <c r="E67" s="150">
        <v>-369.38049838940003</v>
      </c>
      <c r="F67" s="73">
        <v>-408.9192505469</v>
      </c>
      <c r="G67" s="73">
        <v>-419.37348253170001</v>
      </c>
      <c r="H67" s="73">
        <v>-431.54016049129996</v>
      </c>
    </row>
    <row r="68" spans="1:8" ht="16.5" customHeight="1">
      <c r="A68" s="49" t="str">
        <f>HLOOKUP(INDICE!$F$2,Nombres!$C$3:$E$853,160)</f>
        <v>Dotaciones a provisiones y otros resultados</v>
      </c>
      <c r="B68" s="149">
        <v>-16.801135904299997</v>
      </c>
      <c r="C68" s="84">
        <v>-26.254857965299998</v>
      </c>
      <c r="D68" s="84">
        <v>-44.326763147599998</v>
      </c>
      <c r="E68" s="150">
        <v>7.3055245868000007</v>
      </c>
      <c r="F68" s="73">
        <v>10.055590385000002</v>
      </c>
      <c r="G68" s="73">
        <v>-26.1001621154</v>
      </c>
      <c r="H68" s="73">
        <v>-22.457064679600002</v>
      </c>
    </row>
    <row r="69" spans="1:8" ht="12.75" customHeight="1">
      <c r="A69" s="54" t="str">
        <f>HLOOKUP(INDICE!$F$2,Nombres!$C$3:$E$853,54)</f>
        <v>Beneficio antes de impuestos</v>
      </c>
      <c r="B69" s="147">
        <v>624.09011825760001</v>
      </c>
      <c r="C69" s="83">
        <v>605.69801594939997</v>
      </c>
      <c r="D69" s="83">
        <v>589.18502670659996</v>
      </c>
      <c r="E69" s="148">
        <v>743.72913654839999</v>
      </c>
      <c r="F69" s="54">
        <v>672.15010786729999</v>
      </c>
      <c r="G69" s="54">
        <v>670.37136217779994</v>
      </c>
      <c r="H69" s="54">
        <v>661.01771281490005</v>
      </c>
    </row>
    <row r="70" spans="1:8" ht="13.5" customHeight="1">
      <c r="A70" s="49" t="str">
        <f>HLOOKUP(INDICE!$F$2,Nombres!$C$3:$E$853,55)</f>
        <v>Impuesto sobre beneficios</v>
      </c>
      <c r="B70" s="149">
        <v>-150.09589077449999</v>
      </c>
      <c r="C70" s="84">
        <v>-147.17902219390001</v>
      </c>
      <c r="D70" s="84">
        <v>-140.5172636364</v>
      </c>
      <c r="E70" s="150">
        <v>-176.17577222950001</v>
      </c>
      <c r="F70" s="73">
        <v>-164.3793194516</v>
      </c>
      <c r="G70" s="73">
        <v>-164.97555712639999</v>
      </c>
      <c r="H70" s="73">
        <v>-160.7481005919</v>
      </c>
    </row>
    <row r="71" spans="1:8" ht="12.75" customHeight="1">
      <c r="A71" s="54" t="str">
        <f>HLOOKUP(INDICE!$F$2,Nombres!$C$3:$E$853,56)</f>
        <v>Beneficio después de impuestos</v>
      </c>
      <c r="B71" s="147">
        <v>473.99422748309996</v>
      </c>
      <c r="C71" s="83">
        <v>458.5189937554</v>
      </c>
      <c r="D71" s="83">
        <v>448.66776307020001</v>
      </c>
      <c r="E71" s="148">
        <v>567.55336431889998</v>
      </c>
      <c r="F71" s="54">
        <v>507.7707884157</v>
      </c>
      <c r="G71" s="54">
        <v>505.39580505129999</v>
      </c>
      <c r="H71" s="54">
        <v>500.26961222300002</v>
      </c>
    </row>
    <row r="72" spans="1:8" ht="12.75" customHeight="1">
      <c r="A72" s="49" t="str">
        <f>HLOOKUP(INDICE!$F$2,Nombres!$C$3:$E$853,57)</f>
        <v>Resultado atribuido a la minoría</v>
      </c>
      <c r="B72" s="149">
        <v>-0.15142744480000001</v>
      </c>
      <c r="C72" s="84">
        <v>-0.14160430010000002</v>
      </c>
      <c r="D72" s="84">
        <v>-0.1390189101</v>
      </c>
      <c r="E72" s="150">
        <v>-0.1741789366</v>
      </c>
      <c r="F72" s="73">
        <v>-0.1589663285</v>
      </c>
      <c r="G72" s="73">
        <v>-0.1590727254</v>
      </c>
      <c r="H72" s="73">
        <v>-0.15696094620000001</v>
      </c>
    </row>
    <row r="73" spans="1:8" ht="15" customHeight="1">
      <c r="A73" s="54" t="str">
        <f>HLOOKUP(INDICE!$F$2,Nombres!$C$3:$E$853,58)</f>
        <v>Beneficio atribuido al Grupo</v>
      </c>
      <c r="B73" s="147">
        <v>473.84280003830003</v>
      </c>
      <c r="C73" s="83">
        <v>458.37738945540002</v>
      </c>
      <c r="D73" s="83">
        <v>448.52874416009996</v>
      </c>
      <c r="E73" s="148">
        <v>567.37918538229997</v>
      </c>
      <c r="F73" s="54">
        <v>507.61182208729997</v>
      </c>
      <c r="G73" s="54">
        <v>505.23673232600004</v>
      </c>
      <c r="H73" s="54">
        <v>500.11265127679997</v>
      </c>
    </row>
    <row r="74" spans="1:8" ht="15.75" customHeight="1">
      <c r="A74" s="144" t="str">
        <f>HLOOKUP(INDICE!$F$2,Nombres!$C$3:$E$853,94)</f>
        <v>Balances</v>
      </c>
      <c r="G74" s="74"/>
      <c r="H74" s="74"/>
    </row>
    <row r="75" spans="1:8">
      <c r="A75" s="41" t="str">
        <f>HLOOKUP(INDICE!$F$2,Nombres!$C$3:$E$853,31)</f>
        <v>(Millones de euros constantes)</v>
      </c>
      <c r="B75" s="74"/>
      <c r="C75" s="74"/>
      <c r="D75" s="74"/>
      <c r="E75" s="74"/>
      <c r="F75" s="74"/>
      <c r="G75" s="74"/>
      <c r="H75" s="74"/>
    </row>
    <row r="76" spans="1:8">
      <c r="A76" s="153"/>
      <c r="B76" s="81">
        <v>41729</v>
      </c>
      <c r="C76" s="82">
        <v>41820</v>
      </c>
      <c r="D76" s="82">
        <v>41912</v>
      </c>
      <c r="E76" s="82">
        <v>42004</v>
      </c>
      <c r="F76" s="81">
        <v>42094</v>
      </c>
      <c r="G76" s="82">
        <v>42185</v>
      </c>
      <c r="H76" s="82">
        <v>42277</v>
      </c>
    </row>
    <row r="77" spans="1:8">
      <c r="A77" s="49" t="str">
        <f>HLOOKUP(INDICE!$F$2,Nombres!$C$3:$E$853,100)</f>
        <v>Caja y depósitos en bancos centrales</v>
      </c>
      <c r="B77" s="149">
        <v>5030.1313024966003</v>
      </c>
      <c r="C77" s="84">
        <v>4146.4439331333997</v>
      </c>
      <c r="D77" s="84">
        <v>4378.7890934711004</v>
      </c>
      <c r="E77" s="150">
        <v>5653.3596343551999</v>
      </c>
      <c r="F77" s="158">
        <v>5506.4596639900001</v>
      </c>
      <c r="G77" s="84">
        <v>4921.2397117617002</v>
      </c>
      <c r="H77" s="84">
        <v>5104.0660631800001</v>
      </c>
    </row>
    <row r="78" spans="1:8">
      <c r="A78" s="49" t="str">
        <f>HLOOKUP(INDICE!$F$2,Nombres!$C$3:$E$853,101)</f>
        <v>Cartera de títulos</v>
      </c>
      <c r="B78" s="149">
        <v>30854.732978933898</v>
      </c>
      <c r="C78" s="84">
        <v>32546.705676420999</v>
      </c>
      <c r="D78" s="84">
        <v>33937.224397404301</v>
      </c>
      <c r="E78" s="150">
        <v>32306.548585140801</v>
      </c>
      <c r="F78" s="158">
        <v>32974.761197116597</v>
      </c>
      <c r="G78" s="84">
        <v>32665.892697362298</v>
      </c>
      <c r="H78" s="84">
        <v>35992.292378400001</v>
      </c>
    </row>
    <row r="79" spans="1:8">
      <c r="A79" s="49" t="str">
        <f>HLOOKUP(INDICE!$F$2,Nombres!$C$3:$E$853,102)</f>
        <v>Inversiones crediticias</v>
      </c>
      <c r="B79" s="149">
        <v>40509.623384442799</v>
      </c>
      <c r="C79" s="84">
        <v>41014.007677197602</v>
      </c>
      <c r="D79" s="84">
        <v>41273.330899416702</v>
      </c>
      <c r="E79" s="150">
        <v>45007.197656046999</v>
      </c>
      <c r="F79" s="158">
        <v>44961.665343711502</v>
      </c>
      <c r="G79" s="84">
        <v>46510.415281690097</v>
      </c>
      <c r="H79" s="84">
        <v>50463.991113659999</v>
      </c>
    </row>
    <row r="80" spans="1:8">
      <c r="A80" s="49" t="str">
        <f>HLOOKUP(INDICE!$F$2,Nombres!$C$3:$E$853,103)</f>
        <v xml:space="preserve">  . Crédito a la clientela neto</v>
      </c>
      <c r="B80" s="149">
        <v>38333.995591935498</v>
      </c>
      <c r="C80" s="84">
        <v>38738.483486622099</v>
      </c>
      <c r="D80" s="84">
        <v>40190.032663190403</v>
      </c>
      <c r="E80" s="150">
        <v>42581.367338529402</v>
      </c>
      <c r="F80" s="158">
        <v>43495.112932828401</v>
      </c>
      <c r="G80" s="84">
        <v>44353.928034602402</v>
      </c>
      <c r="H80" s="84">
        <v>46925.626076519999</v>
      </c>
    </row>
    <row r="81" spans="1:8">
      <c r="A81" s="49" t="str">
        <f>HLOOKUP(INDICE!$F$2,Nombres!$C$3:$E$853,104)</f>
        <v xml:space="preserve">  . Depósitos en entidades de crédito y otros</v>
      </c>
      <c r="B81" s="149">
        <v>2175.6277925073</v>
      </c>
      <c r="C81" s="84">
        <v>2275.5241905755001</v>
      </c>
      <c r="D81" s="84">
        <v>1083.2982362263999</v>
      </c>
      <c r="E81" s="150">
        <v>2425.8303175176002</v>
      </c>
      <c r="F81" s="158">
        <v>1466.5524108831</v>
      </c>
      <c r="G81" s="84">
        <v>2156.4872470875998</v>
      </c>
      <c r="H81" s="84">
        <v>3538.3650371399999</v>
      </c>
    </row>
    <row r="82" spans="1:8">
      <c r="A82" s="49" t="str">
        <f>HLOOKUP(INDICE!$F$2,Nombres!$C$3:$E$853,106)</f>
        <v>Activo material</v>
      </c>
      <c r="B82" s="149">
        <v>1265.4933351591999</v>
      </c>
      <c r="C82" s="84">
        <v>1316.8269185675999</v>
      </c>
      <c r="D82" s="84">
        <v>1402.9716776555999</v>
      </c>
      <c r="E82" s="150">
        <v>1565.0063173696999</v>
      </c>
      <c r="F82" s="158">
        <v>1651.5125877605999</v>
      </c>
      <c r="G82" s="84">
        <v>1754.2802624213</v>
      </c>
      <c r="H82" s="84">
        <v>1896.7437099799999</v>
      </c>
    </row>
    <row r="83" spans="1:8">
      <c r="A83" s="49" t="str">
        <f>HLOOKUP(INDICE!$F$2,Nombres!$C$3:$E$853,107)</f>
        <v>Otros activos</v>
      </c>
      <c r="B83" s="149">
        <v>3495.2264498245959</v>
      </c>
      <c r="C83" s="84">
        <v>3558.9848770020594</v>
      </c>
      <c r="D83" s="84">
        <v>3038.2398298219828</v>
      </c>
      <c r="E83" s="150">
        <v>3721.9403200278098</v>
      </c>
      <c r="F83" s="158">
        <v>3919.6726946410135</v>
      </c>
      <c r="G83" s="84">
        <v>3635.2421268626163</v>
      </c>
      <c r="H83" s="84">
        <v>5609.1632185999979</v>
      </c>
    </row>
    <row r="84" spans="1:8">
      <c r="A84" s="54" t="str">
        <f>HLOOKUP(INDICE!$F$2,Nombres!$C$3:$E$853,108)</f>
        <v>Total activo / pasivo</v>
      </c>
      <c r="B84" s="147">
        <v>81155.207450857095</v>
      </c>
      <c r="C84" s="83">
        <v>82582.969082321681</v>
      </c>
      <c r="D84" s="83">
        <v>84030.555897769678</v>
      </c>
      <c r="E84" s="148">
        <v>88254.052512940703</v>
      </c>
      <c r="F84" s="147">
        <v>89014.071487219611</v>
      </c>
      <c r="G84" s="83">
        <v>89487.070080098012</v>
      </c>
      <c r="H84" s="83">
        <v>99066.256483820005</v>
      </c>
    </row>
    <row r="85" spans="1:8">
      <c r="A85" s="49" t="str">
        <f>HLOOKUP(INDICE!$F$2,Nombres!$C$3:$E$853,109)</f>
        <v>Depósitos de bancos centrales y entidades de crédito</v>
      </c>
      <c r="B85" s="149">
        <v>8891.4563556423</v>
      </c>
      <c r="C85" s="84">
        <v>8042.9755808029004</v>
      </c>
      <c r="D85" s="84">
        <v>10221.523369574101</v>
      </c>
      <c r="E85" s="150">
        <v>10938.3045660031</v>
      </c>
      <c r="F85" s="158">
        <v>8040.9955734944997</v>
      </c>
      <c r="G85" s="84">
        <v>8177.6662811319002</v>
      </c>
      <c r="H85" s="84">
        <v>14736.76502268</v>
      </c>
    </row>
    <row r="86" spans="1:8">
      <c r="A86" s="49" t="str">
        <f>HLOOKUP(INDICE!$F$2,Nombres!$C$3:$E$853,110)</f>
        <v>Depósitos de la clientela</v>
      </c>
      <c r="B86" s="149">
        <v>42094.126582173703</v>
      </c>
      <c r="C86" s="84">
        <v>42963.164033051296</v>
      </c>
      <c r="D86" s="84">
        <v>43293.823793935197</v>
      </c>
      <c r="E86" s="150">
        <v>43253.378592241301</v>
      </c>
      <c r="F86" s="158">
        <v>44344.549456720801</v>
      </c>
      <c r="G86" s="84">
        <v>46655.688395575402</v>
      </c>
      <c r="H86" s="84">
        <v>46771.346545840002</v>
      </c>
    </row>
    <row r="87" spans="1:8">
      <c r="A87" s="49" t="str">
        <f>HLOOKUP(INDICE!$F$2,Nombres!$C$3:$E$853,111)</f>
        <v>Débitos representados por valores negociables</v>
      </c>
      <c r="B87" s="149">
        <v>3685.9404307691998</v>
      </c>
      <c r="C87" s="84">
        <v>4055.9296744482999</v>
      </c>
      <c r="D87" s="84">
        <v>4108.5413494246004</v>
      </c>
      <c r="E87" s="150">
        <v>4738.5290980952996</v>
      </c>
      <c r="F87" s="158">
        <v>5385.0576747411997</v>
      </c>
      <c r="G87" s="84">
        <v>5033.3120044885</v>
      </c>
      <c r="H87" s="84">
        <v>5418.9639999999999</v>
      </c>
    </row>
    <row r="88" spans="1:8">
      <c r="A88" s="49" t="str">
        <f>HLOOKUP(INDICE!$F$2,Nombres!$C$3:$E$853,112)</f>
        <v>Pasivos subordinados</v>
      </c>
      <c r="B88" s="149">
        <v>3453.8046304979998</v>
      </c>
      <c r="C88" s="84">
        <v>3519.2486634311999</v>
      </c>
      <c r="D88" s="84">
        <v>3325.8009434570999</v>
      </c>
      <c r="E88" s="150">
        <v>3886.9236609558002</v>
      </c>
      <c r="F88" s="158">
        <v>4075.1347099288</v>
      </c>
      <c r="G88" s="84">
        <v>4125.9263360392997</v>
      </c>
      <c r="H88" s="84">
        <v>4527.6450000000004</v>
      </c>
    </row>
    <row r="89" spans="1:8">
      <c r="A89" s="49" t="str">
        <f>HLOOKUP(INDICE!$F$2,Nombres!$C$3:$E$853,114)</f>
        <v>Cartera de negociación</v>
      </c>
      <c r="B89" s="149">
        <v>6541.1228680958002</v>
      </c>
      <c r="C89" s="84">
        <v>6805.2705318644003</v>
      </c>
      <c r="D89" s="84">
        <v>6113.096078734</v>
      </c>
      <c r="E89" s="150">
        <v>7170.9778139584996</v>
      </c>
      <c r="F89" s="158">
        <v>6840.0131948943999</v>
      </c>
      <c r="G89" s="84">
        <v>6700.2398096607003</v>
      </c>
      <c r="H89" s="84">
        <v>7840.4470000000001</v>
      </c>
    </row>
    <row r="90" spans="1:8">
      <c r="A90" s="49" t="str">
        <f>HLOOKUP(INDICE!$F$2,Nombres!$C$3:$E$853,115)</f>
        <v>Otros pasivos</v>
      </c>
      <c r="B90" s="149">
        <v>12157.733136075201</v>
      </c>
      <c r="C90" s="84">
        <v>12719.375865721</v>
      </c>
      <c r="D90" s="84">
        <v>12565.736525820203</v>
      </c>
      <c r="E90" s="150">
        <v>13578.145395950498</v>
      </c>
      <c r="F90" s="158">
        <v>15941.603423430999</v>
      </c>
      <c r="G90" s="84">
        <v>13943.662004822099</v>
      </c>
      <c r="H90" s="84">
        <v>14892.094736339999</v>
      </c>
    </row>
    <row r="91" spans="1:8" ht="12" customHeight="1">
      <c r="A91" s="49" t="str">
        <f>HLOOKUP(INDICE!$F$2,Nombres!$C$3:$E$853,116)</f>
        <v>Dotación de capital económico</v>
      </c>
      <c r="B91" s="149">
        <v>4331.0234476027999</v>
      </c>
      <c r="C91" s="84">
        <v>4477.0047330026</v>
      </c>
      <c r="D91" s="84">
        <v>4402.0338368245002</v>
      </c>
      <c r="E91" s="150">
        <v>4687.7933857361004</v>
      </c>
      <c r="F91" s="158">
        <v>4386.717454009</v>
      </c>
      <c r="G91" s="84">
        <v>4850.5752483800998</v>
      </c>
      <c r="H91" s="84">
        <v>4878.9941789599998</v>
      </c>
    </row>
    <row r="92" spans="1:8" ht="12" customHeight="1">
      <c r="A92" s="144" t="str">
        <f>HLOOKUP(INDICE!$F$2,Nombres!$C$3:$E$853,117)</f>
        <v>Indicadores relevantes</v>
      </c>
      <c r="G92" s="74"/>
      <c r="H92" s="74"/>
    </row>
    <row r="93" spans="1:8" ht="18">
      <c r="A93" s="144" t="str">
        <f>HLOOKUP(INDICE!$F$2,Nombres!$C$3:$E$853,201)</f>
        <v>Anexo:</v>
      </c>
      <c r="G93" s="74"/>
      <c r="H93" s="74"/>
    </row>
    <row r="94" spans="1:8" ht="12" customHeight="1">
      <c r="A94" s="41" t="str">
        <f>HLOOKUP(INDICE!$F$2,Nombres!$C$3:$E$853,31)</f>
        <v>(Millones de euros constantes)</v>
      </c>
      <c r="G94" s="74"/>
      <c r="H94" s="74"/>
    </row>
    <row r="95" spans="1:8" ht="11.25" customHeight="1">
      <c r="A95" s="153"/>
      <c r="B95" s="81">
        <v>41729</v>
      </c>
      <c r="C95" s="82">
        <v>41820</v>
      </c>
      <c r="D95" s="82">
        <v>41912</v>
      </c>
      <c r="E95" s="82">
        <v>42004</v>
      </c>
      <c r="F95" s="81">
        <v>42094</v>
      </c>
      <c r="G95" s="82">
        <v>42185</v>
      </c>
      <c r="H95" s="82">
        <v>42277</v>
      </c>
    </row>
    <row r="96" spans="1:8">
      <c r="A96" s="49" t="str">
        <f>HLOOKUP(INDICE!$F$2,Nombres!$C$3:$E$853,118)</f>
        <v>Crédito a la clientela bruto (*)</v>
      </c>
      <c r="B96" s="155">
        <v>39332.883207826599</v>
      </c>
      <c r="C96" s="157">
        <v>40281.143227907502</v>
      </c>
      <c r="D96" s="157">
        <v>41724.720110028204</v>
      </c>
      <c r="E96" s="157">
        <v>43905.757050313907</v>
      </c>
      <c r="F96" s="155">
        <v>44896.359893603199</v>
      </c>
      <c r="G96" s="157">
        <v>45499.339564977992</v>
      </c>
      <c r="H96" s="157">
        <v>48208.551458030008</v>
      </c>
    </row>
    <row r="97" spans="1:8">
      <c r="A97" s="49" t="str">
        <f>HLOOKUP(INDICE!$F$2,Nombres!$C$3:$E$853,121)</f>
        <v>Depósitos de clientes en gestión (**)</v>
      </c>
      <c r="B97" s="155">
        <v>33711.303748218699</v>
      </c>
      <c r="C97" s="157">
        <v>35704.669918821397</v>
      </c>
      <c r="D97" s="157">
        <v>35958.334870304403</v>
      </c>
      <c r="E97" s="157">
        <v>36806.855278915798</v>
      </c>
      <c r="F97" s="155">
        <v>39352.463375040701</v>
      </c>
      <c r="G97" s="157">
        <v>39280.014647926</v>
      </c>
      <c r="H97" s="157">
        <v>41096.083948699998</v>
      </c>
    </row>
    <row r="98" spans="1:8">
      <c r="A98" s="49" t="str">
        <f>HLOOKUP(INDICE!$F$2,Nombres!$C$3:$E$853,122)</f>
        <v>Fondos de inversión</v>
      </c>
      <c r="B98" s="155">
        <v>16319.635023999999</v>
      </c>
      <c r="C98" s="157">
        <v>17138.847040000001</v>
      </c>
      <c r="D98" s="157">
        <v>17938.719624000001</v>
      </c>
      <c r="E98" s="157">
        <v>17598.935816000001</v>
      </c>
      <c r="F98" s="155">
        <v>18096.533499409699</v>
      </c>
      <c r="G98" s="157">
        <v>18718.990244527999</v>
      </c>
      <c r="H98" s="157">
        <v>18219.24646382</v>
      </c>
    </row>
    <row r="99" spans="1:8">
      <c r="A99" s="49" t="str">
        <f>HLOOKUP(INDICE!$F$2,Nombres!$C$3:$E$853,206)</f>
        <v>Fondos de pensiones</v>
      </c>
      <c r="B99" s="240">
        <v>0</v>
      </c>
      <c r="C99" s="236">
        <v>0</v>
      </c>
      <c r="D99" s="236">
        <v>0</v>
      </c>
      <c r="E99" s="236">
        <v>0</v>
      </c>
      <c r="F99" s="240">
        <v>0</v>
      </c>
      <c r="G99" s="236">
        <v>0</v>
      </c>
      <c r="H99" s="236">
        <v>0</v>
      </c>
    </row>
    <row r="100" spans="1:8">
      <c r="A100" s="49" t="str">
        <f>HLOOKUP(INDICE!$F$2,Nombres!$C$3:$E$853,308)</f>
        <v>Otros recursos fuera de balance</v>
      </c>
      <c r="B100" s="154">
        <v>2942.6426809033001</v>
      </c>
      <c r="C100" s="84">
        <v>3175.5198266999</v>
      </c>
      <c r="D100" s="84">
        <v>3248.5800957780998</v>
      </c>
      <c r="E100" s="84">
        <v>3203.8373080849001</v>
      </c>
      <c r="F100" s="154">
        <v>3184.8562405032999</v>
      </c>
      <c r="G100" s="84">
        <v>3428.9939629144001</v>
      </c>
      <c r="H100" s="84">
        <v>3682.5437178900002</v>
      </c>
    </row>
    <row r="101" spans="1:8">
      <c r="A101" s="156" t="str">
        <f>HLOOKUP(INDICE!$F$2,Nombres!$C$3:$E$853,307)</f>
        <v>(*) No incluye las adquisiciones temporales de activos.</v>
      </c>
      <c r="B101" s="72"/>
      <c r="C101" s="73"/>
      <c r="D101" s="73"/>
      <c r="E101" s="73"/>
      <c r="F101" s="73"/>
    </row>
    <row r="102" spans="1:8">
      <c r="A102" s="156" t="str">
        <f>HLOOKUP(INDICE!$F$2,Nombres!$C$3:$E$853,285)</f>
        <v>(**) No incluye las cesiones temporales de activos.</v>
      </c>
      <c r="B102" s="72"/>
      <c r="C102" s="73"/>
      <c r="D102" s="73"/>
      <c r="E102" s="73"/>
      <c r="F102" s="73"/>
    </row>
  </sheetData>
  <mergeCells count="4">
    <mergeCell ref="B4:E4"/>
    <mergeCell ref="F4:H4"/>
    <mergeCell ref="B54:E54"/>
    <mergeCell ref="F54:H54"/>
  </mergeCells>
  <pageMargins left="0.7" right="0.7" top="0.75" bottom="0.75" header="0.3" footer="0.3"/>
  <pageSetup paperSize="9" scale="5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H103"/>
  <sheetViews>
    <sheetView showGridLines="0" topLeftCell="A67"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HLOOKUP(INDICE!$F$2,Nombres!$C$3:$E$853,12)</f>
        <v xml:space="preserve">América del Sur </v>
      </c>
    </row>
    <row r="2" spans="1:8" ht="18" customHeight="1">
      <c r="A2" s="144" t="str">
        <f>HLOOKUP(INDICE!$F$2,Nombres!$C$3:$E$853,93)</f>
        <v xml:space="preserve">Cuentas de resultados  </v>
      </c>
    </row>
    <row r="3" spans="1:8">
      <c r="A3" s="41" t="str">
        <f>HLOOKUP(INDICE!$F$2,Nombres!$C$3:$E$853,30)</f>
        <v>(Millones de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933.74738524000009</v>
      </c>
      <c r="C6" s="83">
        <v>1126.8441222399999</v>
      </c>
      <c r="D6" s="83">
        <v>1203.59736935</v>
      </c>
      <c r="E6" s="148">
        <v>1434.3155633599999</v>
      </c>
      <c r="F6" s="83">
        <v>801.96296129999996</v>
      </c>
      <c r="G6" s="83">
        <v>850.37569377</v>
      </c>
      <c r="H6" s="83">
        <v>831.04403335000006</v>
      </c>
    </row>
    <row r="7" spans="1:8">
      <c r="A7" s="49" t="str">
        <f>HLOOKUP(INDICE!$F$2,Nombres!$C$3:$E$853,39)</f>
        <v>Comisiones</v>
      </c>
      <c r="B7" s="149">
        <v>172.77039583999999</v>
      </c>
      <c r="C7" s="84">
        <v>218.31401308</v>
      </c>
      <c r="D7" s="84">
        <v>238.77107842999999</v>
      </c>
      <c r="E7" s="150">
        <v>271.46344892000002</v>
      </c>
      <c r="F7" s="84">
        <v>174.32400587999999</v>
      </c>
      <c r="G7" s="84">
        <v>185.78697600999999</v>
      </c>
      <c r="H7" s="84">
        <v>184.35173110000002</v>
      </c>
    </row>
    <row r="8" spans="1:8">
      <c r="A8" s="49" t="str">
        <f>HLOOKUP(INDICE!$F$2,Nombres!$C$3:$E$853,40)</f>
        <v>Resultados de operaciones financieras</v>
      </c>
      <c r="B8" s="149">
        <v>152.39999785999998</v>
      </c>
      <c r="C8" s="84">
        <v>93.268660740000001</v>
      </c>
      <c r="D8" s="84">
        <v>133.01718256999999</v>
      </c>
      <c r="E8" s="150">
        <v>103.36827239000002</v>
      </c>
      <c r="F8" s="84">
        <v>180.14843679000001</v>
      </c>
      <c r="G8" s="84">
        <v>126.06113001999999</v>
      </c>
      <c r="H8" s="84">
        <v>127.14368862000001</v>
      </c>
    </row>
    <row r="9" spans="1:8">
      <c r="A9" s="49" t="str">
        <f>HLOOKUP(INDICE!$F$2,Nombres!$C$3:$E$853,95)</f>
        <v>Otros ingresos netos</v>
      </c>
      <c r="B9" s="149">
        <v>-98.896001639999994</v>
      </c>
      <c r="C9" s="84">
        <v>-236.45299949000002</v>
      </c>
      <c r="D9" s="84">
        <v>-221.02800195</v>
      </c>
      <c r="E9" s="150">
        <v>-334.04099989000002</v>
      </c>
      <c r="F9" s="84">
        <v>2.4960008900000048</v>
      </c>
      <c r="G9" s="84">
        <v>-24.534002399999999</v>
      </c>
      <c r="H9" s="84">
        <v>-33.774000139999998</v>
      </c>
    </row>
    <row r="10" spans="1:8">
      <c r="A10" s="54" t="str">
        <f>HLOOKUP(INDICE!$F$2,Nombres!$C$3:$E$853,44)</f>
        <v>Margen bruto</v>
      </c>
      <c r="B10" s="147">
        <v>1160.0217772999999</v>
      </c>
      <c r="C10" s="83">
        <v>1201.9737965700001</v>
      </c>
      <c r="D10" s="83">
        <v>1354.3576284000001</v>
      </c>
      <c r="E10" s="148">
        <v>1475.1062847799999</v>
      </c>
      <c r="F10" s="83">
        <v>1158.9314048599999</v>
      </c>
      <c r="G10" s="83">
        <v>1137.6897974000001</v>
      </c>
      <c r="H10" s="83">
        <v>1108.76545293</v>
      </c>
    </row>
    <row r="11" spans="1:8">
      <c r="A11" s="49" t="str">
        <f>HLOOKUP(INDICE!$F$2,Nombres!$C$3:$E$853,45)</f>
        <v>Gastos de explotación</v>
      </c>
      <c r="B11" s="149">
        <v>-495.37282524</v>
      </c>
      <c r="C11" s="84">
        <v>-549.95700239000007</v>
      </c>
      <c r="D11" s="84">
        <v>-587.78621129999999</v>
      </c>
      <c r="E11" s="150">
        <v>-683.23753217000001</v>
      </c>
      <c r="F11" s="84">
        <v>-503.80813788</v>
      </c>
      <c r="G11" s="84">
        <v>-510.16875876999995</v>
      </c>
      <c r="H11" s="84">
        <v>-502.10629383999998</v>
      </c>
    </row>
    <row r="12" spans="1:8">
      <c r="A12" s="49" t="str">
        <f>HLOOKUP(INDICE!$F$2,Nombres!$C$3:$E$853,46)</f>
        <v xml:space="preserve">  Gastos de administración</v>
      </c>
      <c r="B12" s="149">
        <v>-461.40090081000005</v>
      </c>
      <c r="C12" s="84">
        <v>-510.97448812000005</v>
      </c>
      <c r="D12" s="84">
        <v>-544.57714419000001</v>
      </c>
      <c r="E12" s="150">
        <v>-619.92882350000002</v>
      </c>
      <c r="F12" s="84">
        <v>-476.95948017000001</v>
      </c>
      <c r="G12" s="84">
        <v>-483.97529839999999</v>
      </c>
      <c r="H12" s="84">
        <v>-477.41481945999999</v>
      </c>
    </row>
    <row r="13" spans="1:8">
      <c r="A13" s="88" t="str">
        <f>HLOOKUP(INDICE!$F$2,Nombres!$C$3:$E$853,47)</f>
        <v xml:space="preserve">  Gastos de personal</v>
      </c>
      <c r="B13" s="149">
        <v>-246.47326075000001</v>
      </c>
      <c r="C13" s="84">
        <v>-269.97810591000001</v>
      </c>
      <c r="D13" s="84">
        <v>-275.91583120000001</v>
      </c>
      <c r="E13" s="150">
        <v>-306.57534799000001</v>
      </c>
      <c r="F13" s="84">
        <v>-266.28986813</v>
      </c>
      <c r="G13" s="84">
        <v>-260.46039689999998</v>
      </c>
      <c r="H13" s="84">
        <v>-254.42876720999999</v>
      </c>
    </row>
    <row r="14" spans="1:8">
      <c r="A14" s="88" t="str">
        <f>HLOOKUP(INDICE!$F$2,Nombres!$C$3:$E$853,48)</f>
        <v xml:space="preserve">  Otros gastos generales de administración</v>
      </c>
      <c r="B14" s="149">
        <v>-214.92764006000002</v>
      </c>
      <c r="C14" s="84">
        <v>-240.99638220999998</v>
      </c>
      <c r="D14" s="84">
        <v>-268.66131299</v>
      </c>
      <c r="E14" s="150">
        <v>-313.35347551000001</v>
      </c>
      <c r="F14" s="84">
        <v>-210.66961203999998</v>
      </c>
      <c r="G14" s="84">
        <v>-223.51490150000001</v>
      </c>
      <c r="H14" s="84">
        <v>-222.98605225</v>
      </c>
    </row>
    <row r="15" spans="1:8" ht="13.5" customHeight="1">
      <c r="A15" s="49" t="str">
        <f>HLOOKUP(INDICE!$F$2,Nombres!$C$3:$E$853,49)</f>
        <v xml:space="preserve">  Amortizaciones</v>
      </c>
      <c r="B15" s="149">
        <v>-33.971924430000001</v>
      </c>
      <c r="C15" s="84">
        <v>-38.982514269999996</v>
      </c>
      <c r="D15" s="84">
        <v>-43.209067109999999</v>
      </c>
      <c r="E15" s="150">
        <v>-63.308708669999994</v>
      </c>
      <c r="F15" s="84">
        <v>-26.848657709999998</v>
      </c>
      <c r="G15" s="84">
        <v>-26.19346037</v>
      </c>
      <c r="H15" s="84">
        <v>-24.691474379999999</v>
      </c>
    </row>
    <row r="16" spans="1:8" ht="12.75" customHeight="1">
      <c r="A16" s="54" t="str">
        <f>HLOOKUP(INDICE!$F$2,Nombres!$C$3:$E$853,50)</f>
        <v>Margen neto</v>
      </c>
      <c r="B16" s="147">
        <v>664.64895206000006</v>
      </c>
      <c r="C16" s="83">
        <v>652.01679418000003</v>
      </c>
      <c r="D16" s="83">
        <v>766.57141709999996</v>
      </c>
      <c r="E16" s="148">
        <v>791.86875261</v>
      </c>
      <c r="F16" s="83">
        <v>655.12326698000004</v>
      </c>
      <c r="G16" s="83">
        <v>627.52103863000002</v>
      </c>
      <c r="H16" s="83">
        <v>606.65915909</v>
      </c>
    </row>
    <row r="17" spans="1:8" ht="13.5" customHeight="1">
      <c r="A17" s="49" t="str">
        <f>HLOOKUP(INDICE!$F$2,Nombres!$C$3:$E$853,51)</f>
        <v>Pérdidas por deterioro de activos financieros</v>
      </c>
      <c r="B17" s="149">
        <v>-136.50799974</v>
      </c>
      <c r="C17" s="84">
        <v>-169.58800052999999</v>
      </c>
      <c r="D17" s="84">
        <v>-199.12899853000002</v>
      </c>
      <c r="E17" s="150">
        <v>-200.77900227999999</v>
      </c>
      <c r="F17" s="84">
        <v>-136.68700078000001</v>
      </c>
      <c r="G17" s="84">
        <v>-173.26199969999999</v>
      </c>
      <c r="H17" s="84">
        <v>-139.96400033999998</v>
      </c>
    </row>
    <row r="18" spans="1:8" ht="13.5" customHeight="1">
      <c r="A18" s="49" t="str">
        <f>HLOOKUP(INDICE!$F$2,Nombres!$C$3:$E$853,160)</f>
        <v>Dotaciones a provisiones y otros resultados</v>
      </c>
      <c r="B18" s="149">
        <v>-26.665999620000001</v>
      </c>
      <c r="C18" s="84">
        <v>-27.724999830000002</v>
      </c>
      <c r="D18" s="84">
        <v>-50.473999930000005</v>
      </c>
      <c r="E18" s="150">
        <v>-113.65099844000001</v>
      </c>
      <c r="F18" s="84">
        <v>-50.379999800000007</v>
      </c>
      <c r="G18" s="84">
        <v>4.9369963400000003</v>
      </c>
      <c r="H18" s="84">
        <v>-18.59599669</v>
      </c>
    </row>
    <row r="19" spans="1:8" ht="12.75" customHeight="1">
      <c r="A19" s="54" t="str">
        <f>HLOOKUP(INDICE!$F$2,Nombres!$C$3:$E$853,54)</f>
        <v>Beneficio antes de impuestos</v>
      </c>
      <c r="B19" s="147">
        <v>501.47495270000002</v>
      </c>
      <c r="C19" s="83">
        <v>454.70379381999999</v>
      </c>
      <c r="D19" s="83">
        <v>516.96841863999998</v>
      </c>
      <c r="E19" s="148">
        <v>477.43875189000005</v>
      </c>
      <c r="F19" s="83">
        <v>468.05626639999997</v>
      </c>
      <c r="G19" s="83">
        <v>459.19603527000004</v>
      </c>
      <c r="H19" s="83">
        <v>448.09916206000003</v>
      </c>
    </row>
    <row r="20" spans="1:8" ht="13.5" customHeight="1">
      <c r="A20" s="49" t="str">
        <f>HLOOKUP(INDICE!$F$2,Nombres!$C$3:$E$853,55)</f>
        <v>Impuesto sobre beneficios</v>
      </c>
      <c r="B20" s="149">
        <v>-141.6462114</v>
      </c>
      <c r="C20" s="84">
        <v>-122.17464700000001</v>
      </c>
      <c r="D20" s="84">
        <v>-111.95383763</v>
      </c>
      <c r="E20" s="150">
        <v>-114.21240159</v>
      </c>
      <c r="F20" s="84">
        <v>-144.65542031000001</v>
      </c>
      <c r="G20" s="84">
        <v>-127.25423584000001</v>
      </c>
      <c r="H20" s="84">
        <v>-151.38297854000001</v>
      </c>
    </row>
    <row r="21" spans="1:8" ht="13.5" customHeight="1">
      <c r="A21" s="54" t="str">
        <f>HLOOKUP(INDICE!$F$2,Nombres!$C$3:$E$853,56)</f>
        <v>Beneficio después de impuestos</v>
      </c>
      <c r="B21" s="147">
        <v>359.82874129999999</v>
      </c>
      <c r="C21" s="83">
        <v>332.52914681999999</v>
      </c>
      <c r="D21" s="83">
        <v>405.01458101000003</v>
      </c>
      <c r="E21" s="148">
        <v>363.22635030000004</v>
      </c>
      <c r="F21" s="83">
        <v>323.40084608999996</v>
      </c>
      <c r="G21" s="83">
        <v>331.94179943</v>
      </c>
      <c r="H21" s="83">
        <v>296.71618352000002</v>
      </c>
    </row>
    <row r="22" spans="1:8" ht="12" customHeight="1">
      <c r="A22" s="49" t="str">
        <f>HLOOKUP(INDICE!$F$2,Nombres!$C$3:$E$853,57)</f>
        <v>Resultado atribuido a la minoría</v>
      </c>
      <c r="B22" s="149">
        <v>-116.68885356999999</v>
      </c>
      <c r="C22" s="84">
        <v>-94.868308450000001</v>
      </c>
      <c r="D22" s="84">
        <v>-132.29980065000001</v>
      </c>
      <c r="E22" s="150">
        <v>-115.8040809</v>
      </c>
      <c r="F22" s="84">
        <v>-96.096411250000003</v>
      </c>
      <c r="G22" s="84">
        <v>-84.861374560000002</v>
      </c>
      <c r="H22" s="84">
        <v>-77.874530460000003</v>
      </c>
    </row>
    <row r="23" spans="1:8" ht="14.25" customHeight="1">
      <c r="A23" s="54" t="str">
        <f>HLOOKUP(INDICE!$F$2,Nombres!$C$3:$E$853,58)</f>
        <v>Beneficio atribuido al Grupo</v>
      </c>
      <c r="B23" s="147">
        <v>243.13988773</v>
      </c>
      <c r="C23" s="83">
        <v>237.66083837000002</v>
      </c>
      <c r="D23" s="83">
        <v>272.71478035999996</v>
      </c>
      <c r="E23" s="148">
        <v>247.4222694</v>
      </c>
      <c r="F23" s="83">
        <v>227.30443484</v>
      </c>
      <c r="G23" s="83">
        <v>247.08042487</v>
      </c>
      <c r="H23" s="83">
        <v>218.84165306000003</v>
      </c>
    </row>
    <row r="24" spans="1:8" ht="13.5" customHeight="1">
      <c r="A24" s="144" t="str">
        <f>HLOOKUP(INDICE!$F$2,Nombres!$C$3:$E$853,94)</f>
        <v>Balances</v>
      </c>
      <c r="F24" s="151"/>
      <c r="G24" s="74"/>
      <c r="H24" s="74"/>
    </row>
    <row r="25" spans="1:8" ht="12.75" customHeight="1">
      <c r="A25" s="41" t="str">
        <f>HLOOKUP(INDICE!$F$2,Nombres!$C$3:$E$853,30)</f>
        <v>(Millones de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11076.496999999999</v>
      </c>
      <c r="C27" s="84">
        <v>10643.932000000001</v>
      </c>
      <c r="D27" s="84">
        <v>10717.743</v>
      </c>
      <c r="E27" s="150">
        <v>13522.715</v>
      </c>
      <c r="F27" s="84">
        <v>9786.4290000000001</v>
      </c>
      <c r="G27" s="84">
        <v>9722.4719999999998</v>
      </c>
      <c r="H27" s="84">
        <v>9869.7559999999994</v>
      </c>
    </row>
    <row r="28" spans="1:8">
      <c r="A28" s="49" t="str">
        <f>HLOOKUP(INDICE!$F$2,Nombres!$C$3:$E$853,101)</f>
        <v>Cartera de títulos</v>
      </c>
      <c r="B28" s="149">
        <v>9292.06</v>
      </c>
      <c r="C28" s="84">
        <v>9185.8220000000001</v>
      </c>
      <c r="D28" s="84">
        <v>9905.3829999999998</v>
      </c>
      <c r="E28" s="150">
        <v>10670.65</v>
      </c>
      <c r="F28" s="84">
        <v>10527.879000000001</v>
      </c>
      <c r="G28" s="84">
        <v>9736.4969999999994</v>
      </c>
      <c r="H28" s="84">
        <v>10109.148999999999</v>
      </c>
    </row>
    <row r="29" spans="1:8">
      <c r="A29" s="49" t="str">
        <f>HLOOKUP(INDICE!$F$2,Nombres!$C$3:$E$853,102)</f>
        <v>Inversiones crediticias</v>
      </c>
      <c r="B29" s="149">
        <v>47225.194265120001</v>
      </c>
      <c r="C29" s="84">
        <v>50785.556705199997</v>
      </c>
      <c r="D29" s="84">
        <v>55067.159403370002</v>
      </c>
      <c r="E29" s="150">
        <v>57212.26747929</v>
      </c>
      <c r="F29" s="84">
        <v>50427.166326270002</v>
      </c>
      <c r="G29" s="84">
        <v>49513.165076090001</v>
      </c>
      <c r="H29" s="84">
        <v>47148.657659019998</v>
      </c>
    </row>
    <row r="30" spans="1:8">
      <c r="A30" s="49" t="str">
        <f>HLOOKUP(INDICE!$F$2,Nombres!$C$3:$E$853,103)</f>
        <v xml:space="preserve">  . Crédito a la clientela neto</v>
      </c>
      <c r="B30" s="149">
        <v>42700.309265119999</v>
      </c>
      <c r="C30" s="84">
        <v>46134.538705200001</v>
      </c>
      <c r="D30" s="84">
        <v>49220.223403370001</v>
      </c>
      <c r="E30" s="150">
        <v>51302.48347929</v>
      </c>
      <c r="F30" s="84">
        <v>45799.780326270004</v>
      </c>
      <c r="G30" s="84">
        <v>45018.343076090001</v>
      </c>
      <c r="H30" s="84">
        <v>42999.368659020001</v>
      </c>
    </row>
    <row r="31" spans="1:8">
      <c r="A31" s="49" t="str">
        <f>HLOOKUP(INDICE!$F$2,Nombres!$C$3:$E$853,104)</f>
        <v xml:space="preserve">  . Depósitos en entidades de crédito y otros</v>
      </c>
      <c r="B31" s="154">
        <v>4524.8850000000002</v>
      </c>
      <c r="C31" s="84">
        <v>4651.018</v>
      </c>
      <c r="D31" s="84">
        <v>5846.9359999999997</v>
      </c>
      <c r="E31" s="150">
        <v>5909.7839999999997</v>
      </c>
      <c r="F31" s="84">
        <v>4627.3860000000004</v>
      </c>
      <c r="G31" s="84">
        <v>4494.8220000000001</v>
      </c>
      <c r="H31" s="84">
        <v>4149.2890000000007</v>
      </c>
    </row>
    <row r="32" spans="1:8">
      <c r="A32" s="49" t="str">
        <f>HLOOKUP(INDICE!$F$2,Nombres!$C$3:$E$853,106)</f>
        <v>Activo material</v>
      </c>
      <c r="B32" s="149">
        <v>795.3</v>
      </c>
      <c r="C32" s="84">
        <v>857.42399999999998</v>
      </c>
      <c r="D32" s="84">
        <v>917.69600000000003</v>
      </c>
      <c r="E32" s="150">
        <v>1062.4390000000001</v>
      </c>
      <c r="F32" s="84">
        <v>808.26400000000001</v>
      </c>
      <c r="G32" s="84">
        <v>767.375</v>
      </c>
      <c r="H32" s="84">
        <v>748.70299999999997</v>
      </c>
    </row>
    <row r="33" spans="1:8">
      <c r="A33" s="49" t="str">
        <f>HLOOKUP(INDICE!$F$2,Nombres!$C$3:$E$853,107)</f>
        <v>Otros activos</v>
      </c>
      <c r="B33" s="149">
        <v>1578.9469999999999</v>
      </c>
      <c r="C33" s="84">
        <v>1562.2728433600043</v>
      </c>
      <c r="D33" s="84">
        <v>2012.0029999999999</v>
      </c>
      <c r="E33" s="150">
        <v>1896.1379999999999</v>
      </c>
      <c r="F33" s="84">
        <v>1979.2439999999999</v>
      </c>
      <c r="G33" s="84">
        <v>1701.249</v>
      </c>
      <c r="H33" s="84">
        <v>1986.3409999999999</v>
      </c>
    </row>
    <row r="34" spans="1:8">
      <c r="A34" s="54" t="str">
        <f>HLOOKUP(INDICE!$F$2,Nombres!$C$3:$E$853,108)</f>
        <v>Total activo / pasivo</v>
      </c>
      <c r="B34" s="147">
        <v>69967.998265120012</v>
      </c>
      <c r="C34" s="83">
        <v>73035.00754856001</v>
      </c>
      <c r="D34" s="83">
        <v>78619.984403370006</v>
      </c>
      <c r="E34" s="148">
        <v>84364.209479289973</v>
      </c>
      <c r="F34" s="83">
        <v>73528.982326269979</v>
      </c>
      <c r="G34" s="83">
        <v>71440.758076090002</v>
      </c>
      <c r="H34" s="83">
        <v>69862.606659019977</v>
      </c>
    </row>
    <row r="35" spans="1:8">
      <c r="A35" s="49" t="str">
        <f>HLOOKUP(INDICE!$F$2,Nombres!$C$3:$E$853,109)</f>
        <v>Depósitos de bancos centrales y entidades de crédito</v>
      </c>
      <c r="B35" s="149">
        <v>4416.92</v>
      </c>
      <c r="C35" s="84">
        <v>4360.607</v>
      </c>
      <c r="D35" s="84">
        <v>5178.3130000000001</v>
      </c>
      <c r="E35" s="150">
        <v>5770.1620000000003</v>
      </c>
      <c r="F35" s="84">
        <v>7074.6170000000002</v>
      </c>
      <c r="G35" s="84">
        <v>6407.348</v>
      </c>
      <c r="H35" s="84">
        <v>7126.9639999999999</v>
      </c>
    </row>
    <row r="36" spans="1:8">
      <c r="A36" s="49" t="str">
        <f>HLOOKUP(INDICE!$F$2,Nombres!$C$3:$E$853,110)</f>
        <v>Depósitos de la clientela</v>
      </c>
      <c r="B36" s="149">
        <v>48058.462</v>
      </c>
      <c r="C36" s="84">
        <v>50342.773999999998</v>
      </c>
      <c r="D36" s="84">
        <v>52096.069000000003</v>
      </c>
      <c r="E36" s="150">
        <v>56369.898000000001</v>
      </c>
      <c r="F36" s="84">
        <v>44055.207999999999</v>
      </c>
      <c r="G36" s="84">
        <v>43337.52</v>
      </c>
      <c r="H36" s="84">
        <v>41168.851000000002</v>
      </c>
    </row>
    <row r="37" spans="1:8">
      <c r="A37" s="49" t="str">
        <f>HLOOKUP(INDICE!$F$2,Nombres!$C$3:$E$853,111)</f>
        <v>Débitos representados por valores negociables</v>
      </c>
      <c r="B37" s="149">
        <v>3783.181</v>
      </c>
      <c r="C37" s="84">
        <v>4266.3980000000001</v>
      </c>
      <c r="D37" s="84">
        <v>4656.8329999999996</v>
      </c>
      <c r="E37" s="150">
        <v>4676.7370000000001</v>
      </c>
      <c r="F37" s="84">
        <v>5314.7269999999999</v>
      </c>
      <c r="G37" s="84">
        <v>5119.1760000000004</v>
      </c>
      <c r="H37" s="84">
        <v>4659.7150000000001</v>
      </c>
    </row>
    <row r="38" spans="1:8" ht="13.5" customHeight="1">
      <c r="A38" s="49" t="str">
        <f>HLOOKUP(INDICE!$F$2,Nombres!$C$3:$E$853,112)</f>
        <v>Pasivos subordinados</v>
      </c>
      <c r="B38" s="149">
        <v>1243.00833878</v>
      </c>
      <c r="C38" s="84">
        <v>1262.39333878</v>
      </c>
      <c r="D38" s="84">
        <v>1540.7953384899999</v>
      </c>
      <c r="E38" s="150">
        <v>1658.23633849</v>
      </c>
      <c r="F38" s="84">
        <v>1813.877</v>
      </c>
      <c r="G38" s="84">
        <v>2056.328</v>
      </c>
      <c r="H38" s="84">
        <v>1927.05</v>
      </c>
    </row>
    <row r="39" spans="1:8">
      <c r="A39" s="49" t="str">
        <f>HLOOKUP(INDICE!$F$2,Nombres!$C$3:$E$853,114)</f>
        <v>Cartera de negociación</v>
      </c>
      <c r="B39" s="149">
        <v>1358.4760000000001</v>
      </c>
      <c r="C39" s="84">
        <v>1378.0509999999999</v>
      </c>
      <c r="D39" s="84">
        <v>2405.1080000000002</v>
      </c>
      <c r="E39" s="150">
        <v>2647.652</v>
      </c>
      <c r="F39" s="84">
        <v>3659.2510000000002</v>
      </c>
      <c r="G39" s="84">
        <v>3444.7620000000002</v>
      </c>
      <c r="H39" s="84">
        <v>4025.027</v>
      </c>
    </row>
    <row r="40" spans="1:8">
      <c r="A40" s="49" t="str">
        <f>HLOOKUP(INDICE!$F$2,Nombres!$C$3:$E$853,115)</f>
        <v>Otros pasivos</v>
      </c>
      <c r="B40" s="149">
        <v>8201.2431863400107</v>
      </c>
      <c r="C40" s="84">
        <v>8345.7137797799987</v>
      </c>
      <c r="D40" s="84">
        <v>9548.7783345300013</v>
      </c>
      <c r="E40" s="150">
        <v>9833.6735398599667</v>
      </c>
      <c r="F40" s="84">
        <v>8967.6311462699778</v>
      </c>
      <c r="G40" s="84">
        <v>8481.9305860900022</v>
      </c>
      <c r="H40" s="84">
        <v>8568.5081033099796</v>
      </c>
    </row>
    <row r="41" spans="1:8" ht="12.75" customHeight="1">
      <c r="A41" s="49" t="str">
        <f>HLOOKUP(INDICE!$F$2,Nombres!$C$3:$E$853,116)</f>
        <v>Dotación de capital económico</v>
      </c>
      <c r="B41" s="149">
        <v>2906.7077399999998</v>
      </c>
      <c r="C41" s="84">
        <v>3079.0704300000002</v>
      </c>
      <c r="D41" s="84">
        <v>3194.0877303500001</v>
      </c>
      <c r="E41" s="150">
        <v>3407.8506009399998</v>
      </c>
      <c r="F41" s="84">
        <v>2643.6711799999998</v>
      </c>
      <c r="G41" s="84">
        <v>2593.6934900000001</v>
      </c>
      <c r="H41" s="84">
        <v>2386.4915557099998</v>
      </c>
    </row>
    <row r="42" spans="1:8" ht="15" customHeight="1">
      <c r="A42" s="144" t="str">
        <f>HLOOKUP(INDICE!$F$2,Nombres!$C$3:$E$853,117)</f>
        <v>Indicadores relevantes</v>
      </c>
      <c r="F42" s="151"/>
      <c r="G42" s="74"/>
      <c r="H42" s="74"/>
    </row>
    <row r="43" spans="1:8" ht="13.5" customHeight="1">
      <c r="A43" s="144" t="str">
        <f>HLOOKUP(INDICE!$F$2,Nombres!$C$3:$E$853,201)</f>
        <v>Anexo:</v>
      </c>
      <c r="F43" s="151"/>
      <c r="G43" s="74"/>
      <c r="H43" s="74"/>
    </row>
    <row r="44" spans="1:8" ht="12.75" customHeight="1">
      <c r="A44" s="41" t="str">
        <f>HLOOKUP(INDICE!$F$2,Nombres!$C$3:$E$853,30)</f>
        <v>(Millones de euros)</v>
      </c>
      <c r="B44" s="81">
        <v>41729</v>
      </c>
      <c r="C44" s="82">
        <v>41820</v>
      </c>
      <c r="D44" s="82">
        <v>41912</v>
      </c>
      <c r="E44" s="82">
        <v>42004</v>
      </c>
      <c r="F44" s="81">
        <v>42094</v>
      </c>
      <c r="G44" s="82">
        <v>42185</v>
      </c>
      <c r="H44" s="82">
        <v>42277</v>
      </c>
    </row>
    <row r="45" spans="1:8" ht="12" customHeight="1">
      <c r="A45" s="49" t="str">
        <f>HLOOKUP(INDICE!$F$2,Nombres!$C$3:$E$853,118)</f>
        <v>Crédito a la clientela bruto (*)</v>
      </c>
      <c r="B45" s="155">
        <v>44043.607593519999</v>
      </c>
      <c r="C45" s="157">
        <v>47587.174155199995</v>
      </c>
      <c r="D45" s="157">
        <v>50700.708263899993</v>
      </c>
      <c r="E45" s="157">
        <v>52902.143479289996</v>
      </c>
      <c r="F45" s="155">
        <v>47161.17626126</v>
      </c>
      <c r="G45" s="157">
        <v>46373.367116739995</v>
      </c>
      <c r="H45" s="157">
        <v>44256.22715852</v>
      </c>
    </row>
    <row r="46" spans="1:8">
      <c r="A46" s="49" t="str">
        <f>HLOOKUP(INDICE!$F$2,Nombres!$C$3:$E$853,121)</f>
        <v>Depósitos de clientes en gestión (**)</v>
      </c>
      <c r="B46" s="155">
        <v>47944.216637589998</v>
      </c>
      <c r="C46" s="157">
        <v>49961.66284094</v>
      </c>
      <c r="D46" s="157">
        <v>52078.030258240004</v>
      </c>
      <c r="E46" s="157">
        <v>56619.618704410001</v>
      </c>
      <c r="F46" s="155">
        <v>44234.559995509997</v>
      </c>
      <c r="G46" s="157">
        <v>43284.36277634</v>
      </c>
      <c r="H46" s="157">
        <v>41362.447566080002</v>
      </c>
    </row>
    <row r="47" spans="1:8">
      <c r="A47" s="49" t="str">
        <f>HLOOKUP(INDICE!$F$2,Nombres!$C$3:$E$853,122)</f>
        <v>Fondos de inversión</v>
      </c>
      <c r="B47" s="155">
        <v>3219.7823376699998</v>
      </c>
      <c r="C47" s="157">
        <v>3170.8316486099998</v>
      </c>
      <c r="D47" s="157">
        <v>3734.8865696600001</v>
      </c>
      <c r="E47" s="157">
        <v>3847.55843465</v>
      </c>
      <c r="F47" s="155">
        <v>4399.8091765899999</v>
      </c>
      <c r="G47" s="157">
        <v>4327.66839213</v>
      </c>
      <c r="H47" s="157">
        <v>4819.6333988099996</v>
      </c>
    </row>
    <row r="48" spans="1:8">
      <c r="A48" s="49" t="str">
        <f>HLOOKUP(INDICE!$F$2,Nombres!$C$3:$E$853,206)</f>
        <v>Fondos de pensiones</v>
      </c>
      <c r="B48" s="155">
        <v>3656.4477285299999</v>
      </c>
      <c r="C48" s="157">
        <v>3828.2085989000002</v>
      </c>
      <c r="D48" s="157">
        <v>4285.0318874900004</v>
      </c>
      <c r="E48" s="157">
        <v>4631.6069399400003</v>
      </c>
      <c r="F48" s="155">
        <v>5410.9752847899999</v>
      </c>
      <c r="G48" s="157">
        <v>5381.2153253200004</v>
      </c>
      <c r="H48" s="157">
        <v>5585.62164407</v>
      </c>
    </row>
    <row r="49" spans="1:8">
      <c r="A49" s="49" t="str">
        <f>HLOOKUP(INDICE!$F$2,Nombres!$C$3:$E$853,308)</f>
        <v>Otros recursos fuera de balance</v>
      </c>
      <c r="B49" s="238">
        <v>0</v>
      </c>
      <c r="C49" s="239">
        <v>0</v>
      </c>
      <c r="D49" s="239">
        <v>0</v>
      </c>
      <c r="E49" s="239">
        <v>0</v>
      </c>
      <c r="F49" s="238">
        <v>0</v>
      </c>
      <c r="G49" s="239">
        <v>0</v>
      </c>
      <c r="H49" s="239">
        <v>0</v>
      </c>
    </row>
    <row r="50" spans="1:8">
      <c r="A50" s="156" t="str">
        <f>HLOOKUP(INDICE!$F$2,Nombres!$C$3:$E$853,307)</f>
        <v>(*) No incluye las adquisiciones temporales de activos.</v>
      </c>
      <c r="B50" s="157"/>
      <c r="C50" s="157"/>
      <c r="D50" s="157"/>
      <c r="E50" s="157"/>
      <c r="F50" s="157"/>
      <c r="G50" s="157"/>
      <c r="H50" s="157"/>
    </row>
    <row r="51" spans="1:8">
      <c r="A51" s="156" t="str">
        <f>HLOOKUP(INDICE!$F$2,Nombres!$C$3:$E$853,284)</f>
        <v>(**) No incluye las cesiones temporales de activos e incluye determinados valores negociables.</v>
      </c>
      <c r="C51"/>
      <c r="D51"/>
      <c r="E51"/>
    </row>
    <row r="52" spans="1:8" ht="18">
      <c r="A52" s="144" t="str">
        <f>HLOOKUP(INDICE!$F$2,Nombres!$C$3:$E$853,93)</f>
        <v xml:space="preserve">Cuentas de resultados  </v>
      </c>
      <c r="C52" s="145"/>
      <c r="D52" s="145"/>
      <c r="E52" s="145"/>
      <c r="G52" s="74"/>
      <c r="H52" s="74"/>
    </row>
    <row r="53" spans="1:8">
      <c r="A53" s="41" t="str">
        <f>HLOOKUP(INDICE!$F$2,Nombres!$C$3:$E$853,31)</f>
        <v>(Millones de euros constantes)</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1er Trim.</v>
      </c>
      <c r="C55" s="146" t="str">
        <f>HLOOKUP(INDICE!$F$2,Nombres!$C$3:$E$857,35)</f>
        <v>2º Trim.</v>
      </c>
      <c r="D55" s="146" t="str">
        <f>HLOOKUP(INDICE!$F$2,Nombres!$C$3:$E$857,36)</f>
        <v>3er Trim.</v>
      </c>
      <c r="E55" s="146" t="str">
        <f>HLOOKUP(INDICE!$F$2,Nombres!$C$3:$E$857,37)</f>
        <v>4º Trim.</v>
      </c>
      <c r="F55" s="146" t="str">
        <f>HLOOKUP(INDICE!$F$2,Nombres!$C$3:$E$857,34)</f>
        <v>1er Trim.</v>
      </c>
      <c r="G55" s="146" t="str">
        <f>HLOOKUP(INDICE!$F$2,Nombres!$C$3:$E$857,35)</f>
        <v>2º Trim.</v>
      </c>
      <c r="H55" s="146" t="str">
        <f>HLOOKUP(INDICE!$F$2,Nombres!$C$3:$E$857,36)</f>
        <v>3er Trim.</v>
      </c>
    </row>
    <row r="56" spans="1:8">
      <c r="A56" s="54" t="str">
        <f>HLOOKUP(INDICE!$F$2,Nombres!$C$3:$E$853,38)</f>
        <v>Margen de intereses</v>
      </c>
      <c r="B56" s="147">
        <v>680.04804070039995</v>
      </c>
      <c r="C56" s="83">
        <v>728.82406538659995</v>
      </c>
      <c r="D56" s="83">
        <v>738.4722228605001</v>
      </c>
      <c r="E56" s="148">
        <v>816.7419129514999</v>
      </c>
      <c r="F56" s="54">
        <v>776.79101709890006</v>
      </c>
      <c r="G56" s="54">
        <v>830.36788385310001</v>
      </c>
      <c r="H56" s="54">
        <v>876.22378746799995</v>
      </c>
    </row>
    <row r="57" spans="1:8">
      <c r="A57" s="49" t="str">
        <f>HLOOKUP(INDICE!$F$2,Nombres!$C$3:$E$853,39)</f>
        <v>Comisiones</v>
      </c>
      <c r="B57" s="149">
        <v>145.20071645159999</v>
      </c>
      <c r="C57" s="84">
        <v>165.1403468984</v>
      </c>
      <c r="D57" s="84">
        <v>168.36386763510001</v>
      </c>
      <c r="E57" s="150">
        <v>169.27644424760001</v>
      </c>
      <c r="F57" s="73">
        <v>169.9560365614</v>
      </c>
      <c r="G57" s="73">
        <v>182.7175166911</v>
      </c>
      <c r="H57" s="73">
        <v>191.7891597375</v>
      </c>
    </row>
    <row r="58" spans="1:8">
      <c r="A58" s="49" t="str">
        <f>HLOOKUP(INDICE!$F$2,Nombres!$C$3:$E$853,40)</f>
        <v>Resultados de operaciones financieras</v>
      </c>
      <c r="B58" s="149">
        <v>90.092963035400004</v>
      </c>
      <c r="C58" s="84">
        <v>88.349420494900002</v>
      </c>
      <c r="D58" s="84">
        <v>120.6229192326</v>
      </c>
      <c r="E58" s="150">
        <v>96.2402096422</v>
      </c>
      <c r="F58" s="73">
        <v>172.34087688689999</v>
      </c>
      <c r="G58" s="73">
        <v>127.89561613059999</v>
      </c>
      <c r="H58" s="73">
        <v>133.11676241239999</v>
      </c>
    </row>
    <row r="59" spans="1:8" ht="17.25" customHeight="1">
      <c r="A59" s="49" t="str">
        <f>HLOOKUP(INDICE!$F$2,Nombres!$C$3:$E$853,95)</f>
        <v>Otros ingresos netos</v>
      </c>
      <c r="B59" s="149">
        <v>10.952271829800001</v>
      </c>
      <c r="C59" s="84">
        <v>8.6850545060000002</v>
      </c>
      <c r="D59" s="84">
        <v>8.3160837252000004</v>
      </c>
      <c r="E59" s="150">
        <v>-4.8394453934000001</v>
      </c>
      <c r="F59" s="73">
        <v>3.3009665883000001</v>
      </c>
      <c r="G59" s="73">
        <v>-25.983769864800003</v>
      </c>
      <c r="H59" s="73">
        <v>-33.129198373599998</v>
      </c>
    </row>
    <row r="60" spans="1:8" ht="15.75" customHeight="1">
      <c r="A60" s="54" t="str">
        <f>HLOOKUP(INDICE!$F$2,Nombres!$C$3:$E$853,44)</f>
        <v>Margen bruto</v>
      </c>
      <c r="B60" s="147">
        <v>926.2939920174</v>
      </c>
      <c r="C60" s="83">
        <v>990.99888728580004</v>
      </c>
      <c r="D60" s="83">
        <v>1035.7750934533999</v>
      </c>
      <c r="E60" s="148">
        <v>1077.4191214476</v>
      </c>
      <c r="F60" s="54">
        <v>1122.3888971356</v>
      </c>
      <c r="G60" s="54">
        <v>1114.99724681</v>
      </c>
      <c r="H60" s="54">
        <v>1168.0005112444001</v>
      </c>
    </row>
    <row r="61" spans="1:8">
      <c r="A61" s="49" t="str">
        <f>HLOOKUP(INDICE!$F$2,Nombres!$C$3:$E$853,45)</f>
        <v>Gastos de explotación</v>
      </c>
      <c r="B61" s="149">
        <v>-421.70395240969998</v>
      </c>
      <c r="C61" s="84">
        <v>-437.08894863319995</v>
      </c>
      <c r="D61" s="84">
        <v>-450.19673942099996</v>
      </c>
      <c r="E61" s="150">
        <v>-467.70560997230007</v>
      </c>
      <c r="F61" s="73">
        <v>-489.46372667410003</v>
      </c>
      <c r="G61" s="73">
        <v>-498.88227756429995</v>
      </c>
      <c r="H61" s="73">
        <v>-527.7371862517</v>
      </c>
    </row>
    <row r="62" spans="1:8">
      <c r="A62" s="49" t="str">
        <f>HLOOKUP(INDICE!$F$2,Nombres!$C$3:$E$853,46)</f>
        <v xml:space="preserve">  Gastos de administración</v>
      </c>
      <c r="B62" s="149">
        <v>-397.87152984459999</v>
      </c>
      <c r="C62" s="84">
        <v>-413.85131225309999</v>
      </c>
      <c r="D62" s="84">
        <v>-425.19909970690003</v>
      </c>
      <c r="E62" s="150">
        <v>-445.32297182800005</v>
      </c>
      <c r="F62" s="73">
        <v>-463.51703973330001</v>
      </c>
      <c r="G62" s="73">
        <v>-473.10495650680002</v>
      </c>
      <c r="H62" s="73">
        <v>-501.72760179009998</v>
      </c>
    </row>
    <row r="63" spans="1:8">
      <c r="A63" s="189" t="str">
        <f>HLOOKUP(INDICE!$F$2,Nombres!$C$3:$E$853,47)</f>
        <v xml:space="preserve">  Gastos de personal</v>
      </c>
      <c r="B63" s="149">
        <v>-220.10464392839998</v>
      </c>
      <c r="C63" s="84">
        <v>-228.99144673320001</v>
      </c>
      <c r="D63" s="84">
        <v>-228.26789575139998</v>
      </c>
      <c r="E63" s="150">
        <v>-235.24423702140001</v>
      </c>
      <c r="F63" s="73">
        <v>-258.92497727399996</v>
      </c>
      <c r="G63" s="73">
        <v>-254.8109683536</v>
      </c>
      <c r="H63" s="73">
        <v>-267.44308661230002</v>
      </c>
    </row>
    <row r="64" spans="1:8">
      <c r="A64" s="189" t="str">
        <f>HLOOKUP(INDICE!$F$2,Nombres!$C$3:$E$853,48)</f>
        <v xml:space="preserve">  Otros gastos generales de administración</v>
      </c>
      <c r="B64" s="149">
        <v>-177.76688591609999</v>
      </c>
      <c r="C64" s="84">
        <v>-184.85986551969998</v>
      </c>
      <c r="D64" s="84">
        <v>-196.9312039555</v>
      </c>
      <c r="E64" s="150">
        <v>-210.0787348067</v>
      </c>
      <c r="F64" s="73">
        <v>-204.59206245920001</v>
      </c>
      <c r="G64" s="73">
        <v>-218.29398815299999</v>
      </c>
      <c r="H64" s="73">
        <v>-234.28451517780002</v>
      </c>
    </row>
    <row r="65" spans="1:8" ht="13.5" customHeight="1">
      <c r="A65" s="49" t="str">
        <f>HLOOKUP(INDICE!$F$2,Nombres!$C$3:$E$853,49)</f>
        <v xml:space="preserve">  Amortizaciones</v>
      </c>
      <c r="B65" s="149">
        <v>-23.832422565099996</v>
      </c>
      <c r="C65" s="84">
        <v>-23.237636380200001</v>
      </c>
      <c r="D65" s="84">
        <v>-24.9976397141</v>
      </c>
      <c r="E65" s="150">
        <v>-22.3826381443</v>
      </c>
      <c r="F65" s="73">
        <v>-25.946686940799999</v>
      </c>
      <c r="G65" s="73">
        <v>-25.777321057599998</v>
      </c>
      <c r="H65" s="73">
        <v>-26.009584461599999</v>
      </c>
    </row>
    <row r="66" spans="1:8" ht="14.25" customHeight="1">
      <c r="A66" s="54" t="str">
        <f>HLOOKUP(INDICE!$F$2,Nombres!$C$3:$E$853,50)</f>
        <v>Margen neto</v>
      </c>
      <c r="B66" s="147">
        <v>504.59003960780001</v>
      </c>
      <c r="C66" s="83">
        <v>553.90993865259998</v>
      </c>
      <c r="D66" s="83">
        <v>585.57835403219997</v>
      </c>
      <c r="E66" s="148">
        <v>609.71351147530004</v>
      </c>
      <c r="F66" s="54">
        <v>632.9251704615001</v>
      </c>
      <c r="G66" s="54">
        <v>616.11496924569997</v>
      </c>
      <c r="H66" s="54">
        <v>640.26332499279999</v>
      </c>
    </row>
    <row r="67" spans="1:8">
      <c r="A67" s="49" t="str">
        <f>HLOOKUP(INDICE!$F$2,Nombres!$C$3:$E$853,51)</f>
        <v>Pérdidas por deterioro de activos financieros</v>
      </c>
      <c r="B67" s="149">
        <v>-120.2822772266</v>
      </c>
      <c r="C67" s="84">
        <v>-125.09823695430001</v>
      </c>
      <c r="D67" s="84">
        <v>-134.3467737288</v>
      </c>
      <c r="E67" s="150">
        <v>-119.05881835059999</v>
      </c>
      <c r="F67" s="73">
        <v>-132.6746647768</v>
      </c>
      <c r="G67" s="73">
        <v>-168.21531539170002</v>
      </c>
      <c r="H67" s="73">
        <v>-149.02302065169999</v>
      </c>
    </row>
    <row r="68" spans="1:8" ht="16.5" customHeight="1">
      <c r="A68" s="49" t="str">
        <f>HLOOKUP(INDICE!$F$2,Nombres!$C$3:$E$853,160)</f>
        <v>Dotaciones a provisiones y otros resultados</v>
      </c>
      <c r="B68" s="149">
        <v>-11.7891396614</v>
      </c>
      <c r="C68" s="84">
        <v>-10.832357594899999</v>
      </c>
      <c r="D68" s="84">
        <v>-27.801589592300004</v>
      </c>
      <c r="E68" s="150">
        <v>-78.107833849599999</v>
      </c>
      <c r="F68" s="73">
        <v>-47.810085338600004</v>
      </c>
      <c r="G68" s="73">
        <v>2.4827723780999995</v>
      </c>
      <c r="H68" s="73">
        <v>-18.711687189399999</v>
      </c>
    </row>
    <row r="69" spans="1:8" ht="12.75" customHeight="1">
      <c r="A69" s="54" t="str">
        <f>HLOOKUP(INDICE!$F$2,Nombres!$C$3:$E$853,54)</f>
        <v>Beneficio antes de impuestos</v>
      </c>
      <c r="B69" s="147">
        <v>372.51862271970003</v>
      </c>
      <c r="C69" s="83">
        <v>417.97934410330004</v>
      </c>
      <c r="D69" s="83">
        <v>423.42999071120005</v>
      </c>
      <c r="E69" s="148">
        <v>412.54685927490004</v>
      </c>
      <c r="F69" s="54">
        <v>452.44042034619997</v>
      </c>
      <c r="G69" s="54">
        <v>450.38242623209999</v>
      </c>
      <c r="H69" s="54">
        <v>472.52861715169996</v>
      </c>
    </row>
    <row r="70" spans="1:8" ht="13.5" customHeight="1">
      <c r="A70" s="49" t="str">
        <f>HLOOKUP(INDICE!$F$2,Nombres!$C$3:$E$853,55)</f>
        <v>Impuesto sobre beneficios</v>
      </c>
      <c r="B70" s="149">
        <v>-98.355244095399996</v>
      </c>
      <c r="C70" s="84">
        <v>-102.9173271814</v>
      </c>
      <c r="D70" s="84">
        <v>-91.381013612700002</v>
      </c>
      <c r="E70" s="150">
        <v>-110.54681495209999</v>
      </c>
      <c r="F70" s="73">
        <v>-139.49529069499999</v>
      </c>
      <c r="G70" s="73">
        <v>-126.05405387659999</v>
      </c>
      <c r="H70" s="73">
        <v>-157.74329011840001</v>
      </c>
    </row>
    <row r="71" spans="1:8" ht="12.75" customHeight="1">
      <c r="A71" s="54" t="str">
        <f>HLOOKUP(INDICE!$F$2,Nombres!$C$3:$E$853,56)</f>
        <v>Beneficio después de impuestos</v>
      </c>
      <c r="B71" s="147">
        <v>274.16337862429998</v>
      </c>
      <c r="C71" s="83">
        <v>315.062016922</v>
      </c>
      <c r="D71" s="83">
        <v>332.04897709860001</v>
      </c>
      <c r="E71" s="148">
        <v>302.00004432280002</v>
      </c>
      <c r="F71" s="54">
        <v>312.94512965119998</v>
      </c>
      <c r="G71" s="54">
        <v>324.32837235560004</v>
      </c>
      <c r="H71" s="54">
        <v>314.78532703320002</v>
      </c>
    </row>
    <row r="72" spans="1:8" ht="12.75" customHeight="1">
      <c r="A72" s="49" t="str">
        <f>HLOOKUP(INDICE!$F$2,Nombres!$C$3:$E$853,57)</f>
        <v>Resultado atribuido a la minoría</v>
      </c>
      <c r="B72" s="149">
        <v>-79.451105705800003</v>
      </c>
      <c r="C72" s="84">
        <v>-88.720138037600009</v>
      </c>
      <c r="D72" s="84">
        <v>-101.8942657819</v>
      </c>
      <c r="E72" s="150">
        <v>-89.667232247699999</v>
      </c>
      <c r="F72" s="73">
        <v>-93.812494386099985</v>
      </c>
      <c r="G72" s="73">
        <v>-84.255429401900003</v>
      </c>
      <c r="H72" s="73">
        <v>-80.764392482099993</v>
      </c>
    </row>
    <row r="73" spans="1:8" ht="15" customHeight="1">
      <c r="A73" s="54" t="str">
        <f>HLOOKUP(INDICE!$F$2,Nombres!$C$3:$E$853,58)</f>
        <v>Beneficio atribuido al Grupo</v>
      </c>
      <c r="B73" s="147">
        <v>194.71227291849999</v>
      </c>
      <c r="C73" s="83">
        <v>226.34187888440002</v>
      </c>
      <c r="D73" s="83">
        <v>230.1547113167</v>
      </c>
      <c r="E73" s="148">
        <v>212.33281207499999</v>
      </c>
      <c r="F73" s="54">
        <v>219.13263526510002</v>
      </c>
      <c r="G73" s="54">
        <v>240.07294295370002</v>
      </c>
      <c r="H73" s="54">
        <v>234.02093455120001</v>
      </c>
    </row>
    <row r="74" spans="1:8" s="169" customFormat="1" ht="15" customHeight="1">
      <c r="A74" s="190"/>
      <c r="B74" s="191"/>
      <c r="C74" s="191"/>
      <c r="D74" s="191"/>
      <c r="E74" s="191"/>
      <c r="F74" s="190"/>
      <c r="G74" s="190"/>
      <c r="H74" s="190"/>
    </row>
    <row r="75" spans="1:8" ht="15.75" customHeight="1">
      <c r="A75" s="144" t="str">
        <f>HLOOKUP(INDICE!$F$2,Nombres!$C$3:$E$853,94)</f>
        <v>Balances</v>
      </c>
      <c r="G75" s="74"/>
      <c r="H75" s="74"/>
    </row>
    <row r="76" spans="1:8">
      <c r="A76" s="41" t="str">
        <f>HLOOKUP(INDICE!$F$2,Nombres!$C$3:$E$853,31)</f>
        <v>(Millones de euros constantes)</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Caja y depósitos en bancos centrales</v>
      </c>
      <c r="B78" s="149">
        <v>6746.6500957332</v>
      </c>
      <c r="C78" s="84">
        <v>6309.9119277389</v>
      </c>
      <c r="D78" s="84">
        <v>6939.7022191971</v>
      </c>
      <c r="E78" s="150">
        <v>7818.7884550583003</v>
      </c>
      <c r="F78" s="158">
        <v>8653.3685280368009</v>
      </c>
      <c r="G78" s="84">
        <v>9256.7074235076998</v>
      </c>
      <c r="H78" s="84">
        <v>9869.7559999999994</v>
      </c>
    </row>
    <row r="79" spans="1:8">
      <c r="A79" s="49" t="str">
        <f>HLOOKUP(INDICE!$F$2,Nombres!$C$3:$E$853,101)</f>
        <v>Cartera de títulos</v>
      </c>
      <c r="B79" s="149">
        <v>7040.3264300924002</v>
      </c>
      <c r="C79" s="84">
        <v>6875.6790210729996</v>
      </c>
      <c r="D79" s="84">
        <v>7642.4967206204001</v>
      </c>
      <c r="E79" s="150">
        <v>8349.4659890716994</v>
      </c>
      <c r="F79" s="158">
        <v>9182.1978437974994</v>
      </c>
      <c r="G79" s="84">
        <v>8898.3048784904004</v>
      </c>
      <c r="H79" s="84">
        <v>10109.148999999999</v>
      </c>
    </row>
    <row r="80" spans="1:8">
      <c r="A80" s="49" t="str">
        <f>HLOOKUP(INDICE!$F$2,Nombres!$C$3:$E$853,102)</f>
        <v>Inversiones crediticias</v>
      </c>
      <c r="B80" s="149">
        <v>37610.840956439097</v>
      </c>
      <c r="C80" s="84">
        <v>38980.4734507947</v>
      </c>
      <c r="D80" s="84">
        <v>40574.717220591003</v>
      </c>
      <c r="E80" s="150">
        <v>41380.725062322897</v>
      </c>
      <c r="F80" s="158">
        <v>43592.128622794597</v>
      </c>
      <c r="G80" s="84">
        <v>45392.986144110997</v>
      </c>
      <c r="H80" s="84">
        <v>47148.657659019998</v>
      </c>
    </row>
    <row r="81" spans="1:8">
      <c r="A81" s="49" t="str">
        <f>HLOOKUP(INDICE!$F$2,Nombres!$C$3:$E$853,103)</f>
        <v xml:space="preserve">  . Crédito a la clientela neto</v>
      </c>
      <c r="B81" s="149">
        <v>34750.513677864503</v>
      </c>
      <c r="C81" s="84">
        <v>36193.312813349403</v>
      </c>
      <c r="D81" s="84">
        <v>37332.245186628199</v>
      </c>
      <c r="E81" s="150">
        <v>38558.525936984399</v>
      </c>
      <c r="F81" s="158">
        <v>39565.4411624942</v>
      </c>
      <c r="G81" s="84">
        <v>41241.4253805548</v>
      </c>
      <c r="H81" s="84">
        <v>42999.368659020001</v>
      </c>
    </row>
    <row r="82" spans="1:8">
      <c r="A82" s="49" t="str">
        <f>HLOOKUP(INDICE!$F$2,Nombres!$C$3:$E$853,104)</f>
        <v xml:space="preserve">  . Depósitos en entidades de crédito y otros</v>
      </c>
      <c r="B82" s="149">
        <v>2860.3272785745999</v>
      </c>
      <c r="C82" s="84">
        <v>2787.1606374452999</v>
      </c>
      <c r="D82" s="84">
        <v>3242.4720339629002</v>
      </c>
      <c r="E82" s="150">
        <v>2822.1991253386</v>
      </c>
      <c r="F82" s="158">
        <v>4026.6874603003998</v>
      </c>
      <c r="G82" s="84">
        <v>4151.5607635562001</v>
      </c>
      <c r="H82" s="84">
        <v>4149.2890000000007</v>
      </c>
    </row>
    <row r="83" spans="1:8">
      <c r="A83" s="49" t="str">
        <f>HLOOKUP(INDICE!$F$2,Nombres!$C$3:$E$853,106)</f>
        <v>Activo material</v>
      </c>
      <c r="B83" s="149">
        <v>588.99960995239996</v>
      </c>
      <c r="C83" s="84">
        <v>604.09382871130003</v>
      </c>
      <c r="D83" s="84">
        <v>628.21655244910005</v>
      </c>
      <c r="E83" s="150">
        <v>680.07280677369999</v>
      </c>
      <c r="F83" s="158">
        <v>713.18578125830004</v>
      </c>
      <c r="G83" s="84">
        <v>721.28375409379998</v>
      </c>
      <c r="H83" s="84">
        <v>748.70299999999997</v>
      </c>
    </row>
    <row r="84" spans="1:8">
      <c r="A84" s="49" t="str">
        <f>HLOOKUP(INDICE!$F$2,Nombres!$C$3:$E$853,107)</f>
        <v>Otros activos</v>
      </c>
      <c r="B84" s="149">
        <v>1350.6098219423</v>
      </c>
      <c r="C84" s="84">
        <v>1271.4247630052</v>
      </c>
      <c r="D84" s="84">
        <v>1616.4731196056</v>
      </c>
      <c r="E84" s="150">
        <v>1430.0795960024</v>
      </c>
      <c r="F84" s="158">
        <v>1731.1321536216001</v>
      </c>
      <c r="G84" s="84">
        <v>1561.2649527827</v>
      </c>
      <c r="H84" s="84">
        <v>1986.3409999999999</v>
      </c>
    </row>
    <row r="85" spans="1:8">
      <c r="A85" s="54" t="str">
        <f>HLOOKUP(INDICE!$F$2,Nombres!$C$3:$E$853,108)</f>
        <v>Total activo / pasivo</v>
      </c>
      <c r="B85" s="147">
        <v>53337.4269141595</v>
      </c>
      <c r="C85" s="83">
        <v>54041.582991323005</v>
      </c>
      <c r="D85" s="83">
        <v>57401.605832463203</v>
      </c>
      <c r="E85" s="148">
        <v>59659.131909229007</v>
      </c>
      <c r="F85" s="147">
        <v>63872.012929508797</v>
      </c>
      <c r="G85" s="83">
        <v>65830.547152985702</v>
      </c>
      <c r="H85" s="83">
        <v>69862.606659019977</v>
      </c>
    </row>
    <row r="86" spans="1:8">
      <c r="A86" s="49" t="str">
        <f>HLOOKUP(INDICE!$F$2,Nombres!$C$3:$E$853,109)</f>
        <v>Depósitos de bancos centrales y entidades de crédito</v>
      </c>
      <c r="B86" s="149">
        <v>4262.4533481593999</v>
      </c>
      <c r="C86" s="84">
        <v>4161.2669145853997</v>
      </c>
      <c r="D86" s="84">
        <v>4841.5489852027004</v>
      </c>
      <c r="E86" s="150">
        <v>5146.1968417622002</v>
      </c>
      <c r="F86" s="158">
        <v>6197.1084846588001</v>
      </c>
      <c r="G86" s="84">
        <v>6030.6275296806998</v>
      </c>
      <c r="H86" s="84">
        <v>7126.9639999999999</v>
      </c>
    </row>
    <row r="87" spans="1:8">
      <c r="A87" s="49" t="str">
        <f>HLOOKUP(INDICE!$F$2,Nombres!$C$3:$E$853,110)</f>
        <v>Depósitos de la clientela</v>
      </c>
      <c r="B87" s="149">
        <v>34155.003742959503</v>
      </c>
      <c r="C87" s="84">
        <v>34562.1084352568</v>
      </c>
      <c r="D87" s="84">
        <v>34880.982776812503</v>
      </c>
      <c r="E87" s="150">
        <v>36460.748916862402</v>
      </c>
      <c r="F87" s="158">
        <v>38106.9651765585</v>
      </c>
      <c r="G87" s="84">
        <v>39855.750166595702</v>
      </c>
      <c r="H87" s="84">
        <v>41168.851000000002</v>
      </c>
    </row>
    <row r="88" spans="1:8">
      <c r="A88" s="49" t="str">
        <f>HLOOKUP(INDICE!$F$2,Nombres!$C$3:$E$853,111)</f>
        <v>Débitos representados por valores negociables</v>
      </c>
      <c r="B88" s="149">
        <v>3763.0549563376999</v>
      </c>
      <c r="C88" s="84">
        <v>4177.3485513047999</v>
      </c>
      <c r="D88" s="84">
        <v>4489.7673533485004</v>
      </c>
      <c r="E88" s="150">
        <v>4459.9757510678</v>
      </c>
      <c r="F88" s="158">
        <v>4656.4220463110996</v>
      </c>
      <c r="G88" s="84">
        <v>4747.6501271199004</v>
      </c>
      <c r="H88" s="84">
        <v>4659.7150000000001</v>
      </c>
    </row>
    <row r="89" spans="1:8">
      <c r="A89" s="49" t="str">
        <f>HLOOKUP(INDICE!$F$2,Nombres!$C$3:$E$853,112)</f>
        <v>Pasivos subordinados</v>
      </c>
      <c r="B89" s="149">
        <v>1178.5989568917</v>
      </c>
      <c r="C89" s="84">
        <v>1172.1464396157</v>
      </c>
      <c r="D89" s="84">
        <v>1436.2190689633001</v>
      </c>
      <c r="E89" s="150">
        <v>1549.6619295839</v>
      </c>
      <c r="F89" s="158">
        <v>1576.3993584284999</v>
      </c>
      <c r="G89" s="84">
        <v>1857.4317168579</v>
      </c>
      <c r="H89" s="84">
        <v>1927.05</v>
      </c>
    </row>
    <row r="90" spans="1:8">
      <c r="A90" s="49" t="str">
        <f>HLOOKUP(INDICE!$F$2,Nombres!$C$3:$E$853,114)</f>
        <v>Cartera de negociación</v>
      </c>
      <c r="B90" s="149">
        <v>1299.4548173763999</v>
      </c>
      <c r="C90" s="84">
        <v>1295.4152051413</v>
      </c>
      <c r="D90" s="84">
        <v>2191.6399986791998</v>
      </c>
      <c r="E90" s="150">
        <v>2416.0343231623001</v>
      </c>
      <c r="F90" s="158">
        <v>3072.2505597493</v>
      </c>
      <c r="G90" s="84">
        <v>3041.2360337907999</v>
      </c>
      <c r="H90" s="84">
        <v>4025.027</v>
      </c>
    </row>
    <row r="91" spans="1:8">
      <c r="A91" s="49" t="str">
        <f>HLOOKUP(INDICE!$F$2,Nombres!$C$3:$E$853,115)</f>
        <v>Otros pasivos</v>
      </c>
      <c r="B91" s="149">
        <v>6618.4909706926946</v>
      </c>
      <c r="C91" s="84">
        <v>6575.7935693317113</v>
      </c>
      <c r="D91" s="84">
        <v>7476.1741914052982</v>
      </c>
      <c r="E91" s="150">
        <v>7433.6776789231071</v>
      </c>
      <c r="F91" s="158">
        <v>8003.8416427011925</v>
      </c>
      <c r="G91" s="84">
        <v>7943.1639836975</v>
      </c>
      <c r="H91" s="84">
        <v>8568.5081033099796</v>
      </c>
    </row>
    <row r="92" spans="1:8" ht="15" customHeight="1">
      <c r="A92" s="49" t="str">
        <f>HLOOKUP(INDICE!$F$2,Nombres!$C$3:$E$853,116)</f>
        <v>Dotación de capital económico</v>
      </c>
      <c r="B92" s="149">
        <v>2060.3701217420999</v>
      </c>
      <c r="C92" s="84">
        <v>2097.5038760875</v>
      </c>
      <c r="D92" s="84">
        <v>2085.2734580515998</v>
      </c>
      <c r="E92" s="150">
        <v>2192.8364678672001</v>
      </c>
      <c r="F92" s="158">
        <v>2259.0256611014001</v>
      </c>
      <c r="G92" s="84">
        <v>2354.6875952433002</v>
      </c>
      <c r="H92" s="84">
        <v>2386.4915557099998</v>
      </c>
    </row>
    <row r="93" spans="1:8" ht="12" customHeight="1">
      <c r="A93" s="144" t="str">
        <f>HLOOKUP(INDICE!$F$2,Nombres!$C$3:$E$853,117)</f>
        <v>Indicadores relevantes</v>
      </c>
      <c r="G93" s="74"/>
      <c r="H93" s="74"/>
    </row>
    <row r="94" spans="1:8" ht="18">
      <c r="A94" s="144" t="str">
        <f>HLOOKUP(INDICE!$F$2,Nombres!$C$3:$E$853,201)</f>
        <v>Anexo:</v>
      </c>
      <c r="G94" s="74"/>
      <c r="H94" s="74"/>
    </row>
    <row r="95" spans="1:8" ht="12" customHeight="1">
      <c r="A95" s="41" t="str">
        <f>HLOOKUP(INDICE!$F$2,Nombres!$C$3:$E$853,31)</f>
        <v>(Millones de euros constantes)</v>
      </c>
    </row>
    <row r="96" spans="1:8" ht="11.25" customHeight="1">
      <c r="A96"/>
      <c r="B96" s="81">
        <v>41729</v>
      </c>
      <c r="C96" s="82">
        <v>41820</v>
      </c>
      <c r="D96" s="82">
        <v>41912</v>
      </c>
      <c r="E96" s="82">
        <v>42004</v>
      </c>
      <c r="F96" s="81">
        <v>42094</v>
      </c>
      <c r="G96" s="82">
        <v>42185</v>
      </c>
      <c r="H96" s="82">
        <v>42277</v>
      </c>
    </row>
    <row r="97" spans="1:8">
      <c r="A97" s="49" t="str">
        <f>HLOOKUP(INDICE!$F$2,Nombres!$C$3:$E$853,118)</f>
        <v>Crédito a la clientela bruto (*)</v>
      </c>
      <c r="B97" s="155">
        <v>35844.155342925107</v>
      </c>
      <c r="C97" s="157">
        <v>37323.843567747193</v>
      </c>
      <c r="D97" s="157">
        <v>38423.454681921401</v>
      </c>
      <c r="E97" s="157">
        <v>39729.978118884399</v>
      </c>
      <c r="F97" s="155">
        <v>40753.634926259205</v>
      </c>
      <c r="G97" s="157">
        <v>42494.780675625792</v>
      </c>
      <c r="H97" s="157">
        <v>44256.22715852</v>
      </c>
    </row>
    <row r="98" spans="1:8">
      <c r="A98" s="49" t="str">
        <f>HLOOKUP(INDICE!$F$2,Nombres!$C$3:$E$853,121)</f>
        <v>Depósitos de clientes en gestión (**)</v>
      </c>
      <c r="B98" s="155">
        <v>34114.071435504498</v>
      </c>
      <c r="C98" s="157">
        <v>34273.721986151701</v>
      </c>
      <c r="D98" s="157">
        <v>34935.492328520202</v>
      </c>
      <c r="E98" s="157">
        <v>36651.724843403303</v>
      </c>
      <c r="F98" s="155">
        <v>38219.614602121699</v>
      </c>
      <c r="G98" s="157">
        <v>39761.083267438502</v>
      </c>
      <c r="H98" s="157">
        <v>41362.447566080002</v>
      </c>
    </row>
    <row r="99" spans="1:8">
      <c r="A99" s="49" t="str">
        <f>HLOOKUP(INDICE!$F$2,Nombres!$C$3:$E$853,122)</f>
        <v>Fondos de inversión</v>
      </c>
      <c r="B99" s="155">
        <v>3103.1986242386001</v>
      </c>
      <c r="C99" s="157">
        <v>3012.8027524876002</v>
      </c>
      <c r="D99" s="157">
        <v>3487.1875105569002</v>
      </c>
      <c r="E99" s="157">
        <v>3634.4457817908001</v>
      </c>
      <c r="F99" s="155">
        <v>3844.0915249604</v>
      </c>
      <c r="G99" s="157">
        <v>4014.0851565464</v>
      </c>
      <c r="H99" s="157">
        <v>4819.6333988099996</v>
      </c>
    </row>
    <row r="100" spans="1:8">
      <c r="A100" s="49" t="str">
        <f>HLOOKUP(INDICE!$F$2,Nombres!$C$3:$E$853,206)</f>
        <v>Fondos de pensiones</v>
      </c>
      <c r="B100" s="155">
        <v>4500.1629653107002</v>
      </c>
      <c r="C100" s="157">
        <v>4667.1353780621002</v>
      </c>
      <c r="D100" s="157">
        <v>4812.8600669691004</v>
      </c>
      <c r="E100" s="157">
        <v>5019.3939603647996</v>
      </c>
      <c r="F100" s="155">
        <v>5196.5219081146997</v>
      </c>
      <c r="G100" s="157">
        <v>5374.5168378771004</v>
      </c>
      <c r="H100" s="157">
        <v>5585.62164407</v>
      </c>
    </row>
    <row r="101" spans="1:8">
      <c r="A101" s="49" t="str">
        <f>HLOOKUP(INDICE!$F$2,Nombres!$C$3:$E$853,308)</f>
        <v>Otros recursos fuera de balance</v>
      </c>
      <c r="B101" s="238">
        <v>0</v>
      </c>
      <c r="C101" s="239">
        <v>0</v>
      </c>
      <c r="D101" s="239">
        <v>0</v>
      </c>
      <c r="E101" s="239">
        <v>0</v>
      </c>
      <c r="F101" s="238">
        <v>0</v>
      </c>
      <c r="G101" s="239">
        <v>0</v>
      </c>
      <c r="H101" s="239">
        <v>0</v>
      </c>
    </row>
    <row r="102" spans="1:8">
      <c r="A102" s="156" t="str">
        <f>HLOOKUP(INDICE!$F$2,Nombres!$C$3:$E$853,307)</f>
        <v>(*) No incluye las adquisiciones temporales de activos.</v>
      </c>
      <c r="B102" s="72"/>
      <c r="C102" s="73"/>
      <c r="D102" s="73"/>
      <c r="E102" s="73"/>
      <c r="F102" s="73"/>
    </row>
    <row r="103" spans="1:8">
      <c r="A103" s="156" t="str">
        <f>HLOOKUP(INDICE!$F$2,Nombres!$C$3:$E$853,284)</f>
        <v>(**) No incluye las cesiones temporales de activos e incluye determinados valores negociables.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H103"/>
  <sheetViews>
    <sheetView showGridLines="0" topLeftCell="A7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HLOOKUP(INDICE!$F$2,Nombres!$C$3:$E$853,15)</f>
        <v>Argentina</v>
      </c>
    </row>
    <row r="2" spans="1:8" ht="18" customHeight="1">
      <c r="A2" s="144" t="str">
        <f>HLOOKUP(INDICE!$F$2,Nombres!$C$3:$E$853,93)</f>
        <v xml:space="preserve">Cuentas de resultados  </v>
      </c>
    </row>
    <row r="3" spans="1:8">
      <c r="A3" s="41" t="str">
        <f>HLOOKUP(INDICE!$F$2,Nombres!$C$3:$E$853,30)</f>
        <v>(Millones de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125.44400015000001</v>
      </c>
      <c r="C6" s="83">
        <v>137.81756781999999</v>
      </c>
      <c r="D6" s="83">
        <v>160.00803138000001</v>
      </c>
      <c r="E6" s="148">
        <v>183.97694009000003</v>
      </c>
      <c r="F6" s="83">
        <v>202.79400002</v>
      </c>
      <c r="G6" s="83">
        <v>212.67900044000004</v>
      </c>
      <c r="H6" s="83">
        <v>211.12399956000002</v>
      </c>
    </row>
    <row r="7" spans="1:8">
      <c r="A7" s="49" t="str">
        <f>HLOOKUP(INDICE!$F$2,Nombres!$C$3:$E$853,39)</f>
        <v>Comisiones</v>
      </c>
      <c r="B7" s="149">
        <v>43.566999420000002</v>
      </c>
      <c r="C7" s="84">
        <v>47.408477509999997</v>
      </c>
      <c r="D7" s="84">
        <v>49.11245555</v>
      </c>
      <c r="E7" s="150">
        <v>43.623467329999997</v>
      </c>
      <c r="F7" s="84">
        <v>59.147998489999992</v>
      </c>
      <c r="G7" s="84">
        <v>62.210002549999999</v>
      </c>
      <c r="H7" s="84">
        <v>59.868497609999991</v>
      </c>
    </row>
    <row r="8" spans="1:8">
      <c r="A8" s="49" t="str">
        <f>HLOOKUP(INDICE!$F$2,Nombres!$C$3:$E$853,40)</f>
        <v>Resultados de operaciones financieras</v>
      </c>
      <c r="B8" s="149">
        <v>22.36300065</v>
      </c>
      <c r="C8" s="84">
        <v>30.643998799999999</v>
      </c>
      <c r="D8" s="84">
        <v>35.500001239999996</v>
      </c>
      <c r="E8" s="150">
        <v>35.614999519999998</v>
      </c>
      <c r="F8" s="84">
        <v>26.496000559999999</v>
      </c>
      <c r="G8" s="84">
        <v>20.154998619999997</v>
      </c>
      <c r="H8" s="84">
        <v>26.248000510000001</v>
      </c>
    </row>
    <row r="9" spans="1:8">
      <c r="A9" s="49" t="str">
        <f>HLOOKUP(INDICE!$F$2,Nombres!$C$3:$E$853,95)</f>
        <v>Otros ingresos netos</v>
      </c>
      <c r="B9" s="149">
        <v>17.174999</v>
      </c>
      <c r="C9" s="84">
        <v>19.938001440000001</v>
      </c>
      <c r="D9" s="84">
        <v>23.617999739999998</v>
      </c>
      <c r="E9" s="150">
        <v>21.069999359999997</v>
      </c>
      <c r="F9" s="84">
        <v>20.01699962</v>
      </c>
      <c r="G9" s="84">
        <v>20.262002330000001</v>
      </c>
      <c r="H9" s="84">
        <v>26.979998720000005</v>
      </c>
    </row>
    <row r="10" spans="1:8">
      <c r="A10" s="54" t="str">
        <f>HLOOKUP(INDICE!$F$2,Nombres!$C$3:$E$853,44)</f>
        <v>Margen bruto</v>
      </c>
      <c r="B10" s="147">
        <v>208.54899921999998</v>
      </c>
      <c r="C10" s="83">
        <v>235.80804556999999</v>
      </c>
      <c r="D10" s="83">
        <v>268.23848791</v>
      </c>
      <c r="E10" s="148">
        <v>284.28540629999998</v>
      </c>
      <c r="F10" s="83">
        <v>308.45499869000002</v>
      </c>
      <c r="G10" s="83">
        <v>315.30600393999998</v>
      </c>
      <c r="H10" s="83">
        <v>324.2204964</v>
      </c>
    </row>
    <row r="11" spans="1:8">
      <c r="A11" s="49" t="str">
        <f>HLOOKUP(INDICE!$F$2,Nombres!$C$3:$E$853,45)</f>
        <v>Gastos de explotación</v>
      </c>
      <c r="B11" s="149">
        <v>-109.90145151999999</v>
      </c>
      <c r="C11" s="84">
        <v>-117.72843919</v>
      </c>
      <c r="D11" s="84">
        <v>-116.03044022</v>
      </c>
      <c r="E11" s="150">
        <v>-129.87244572</v>
      </c>
      <c r="F11" s="84">
        <v>-159.75652811999998</v>
      </c>
      <c r="G11" s="84">
        <v>-161.46652796000001</v>
      </c>
      <c r="H11" s="84">
        <v>-165.48752489999998</v>
      </c>
    </row>
    <row r="12" spans="1:8">
      <c r="A12" s="49" t="str">
        <f>HLOOKUP(INDICE!$F$2,Nombres!$C$3:$E$853,46)</f>
        <v xml:space="preserve">  Gastos de administración</v>
      </c>
      <c r="B12" s="149">
        <v>-106.09545211</v>
      </c>
      <c r="C12" s="84">
        <v>-114.00543992999999</v>
      </c>
      <c r="D12" s="84">
        <v>-111.91343963999999</v>
      </c>
      <c r="E12" s="150">
        <v>-125.03144452000001</v>
      </c>
      <c r="F12" s="84">
        <v>-154.20552809</v>
      </c>
      <c r="G12" s="84">
        <v>-154.62952937</v>
      </c>
      <c r="H12" s="84">
        <v>-159.68552447000002</v>
      </c>
    </row>
    <row r="13" spans="1:8">
      <c r="A13" s="88" t="str">
        <f>HLOOKUP(INDICE!$F$2,Nombres!$C$3:$E$853,47)</f>
        <v xml:space="preserve">  Gastos de personal</v>
      </c>
      <c r="B13" s="149">
        <v>-57.540000259999999</v>
      </c>
      <c r="C13" s="84">
        <v>-64.295000689999995</v>
      </c>
      <c r="D13" s="84">
        <v>-57.866997689999998</v>
      </c>
      <c r="E13" s="150">
        <v>-68.282001070000007</v>
      </c>
      <c r="F13" s="84">
        <v>-89.47300036</v>
      </c>
      <c r="G13" s="84">
        <v>-84.586000330000005</v>
      </c>
      <c r="H13" s="84">
        <v>-86.3439999</v>
      </c>
    </row>
    <row r="14" spans="1:8">
      <c r="A14" s="88" t="str">
        <f>HLOOKUP(INDICE!$F$2,Nombres!$C$3:$E$853,48)</f>
        <v xml:space="preserve">  Otros gastos generales de administración</v>
      </c>
      <c r="B14" s="149">
        <v>-48.555451849999997</v>
      </c>
      <c r="C14" s="84">
        <v>-49.710439239999999</v>
      </c>
      <c r="D14" s="84">
        <v>-54.046441950000002</v>
      </c>
      <c r="E14" s="150">
        <v>-56.749443450000001</v>
      </c>
      <c r="F14" s="84">
        <v>-64.732527730000001</v>
      </c>
      <c r="G14" s="84">
        <v>-70.043529039999996</v>
      </c>
      <c r="H14" s="84">
        <v>-73.34152456999999</v>
      </c>
    </row>
    <row r="15" spans="1:8" ht="13.5" customHeight="1">
      <c r="A15" s="49" t="str">
        <f>HLOOKUP(INDICE!$F$2,Nombres!$C$3:$E$853,49)</f>
        <v xml:space="preserve">  Amortizaciones</v>
      </c>
      <c r="B15" s="149">
        <v>-3.8059994100000001</v>
      </c>
      <c r="C15" s="84">
        <v>-3.7229992599999999</v>
      </c>
      <c r="D15" s="84">
        <v>-4.11700058</v>
      </c>
      <c r="E15" s="150">
        <v>-4.8410012</v>
      </c>
      <c r="F15" s="84">
        <v>-5.55100003</v>
      </c>
      <c r="G15" s="84">
        <v>-6.8369985900000003</v>
      </c>
      <c r="H15" s="84">
        <v>-5.8020004299999997</v>
      </c>
    </row>
    <row r="16" spans="1:8" ht="12.75" customHeight="1">
      <c r="A16" s="54" t="str">
        <f>HLOOKUP(INDICE!$F$2,Nombres!$C$3:$E$853,50)</f>
        <v>Margen neto</v>
      </c>
      <c r="B16" s="147">
        <v>98.64754769999999</v>
      </c>
      <c r="C16" s="83">
        <v>118.07960638</v>
      </c>
      <c r="D16" s="83">
        <v>152.20804769</v>
      </c>
      <c r="E16" s="148">
        <v>154.41296058</v>
      </c>
      <c r="F16" s="83">
        <v>148.69847056999998</v>
      </c>
      <c r="G16" s="83">
        <v>153.83947598</v>
      </c>
      <c r="H16" s="83">
        <v>158.73297149999999</v>
      </c>
    </row>
    <row r="17" spans="1:8" ht="13.5" customHeight="1">
      <c r="A17" s="49" t="str">
        <f>HLOOKUP(INDICE!$F$2,Nombres!$C$3:$E$853,51)</f>
        <v>Pérdidas por deterioro de activos financieros</v>
      </c>
      <c r="B17" s="149">
        <v>-10.187999829999999</v>
      </c>
      <c r="C17" s="84">
        <v>-14.063000109999999</v>
      </c>
      <c r="D17" s="84">
        <v>-15.703000289999999</v>
      </c>
      <c r="E17" s="150">
        <v>-12.84400014</v>
      </c>
      <c r="F17" s="84">
        <v>-15.01099979</v>
      </c>
      <c r="G17" s="84">
        <v>-21.683000249999999</v>
      </c>
      <c r="H17" s="84">
        <v>-11.0559998</v>
      </c>
    </row>
    <row r="18" spans="1:8" ht="13.5" customHeight="1">
      <c r="A18" s="49" t="str">
        <f>HLOOKUP(INDICE!$F$2,Nombres!$C$3:$E$853,160)</f>
        <v>Dotaciones a provisiones y otros resultados</v>
      </c>
      <c r="B18" s="149">
        <v>-7.026999420000001</v>
      </c>
      <c r="C18" s="84">
        <v>-7.3089997400000009</v>
      </c>
      <c r="D18" s="84">
        <v>-28.867000990000001</v>
      </c>
      <c r="E18" s="150">
        <v>-8.9359997799999995</v>
      </c>
      <c r="F18" s="84">
        <v>-14.554001299999999</v>
      </c>
      <c r="G18" s="84">
        <v>-8.6759996800000003</v>
      </c>
      <c r="H18" s="84">
        <v>-7.4649989800000007</v>
      </c>
    </row>
    <row r="19" spans="1:8" ht="12.75" customHeight="1">
      <c r="A19" s="54" t="str">
        <f>HLOOKUP(INDICE!$F$2,Nombres!$C$3:$E$853,54)</f>
        <v>Beneficio antes de impuestos</v>
      </c>
      <c r="B19" s="147">
        <v>81.432548449999999</v>
      </c>
      <c r="C19" s="83">
        <v>96.707606530000007</v>
      </c>
      <c r="D19" s="83">
        <v>107.63804641</v>
      </c>
      <c r="E19" s="148">
        <v>132.63296066000001</v>
      </c>
      <c r="F19" s="83">
        <v>119.13346948</v>
      </c>
      <c r="G19" s="83">
        <v>123.48047604999999</v>
      </c>
      <c r="H19" s="83">
        <v>140.21197272000001</v>
      </c>
    </row>
    <row r="20" spans="1:8" ht="13.5" customHeight="1">
      <c r="A20" s="49" t="str">
        <f>HLOOKUP(INDICE!$F$2,Nombres!$C$3:$E$853,55)</f>
        <v>Impuesto sobre beneficios</v>
      </c>
      <c r="B20" s="149">
        <v>-25.47254186</v>
      </c>
      <c r="C20" s="84">
        <v>-31.119912299999999</v>
      </c>
      <c r="D20" s="84">
        <v>-35.419491610000001</v>
      </c>
      <c r="E20" s="150">
        <v>-44.275344359999998</v>
      </c>
      <c r="F20" s="84">
        <v>-40.925165810000003</v>
      </c>
      <c r="G20" s="84">
        <v>-41.028465619999999</v>
      </c>
      <c r="H20" s="84">
        <v>-46.536398770000005</v>
      </c>
    </row>
    <row r="21" spans="1:8" ht="13.5" customHeight="1">
      <c r="A21" s="54" t="str">
        <f>HLOOKUP(INDICE!$F$2,Nombres!$C$3:$E$853,56)</f>
        <v>Beneficio después de impuestos</v>
      </c>
      <c r="B21" s="147">
        <v>55.960006589999992</v>
      </c>
      <c r="C21" s="83">
        <v>65.587694229999997</v>
      </c>
      <c r="D21" s="83">
        <v>72.218554800000007</v>
      </c>
      <c r="E21" s="148">
        <v>88.357616300000004</v>
      </c>
      <c r="F21" s="83">
        <v>78.208303669999992</v>
      </c>
      <c r="G21" s="83">
        <v>82.452010430000001</v>
      </c>
      <c r="H21" s="83">
        <v>93.67557395</v>
      </c>
    </row>
    <row r="22" spans="1:8" ht="12" customHeight="1">
      <c r="A22" s="49" t="str">
        <f>HLOOKUP(INDICE!$F$2,Nombres!$C$3:$E$853,57)</f>
        <v>Resultado atribuido a la minoría</v>
      </c>
      <c r="B22" s="149">
        <v>-13.06063529</v>
      </c>
      <c r="C22" s="84">
        <v>-15.07024974</v>
      </c>
      <c r="D22" s="84">
        <v>-17.166348670000001</v>
      </c>
      <c r="E22" s="150">
        <v>-20.1620043</v>
      </c>
      <c r="F22" s="84">
        <v>-17.969984</v>
      </c>
      <c r="G22" s="84">
        <v>-19.011412010000001</v>
      </c>
      <c r="H22" s="84">
        <v>-20.70652011</v>
      </c>
    </row>
    <row r="23" spans="1:8" ht="14.25" customHeight="1">
      <c r="A23" s="54" t="str">
        <f>HLOOKUP(INDICE!$F$2,Nombres!$C$3:$E$853,58)</f>
        <v>Beneficio atribuido al Grupo</v>
      </c>
      <c r="B23" s="147">
        <v>42.899371299999999</v>
      </c>
      <c r="C23" s="83">
        <v>50.517444490000003</v>
      </c>
      <c r="D23" s="83">
        <v>55.052206130000002</v>
      </c>
      <c r="E23" s="148">
        <v>68.195611999999997</v>
      </c>
      <c r="F23" s="83">
        <v>60.238319670000003</v>
      </c>
      <c r="G23" s="83">
        <v>63.440598420000001</v>
      </c>
      <c r="H23" s="83">
        <v>72.969053840000001</v>
      </c>
    </row>
    <row r="24" spans="1:8" ht="13.5" customHeight="1">
      <c r="A24" s="144" t="str">
        <f>HLOOKUP(INDICE!$F$2,Nombres!$C$3:$E$853,94)</f>
        <v>Balances</v>
      </c>
      <c r="F24" s="151"/>
      <c r="G24" s="74"/>
      <c r="H24" s="74"/>
    </row>
    <row r="25" spans="1:8" ht="12.75" customHeight="1">
      <c r="A25" s="41" t="str">
        <f>HLOOKUP(INDICE!$F$2,Nombres!$C$3:$E$853,30)</f>
        <v>(Millones de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1148.788</v>
      </c>
      <c r="C27" s="84">
        <v>1210.155</v>
      </c>
      <c r="D27" s="84">
        <v>1328.9680000000001</v>
      </c>
      <c r="E27" s="150">
        <v>1266.1130000000001</v>
      </c>
      <c r="F27" s="84">
        <v>1376.0239999999999</v>
      </c>
      <c r="G27" s="84">
        <v>1266.1610000000001</v>
      </c>
      <c r="H27" s="84">
        <v>1354.3009999999999</v>
      </c>
    </row>
    <row r="28" spans="1:8">
      <c r="A28" s="49" t="str">
        <f>HLOOKUP(INDICE!$F$2,Nombres!$C$3:$E$853,101)</f>
        <v>Cartera de títulos</v>
      </c>
      <c r="B28" s="149">
        <v>547.11699999999996</v>
      </c>
      <c r="C28" s="84">
        <v>712.94299999999998</v>
      </c>
      <c r="D28" s="84">
        <v>681.47500000000002</v>
      </c>
      <c r="E28" s="150">
        <v>1022.58</v>
      </c>
      <c r="F28" s="84">
        <v>1325.0840000000001</v>
      </c>
      <c r="G28" s="84">
        <v>1385.9190000000001</v>
      </c>
      <c r="H28" s="84">
        <v>1313.8420000000001</v>
      </c>
    </row>
    <row r="29" spans="1:8">
      <c r="A29" s="49" t="str">
        <f>HLOOKUP(INDICE!$F$2,Nombres!$C$3:$E$853,102)</f>
        <v>Inversiones crediticias</v>
      </c>
      <c r="B29" s="149">
        <v>3581.1280000000002</v>
      </c>
      <c r="C29" s="84">
        <v>3673.4850000000001</v>
      </c>
      <c r="D29" s="84">
        <v>4145.8469999999998</v>
      </c>
      <c r="E29" s="150">
        <v>4345.2370000000001</v>
      </c>
      <c r="F29" s="84">
        <v>5125.7910000000002</v>
      </c>
      <c r="G29" s="84">
        <v>5214.848</v>
      </c>
      <c r="H29" s="84">
        <v>5271.46</v>
      </c>
    </row>
    <row r="30" spans="1:8">
      <c r="A30" s="49" t="str">
        <f>HLOOKUP(INDICE!$F$2,Nombres!$C$3:$E$853,103)</f>
        <v xml:space="preserve">  . Crédito a la clientela neto</v>
      </c>
      <c r="B30" s="149">
        <v>3140.5770000000002</v>
      </c>
      <c r="C30" s="84">
        <v>3268.701</v>
      </c>
      <c r="D30" s="84">
        <v>3691.232</v>
      </c>
      <c r="E30" s="150">
        <v>3905.8820000000001</v>
      </c>
      <c r="F30" s="84">
        <v>4474.2259999999997</v>
      </c>
      <c r="G30" s="84">
        <v>4584.3559999999998</v>
      </c>
      <c r="H30" s="84">
        <v>4666.6639999999998</v>
      </c>
    </row>
    <row r="31" spans="1:8">
      <c r="A31" s="49" t="str">
        <f>HLOOKUP(INDICE!$F$2,Nombres!$C$3:$E$853,104)</f>
        <v xml:space="preserve">  . Depósitos en entidades de crédito y otros</v>
      </c>
      <c r="B31" s="154">
        <v>440.55099999999999</v>
      </c>
      <c r="C31" s="84">
        <v>404.78399999999999</v>
      </c>
      <c r="D31" s="84">
        <v>454.61500000000001</v>
      </c>
      <c r="E31" s="150">
        <v>439.35500000000002</v>
      </c>
      <c r="F31" s="84">
        <v>651.56500000000005</v>
      </c>
      <c r="G31" s="84">
        <v>630.49199999999996</v>
      </c>
      <c r="H31" s="84">
        <v>604.79600000000005</v>
      </c>
    </row>
    <row r="32" spans="1:8">
      <c r="A32" s="49" t="str">
        <f>HLOOKUP(INDICE!$F$2,Nombres!$C$3:$E$853,106)</f>
        <v>Activo material</v>
      </c>
      <c r="B32" s="149">
        <v>134.72900000000001</v>
      </c>
      <c r="C32" s="84">
        <v>148.25399999999999</v>
      </c>
      <c r="D32" s="84">
        <v>173.66399999999999</v>
      </c>
      <c r="E32" s="150">
        <v>201.26400000000001</v>
      </c>
      <c r="F32" s="84">
        <v>231.904</v>
      </c>
      <c r="G32" s="84">
        <v>231.45500000000001</v>
      </c>
      <c r="H32" s="84">
        <v>231.46700000000001</v>
      </c>
    </row>
    <row r="33" spans="1:8">
      <c r="A33" s="49" t="str">
        <f>HLOOKUP(INDICE!$F$2,Nombres!$C$3:$E$853,107)</f>
        <v>Otros activos</v>
      </c>
      <c r="B33" s="149">
        <v>162.47200000000001</v>
      </c>
      <c r="C33" s="84">
        <v>170.084</v>
      </c>
      <c r="D33" s="84">
        <v>177.751</v>
      </c>
      <c r="E33" s="150">
        <v>184.27363459999879</v>
      </c>
      <c r="F33" s="84">
        <v>185.89599999999999</v>
      </c>
      <c r="G33" s="84">
        <v>201.86099999999999</v>
      </c>
      <c r="H33" s="84">
        <v>205.613</v>
      </c>
    </row>
    <row r="34" spans="1:8">
      <c r="A34" s="54" t="str">
        <f>HLOOKUP(INDICE!$F$2,Nombres!$C$3:$E$853,108)</f>
        <v>Total activo / pasivo</v>
      </c>
      <c r="B34" s="147">
        <v>5574.2340000000004</v>
      </c>
      <c r="C34" s="83">
        <v>5914.9209999999994</v>
      </c>
      <c r="D34" s="83">
        <v>6507.7049999999999</v>
      </c>
      <c r="E34" s="148">
        <v>7019.4676345999997</v>
      </c>
      <c r="F34" s="83">
        <v>8244.6990000000005</v>
      </c>
      <c r="G34" s="83">
        <v>8300.2440000000006</v>
      </c>
      <c r="H34" s="83">
        <v>8376.6829999999991</v>
      </c>
    </row>
    <row r="35" spans="1:8">
      <c r="A35" s="49" t="str">
        <f>HLOOKUP(INDICE!$F$2,Nombres!$C$3:$E$853,109)</f>
        <v>Depósitos de bancos centrales y entidades de crédito</v>
      </c>
      <c r="B35" s="149">
        <v>28.983000000000001</v>
      </c>
      <c r="C35" s="84">
        <v>54.372</v>
      </c>
      <c r="D35" s="84">
        <v>61.680999999999997</v>
      </c>
      <c r="E35" s="150">
        <v>58.29</v>
      </c>
      <c r="F35" s="84">
        <v>66.111000000000004</v>
      </c>
      <c r="G35" s="84">
        <v>183.21100000000001</v>
      </c>
      <c r="H35" s="84">
        <v>96.549000000000007</v>
      </c>
    </row>
    <row r="36" spans="1:8">
      <c r="A36" s="49" t="str">
        <f>HLOOKUP(INDICE!$F$2,Nombres!$C$3:$E$853,110)</f>
        <v>Depósitos de la clientela</v>
      </c>
      <c r="B36" s="149">
        <v>4060.9560000000001</v>
      </c>
      <c r="C36" s="84">
        <v>4318.116</v>
      </c>
      <c r="D36" s="84">
        <v>4660.49</v>
      </c>
      <c r="E36" s="150">
        <v>4945.3029999999999</v>
      </c>
      <c r="F36" s="84">
        <v>5829.348</v>
      </c>
      <c r="G36" s="84">
        <v>5895.0290000000005</v>
      </c>
      <c r="H36" s="84">
        <v>5973.1719999999996</v>
      </c>
    </row>
    <row r="37" spans="1:8">
      <c r="A37" s="49" t="str">
        <f>HLOOKUP(INDICE!$F$2,Nombres!$C$3:$E$853,111)</f>
        <v>Débitos representados por valores negociables</v>
      </c>
      <c r="B37" s="149">
        <v>95.031000000000006</v>
      </c>
      <c r="C37" s="84">
        <v>93.534999999999997</v>
      </c>
      <c r="D37" s="84">
        <v>137.26400000000001</v>
      </c>
      <c r="E37" s="150">
        <v>163.05500000000001</v>
      </c>
      <c r="F37" s="84">
        <v>179.74600000000001</v>
      </c>
      <c r="G37" s="84">
        <v>157.94999999999999</v>
      </c>
      <c r="H37" s="84">
        <v>147.13999999999999</v>
      </c>
    </row>
    <row r="38" spans="1:8" ht="13.5" customHeight="1">
      <c r="A38" s="49" t="str">
        <f>HLOOKUP(INDICE!$F$2,Nombres!$C$3:$E$853,112)</f>
        <v>Pasivos subordinados</v>
      </c>
      <c r="B38" s="241">
        <v>0</v>
      </c>
      <c r="C38" s="236">
        <v>0</v>
      </c>
      <c r="D38" s="236">
        <v>0</v>
      </c>
      <c r="E38" s="237">
        <v>0</v>
      </c>
      <c r="F38" s="236">
        <v>0</v>
      </c>
      <c r="G38" s="236">
        <v>0</v>
      </c>
      <c r="H38" s="236">
        <v>0</v>
      </c>
    </row>
    <row r="39" spans="1:8">
      <c r="A39" s="49" t="str">
        <f>HLOOKUP(INDICE!$F$2,Nombres!$C$3:$E$853,114)</f>
        <v>Cartera de negociación</v>
      </c>
      <c r="B39" s="149">
        <v>5.5730000000000004</v>
      </c>
      <c r="C39" s="84">
        <v>1.365</v>
      </c>
      <c r="D39" s="84">
        <v>0.36199999999999999</v>
      </c>
      <c r="E39" s="150">
        <v>0.125</v>
      </c>
      <c r="F39" s="84">
        <v>-0.86799999999999999</v>
      </c>
      <c r="G39" s="84">
        <v>5.6609999999999996</v>
      </c>
      <c r="H39" s="84">
        <v>3.7999999999999999E-2</v>
      </c>
    </row>
    <row r="40" spans="1:8">
      <c r="A40" s="49" t="str">
        <f>HLOOKUP(INDICE!$F$2,Nombres!$C$3:$E$853,115)</f>
        <v>Otros pasivos</v>
      </c>
      <c r="B40" s="149">
        <v>1073.3778999999997</v>
      </c>
      <c r="C40" s="84">
        <v>1144.3025999999998</v>
      </c>
      <c r="D40" s="84">
        <v>1338.6368447299988</v>
      </c>
      <c r="E40" s="150">
        <v>1530.2815008399998</v>
      </c>
      <c r="F40" s="84">
        <v>1732.0073200000008</v>
      </c>
      <c r="G40" s="84">
        <v>1604.6202000000003</v>
      </c>
      <c r="H40" s="84">
        <v>1708.2504456799993</v>
      </c>
    </row>
    <row r="41" spans="1:8" ht="12.75" customHeight="1">
      <c r="A41" s="49" t="str">
        <f>HLOOKUP(INDICE!$F$2,Nombres!$C$3:$E$853,116)</f>
        <v>Dotación de capital económico</v>
      </c>
      <c r="B41" s="149">
        <v>310.31310000000002</v>
      </c>
      <c r="C41" s="84">
        <v>303.23039999999997</v>
      </c>
      <c r="D41" s="84">
        <v>309.27115527000001</v>
      </c>
      <c r="E41" s="150">
        <v>322.41313375999999</v>
      </c>
      <c r="F41" s="84">
        <v>438.35467999999997</v>
      </c>
      <c r="G41" s="84">
        <v>453.77280000000002</v>
      </c>
      <c r="H41" s="84">
        <v>451.53355432000001</v>
      </c>
    </row>
    <row r="42" spans="1:8" ht="15" customHeight="1">
      <c r="A42" s="144" t="str">
        <f>HLOOKUP(INDICE!$F$2,Nombres!$C$3:$E$853,117)</f>
        <v>Indicadores relevantes</v>
      </c>
      <c r="F42" s="151"/>
      <c r="G42" s="74"/>
      <c r="H42" s="74"/>
    </row>
    <row r="43" spans="1:8" ht="13.5" customHeight="1">
      <c r="A43" s="144" t="str">
        <f>HLOOKUP(INDICE!$F$2,Nombres!$C$3:$E$853,201)</f>
        <v>Anexo:</v>
      </c>
      <c r="F43" s="151"/>
      <c r="G43" s="74"/>
      <c r="H43" s="74"/>
    </row>
    <row r="44" spans="1:8" ht="12.75" customHeight="1">
      <c r="A44" s="41" t="str">
        <f>HLOOKUP(INDICE!$F$2,Nombres!$C$3:$E$853,30)</f>
        <v>(Millones de euros)</v>
      </c>
      <c r="B44" s="81">
        <v>41729</v>
      </c>
      <c r="C44" s="82">
        <v>41820</v>
      </c>
      <c r="D44" s="82">
        <v>41912</v>
      </c>
      <c r="E44" s="82">
        <v>42004</v>
      </c>
      <c r="F44" s="81">
        <v>42094</v>
      </c>
      <c r="G44" s="82">
        <v>42185</v>
      </c>
      <c r="H44" s="82">
        <v>42277</v>
      </c>
    </row>
    <row r="45" spans="1:8" ht="12" customHeight="1">
      <c r="A45" s="49" t="str">
        <f>HLOOKUP(INDICE!$F$2,Nombres!$C$3:$E$853,118)</f>
        <v>Crédito a la clientela bruto (*)</v>
      </c>
      <c r="B45" s="155">
        <v>3247.8549999999996</v>
      </c>
      <c r="C45" s="157">
        <v>3383.9589999999998</v>
      </c>
      <c r="D45" s="157">
        <v>3819.933</v>
      </c>
      <c r="E45" s="157">
        <v>4045.5509999999999</v>
      </c>
      <c r="F45" s="155">
        <v>4629.0869999999995</v>
      </c>
      <c r="G45" s="157">
        <v>4740.8099999999995</v>
      </c>
      <c r="H45" s="157">
        <v>4821.1180000000004</v>
      </c>
    </row>
    <row r="46" spans="1:8">
      <c r="A46" s="49" t="str">
        <f>HLOOKUP(INDICE!$F$2,Nombres!$C$3:$E$853,121)</f>
        <v>Depósitos de clientes en gestión (**)</v>
      </c>
      <c r="B46" s="155">
        <v>3987.8126320699998</v>
      </c>
      <c r="C46" s="157">
        <v>4225.3175226800004</v>
      </c>
      <c r="D46" s="157">
        <v>4541.4825324200001</v>
      </c>
      <c r="E46" s="157">
        <v>4868.6022575999996</v>
      </c>
      <c r="F46" s="155">
        <v>5729.4201930199997</v>
      </c>
      <c r="G46" s="157">
        <v>5793.8344331799999</v>
      </c>
      <c r="H46" s="157">
        <v>5875.4590554799997</v>
      </c>
    </row>
    <row r="47" spans="1:8">
      <c r="A47" s="49" t="str">
        <f>HLOOKUP(INDICE!$F$2,Nombres!$C$3:$E$853,122)</f>
        <v>Fondos de inversión</v>
      </c>
      <c r="B47" s="155">
        <v>281.19901972000002</v>
      </c>
      <c r="C47" s="157">
        <v>317.34047855</v>
      </c>
      <c r="D47" s="157">
        <v>506.88692964000001</v>
      </c>
      <c r="E47" s="157">
        <v>647.23638722999999</v>
      </c>
      <c r="F47" s="155">
        <v>819.06714019000003</v>
      </c>
      <c r="G47" s="157">
        <v>941.97837758000003</v>
      </c>
      <c r="H47" s="157">
        <v>1045.9554392299999</v>
      </c>
    </row>
    <row r="48" spans="1:8">
      <c r="A48" s="49" t="str">
        <f>HLOOKUP(INDICE!$F$2,Nombres!$C$3:$E$853,206)</f>
        <v>Fondos de pensiones</v>
      </c>
      <c r="B48" s="238">
        <v>0</v>
      </c>
      <c r="C48" s="239">
        <v>0</v>
      </c>
      <c r="D48" s="239">
        <v>0</v>
      </c>
      <c r="E48" s="239">
        <v>0</v>
      </c>
      <c r="F48" s="238">
        <v>0</v>
      </c>
      <c r="G48" s="239">
        <v>0</v>
      </c>
      <c r="H48" s="239">
        <v>0</v>
      </c>
    </row>
    <row r="49" spans="1:8">
      <c r="A49" s="49" t="str">
        <f>HLOOKUP(INDICE!$F$2,Nombres!$C$3:$E$853,308)</f>
        <v>Otros recursos fuera de balance</v>
      </c>
      <c r="B49" s="238">
        <v>0</v>
      </c>
      <c r="C49" s="239">
        <v>0</v>
      </c>
      <c r="D49" s="239">
        <v>0</v>
      </c>
      <c r="E49" s="239">
        <v>0</v>
      </c>
      <c r="F49" s="238">
        <v>0</v>
      </c>
      <c r="G49" s="239">
        <v>0</v>
      </c>
      <c r="H49" s="239">
        <v>0</v>
      </c>
    </row>
    <row r="50" spans="1:8">
      <c r="A50" s="156" t="str">
        <f>HLOOKUP(INDICE!$F$2,Nombres!$C$3:$E$853,307)</f>
        <v>(*) No incluye las adquisiciones temporales de activos.</v>
      </c>
      <c r="B50" s="157"/>
      <c r="C50" s="157"/>
      <c r="D50" s="157"/>
      <c r="E50" s="157"/>
      <c r="F50" s="157"/>
      <c r="G50" s="157"/>
      <c r="H50" s="157"/>
    </row>
    <row r="51" spans="1:8">
      <c r="A51" s="156" t="str">
        <f>HLOOKUP(INDICE!$F$2,Nombres!$C$3:$E$853,284)</f>
        <v>(**) No incluye las cesiones temporales de activos e incluye determinados valores negociables.</v>
      </c>
      <c r="C51"/>
      <c r="D51"/>
      <c r="E51"/>
    </row>
    <row r="52" spans="1:8" ht="18">
      <c r="A52" s="144" t="str">
        <f>HLOOKUP(INDICE!$F$2,Nombres!$C$3:$E$853,93)</f>
        <v xml:space="preserve">Cuentas de resultados  </v>
      </c>
      <c r="C52" s="145"/>
      <c r="D52" s="145"/>
      <c r="E52" s="145"/>
      <c r="G52" s="74"/>
      <c r="H52" s="74"/>
    </row>
    <row r="53" spans="1:8">
      <c r="A53" s="41" t="str">
        <f>HLOOKUP(INDICE!$F$2,Nombres!$C$3:$E$853,31)</f>
        <v>(Millones de euros constantes)</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1er Trim.</v>
      </c>
      <c r="C55" s="146" t="str">
        <f>HLOOKUP(INDICE!$F$2,Nombres!$C$3:$E$857,35)</f>
        <v>2º Trim.</v>
      </c>
      <c r="D55" s="146" t="str">
        <f>HLOOKUP(INDICE!$F$2,Nombres!$C$3:$E$857,36)</f>
        <v>3er Trim.</v>
      </c>
      <c r="E55" s="146" t="str">
        <f>HLOOKUP(INDICE!$F$2,Nombres!$C$3:$E$857,37)</f>
        <v>4º Trim.</v>
      </c>
      <c r="F55" s="146" t="str">
        <f>HLOOKUP(INDICE!$F$2,Nombres!$C$3:$E$857,34)</f>
        <v>1er Trim.</v>
      </c>
      <c r="G55" s="146" t="str">
        <f>HLOOKUP(INDICE!$F$2,Nombres!$C$3:$E$857,35)</f>
        <v>2º Trim.</v>
      </c>
      <c r="H55" s="146" t="str">
        <f>HLOOKUP(INDICE!$F$2,Nombres!$C$3:$E$857,36)</f>
        <v>3er Trim.</v>
      </c>
    </row>
    <row r="56" spans="1:8">
      <c r="A56" s="54" t="str">
        <f>HLOOKUP(INDICE!$F$2,Nombres!$C$3:$E$853,38)</f>
        <v>Margen de intereses</v>
      </c>
      <c r="B56" s="147">
        <v>130.6376204984</v>
      </c>
      <c r="C56" s="83">
        <v>152.01283861619999</v>
      </c>
      <c r="D56" s="83">
        <v>175.64484489279999</v>
      </c>
      <c r="E56" s="148">
        <v>196.47533252369999</v>
      </c>
      <c r="F56" s="54">
        <v>198.59932896510003</v>
      </c>
      <c r="G56" s="54">
        <v>210.5526863577</v>
      </c>
      <c r="H56" s="54">
        <v>217.44498469720003</v>
      </c>
    </row>
    <row r="57" spans="1:8">
      <c r="A57" s="49" t="str">
        <f>HLOOKUP(INDICE!$F$2,Nombres!$C$3:$E$853,39)</f>
        <v>Comisiones</v>
      </c>
      <c r="B57" s="149">
        <v>45.370756111699997</v>
      </c>
      <c r="C57" s="84">
        <v>52.304952958599998</v>
      </c>
      <c r="D57" s="84">
        <v>54.004547915399996</v>
      </c>
      <c r="E57" s="150">
        <v>46.4086943362</v>
      </c>
      <c r="F57" s="73">
        <v>57.924557968100004</v>
      </c>
      <c r="G57" s="73">
        <v>61.58710860490001</v>
      </c>
      <c r="H57" s="73">
        <v>61.714832076899995</v>
      </c>
    </row>
    <row r="58" spans="1:8">
      <c r="A58" s="49" t="str">
        <f>HLOOKUP(INDICE!$F$2,Nombres!$C$3:$E$853,40)</f>
        <v>Resultados de operaciones financieras</v>
      </c>
      <c r="B58" s="149">
        <v>23.288871437700003</v>
      </c>
      <c r="C58" s="84">
        <v>33.622028418900001</v>
      </c>
      <c r="D58" s="84">
        <v>38.920085525499999</v>
      </c>
      <c r="E58" s="150">
        <v>38.005003473400002</v>
      </c>
      <c r="F58" s="73">
        <v>25.9479468374</v>
      </c>
      <c r="G58" s="73">
        <v>19.993306409399999</v>
      </c>
      <c r="H58" s="73">
        <v>26.957746443200001</v>
      </c>
    </row>
    <row r="59" spans="1:8" ht="17.25" customHeight="1">
      <c r="A59" s="49" t="str">
        <f>HLOOKUP(INDICE!$F$2,Nombres!$C$3:$E$853,95)</f>
        <v>Otros ingresos netos</v>
      </c>
      <c r="B59" s="149">
        <v>17.886076645599999</v>
      </c>
      <c r="C59" s="84">
        <v>21.960250694799999</v>
      </c>
      <c r="D59" s="84">
        <v>25.910183953800001</v>
      </c>
      <c r="E59" s="150">
        <v>22.446366876199999</v>
      </c>
      <c r="F59" s="73">
        <v>19.602960107400001</v>
      </c>
      <c r="G59" s="73">
        <v>20.063239151699999</v>
      </c>
      <c r="H59" s="73">
        <v>27.592801410899998</v>
      </c>
    </row>
    <row r="60" spans="1:8" ht="15.75" customHeight="1">
      <c r="A60" s="54" t="str">
        <f>HLOOKUP(INDICE!$F$2,Nombres!$C$3:$E$853,44)</f>
        <v>Margen bruto</v>
      </c>
      <c r="B60" s="147">
        <v>217.1833246935</v>
      </c>
      <c r="C60" s="83">
        <v>259.90007068850002</v>
      </c>
      <c r="D60" s="83">
        <v>294.47966228759998</v>
      </c>
      <c r="E60" s="148">
        <v>303.3353972095</v>
      </c>
      <c r="F60" s="54">
        <v>302.07479387800004</v>
      </c>
      <c r="G60" s="54">
        <v>312.19634052360004</v>
      </c>
      <c r="H60" s="54">
        <v>333.71036462839999</v>
      </c>
    </row>
    <row r="61" spans="1:8">
      <c r="A61" s="49" t="str">
        <f>HLOOKUP(INDICE!$F$2,Nombres!$C$3:$E$853,45)</f>
        <v>Gastos de explotación</v>
      </c>
      <c r="B61" s="149">
        <v>-114.45158077489999</v>
      </c>
      <c r="C61" s="84">
        <v>-129.9429718122</v>
      </c>
      <c r="D61" s="84">
        <v>-127.70378870810001</v>
      </c>
      <c r="E61" s="150">
        <v>-138.49387693519998</v>
      </c>
      <c r="F61" s="73">
        <v>-156.4520611028</v>
      </c>
      <c r="G61" s="73">
        <v>-159.8839237091</v>
      </c>
      <c r="H61" s="73">
        <v>-170.37459616820001</v>
      </c>
    </row>
    <row r="62" spans="1:8">
      <c r="A62" s="49" t="str">
        <f>HLOOKUP(INDICE!$F$2,Nombres!$C$3:$E$853,46)</f>
        <v xml:space="preserve">  Gastos de administración</v>
      </c>
      <c r="B62" s="149">
        <v>-110.48800574580001</v>
      </c>
      <c r="C62" s="84">
        <v>-125.82304666629999</v>
      </c>
      <c r="D62" s="84">
        <v>-123.1775791971</v>
      </c>
      <c r="E62" s="150">
        <v>-133.32628682949999</v>
      </c>
      <c r="F62" s="73">
        <v>-151.01588014610002</v>
      </c>
      <c r="G62" s="73">
        <v>-153.12057642779999</v>
      </c>
      <c r="H62" s="73">
        <v>-164.384125356</v>
      </c>
    </row>
    <row r="63" spans="1:8">
      <c r="A63" s="189" t="str">
        <f>HLOOKUP(INDICE!$F$2,Nombres!$C$3:$E$853,47)</f>
        <v xml:space="preserve">  Gastos de personal</v>
      </c>
      <c r="B63" s="149">
        <v>-59.922265779599996</v>
      </c>
      <c r="C63" s="84">
        <v>-70.885733353400013</v>
      </c>
      <c r="D63" s="84">
        <v>-63.764401587400002</v>
      </c>
      <c r="E63" s="150">
        <v>-72.819228204200002</v>
      </c>
      <c r="F63" s="73">
        <v>-87.622305542599989</v>
      </c>
      <c r="G63" s="73">
        <v>-83.788570347000004</v>
      </c>
      <c r="H63" s="73">
        <v>-88.992124700299996</v>
      </c>
    </row>
    <row r="64" spans="1:8">
      <c r="A64" s="189" t="str">
        <f>HLOOKUP(INDICE!$F$2,Nombres!$C$3:$E$853,48)</f>
        <v xml:space="preserve">  Otros gastos generales de administración</v>
      </c>
      <c r="B64" s="149">
        <v>-50.565739966199999</v>
      </c>
      <c r="C64" s="84">
        <v>-54.937313312899995</v>
      </c>
      <c r="D64" s="84">
        <v>-59.413177609799995</v>
      </c>
      <c r="E64" s="150">
        <v>-60.507058625300004</v>
      </c>
      <c r="F64" s="73">
        <v>-63.393574603499999</v>
      </c>
      <c r="G64" s="73">
        <v>-69.332006080900001</v>
      </c>
      <c r="H64" s="73">
        <v>-75.392000655700002</v>
      </c>
    </row>
    <row r="65" spans="1:8" ht="13.5" customHeight="1">
      <c r="A65" s="49" t="str">
        <f>HLOOKUP(INDICE!$F$2,Nombres!$C$3:$E$853,49)</f>
        <v xml:space="preserve">  Amortizaciones</v>
      </c>
      <c r="B65" s="149">
        <v>-3.9635750291000003</v>
      </c>
      <c r="C65" s="84">
        <v>-4.1199251458999999</v>
      </c>
      <c r="D65" s="84">
        <v>-4.5262095111000002</v>
      </c>
      <c r="E65" s="150">
        <v>-5.1675901057000004</v>
      </c>
      <c r="F65" s="73">
        <v>-5.4361809566999995</v>
      </c>
      <c r="G65" s="73">
        <v>-6.7633472812999997</v>
      </c>
      <c r="H65" s="73">
        <v>-5.9904708120999999</v>
      </c>
    </row>
    <row r="66" spans="1:8" ht="14.25" customHeight="1">
      <c r="A66" s="54" t="str">
        <f>HLOOKUP(INDICE!$F$2,Nombres!$C$3:$E$853,50)</f>
        <v>Margen neto</v>
      </c>
      <c r="B66" s="147">
        <v>102.7317439185</v>
      </c>
      <c r="C66" s="83">
        <v>129.95709887640001</v>
      </c>
      <c r="D66" s="83">
        <v>166.7758735793</v>
      </c>
      <c r="E66" s="148">
        <v>164.84152027440001</v>
      </c>
      <c r="F66" s="54">
        <v>145.62273277520001</v>
      </c>
      <c r="G66" s="54">
        <v>152.31241681450001</v>
      </c>
      <c r="H66" s="54">
        <v>163.33576846030002</v>
      </c>
    </row>
    <row r="67" spans="1:8">
      <c r="A67" s="49" t="str">
        <f>HLOOKUP(INDICE!$F$2,Nombres!$C$3:$E$853,51)</f>
        <v>Pérdidas por deterioro de activos financieros</v>
      </c>
      <c r="B67" s="149">
        <v>-10.609802412500001</v>
      </c>
      <c r="C67" s="84">
        <v>-15.427253888200001</v>
      </c>
      <c r="D67" s="84">
        <v>-17.223151164900003</v>
      </c>
      <c r="E67" s="150">
        <v>-13.669849874499999</v>
      </c>
      <c r="F67" s="73">
        <v>-14.7005063517</v>
      </c>
      <c r="G67" s="73">
        <v>-21.435233034500001</v>
      </c>
      <c r="H67" s="73">
        <v>-11.6142604538</v>
      </c>
    </row>
    <row r="68" spans="1:8" ht="16.5" customHeight="1">
      <c r="A68" s="49" t="str">
        <f>HLOOKUP(INDICE!$F$2,Nombres!$C$3:$E$853,160)</f>
        <v>Dotaciones a provisiones y otros resultados</v>
      </c>
      <c r="B68" s="149">
        <v>-7.3179305696999997</v>
      </c>
      <c r="C68" s="84">
        <v>-8.0738973211000005</v>
      </c>
      <c r="D68" s="84">
        <v>-31.386235353300002</v>
      </c>
      <c r="E68" s="150">
        <v>-9.4414192144999998</v>
      </c>
      <c r="F68" s="73">
        <v>-14.252960598800001</v>
      </c>
      <c r="G68" s="73">
        <v>-8.6236203256999993</v>
      </c>
      <c r="H68" s="73">
        <v>-7.8184190355999998</v>
      </c>
    </row>
    <row r="69" spans="1:8" ht="12.75" customHeight="1">
      <c r="A69" s="54" t="str">
        <f>HLOOKUP(INDICE!$F$2,Nombres!$C$3:$E$853,54)</f>
        <v>Beneficio antes de impuestos</v>
      </c>
      <c r="B69" s="147">
        <v>84.804010936400005</v>
      </c>
      <c r="C69" s="83">
        <v>106.45594766720001</v>
      </c>
      <c r="D69" s="83">
        <v>118.166487061</v>
      </c>
      <c r="E69" s="148">
        <v>141.73025118519999</v>
      </c>
      <c r="F69" s="54">
        <v>116.66926582479999</v>
      </c>
      <c r="G69" s="54">
        <v>122.25356345439999</v>
      </c>
      <c r="H69" s="54">
        <v>143.9030889709</v>
      </c>
    </row>
    <row r="70" spans="1:8" ht="13.5" customHeight="1">
      <c r="A70" s="49" t="str">
        <f>HLOOKUP(INDICE!$F$2,Nombres!$C$3:$E$853,55)</f>
        <v>Impuesto sobre beneficios</v>
      </c>
      <c r="B70" s="149">
        <v>-26.527153571699998</v>
      </c>
      <c r="C70" s="84">
        <v>-34.233265330600005</v>
      </c>
      <c r="D70" s="84">
        <v>-38.865546968399997</v>
      </c>
      <c r="E70" s="150">
        <v>-47.327388185100006</v>
      </c>
      <c r="F70" s="73">
        <v>-40.078653544200002</v>
      </c>
      <c r="G70" s="73">
        <v>-40.628139497600003</v>
      </c>
      <c r="H70" s="73">
        <v>-47.783237158200002</v>
      </c>
    </row>
    <row r="71" spans="1:8" ht="12.75" customHeight="1">
      <c r="A71" s="54" t="str">
        <f>HLOOKUP(INDICE!$F$2,Nombres!$C$3:$E$853,56)</f>
        <v>Beneficio después de impuestos</v>
      </c>
      <c r="B71" s="147">
        <v>58.276857364700007</v>
      </c>
      <c r="C71" s="83">
        <v>72.222682336600002</v>
      </c>
      <c r="D71" s="83">
        <v>79.300940092499999</v>
      </c>
      <c r="E71" s="148">
        <v>94.4028630002</v>
      </c>
      <c r="F71" s="54">
        <v>76.590612280599998</v>
      </c>
      <c r="G71" s="54">
        <v>81.62542395669999</v>
      </c>
      <c r="H71" s="54">
        <v>96.119851812700006</v>
      </c>
    </row>
    <row r="72" spans="1:8" ht="12.75" customHeight="1">
      <c r="A72" s="49" t="str">
        <f>HLOOKUP(INDICE!$F$2,Nombres!$C$3:$E$853,57)</f>
        <v>Resultado atribuido a la minoría</v>
      </c>
      <c r="B72" s="149">
        <v>-13.601370447600001</v>
      </c>
      <c r="C72" s="84">
        <v>-16.601319714599999</v>
      </c>
      <c r="D72" s="84">
        <v>-18.842905177200002</v>
      </c>
      <c r="E72" s="150">
        <v>-21.5365885814</v>
      </c>
      <c r="F72" s="73">
        <v>-17.598285765600004</v>
      </c>
      <c r="G72" s="73">
        <v>-18.8204771628</v>
      </c>
      <c r="H72" s="73">
        <v>-21.269153191500003</v>
      </c>
    </row>
    <row r="73" spans="1:8" ht="15" customHeight="1">
      <c r="A73" s="54" t="str">
        <f>HLOOKUP(INDICE!$F$2,Nombres!$C$3:$E$853,58)</f>
        <v>Beneficio atribuido al Grupo</v>
      </c>
      <c r="B73" s="147">
        <v>44.675486916899999</v>
      </c>
      <c r="C73" s="83">
        <v>55.621362622000007</v>
      </c>
      <c r="D73" s="83">
        <v>60.458034915300004</v>
      </c>
      <c r="E73" s="148">
        <v>72.866274418700002</v>
      </c>
      <c r="F73" s="54">
        <v>58.9923265149</v>
      </c>
      <c r="G73" s="54">
        <v>62.804946793900001</v>
      </c>
      <c r="H73" s="54">
        <v>74.850698621299998</v>
      </c>
    </row>
    <row r="74" spans="1:8" s="169" customFormat="1" ht="15" customHeight="1">
      <c r="A74" s="190"/>
      <c r="B74" s="191"/>
      <c r="C74" s="191"/>
      <c r="D74" s="191"/>
      <c r="E74" s="191"/>
      <c r="F74" s="190"/>
      <c r="G74" s="190"/>
      <c r="H74" s="190"/>
    </row>
    <row r="75" spans="1:8" ht="15.75" customHeight="1">
      <c r="A75" s="144" t="str">
        <f>HLOOKUP(INDICE!$F$2,Nombres!$C$3:$E$853,94)</f>
        <v>Balances</v>
      </c>
      <c r="G75" s="74"/>
      <c r="H75" s="74"/>
    </row>
    <row r="76" spans="1:8">
      <c r="A76" s="41" t="str">
        <f>HLOOKUP(INDICE!$F$2,Nombres!$C$3:$E$853,31)</f>
        <v>(Millones de euros constantes)</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Caja y depósitos en bancos centrales</v>
      </c>
      <c r="B78" s="149">
        <v>1202.1294762703999</v>
      </c>
      <c r="C78" s="84">
        <v>1274.3347739238</v>
      </c>
      <c r="D78" s="84">
        <v>1341.3043043677001</v>
      </c>
      <c r="E78" s="150">
        <v>1246.3938661524001</v>
      </c>
      <c r="F78" s="158">
        <v>1237.4179459930999</v>
      </c>
      <c r="G78" s="84">
        <v>1219.8680056804001</v>
      </c>
      <c r="H78" s="84">
        <v>1354.3009999999999</v>
      </c>
    </row>
    <row r="79" spans="1:8">
      <c r="A79" s="49" t="str">
        <f>HLOOKUP(INDICE!$F$2,Nombres!$C$3:$E$853,101)</f>
        <v>Cartera de títulos</v>
      </c>
      <c r="B79" s="149">
        <v>572.52118987020003</v>
      </c>
      <c r="C79" s="84">
        <v>750.75346275929996</v>
      </c>
      <c r="D79" s="84">
        <v>687.80087317300001</v>
      </c>
      <c r="E79" s="150">
        <v>1006.653781811</v>
      </c>
      <c r="F79" s="158">
        <v>1191.6091009664999</v>
      </c>
      <c r="G79" s="84">
        <v>1335.2474500198</v>
      </c>
      <c r="H79" s="84">
        <v>1313.8420000000001</v>
      </c>
    </row>
    <row r="80" spans="1:8">
      <c r="A80" s="49" t="str">
        <f>HLOOKUP(INDICE!$F$2,Nombres!$C$3:$E$853,102)</f>
        <v>Inversiones crediticias</v>
      </c>
      <c r="B80" s="149">
        <v>3747.4099025208998</v>
      </c>
      <c r="C80" s="84">
        <v>3868.3058591562999</v>
      </c>
      <c r="D80" s="84">
        <v>4184.3313205059003</v>
      </c>
      <c r="E80" s="150">
        <v>4277.5619109654999</v>
      </c>
      <c r="F80" s="158">
        <v>4609.4732147185996</v>
      </c>
      <c r="G80" s="84">
        <v>5024.1843096465</v>
      </c>
      <c r="H80" s="84">
        <v>5271.46</v>
      </c>
    </row>
    <row r="81" spans="1:8">
      <c r="A81" s="49" t="str">
        <f>HLOOKUP(INDICE!$F$2,Nombres!$C$3:$E$853,103)</f>
        <v xml:space="preserve">  . Crédito a la clientela neto</v>
      </c>
      <c r="B81" s="149">
        <v>3286.4028734602998</v>
      </c>
      <c r="C81" s="84">
        <v>3442.0544061374999</v>
      </c>
      <c r="D81" s="84">
        <v>3725.4963024089998</v>
      </c>
      <c r="E81" s="150">
        <v>3845.0496651681001</v>
      </c>
      <c r="F81" s="158">
        <v>4023.5399577543999</v>
      </c>
      <c r="G81" s="84">
        <v>4416.7441668546999</v>
      </c>
      <c r="H81" s="84">
        <v>4666.6639999999998</v>
      </c>
    </row>
    <row r="82" spans="1:8">
      <c r="A82" s="49" t="str">
        <f>HLOOKUP(INDICE!$F$2,Nombres!$C$3:$E$853,104)</f>
        <v xml:space="preserve">  . Depósitos en entidades de crédito y otros</v>
      </c>
      <c r="B82" s="149">
        <v>461.00702906049997</v>
      </c>
      <c r="C82" s="84">
        <v>426.25145301880002</v>
      </c>
      <c r="D82" s="84">
        <v>458.83501809680001</v>
      </c>
      <c r="E82" s="150">
        <v>432.51224579740006</v>
      </c>
      <c r="F82" s="158">
        <v>585.93325696429997</v>
      </c>
      <c r="G82" s="84">
        <v>607.44014279179999</v>
      </c>
      <c r="H82" s="84">
        <v>604.79600000000005</v>
      </c>
    </row>
    <row r="83" spans="1:8">
      <c r="A83" s="49" t="str">
        <f>HLOOKUP(INDICE!$F$2,Nombres!$C$3:$E$853,106)</f>
        <v>Activo material</v>
      </c>
      <c r="B83" s="149">
        <v>140.9848485608</v>
      </c>
      <c r="C83" s="84">
        <v>156.11655331200001</v>
      </c>
      <c r="D83" s="84">
        <v>175.27605684540001</v>
      </c>
      <c r="E83" s="150">
        <v>198.1294047824</v>
      </c>
      <c r="F83" s="158">
        <v>208.54445223889999</v>
      </c>
      <c r="G83" s="84">
        <v>222.99261251510001</v>
      </c>
      <c r="H83" s="84">
        <v>231.46700000000001</v>
      </c>
    </row>
    <row r="84" spans="1:8">
      <c r="A84" s="49" t="str">
        <f>HLOOKUP(INDICE!$F$2,Nombres!$C$3:$E$853,107)</f>
        <v>Otros activos</v>
      </c>
      <c r="B84" s="149">
        <v>170.0160345239</v>
      </c>
      <c r="C84" s="84">
        <v>179.1042929939</v>
      </c>
      <c r="D84" s="84">
        <v>179.40099491160001</v>
      </c>
      <c r="E84" s="150">
        <v>181.40365659229843</v>
      </c>
      <c r="F84" s="158">
        <v>167.1708098757</v>
      </c>
      <c r="G84" s="84">
        <v>194.48061936409999</v>
      </c>
      <c r="H84" s="84">
        <v>205.613</v>
      </c>
    </row>
    <row r="85" spans="1:8">
      <c r="A85" s="54" t="str">
        <f>HLOOKUP(INDICE!$F$2,Nombres!$C$3:$E$853,108)</f>
        <v>Total activo / pasivo</v>
      </c>
      <c r="B85" s="147">
        <v>5833.0614517460999</v>
      </c>
      <c r="C85" s="83">
        <v>6228.6149421454011</v>
      </c>
      <c r="D85" s="83">
        <v>6568.1135498035992</v>
      </c>
      <c r="E85" s="148">
        <v>6910.1426203035999</v>
      </c>
      <c r="F85" s="147">
        <v>7414.2155237929001</v>
      </c>
      <c r="G85" s="83">
        <v>7996.7729972258985</v>
      </c>
      <c r="H85" s="83">
        <v>8376.6829999999991</v>
      </c>
    </row>
    <row r="86" spans="1:8">
      <c r="A86" s="49" t="str">
        <f>HLOOKUP(INDICE!$F$2,Nombres!$C$3:$E$853,109)</f>
        <v>Depósitos de bancos centrales y entidades de crédito</v>
      </c>
      <c r="B86" s="149">
        <v>30.328762670500002</v>
      </c>
      <c r="C86" s="84">
        <v>57.255583233400003</v>
      </c>
      <c r="D86" s="84">
        <v>62.253561257800001</v>
      </c>
      <c r="E86" s="150">
        <v>57.382159774100003</v>
      </c>
      <c r="F86" s="158">
        <v>59.451679496499999</v>
      </c>
      <c r="G86" s="84">
        <v>176.5124950055</v>
      </c>
      <c r="H86" s="84">
        <v>96.549000000000007</v>
      </c>
    </row>
    <row r="87" spans="1:8">
      <c r="A87" s="49" t="str">
        <f>HLOOKUP(INDICE!$F$2,Nombres!$C$3:$E$853,110)</f>
        <v>Depósitos de la clientela</v>
      </c>
      <c r="B87" s="149">
        <v>4249.5176737891998</v>
      </c>
      <c r="C87" s="84">
        <v>4547.1244399572997</v>
      </c>
      <c r="D87" s="84">
        <v>4703.7515556904</v>
      </c>
      <c r="E87" s="150">
        <v>4868.2821560673001</v>
      </c>
      <c r="F87" s="158">
        <v>5242.1613493943996</v>
      </c>
      <c r="G87" s="84">
        <v>5679.4967382962996</v>
      </c>
      <c r="H87" s="84">
        <v>5973.1719999999996</v>
      </c>
    </row>
    <row r="88" spans="1:8">
      <c r="A88" s="49" t="str">
        <f>HLOOKUP(INDICE!$F$2,Nombres!$C$3:$E$853,111)</f>
        <v>Débitos representados por valores negociables</v>
      </c>
      <c r="B88" s="149">
        <v>99.443558132099994</v>
      </c>
      <c r="C88" s="84">
        <v>98.495567162</v>
      </c>
      <c r="D88" s="84">
        <v>138.538169493</v>
      </c>
      <c r="E88" s="150">
        <v>160.51549257089999</v>
      </c>
      <c r="F88" s="158">
        <v>161.6402956057</v>
      </c>
      <c r="G88" s="84">
        <v>152.1750800232</v>
      </c>
      <c r="H88" s="84">
        <v>147.13999999999999</v>
      </c>
    </row>
    <row r="89" spans="1:8">
      <c r="A89" s="49" t="str">
        <f>HLOOKUP(INDICE!$F$2,Nombres!$C$3:$E$853,112)</f>
        <v>Pasivos subordinados</v>
      </c>
      <c r="B89" s="241">
        <v>0</v>
      </c>
      <c r="C89" s="236">
        <v>0</v>
      </c>
      <c r="D89" s="236">
        <v>0</v>
      </c>
      <c r="E89" s="237">
        <v>0</v>
      </c>
      <c r="F89" s="235">
        <v>0</v>
      </c>
      <c r="G89" s="236">
        <v>0</v>
      </c>
      <c r="H89" s="236">
        <v>0</v>
      </c>
    </row>
    <row r="90" spans="1:8">
      <c r="A90" s="49" t="str">
        <f>HLOOKUP(INDICE!$F$2,Nombres!$C$3:$E$853,114)</f>
        <v>Cartera de negociación</v>
      </c>
      <c r="B90" s="149">
        <v>5.8317701536</v>
      </c>
      <c r="C90" s="84">
        <v>1.4373918766</v>
      </c>
      <c r="D90" s="84">
        <v>0.36536030829999999</v>
      </c>
      <c r="E90" s="150">
        <v>0.1230531819</v>
      </c>
      <c r="F90" s="158">
        <v>-0.78056689209999996</v>
      </c>
      <c r="G90" s="84">
        <v>5.4540242356000004</v>
      </c>
      <c r="H90" s="84">
        <v>3.7999999999999999E-2</v>
      </c>
    </row>
    <row r="91" spans="1:8">
      <c r="A91" s="49" t="str">
        <f>HLOOKUP(INDICE!$F$2,Nombres!$C$3:$E$853,115)</f>
        <v>Otros pasivos</v>
      </c>
      <c r="B91" s="149">
        <v>1123.2178720246006</v>
      </c>
      <c r="C91" s="84">
        <v>1204.9899352325017</v>
      </c>
      <c r="D91" s="84">
        <v>1351.0629013050982</v>
      </c>
      <c r="E91" s="150">
        <v>1506.4480627979999</v>
      </c>
      <c r="F91" s="158">
        <v>1557.5432843900999</v>
      </c>
      <c r="G91" s="84">
        <v>1545.9525631009992</v>
      </c>
      <c r="H91" s="84">
        <v>1708.2504456799993</v>
      </c>
    </row>
    <row r="92" spans="1:8" ht="12" customHeight="1">
      <c r="A92" s="49" t="str">
        <f>HLOOKUP(INDICE!$F$2,Nombres!$C$3:$E$853,116)</f>
        <v>Dotación de capital económico</v>
      </c>
      <c r="B92" s="149">
        <v>324.72181497619999</v>
      </c>
      <c r="C92" s="84">
        <v>319.3120246835</v>
      </c>
      <c r="D92" s="84">
        <v>312.14200174899997</v>
      </c>
      <c r="E92" s="150">
        <v>317.39169591140001</v>
      </c>
      <c r="F92" s="158">
        <v>394.19948179829998</v>
      </c>
      <c r="G92" s="84">
        <v>437.18209656430002</v>
      </c>
      <c r="H92" s="84">
        <v>451.53355432000001</v>
      </c>
    </row>
    <row r="93" spans="1:8" ht="12" customHeight="1">
      <c r="A93" s="144" t="str">
        <f>HLOOKUP(INDICE!$F$2,Nombres!$C$3:$E$853,117)</f>
        <v>Indicadores relevantes</v>
      </c>
      <c r="G93" s="74"/>
      <c r="H93" s="74"/>
    </row>
    <row r="94" spans="1:8" ht="18">
      <c r="A94" s="144" t="str">
        <f>HLOOKUP(INDICE!$F$2,Nombres!$C$3:$E$853,201)</f>
        <v>Anexo:</v>
      </c>
      <c r="G94" s="74"/>
      <c r="H94" s="74"/>
    </row>
    <row r="95" spans="1:8" ht="12" customHeight="1">
      <c r="A95" s="41" t="str">
        <f>HLOOKUP(INDICE!$F$2,Nombres!$C$3:$E$853,31)</f>
        <v>(Millones de euros constantes)</v>
      </c>
    </row>
    <row r="96" spans="1:8" ht="11.25" customHeight="1">
      <c r="A96"/>
      <c r="B96" s="81">
        <v>41729</v>
      </c>
      <c r="C96" s="82">
        <v>41820</v>
      </c>
      <c r="D96" s="82">
        <v>41912</v>
      </c>
      <c r="E96" s="82">
        <v>42004</v>
      </c>
      <c r="F96" s="81">
        <v>42094</v>
      </c>
      <c r="G96" s="82">
        <v>42185</v>
      </c>
      <c r="H96" s="82">
        <v>42277</v>
      </c>
    </row>
    <row r="97" spans="1:8">
      <c r="A97" s="49" t="str">
        <f>HLOOKUP(INDICE!$F$2,Nombres!$C$3:$E$853,118)</f>
        <v>Crédito a la clientela bruto (*)</v>
      </c>
      <c r="B97" s="155">
        <v>3398.6620944439001</v>
      </c>
      <c r="C97" s="157">
        <v>3563.4250383068998</v>
      </c>
      <c r="D97" s="157">
        <v>3855.3919848306</v>
      </c>
      <c r="E97" s="157">
        <v>3982.5433840474998</v>
      </c>
      <c r="F97" s="155">
        <v>4162.8019041553007</v>
      </c>
      <c r="G97" s="157">
        <v>4567.4779431758998</v>
      </c>
      <c r="H97" s="157">
        <v>4821.1180000000004</v>
      </c>
    </row>
    <row r="98" spans="1:8">
      <c r="A98" s="49" t="str">
        <f>HLOOKUP(INDICE!$F$2,Nombres!$C$3:$E$853,121)</f>
        <v>Depósitos de clientes en gestión (**)</v>
      </c>
      <c r="B98" s="155">
        <v>4172.9780523949003</v>
      </c>
      <c r="C98" s="157">
        <v>4449.4044564709002</v>
      </c>
      <c r="D98" s="157">
        <v>4583.6393870625998</v>
      </c>
      <c r="E98" s="157">
        <v>4792.7759928285996</v>
      </c>
      <c r="F98" s="155">
        <v>5152.2992091550004</v>
      </c>
      <c r="G98" s="157">
        <v>5582.0020165251999</v>
      </c>
      <c r="H98" s="157">
        <v>5875.4590554799997</v>
      </c>
    </row>
    <row r="99" spans="1:8">
      <c r="A99" s="49" t="str">
        <f>HLOOKUP(INDICE!$F$2,Nombres!$C$3:$E$853,122)</f>
        <v>Fondos de inversión</v>
      </c>
      <c r="B99" s="155">
        <v>294.25588559750003</v>
      </c>
      <c r="C99" s="157">
        <v>334.17042196239998</v>
      </c>
      <c r="D99" s="157">
        <v>511.59216817399999</v>
      </c>
      <c r="E99" s="157">
        <v>637.15597501490004</v>
      </c>
      <c r="F99" s="155">
        <v>736.56300925300002</v>
      </c>
      <c r="G99" s="157">
        <v>907.53804994200004</v>
      </c>
      <c r="H99" s="157">
        <v>1045.9554392299999</v>
      </c>
    </row>
    <row r="100" spans="1:8">
      <c r="A100" s="49" t="str">
        <f>HLOOKUP(INDICE!$F$2,Nombres!$C$3:$E$853,206)</f>
        <v>Fondos de pensiones</v>
      </c>
      <c r="B100" s="238">
        <v>0</v>
      </c>
      <c r="C100" s="239">
        <v>0</v>
      </c>
      <c r="D100" s="239">
        <v>0</v>
      </c>
      <c r="E100" s="239">
        <v>0</v>
      </c>
      <c r="F100" s="238">
        <v>0</v>
      </c>
      <c r="G100" s="239">
        <v>0</v>
      </c>
      <c r="H100" s="239">
        <v>0</v>
      </c>
    </row>
    <row r="101" spans="1:8">
      <c r="A101" s="49" t="str">
        <f>HLOOKUP(INDICE!$F$2,Nombres!$C$3:$E$853,308)</f>
        <v>Otros recursos fuera de balance</v>
      </c>
      <c r="B101" s="238">
        <v>0</v>
      </c>
      <c r="C101" s="239">
        <v>0</v>
      </c>
      <c r="D101" s="239">
        <v>0</v>
      </c>
      <c r="E101" s="239">
        <v>0</v>
      </c>
      <c r="F101" s="238">
        <v>0</v>
      </c>
      <c r="G101" s="239">
        <v>0</v>
      </c>
      <c r="H101" s="239">
        <v>0</v>
      </c>
    </row>
    <row r="102" spans="1:8">
      <c r="A102" s="156" t="str">
        <f>HLOOKUP(INDICE!$F$2,Nombres!$C$3:$E$853,307)</f>
        <v>(*) No incluye las adquisiciones temporales de activos.</v>
      </c>
      <c r="B102" s="72"/>
      <c r="C102" s="73"/>
      <c r="D102" s="73"/>
      <c r="E102" s="73"/>
      <c r="F102" s="73"/>
    </row>
    <row r="103" spans="1:8">
      <c r="A103" s="156" t="str">
        <f>HLOOKUP(INDICE!$F$2,Nombres!$C$3:$E$853,284)</f>
        <v>(**) No incluye las cesiones temporales de activos e incluye determinados valores negociables.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H103"/>
  <sheetViews>
    <sheetView showGridLines="0" topLeftCell="A28"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HLOOKUP(INDICE!$F$2,Nombres!$C$3:$E$853,16)</f>
        <v>Chile</v>
      </c>
    </row>
    <row r="2" spans="1:8" ht="18" customHeight="1">
      <c r="A2" s="144" t="str">
        <f>HLOOKUP(INDICE!$F$2,Nombres!$C$3:$E$853,93)</f>
        <v xml:space="preserve">Cuentas de resultados  </v>
      </c>
    </row>
    <row r="3" spans="1:8">
      <c r="A3" s="41" t="str">
        <f>HLOOKUP(INDICE!$F$2,Nombres!$C$3:$E$853,30)</f>
        <v>(Millones de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124.06399994</v>
      </c>
      <c r="C6" s="83">
        <v>131.76700037000001</v>
      </c>
      <c r="D6" s="83">
        <v>114.75999903</v>
      </c>
      <c r="E6" s="148">
        <v>141.61800073000001</v>
      </c>
      <c r="F6" s="83">
        <v>119.18100007999999</v>
      </c>
      <c r="G6" s="83">
        <v>141.74200045000001</v>
      </c>
      <c r="H6" s="83">
        <v>131.19999955</v>
      </c>
    </row>
    <row r="7" spans="1:8">
      <c r="A7" s="49" t="str">
        <f>HLOOKUP(INDICE!$F$2,Nombres!$C$3:$E$853,39)</f>
        <v>Comisiones</v>
      </c>
      <c r="B7" s="149">
        <v>15.048373219999998</v>
      </c>
      <c r="C7" s="84">
        <v>18.369730490000002</v>
      </c>
      <c r="D7" s="84">
        <v>20.617183579999999</v>
      </c>
      <c r="E7" s="150">
        <v>22.029630579999999</v>
      </c>
      <c r="F7" s="84">
        <v>22.198777</v>
      </c>
      <c r="G7" s="84">
        <v>20.584996240000002</v>
      </c>
      <c r="H7" s="84">
        <v>20.547814630000001</v>
      </c>
    </row>
    <row r="8" spans="1:8">
      <c r="A8" s="49" t="str">
        <f>HLOOKUP(INDICE!$F$2,Nombres!$C$3:$E$853,40)</f>
        <v>Resultados de operaciones financieras</v>
      </c>
      <c r="B8" s="149">
        <v>15.96943126</v>
      </c>
      <c r="C8" s="84">
        <v>8.2456565899999994</v>
      </c>
      <c r="D8" s="84">
        <v>28.252607730000001</v>
      </c>
      <c r="E8" s="150">
        <v>-7.2932761599999996</v>
      </c>
      <c r="F8" s="84">
        <v>27.860549370000001</v>
      </c>
      <c r="G8" s="84">
        <v>19.47585364</v>
      </c>
      <c r="H8" s="84">
        <v>16.22007679</v>
      </c>
    </row>
    <row r="9" spans="1:8">
      <c r="A9" s="49" t="str">
        <f>HLOOKUP(INDICE!$F$2,Nombres!$C$3:$E$853,95)</f>
        <v>Otros ingresos netos</v>
      </c>
      <c r="B9" s="149">
        <v>3.0110004200000002</v>
      </c>
      <c r="C9" s="84">
        <v>4.1159995200000008</v>
      </c>
      <c r="D9" s="84">
        <v>0.2560001300000001</v>
      </c>
      <c r="E9" s="150">
        <v>-1.4399999800000001</v>
      </c>
      <c r="F9" s="84">
        <v>2.6950007899999999</v>
      </c>
      <c r="G9" s="84">
        <v>4.0039974599999999</v>
      </c>
      <c r="H9" s="84">
        <v>8.6990012799999992</v>
      </c>
    </row>
    <row r="10" spans="1:8">
      <c r="A10" s="54" t="str">
        <f>HLOOKUP(INDICE!$F$2,Nombres!$C$3:$E$853,44)</f>
        <v>Margen bruto</v>
      </c>
      <c r="B10" s="147">
        <v>158.09280483999999</v>
      </c>
      <c r="C10" s="83">
        <v>162.49838697000001</v>
      </c>
      <c r="D10" s="83">
        <v>163.88579046999999</v>
      </c>
      <c r="E10" s="148">
        <v>154.91435516999999</v>
      </c>
      <c r="F10" s="83">
        <v>171.93532723999999</v>
      </c>
      <c r="G10" s="83">
        <v>185.80684779000001</v>
      </c>
      <c r="H10" s="83">
        <v>176.66689224999999</v>
      </c>
    </row>
    <row r="11" spans="1:8">
      <c r="A11" s="49" t="str">
        <f>HLOOKUP(INDICE!$F$2,Nombres!$C$3:$E$853,45)</f>
        <v>Gastos de explotación</v>
      </c>
      <c r="B11" s="149">
        <v>-73.118642940000001</v>
      </c>
      <c r="C11" s="84">
        <v>-74.640445270000001</v>
      </c>
      <c r="D11" s="84">
        <v>-75.601038549999998</v>
      </c>
      <c r="E11" s="150">
        <v>-78.942075349999996</v>
      </c>
      <c r="F11" s="84">
        <v>-83.320375939999991</v>
      </c>
      <c r="G11" s="84">
        <v>-88.520386059999993</v>
      </c>
      <c r="H11" s="84">
        <v>-81.706377790000005</v>
      </c>
    </row>
    <row r="12" spans="1:8">
      <c r="A12" s="49" t="str">
        <f>HLOOKUP(INDICE!$F$2,Nombres!$C$3:$E$853,46)</f>
        <v xml:space="preserve">  Gastos de administración</v>
      </c>
      <c r="B12" s="149">
        <v>-69.960642849999999</v>
      </c>
      <c r="C12" s="84">
        <v>-72.690444569999997</v>
      </c>
      <c r="D12" s="84">
        <v>-72.746038869999992</v>
      </c>
      <c r="E12" s="150">
        <v>-76.650075820000012</v>
      </c>
      <c r="F12" s="84">
        <v>-80.755375659999999</v>
      </c>
      <c r="G12" s="84">
        <v>-85.87738576000001</v>
      </c>
      <c r="H12" s="84">
        <v>-81.112378339999992</v>
      </c>
    </row>
    <row r="13" spans="1:8">
      <c r="A13" s="88" t="str">
        <f>HLOOKUP(INDICE!$F$2,Nombres!$C$3:$E$853,47)</f>
        <v xml:space="preserve">  Gastos de personal</v>
      </c>
      <c r="B13" s="149">
        <v>-40.055999749999998</v>
      </c>
      <c r="C13" s="84">
        <v>-39.651000410000002</v>
      </c>
      <c r="D13" s="84">
        <v>-40.551001159999998</v>
      </c>
      <c r="E13" s="150">
        <v>-42.286001460000001</v>
      </c>
      <c r="F13" s="84">
        <v>-43.754998919999998</v>
      </c>
      <c r="G13" s="84">
        <v>-45.258001229999998</v>
      </c>
      <c r="H13" s="84">
        <v>-42.813001040000003</v>
      </c>
    </row>
    <row r="14" spans="1:8">
      <c r="A14" s="88" t="str">
        <f>HLOOKUP(INDICE!$F$2,Nombres!$C$3:$E$853,48)</f>
        <v xml:space="preserve">  Otros gastos generales de administración</v>
      </c>
      <c r="B14" s="149">
        <v>-29.904643100000001</v>
      </c>
      <c r="C14" s="84">
        <v>-33.039444160000002</v>
      </c>
      <c r="D14" s="84">
        <v>-32.195037710000001</v>
      </c>
      <c r="E14" s="150">
        <v>-34.364074360000004</v>
      </c>
      <c r="F14" s="84">
        <v>-37.000376739999993</v>
      </c>
      <c r="G14" s="84">
        <v>-40.619384529999998</v>
      </c>
      <c r="H14" s="84">
        <v>-38.299377300000003</v>
      </c>
    </row>
    <row r="15" spans="1:8" ht="13.5" customHeight="1">
      <c r="A15" s="49" t="str">
        <f>HLOOKUP(INDICE!$F$2,Nombres!$C$3:$E$853,49)</f>
        <v xml:space="preserve">  Amortizaciones</v>
      </c>
      <c r="B15" s="149">
        <v>-3.1580000899999998</v>
      </c>
      <c r="C15" s="84">
        <v>-1.9500006999999999</v>
      </c>
      <c r="D15" s="84">
        <v>-2.8549996800000002</v>
      </c>
      <c r="E15" s="150">
        <v>-2.29199953</v>
      </c>
      <c r="F15" s="84">
        <v>-2.5650002800000005</v>
      </c>
      <c r="G15" s="84">
        <v>-2.6430003000000002</v>
      </c>
      <c r="H15" s="84">
        <v>-0.5939994500000001</v>
      </c>
    </row>
    <row r="16" spans="1:8" ht="12.75" customHeight="1">
      <c r="A16" s="54" t="str">
        <f>HLOOKUP(INDICE!$F$2,Nombres!$C$3:$E$853,50)</f>
        <v>Margen neto</v>
      </c>
      <c r="B16" s="147">
        <v>84.974161899999999</v>
      </c>
      <c r="C16" s="83">
        <v>87.857941699999998</v>
      </c>
      <c r="D16" s="83">
        <v>88.284751920000005</v>
      </c>
      <c r="E16" s="148">
        <v>75.972279819999997</v>
      </c>
      <c r="F16" s="83">
        <v>88.614951300000001</v>
      </c>
      <c r="G16" s="83">
        <v>97.286461729999999</v>
      </c>
      <c r="H16" s="83">
        <v>94.960514459999999</v>
      </c>
    </row>
    <row r="17" spans="1:8" ht="13.5" customHeight="1">
      <c r="A17" s="49" t="str">
        <f>HLOOKUP(INDICE!$F$2,Nombres!$C$3:$E$853,51)</f>
        <v>Pérdidas por deterioro de activos financieros</v>
      </c>
      <c r="B17" s="149">
        <v>-28.834000799999998</v>
      </c>
      <c r="C17" s="84">
        <v>-26.24699931</v>
      </c>
      <c r="D17" s="84">
        <v>-30.555999149999998</v>
      </c>
      <c r="E17" s="150">
        <v>-19.391000290000001</v>
      </c>
      <c r="F17" s="84">
        <v>-36.766000480000002</v>
      </c>
      <c r="G17" s="84">
        <v>-34.967999450000001</v>
      </c>
      <c r="H17" s="84">
        <v>-29.93400016</v>
      </c>
    </row>
    <row r="18" spans="1:8" ht="13.5" customHeight="1">
      <c r="A18" s="49" t="str">
        <f>HLOOKUP(INDICE!$F$2,Nombres!$C$3:$E$853,160)</f>
        <v>Dotaciones a provisiones y otros resultados</v>
      </c>
      <c r="B18" s="149">
        <v>0.52500020000000003</v>
      </c>
      <c r="C18" s="84">
        <v>0.43300033000000004</v>
      </c>
      <c r="D18" s="84">
        <v>-2.2700015100000002</v>
      </c>
      <c r="E18" s="150">
        <v>-54.512998780000004</v>
      </c>
      <c r="F18" s="84">
        <v>-1.0939992000000001</v>
      </c>
      <c r="G18" s="84">
        <v>4.8369990899999999</v>
      </c>
      <c r="H18" s="84">
        <v>-6.6420000199999993</v>
      </c>
    </row>
    <row r="19" spans="1:8" ht="12.75" customHeight="1">
      <c r="A19" s="54" t="str">
        <f>HLOOKUP(INDICE!$F$2,Nombres!$C$3:$E$853,54)</f>
        <v>Beneficio antes de impuestos</v>
      </c>
      <c r="B19" s="147">
        <v>56.665161300000001</v>
      </c>
      <c r="C19" s="83">
        <v>62.043942720000004</v>
      </c>
      <c r="D19" s="83">
        <v>55.45875126</v>
      </c>
      <c r="E19" s="148">
        <v>2.0682807499999996</v>
      </c>
      <c r="F19" s="83">
        <v>50.75495162</v>
      </c>
      <c r="G19" s="83">
        <v>67.155461369999998</v>
      </c>
      <c r="H19" s="83">
        <v>58.384514279999998</v>
      </c>
    </row>
    <row r="20" spans="1:8" ht="13.5" customHeight="1">
      <c r="A20" s="49" t="str">
        <f>HLOOKUP(INDICE!$F$2,Nombres!$C$3:$E$853,55)</f>
        <v>Impuesto sobre beneficios</v>
      </c>
      <c r="B20" s="149">
        <v>-6.8326319199999999</v>
      </c>
      <c r="C20" s="84">
        <v>-4.3109167299999998</v>
      </c>
      <c r="D20" s="84">
        <v>15.411582459999998</v>
      </c>
      <c r="E20" s="150">
        <v>9.9686229200000014</v>
      </c>
      <c r="F20" s="84">
        <v>-9.0717364099999998</v>
      </c>
      <c r="G20" s="84">
        <v>-9.1506675000000008</v>
      </c>
      <c r="H20" s="84">
        <v>-12.284265769999999</v>
      </c>
    </row>
    <row r="21" spans="1:8" ht="13.5" customHeight="1">
      <c r="A21" s="54" t="str">
        <f>HLOOKUP(INDICE!$F$2,Nombres!$C$3:$E$853,56)</f>
        <v>Beneficio después de impuestos</v>
      </c>
      <c r="B21" s="147">
        <v>49.832529379999997</v>
      </c>
      <c r="C21" s="83">
        <v>57.733025990000002</v>
      </c>
      <c r="D21" s="83">
        <v>70.870333720000005</v>
      </c>
      <c r="E21" s="148">
        <v>12.036903670000001</v>
      </c>
      <c r="F21" s="83">
        <v>41.68321521</v>
      </c>
      <c r="G21" s="83">
        <v>58.00479387</v>
      </c>
      <c r="H21" s="83">
        <v>46.10024851</v>
      </c>
    </row>
    <row r="22" spans="1:8" ht="12" customHeight="1">
      <c r="A22" s="49" t="str">
        <f>HLOOKUP(INDICE!$F$2,Nombres!$C$3:$E$853,57)</f>
        <v>Resultado atribuido a la minoría</v>
      </c>
      <c r="B22" s="149">
        <v>-14.26998279</v>
      </c>
      <c r="C22" s="84">
        <v>-15.65666933</v>
      </c>
      <c r="D22" s="84">
        <v>-21.527240880000001</v>
      </c>
      <c r="E22" s="150">
        <v>-3.0933085700000014</v>
      </c>
      <c r="F22" s="84">
        <v>-11.47694589</v>
      </c>
      <c r="G22" s="84">
        <v>-13.95385143</v>
      </c>
      <c r="H22" s="84">
        <v>-9.2718472500000004</v>
      </c>
    </row>
    <row r="23" spans="1:8" ht="14.25" customHeight="1">
      <c r="A23" s="54" t="str">
        <f>HLOOKUP(INDICE!$F$2,Nombres!$C$3:$E$853,58)</f>
        <v>Beneficio atribuido al Grupo</v>
      </c>
      <c r="B23" s="147">
        <v>35.562546589999997</v>
      </c>
      <c r="C23" s="83">
        <v>42.076356660000002</v>
      </c>
      <c r="D23" s="83">
        <v>49.343092839999997</v>
      </c>
      <c r="E23" s="148">
        <v>8.9435950999999978</v>
      </c>
      <c r="F23" s="83">
        <v>30.206269319999997</v>
      </c>
      <c r="G23" s="83">
        <v>44.05094244</v>
      </c>
      <c r="H23" s="83">
        <v>36.82840126</v>
      </c>
    </row>
    <row r="24" spans="1:8" ht="13.5" customHeight="1">
      <c r="A24" s="144" t="str">
        <f>HLOOKUP(INDICE!$F$2,Nombres!$C$3:$E$853,94)</f>
        <v>Balances</v>
      </c>
      <c r="F24" s="151"/>
      <c r="G24" s="74"/>
      <c r="H24" s="74"/>
    </row>
    <row r="25" spans="1:8" ht="12.75" customHeight="1">
      <c r="A25" s="41" t="str">
        <f>HLOOKUP(INDICE!$F$2,Nombres!$C$3:$E$853,30)</f>
        <v>(Millones de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381.95699999999999</v>
      </c>
      <c r="C27" s="84">
        <v>362.41</v>
      </c>
      <c r="D27" s="84">
        <v>370.53100000000001</v>
      </c>
      <c r="E27" s="150">
        <v>589.33100000000002</v>
      </c>
      <c r="F27" s="84">
        <v>396.94499999999999</v>
      </c>
      <c r="G27" s="84">
        <v>592.29499999999996</v>
      </c>
      <c r="H27" s="84">
        <v>348.572</v>
      </c>
    </row>
    <row r="28" spans="1:8">
      <c r="A28" s="49" t="str">
        <f>HLOOKUP(INDICE!$F$2,Nombres!$C$3:$E$853,101)</f>
        <v>Cartera de títulos</v>
      </c>
      <c r="B28" s="149">
        <v>1595.252</v>
      </c>
      <c r="C28" s="84">
        <v>1886.4079999999999</v>
      </c>
      <c r="D28" s="84">
        <v>2227.806</v>
      </c>
      <c r="E28" s="150">
        <v>2631.029</v>
      </c>
      <c r="F28" s="84">
        <v>2899.8429999999998</v>
      </c>
      <c r="G28" s="84">
        <v>2676.4870000000001</v>
      </c>
      <c r="H28" s="84">
        <v>2909.6680000000001</v>
      </c>
    </row>
    <row r="29" spans="1:8">
      <c r="A29" s="49" t="str">
        <f>HLOOKUP(INDICE!$F$2,Nombres!$C$3:$E$853,102)</f>
        <v>Inversiones crediticias</v>
      </c>
      <c r="B29" s="149">
        <v>12570.792265120001</v>
      </c>
      <c r="C29" s="84">
        <v>13104.458705200001</v>
      </c>
      <c r="D29" s="84">
        <v>13419.03340337</v>
      </c>
      <c r="E29" s="150">
        <v>13613.16347929</v>
      </c>
      <c r="F29" s="84">
        <v>15338.231326270001</v>
      </c>
      <c r="G29" s="84">
        <v>14360.630076089999</v>
      </c>
      <c r="H29" s="84">
        <v>13607.642659020001</v>
      </c>
    </row>
    <row r="30" spans="1:8">
      <c r="A30" s="49" t="str">
        <f>HLOOKUP(INDICE!$F$2,Nombres!$C$3:$E$853,103)</f>
        <v xml:space="preserve">  . Crédito a la clientela neto</v>
      </c>
      <c r="B30" s="149">
        <v>11042.596265120001</v>
      </c>
      <c r="C30" s="84">
        <v>11467.888705199999</v>
      </c>
      <c r="D30" s="84">
        <v>11548.54040337</v>
      </c>
      <c r="E30" s="150">
        <v>12125.55447929</v>
      </c>
      <c r="F30" s="84">
        <v>13396.61332627</v>
      </c>
      <c r="G30" s="84">
        <v>12658.02807609</v>
      </c>
      <c r="H30" s="84">
        <v>11927.767659020001</v>
      </c>
    </row>
    <row r="31" spans="1:8">
      <c r="A31" s="49" t="str">
        <f>HLOOKUP(INDICE!$F$2,Nombres!$C$3:$E$853,104)</f>
        <v xml:space="preserve">  . Depósitos en entidades de crédito y otros</v>
      </c>
      <c r="B31" s="154">
        <v>1528.1959999999999</v>
      </c>
      <c r="C31" s="84">
        <v>1636.57</v>
      </c>
      <c r="D31" s="84">
        <v>1870.4929999999999</v>
      </c>
      <c r="E31" s="150">
        <v>1487.6089999999999</v>
      </c>
      <c r="F31" s="84">
        <v>1941.6179999999999</v>
      </c>
      <c r="G31" s="84">
        <v>1702.6020000000001</v>
      </c>
      <c r="H31" s="84">
        <v>1679.875</v>
      </c>
    </row>
    <row r="32" spans="1:8">
      <c r="A32" s="49" t="str">
        <f>HLOOKUP(INDICE!$F$2,Nombres!$C$3:$E$853,106)</f>
        <v>Activo material</v>
      </c>
      <c r="B32" s="149">
        <v>82.302000000000007</v>
      </c>
      <c r="C32" s="84">
        <v>82.900999999999996</v>
      </c>
      <c r="D32" s="84">
        <v>84.471999999999994</v>
      </c>
      <c r="E32" s="150">
        <v>89.14</v>
      </c>
      <c r="F32" s="84">
        <v>121.586</v>
      </c>
      <c r="G32" s="84">
        <v>108.235</v>
      </c>
      <c r="H32" s="84">
        <v>104.80500000000001</v>
      </c>
    </row>
    <row r="33" spans="1:8">
      <c r="A33" s="49" t="str">
        <f>HLOOKUP(INDICE!$F$2,Nombres!$C$3:$E$853,107)</f>
        <v>Otros activos</v>
      </c>
      <c r="B33" s="149">
        <v>434.35291279999984</v>
      </c>
      <c r="C33" s="84">
        <v>406.08675122000056</v>
      </c>
      <c r="D33" s="84">
        <v>709.10850396999786</v>
      </c>
      <c r="E33" s="150">
        <v>561.10650204000012</v>
      </c>
      <c r="F33" s="84">
        <v>748.30567498000119</v>
      </c>
      <c r="G33" s="84">
        <v>690.05154192000032</v>
      </c>
      <c r="H33" s="84">
        <v>657.94960935999882</v>
      </c>
    </row>
    <row r="34" spans="1:8">
      <c r="A34" s="54" t="str">
        <f>HLOOKUP(INDICE!$F$2,Nombres!$C$3:$E$853,108)</f>
        <v>Total activo / pasivo</v>
      </c>
      <c r="B34" s="147">
        <v>15064.65617792</v>
      </c>
      <c r="C34" s="83">
        <v>15842.26445642</v>
      </c>
      <c r="D34" s="83">
        <v>16810.95090734</v>
      </c>
      <c r="E34" s="148">
        <v>17483.769981330002</v>
      </c>
      <c r="F34" s="83">
        <v>19504.911001250002</v>
      </c>
      <c r="G34" s="83">
        <v>18427.698618010003</v>
      </c>
      <c r="H34" s="83">
        <v>17628.63726838</v>
      </c>
    </row>
    <row r="35" spans="1:8">
      <c r="A35" s="49" t="str">
        <f>HLOOKUP(INDICE!$F$2,Nombres!$C$3:$E$853,109)</f>
        <v>Depósitos de bancos centrales y entidades de crédito</v>
      </c>
      <c r="B35" s="149">
        <v>1947.4469999999999</v>
      </c>
      <c r="C35" s="84">
        <v>1967.221</v>
      </c>
      <c r="D35" s="84">
        <v>1965.9970000000001</v>
      </c>
      <c r="E35" s="150">
        <v>1946.385</v>
      </c>
      <c r="F35" s="84">
        <v>2209.6759999999999</v>
      </c>
      <c r="G35" s="84">
        <v>1865.6220000000001</v>
      </c>
      <c r="H35" s="84">
        <v>1735.2370000000001</v>
      </c>
    </row>
    <row r="36" spans="1:8">
      <c r="A36" s="49" t="str">
        <f>HLOOKUP(INDICE!$F$2,Nombres!$C$3:$E$853,110)</f>
        <v>Depósitos de la clientela</v>
      </c>
      <c r="B36" s="149">
        <v>7453.3860000000004</v>
      </c>
      <c r="C36" s="84">
        <v>7645.6310000000003</v>
      </c>
      <c r="D36" s="84">
        <v>7325.4009999999998</v>
      </c>
      <c r="E36" s="150">
        <v>8240.0400000000009</v>
      </c>
      <c r="F36" s="84">
        <v>8787.6049999999996</v>
      </c>
      <c r="G36" s="84">
        <v>8401.7389999999996</v>
      </c>
      <c r="H36" s="84">
        <v>7682.2780000000002</v>
      </c>
    </row>
    <row r="37" spans="1:8">
      <c r="A37" s="49" t="str">
        <f>HLOOKUP(INDICE!$F$2,Nombres!$C$3:$E$853,111)</f>
        <v>Débitos representados por valores negociables</v>
      </c>
      <c r="B37" s="149">
        <v>1936.8409999999999</v>
      </c>
      <c r="C37" s="84">
        <v>2350.8739999999998</v>
      </c>
      <c r="D37" s="84">
        <v>2608.7159999999999</v>
      </c>
      <c r="E37" s="150">
        <v>2607.7640000000001</v>
      </c>
      <c r="F37" s="84">
        <v>3052.125</v>
      </c>
      <c r="G37" s="84">
        <v>2977.2440000000001</v>
      </c>
      <c r="H37" s="84">
        <v>2588.4969999999998</v>
      </c>
    </row>
    <row r="38" spans="1:8" ht="13.5" customHeight="1">
      <c r="A38" s="49" t="str">
        <f>HLOOKUP(INDICE!$F$2,Nombres!$C$3:$E$853,112)</f>
        <v>Pasivos subordinados</v>
      </c>
      <c r="B38" s="149">
        <v>560.36800000000005</v>
      </c>
      <c r="C38" s="84">
        <v>562.77599999999995</v>
      </c>
      <c r="D38" s="84">
        <v>567.24199999999996</v>
      </c>
      <c r="E38" s="150">
        <v>580.22299999999996</v>
      </c>
      <c r="F38" s="84">
        <v>639.28099999999995</v>
      </c>
      <c r="G38" s="84">
        <v>601.57299999999998</v>
      </c>
      <c r="H38" s="84">
        <v>553.88900000000001</v>
      </c>
    </row>
    <row r="39" spans="1:8">
      <c r="A39" s="49" t="str">
        <f>HLOOKUP(INDICE!$F$2,Nombres!$C$3:$E$853,114)</f>
        <v>Cartera de negociación</v>
      </c>
      <c r="B39" s="149">
        <v>1134.4090000000001</v>
      </c>
      <c r="C39" s="84">
        <v>1170.7</v>
      </c>
      <c r="D39" s="84">
        <v>1712.415</v>
      </c>
      <c r="E39" s="150">
        <v>1761.4290000000001</v>
      </c>
      <c r="F39" s="84">
        <v>2128.2330000000002</v>
      </c>
      <c r="G39" s="84">
        <v>2041.289</v>
      </c>
      <c r="H39" s="84">
        <v>2588.837</v>
      </c>
    </row>
    <row r="40" spans="1:8">
      <c r="A40" s="49" t="str">
        <f>HLOOKUP(INDICE!$F$2,Nombres!$C$3:$E$853,115)</f>
        <v>Otros pasivos</v>
      </c>
      <c r="B40" s="149">
        <v>1598.3264879199999</v>
      </c>
      <c r="C40" s="84">
        <v>1701.93806642</v>
      </c>
      <c r="D40" s="84">
        <v>2200.4800620399997</v>
      </c>
      <c r="E40" s="150">
        <v>1891.2134075099998</v>
      </c>
      <c r="F40" s="84">
        <v>2174.8175912500001</v>
      </c>
      <c r="G40" s="84">
        <v>2016.2892480099999</v>
      </c>
      <c r="H40" s="84">
        <v>2012.9315380800001</v>
      </c>
    </row>
    <row r="41" spans="1:8" ht="12.75" customHeight="1">
      <c r="A41" s="49" t="str">
        <f>HLOOKUP(INDICE!$F$2,Nombres!$C$3:$E$853,116)</f>
        <v>Dotación de capital económico</v>
      </c>
      <c r="B41" s="149">
        <v>433.87869000000001</v>
      </c>
      <c r="C41" s="84">
        <v>443.12439000000001</v>
      </c>
      <c r="D41" s="84">
        <v>430.69984529999999</v>
      </c>
      <c r="E41" s="150">
        <v>456.71557381999997</v>
      </c>
      <c r="F41" s="84">
        <v>513.17340999999999</v>
      </c>
      <c r="G41" s="84">
        <v>523.94236999999998</v>
      </c>
      <c r="H41" s="84">
        <v>466.96773030000003</v>
      </c>
    </row>
    <row r="42" spans="1:8" ht="15" customHeight="1">
      <c r="A42" s="144" t="str">
        <f>HLOOKUP(INDICE!$F$2,Nombres!$C$3:$E$853,117)</f>
        <v>Indicadores relevantes</v>
      </c>
      <c r="F42" s="151"/>
      <c r="G42" s="74"/>
      <c r="H42" s="74"/>
    </row>
    <row r="43" spans="1:8" ht="13.5" customHeight="1">
      <c r="A43" s="144" t="str">
        <f>HLOOKUP(INDICE!$F$2,Nombres!$C$3:$E$853,201)</f>
        <v>Anexo:</v>
      </c>
      <c r="F43" s="151"/>
      <c r="G43" s="74"/>
      <c r="H43" s="74"/>
    </row>
    <row r="44" spans="1:8" ht="12.75" customHeight="1">
      <c r="A44" s="41" t="str">
        <f>HLOOKUP(INDICE!$F$2,Nombres!$C$3:$E$853,30)</f>
        <v>(Millones de euros)</v>
      </c>
      <c r="B44" s="81">
        <v>41729</v>
      </c>
      <c r="C44" s="82">
        <v>41820</v>
      </c>
      <c r="D44" s="82">
        <v>41912</v>
      </c>
      <c r="E44" s="82">
        <v>42004</v>
      </c>
      <c r="F44" s="81">
        <v>42094</v>
      </c>
      <c r="G44" s="82">
        <v>42185</v>
      </c>
      <c r="H44" s="82">
        <v>42277</v>
      </c>
    </row>
    <row r="45" spans="1:8" ht="12" customHeight="1">
      <c r="A45" s="49" t="str">
        <f>HLOOKUP(INDICE!$F$2,Nombres!$C$3:$E$853,118)</f>
        <v>Crédito a la clientela bruto (*)</v>
      </c>
      <c r="B45" s="155">
        <v>11247.209593520001</v>
      </c>
      <c r="C45" s="157">
        <v>11678.623155200001</v>
      </c>
      <c r="D45" s="157">
        <v>11674.005263900001</v>
      </c>
      <c r="E45" s="157">
        <v>12320.76947929</v>
      </c>
      <c r="F45" s="155">
        <v>13570.446261260002</v>
      </c>
      <c r="G45" s="157">
        <v>12841.695116739998</v>
      </c>
      <c r="H45" s="157">
        <v>12054.786158520001</v>
      </c>
    </row>
    <row r="46" spans="1:8">
      <c r="A46" s="49" t="str">
        <f>HLOOKUP(INDICE!$F$2,Nombres!$C$3:$E$853,121)</f>
        <v>Depósitos de clientes en gestión (**)</v>
      </c>
      <c r="B46" s="155">
        <v>7734.8942334000003</v>
      </c>
      <c r="C46" s="157">
        <v>7819.9671246600001</v>
      </c>
      <c r="D46" s="157">
        <v>7724.4803081999999</v>
      </c>
      <c r="E46" s="157">
        <v>8668.2063936400009</v>
      </c>
      <c r="F46" s="155">
        <v>9163.1472334800001</v>
      </c>
      <c r="G46" s="157">
        <v>8533.4707169499998</v>
      </c>
      <c r="H46" s="157">
        <v>8023.4290739999997</v>
      </c>
    </row>
    <row r="47" spans="1:8">
      <c r="A47" s="49" t="str">
        <f>HLOOKUP(INDICE!$F$2,Nombres!$C$3:$E$853,122)</f>
        <v>Fondos de inversión</v>
      </c>
      <c r="B47" s="155">
        <v>1146.170613</v>
      </c>
      <c r="C47" s="157">
        <v>1087.07284</v>
      </c>
      <c r="D47" s="157">
        <v>1275.2735849999999</v>
      </c>
      <c r="E47" s="157">
        <v>1281.660717</v>
      </c>
      <c r="F47" s="155">
        <v>1441.0292039999999</v>
      </c>
      <c r="G47" s="157">
        <v>1376.0938619999999</v>
      </c>
      <c r="H47" s="157">
        <v>1928.095198</v>
      </c>
    </row>
    <row r="48" spans="1:8">
      <c r="A48" s="49" t="str">
        <f>HLOOKUP(INDICE!$F$2,Nombres!$C$3:$E$853,206)</f>
        <v>Fondos de pensiones</v>
      </c>
      <c r="B48" s="238">
        <v>0</v>
      </c>
      <c r="C48" s="239">
        <v>0</v>
      </c>
      <c r="D48" s="239">
        <v>0</v>
      </c>
      <c r="E48" s="239">
        <v>0</v>
      </c>
      <c r="F48" s="238">
        <v>0</v>
      </c>
      <c r="G48" s="239">
        <v>0</v>
      </c>
      <c r="H48" s="239">
        <v>0</v>
      </c>
    </row>
    <row r="49" spans="1:8">
      <c r="A49" s="49" t="str">
        <f>HLOOKUP(INDICE!$F$2,Nombres!$C$3:$E$853,308)</f>
        <v>Otros recursos fuera de balance</v>
      </c>
      <c r="B49" s="238">
        <v>0</v>
      </c>
      <c r="C49" s="239">
        <v>0</v>
      </c>
      <c r="D49" s="239">
        <v>0</v>
      </c>
      <c r="E49" s="239">
        <v>0</v>
      </c>
      <c r="F49" s="238">
        <v>0</v>
      </c>
      <c r="G49" s="239">
        <v>0</v>
      </c>
      <c r="H49" s="239">
        <v>0</v>
      </c>
    </row>
    <row r="50" spans="1:8">
      <c r="A50" s="156" t="str">
        <f>HLOOKUP(INDICE!$F$2,Nombres!$C$3:$E$853,307)</f>
        <v>(*) No incluye las adquisiciones temporales de activos.</v>
      </c>
      <c r="B50" s="157"/>
      <c r="C50" s="157"/>
      <c r="D50" s="157"/>
      <c r="E50" s="157"/>
      <c r="F50" s="157"/>
      <c r="G50" s="157"/>
      <c r="H50" s="157"/>
    </row>
    <row r="51" spans="1:8">
      <c r="A51" s="156" t="str">
        <f>HLOOKUP(INDICE!$F$2,Nombres!$C$3:$E$853,284)</f>
        <v>(**) No incluye las cesiones temporales de activos e incluye determinados valores negociables.</v>
      </c>
      <c r="C51"/>
      <c r="D51"/>
      <c r="E51"/>
    </row>
    <row r="52" spans="1:8" ht="18">
      <c r="A52" s="144" t="str">
        <f>HLOOKUP(INDICE!$F$2,Nombres!$C$3:$E$853,93)</f>
        <v xml:space="preserve">Cuentas de resultados  </v>
      </c>
      <c r="C52" s="145"/>
      <c r="D52" s="145"/>
      <c r="E52" s="145"/>
      <c r="G52" s="74"/>
      <c r="H52" s="74"/>
    </row>
    <row r="53" spans="1:8">
      <c r="A53" s="41" t="str">
        <f>HLOOKUP(INDICE!$F$2,Nombres!$C$3:$E$853,31)</f>
        <v>(Millones de euros constantes)</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1er Trim.</v>
      </c>
      <c r="C55" s="146" t="str">
        <f>HLOOKUP(INDICE!$F$2,Nombres!$C$3:$E$857,35)</f>
        <v>2º Trim.</v>
      </c>
      <c r="D55" s="146" t="str">
        <f>HLOOKUP(INDICE!$F$2,Nombres!$C$3:$E$857,36)</f>
        <v>3er Trim.</v>
      </c>
      <c r="E55" s="146" t="str">
        <f>HLOOKUP(INDICE!$F$2,Nombres!$C$3:$E$857,37)</f>
        <v>4º Trim.</v>
      </c>
      <c r="F55" s="146" t="str">
        <f>HLOOKUP(INDICE!$F$2,Nombres!$C$3:$E$857,34)</f>
        <v>1er Trim.</v>
      </c>
      <c r="G55" s="146" t="str">
        <f>HLOOKUP(INDICE!$F$2,Nombres!$C$3:$E$857,35)</f>
        <v>2º Trim.</v>
      </c>
      <c r="H55" s="146" t="str">
        <f>HLOOKUP(INDICE!$F$2,Nombres!$C$3:$E$857,36)</f>
        <v>3er Trim.</v>
      </c>
    </row>
    <row r="56" spans="1:8">
      <c r="A56" s="54" t="str">
        <f>HLOOKUP(INDICE!$F$2,Nombres!$C$3:$E$853,38)</f>
        <v>Margen de intereses</v>
      </c>
      <c r="B56" s="147">
        <v>131.46661020830001</v>
      </c>
      <c r="C56" s="83">
        <v>140.45073330299999</v>
      </c>
      <c r="D56" s="83">
        <v>123.1732127759</v>
      </c>
      <c r="E56" s="148">
        <v>148.50189991420001</v>
      </c>
      <c r="F56" s="54">
        <v>117.58856758949999</v>
      </c>
      <c r="G56" s="54">
        <v>136.10164013299999</v>
      </c>
      <c r="H56" s="54">
        <v>138.43279235749998</v>
      </c>
    </row>
    <row r="57" spans="1:8">
      <c r="A57" s="49" t="str">
        <f>HLOOKUP(INDICE!$F$2,Nombres!$C$3:$E$853,39)</f>
        <v>Comisiones</v>
      </c>
      <c r="B57" s="149">
        <v>15.946274643200002</v>
      </c>
      <c r="C57" s="84">
        <v>19.573118921300001</v>
      </c>
      <c r="D57" s="84">
        <v>22.088135362500001</v>
      </c>
      <c r="E57" s="150">
        <v>23.117947450900001</v>
      </c>
      <c r="F57" s="73">
        <v>21.9021688686</v>
      </c>
      <c r="G57" s="73">
        <v>19.695636991400001</v>
      </c>
      <c r="H57" s="73">
        <v>21.733782010199999</v>
      </c>
    </row>
    <row r="58" spans="1:8">
      <c r="A58" s="49" t="str">
        <f>HLOOKUP(INDICE!$F$2,Nombres!$C$3:$E$853,40)</f>
        <v>Resultados de operaciones financieras</v>
      </c>
      <c r="B58" s="149">
        <v>16.922290073799999</v>
      </c>
      <c r="C58" s="84">
        <v>8.8154131484999994</v>
      </c>
      <c r="D58" s="84">
        <v>30.1986014119</v>
      </c>
      <c r="E58" s="150">
        <v>-7.9940123149000017</v>
      </c>
      <c r="F58" s="73">
        <v>27.488291678000003</v>
      </c>
      <c r="G58" s="73">
        <v>18.535944928399999</v>
      </c>
      <c r="H58" s="73">
        <v>17.532243193600003</v>
      </c>
    </row>
    <row r="59" spans="1:8" ht="17.25" customHeight="1">
      <c r="A59" s="49" t="str">
        <f>HLOOKUP(INDICE!$F$2,Nombres!$C$3:$E$853,95)</f>
        <v>Otros ingresos netos</v>
      </c>
      <c r="B59" s="149">
        <v>3.1906598105999997</v>
      </c>
      <c r="C59" s="84">
        <v>4.3844772467999995</v>
      </c>
      <c r="D59" s="84">
        <v>0.29594888350000015</v>
      </c>
      <c r="E59" s="150">
        <v>-1.5639534702000002</v>
      </c>
      <c r="F59" s="73">
        <v>2.6589916372999998</v>
      </c>
      <c r="G59" s="73">
        <v>3.8543101954000001</v>
      </c>
      <c r="H59" s="73">
        <v>8.8846976973</v>
      </c>
    </row>
    <row r="60" spans="1:8" ht="15.75" customHeight="1">
      <c r="A60" s="54" t="str">
        <f>HLOOKUP(INDICE!$F$2,Nombres!$C$3:$E$853,44)</f>
        <v>Margen bruto</v>
      </c>
      <c r="B60" s="147">
        <v>167.52583473600001</v>
      </c>
      <c r="C60" s="83">
        <v>173.22374261959999</v>
      </c>
      <c r="D60" s="83">
        <v>175.75589843379998</v>
      </c>
      <c r="E60" s="148">
        <v>162.06188158</v>
      </c>
      <c r="F60" s="54">
        <v>169.6380197734</v>
      </c>
      <c r="G60" s="54">
        <v>178.1875322482</v>
      </c>
      <c r="H60" s="54">
        <v>186.58351525840001</v>
      </c>
    </row>
    <row r="61" spans="1:8">
      <c r="A61" s="49" t="str">
        <f>HLOOKUP(INDICE!$F$2,Nombres!$C$3:$E$853,45)</f>
        <v>Gastos de explotación</v>
      </c>
      <c r="B61" s="149">
        <v>-77.4814622695</v>
      </c>
      <c r="C61" s="84">
        <v>-79.568538305200008</v>
      </c>
      <c r="D61" s="84">
        <v>-81.076335173199993</v>
      </c>
      <c r="E61" s="150">
        <v>-82.698164676000005</v>
      </c>
      <c r="F61" s="73">
        <v>-82.207093842299997</v>
      </c>
      <c r="G61" s="73">
        <v>-84.870237471500005</v>
      </c>
      <c r="H61" s="73">
        <v>-86.469808476100013</v>
      </c>
    </row>
    <row r="62" spans="1:8">
      <c r="A62" s="49" t="str">
        <f>HLOOKUP(INDICE!$F$2,Nombres!$C$3:$E$853,46)</f>
        <v xml:space="preserve">  Gastos de administración</v>
      </c>
      <c r="B62" s="149">
        <v>-74.135031660500005</v>
      </c>
      <c r="C62" s="84">
        <v>-77.485783225999995</v>
      </c>
      <c r="D62" s="84">
        <v>-78.016091028999995</v>
      </c>
      <c r="E62" s="150">
        <v>-80.304262435699997</v>
      </c>
      <c r="F62" s="73">
        <v>-79.676365717899998</v>
      </c>
      <c r="G62" s="73">
        <v>-82.337330936400008</v>
      </c>
      <c r="H62" s="73">
        <v>-85.731443105699995</v>
      </c>
    </row>
    <row r="63" spans="1:8">
      <c r="A63" s="189" t="str">
        <f>HLOOKUP(INDICE!$F$2,Nombres!$C$3:$E$853,47)</f>
        <v xml:space="preserve">  Gastos de personal</v>
      </c>
      <c r="B63" s="149">
        <v>-42.4460480734</v>
      </c>
      <c r="C63" s="84">
        <v>-42.272831642100002</v>
      </c>
      <c r="D63" s="84">
        <v>-43.489308621899994</v>
      </c>
      <c r="E63" s="150">
        <v>-44.295015823300005</v>
      </c>
      <c r="F63" s="73">
        <v>-43.1703681328</v>
      </c>
      <c r="G63" s="73">
        <v>-43.375189185700002</v>
      </c>
      <c r="H63" s="73">
        <v>-45.280443871599999</v>
      </c>
    </row>
    <row r="64" spans="1:8">
      <c r="A64" s="189" t="str">
        <f>HLOOKUP(INDICE!$F$2,Nombres!$C$3:$E$853,48)</f>
        <v xml:space="preserve">  Otros gastos generales de administración</v>
      </c>
      <c r="B64" s="149">
        <v>-31.688983587100005</v>
      </c>
      <c r="C64" s="84">
        <v>-35.212951584000002</v>
      </c>
      <c r="D64" s="84">
        <v>-34.526782407100001</v>
      </c>
      <c r="E64" s="150">
        <v>-36.009246612399998</v>
      </c>
      <c r="F64" s="73">
        <v>-36.505997585199999</v>
      </c>
      <c r="G64" s="73">
        <v>-38.962141750699999</v>
      </c>
      <c r="H64" s="73">
        <v>-40.450999234000001</v>
      </c>
    </row>
    <row r="65" spans="1:8" ht="13.5" customHeight="1">
      <c r="A65" s="49" t="str">
        <f>HLOOKUP(INDICE!$F$2,Nombres!$C$3:$E$853,49)</f>
        <v xml:space="preserve">  Amortizaciones</v>
      </c>
      <c r="B65" s="149">
        <v>-3.3464306089999996</v>
      </c>
      <c r="C65" s="84">
        <v>-2.0827550793</v>
      </c>
      <c r="D65" s="84">
        <v>-3.0602441441999999</v>
      </c>
      <c r="E65" s="150">
        <v>-2.3939022402000001</v>
      </c>
      <c r="F65" s="73">
        <v>-2.5307281244000004</v>
      </c>
      <c r="G65" s="73">
        <v>-2.5329065353</v>
      </c>
      <c r="H65" s="73">
        <v>-0.73836537049999995</v>
      </c>
    </row>
    <row r="66" spans="1:8" ht="14.25" customHeight="1">
      <c r="A66" s="54" t="str">
        <f>HLOOKUP(INDICE!$F$2,Nombres!$C$3:$E$853,50)</f>
        <v>Margen neto</v>
      </c>
      <c r="B66" s="147">
        <v>90.044372466500008</v>
      </c>
      <c r="C66" s="83">
        <v>93.655204314400009</v>
      </c>
      <c r="D66" s="83">
        <v>94.679563260599991</v>
      </c>
      <c r="E66" s="148">
        <v>79.363716904100002</v>
      </c>
      <c r="F66" s="54">
        <v>87.430925931000004</v>
      </c>
      <c r="G66" s="54">
        <v>93.317294776599994</v>
      </c>
      <c r="H66" s="54">
        <v>100.11370678239999</v>
      </c>
    </row>
    <row r="67" spans="1:8">
      <c r="A67" s="49" t="str">
        <f>HLOOKUP(INDICE!$F$2,Nombres!$C$3:$E$853,51)</f>
        <v>Pérdidas por deterioro de activos financieros</v>
      </c>
      <c r="B67" s="149">
        <v>-30.554458551699998</v>
      </c>
      <c r="C67" s="84">
        <v>-27.989968080400001</v>
      </c>
      <c r="D67" s="84">
        <v>-32.753985192900004</v>
      </c>
      <c r="E67" s="150">
        <v>-20.164737470399999</v>
      </c>
      <c r="F67" s="73">
        <v>-36.2747529349</v>
      </c>
      <c r="G67" s="73">
        <v>-33.4707785286</v>
      </c>
      <c r="H67" s="73">
        <v>-31.922468626499999</v>
      </c>
    </row>
    <row r="68" spans="1:8" ht="16.5" customHeight="1">
      <c r="A68" s="49" t="str">
        <f>HLOOKUP(INDICE!$F$2,Nombres!$C$3:$E$853,160)</f>
        <v>Dotaciones a provisiones y otros resultados</v>
      </c>
      <c r="B68" s="149">
        <v>0.55632574060000006</v>
      </c>
      <c r="C68" s="84">
        <v>0.46191270149999997</v>
      </c>
      <c r="D68" s="84">
        <v>-2.4169750492000004</v>
      </c>
      <c r="E68" s="150">
        <v>-57.846705649500002</v>
      </c>
      <c r="F68" s="73">
        <v>-1.0793817703999999</v>
      </c>
      <c r="G68" s="73">
        <v>4.7186255997000011</v>
      </c>
      <c r="H68" s="73">
        <v>-6.5382439593000008</v>
      </c>
    </row>
    <row r="69" spans="1:8" ht="12.75" customHeight="1">
      <c r="A69" s="54" t="str">
        <f>HLOOKUP(INDICE!$F$2,Nombres!$C$3:$E$853,54)</f>
        <v>Beneficio antes de impuestos</v>
      </c>
      <c r="B69" s="147">
        <v>60.046239655500003</v>
      </c>
      <c r="C69" s="83">
        <v>66.127148935400001</v>
      </c>
      <c r="D69" s="83">
        <v>59.508603018399995</v>
      </c>
      <c r="E69" s="148">
        <v>1.3522737840999923</v>
      </c>
      <c r="F69" s="54">
        <v>50.076791225699999</v>
      </c>
      <c r="G69" s="54">
        <v>64.565141847700005</v>
      </c>
      <c r="H69" s="54">
        <v>61.652994196599998</v>
      </c>
    </row>
    <row r="70" spans="1:8" ht="13.5" customHeight="1">
      <c r="A70" s="49" t="str">
        <f>HLOOKUP(INDICE!$F$2,Nombres!$C$3:$E$853,55)</f>
        <v>Impuesto sobre beneficios</v>
      </c>
      <c r="B70" s="149">
        <v>-7.2403191720000004</v>
      </c>
      <c r="C70" s="84">
        <v>-4.6039223097999997</v>
      </c>
      <c r="D70" s="84">
        <v>16.394432542200001</v>
      </c>
      <c r="E70" s="150">
        <v>10.5587570427</v>
      </c>
      <c r="F70" s="73">
        <v>-8.9505247419999989</v>
      </c>
      <c r="G70" s="73">
        <v>-8.7667536263999999</v>
      </c>
      <c r="H70" s="73">
        <v>-12.789391311499999</v>
      </c>
    </row>
    <row r="71" spans="1:8" ht="12.75" customHeight="1">
      <c r="A71" s="54" t="str">
        <f>HLOOKUP(INDICE!$F$2,Nombres!$C$3:$E$853,56)</f>
        <v>Beneficio después de impuestos</v>
      </c>
      <c r="B71" s="147">
        <v>52.805920483499996</v>
      </c>
      <c r="C71" s="83">
        <v>61.523226625699991</v>
      </c>
      <c r="D71" s="83">
        <v>75.903035560500001</v>
      </c>
      <c r="E71" s="148">
        <v>11.911030826800001</v>
      </c>
      <c r="F71" s="54">
        <v>41.126266483599998</v>
      </c>
      <c r="G71" s="54">
        <v>55.798388221400003</v>
      </c>
      <c r="H71" s="54">
        <v>48.863602885100001</v>
      </c>
    </row>
    <row r="72" spans="1:8" ht="12.75" customHeight="1">
      <c r="A72" s="49" t="str">
        <f>HLOOKUP(INDICE!$F$2,Nombres!$C$3:$E$853,57)</f>
        <v>Resultado atribuido a la minoría</v>
      </c>
      <c r="B72" s="149">
        <v>-15.1214394671</v>
      </c>
      <c r="C72" s="84">
        <v>-16.686964263500002</v>
      </c>
      <c r="D72" s="84">
        <v>-23.047076420699998</v>
      </c>
      <c r="E72" s="150">
        <v>-3.0338721958000008</v>
      </c>
      <c r="F72" s="73">
        <v>-11.323597105299999</v>
      </c>
      <c r="G72" s="73">
        <v>-13.4022578081</v>
      </c>
      <c r="H72" s="73">
        <v>-9.9767896566999994</v>
      </c>
    </row>
    <row r="73" spans="1:8" ht="15" customHeight="1">
      <c r="A73" s="54" t="str">
        <f>HLOOKUP(INDICE!$F$2,Nombres!$C$3:$E$853,58)</f>
        <v>Beneficio atribuido al Grupo</v>
      </c>
      <c r="B73" s="147">
        <v>37.684481016399999</v>
      </c>
      <c r="C73" s="83">
        <v>44.836262362100001</v>
      </c>
      <c r="D73" s="83">
        <v>52.855959139900001</v>
      </c>
      <c r="E73" s="148">
        <v>8.8771586310000039</v>
      </c>
      <c r="F73" s="54">
        <v>29.802669378400001</v>
      </c>
      <c r="G73" s="54">
        <v>42.3961304133</v>
      </c>
      <c r="H73" s="54">
        <v>38.886813228400001</v>
      </c>
    </row>
    <row r="74" spans="1:8" s="169" customFormat="1" ht="15" customHeight="1">
      <c r="A74" s="190"/>
      <c r="B74" s="191"/>
      <c r="C74" s="191"/>
      <c r="D74" s="191"/>
      <c r="E74" s="191"/>
      <c r="F74" s="190"/>
      <c r="G74" s="190"/>
      <c r="H74" s="190"/>
    </row>
    <row r="75" spans="1:8" ht="15.75" customHeight="1">
      <c r="A75" s="144" t="str">
        <f>HLOOKUP(INDICE!$F$2,Nombres!$C$3:$E$853,94)</f>
        <v>Balances</v>
      </c>
      <c r="G75" s="74"/>
      <c r="H75" s="74"/>
    </row>
    <row r="76" spans="1:8">
      <c r="A76" s="41" t="str">
        <f>HLOOKUP(INDICE!$F$2,Nombres!$C$3:$E$853,31)</f>
        <v>(Millones de euros constantes)</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Caja y depósitos en bancos centrales</v>
      </c>
      <c r="B78" s="149">
        <v>367.45597494309999</v>
      </c>
      <c r="C78" s="84">
        <v>345.2432105263</v>
      </c>
      <c r="D78" s="84">
        <v>355.3843883422</v>
      </c>
      <c r="E78" s="150">
        <v>550.24493515109998</v>
      </c>
      <c r="F78" s="158">
        <v>339.12967970329998</v>
      </c>
      <c r="G78" s="84">
        <v>532.98136718750004</v>
      </c>
      <c r="H78" s="84">
        <v>348.572</v>
      </c>
    </row>
    <row r="79" spans="1:8">
      <c r="A79" s="49" t="str">
        <f>HLOOKUP(INDICE!$F$2,Nombres!$C$3:$E$853,101)</f>
        <v>Cartera de títulos</v>
      </c>
      <c r="B79" s="149">
        <v>1534.6881427487001</v>
      </c>
      <c r="C79" s="84">
        <v>1797.0518315789</v>
      </c>
      <c r="D79" s="84">
        <v>2136.7374731263999</v>
      </c>
      <c r="E79" s="150">
        <v>2456.5318666174999</v>
      </c>
      <c r="F79" s="158">
        <v>2477.4788138908002</v>
      </c>
      <c r="G79" s="84">
        <v>2408.4581171875002</v>
      </c>
      <c r="H79" s="84">
        <v>2909.6680000000001</v>
      </c>
    </row>
    <row r="80" spans="1:8">
      <c r="A80" s="49" t="str">
        <f>HLOOKUP(INDICE!$F$2,Nombres!$C$3:$E$853,102)</f>
        <v>Inversiones crediticias</v>
      </c>
      <c r="B80" s="149">
        <v>12093.5412299978</v>
      </c>
      <c r="C80" s="84">
        <v>12483.721187585301</v>
      </c>
      <c r="D80" s="84">
        <v>12870.4885102724</v>
      </c>
      <c r="E80" s="150">
        <v>12710.300757745301</v>
      </c>
      <c r="F80" s="158">
        <v>13104.2070737587</v>
      </c>
      <c r="G80" s="84">
        <v>12922.527206254301</v>
      </c>
      <c r="H80" s="84">
        <v>13607.642659020001</v>
      </c>
    </row>
    <row r="81" spans="1:8">
      <c r="A81" s="49" t="str">
        <f>HLOOKUP(INDICE!$F$2,Nombres!$C$3:$E$853,103)</f>
        <v xml:space="preserve">  . Crédito a la clientela neto</v>
      </c>
      <c r="B81" s="149">
        <v>10623.363301372099</v>
      </c>
      <c r="C81" s="84">
        <v>10924.672924427399</v>
      </c>
      <c r="D81" s="84">
        <v>11076.457752513101</v>
      </c>
      <c r="E81" s="150">
        <v>11321.354108519099</v>
      </c>
      <c r="F81" s="158">
        <v>11445.387110171299</v>
      </c>
      <c r="G81" s="84">
        <v>11390.427253129301</v>
      </c>
      <c r="H81" s="84">
        <v>11927.767659020001</v>
      </c>
    </row>
    <row r="82" spans="1:8">
      <c r="A82" s="49" t="str">
        <f>HLOOKUP(INDICE!$F$2,Nombres!$C$3:$E$853,104)</f>
        <v xml:space="preserve">  . Depósitos en entidades de crédito y otros</v>
      </c>
      <c r="B82" s="149">
        <v>1470.1779286256999</v>
      </c>
      <c r="C82" s="84">
        <v>1559.0482631579</v>
      </c>
      <c r="D82" s="84">
        <v>1794.0307577593001</v>
      </c>
      <c r="E82" s="150">
        <v>1388.9466492262</v>
      </c>
      <c r="F82" s="158">
        <v>1658.8199635873</v>
      </c>
      <c r="G82" s="84">
        <v>1532.099953125</v>
      </c>
      <c r="H82" s="84">
        <v>1679.875</v>
      </c>
    </row>
    <row r="83" spans="1:8">
      <c r="A83" s="49" t="str">
        <f>HLOOKUP(INDICE!$F$2,Nombres!$C$3:$E$853,106)</f>
        <v>Activo material</v>
      </c>
      <c r="B83" s="149">
        <v>79.177398633300001</v>
      </c>
      <c r="C83" s="84">
        <v>78.974110526299995</v>
      </c>
      <c r="D83" s="84">
        <v>81.018943224799997</v>
      </c>
      <c r="E83" s="150">
        <v>83.227988209299994</v>
      </c>
      <c r="F83" s="158">
        <v>103.8769130142</v>
      </c>
      <c r="G83" s="84">
        <v>97.396125710199996</v>
      </c>
      <c r="H83" s="84">
        <v>104.80500000000001</v>
      </c>
    </row>
    <row r="84" spans="1:8">
      <c r="A84" s="49" t="str">
        <f>HLOOKUP(INDICE!$F$2,Nombres!$C$3:$E$853,107)</f>
        <v>Otros activos</v>
      </c>
      <c r="B84" s="149">
        <v>417.86267313380085</v>
      </c>
      <c r="C84" s="84">
        <v>386.85106300439685</v>
      </c>
      <c r="D84" s="84">
        <v>680.12147958349976</v>
      </c>
      <c r="E84" s="150">
        <v>523.8923641006993</v>
      </c>
      <c r="F84" s="158">
        <v>639.31442360060021</v>
      </c>
      <c r="G84" s="84">
        <v>620.94836904300075</v>
      </c>
      <c r="H84" s="84">
        <v>657.94960935999882</v>
      </c>
    </row>
    <row r="85" spans="1:8">
      <c r="A85" s="54" t="str">
        <f>HLOOKUP(INDICE!$F$2,Nombres!$C$3:$E$853,108)</f>
        <v>Total activo / pasivo</v>
      </c>
      <c r="B85" s="147">
        <v>14492.7254194568</v>
      </c>
      <c r="C85" s="83">
        <v>15091.841403221199</v>
      </c>
      <c r="D85" s="83">
        <v>16123.7507945494</v>
      </c>
      <c r="E85" s="148">
        <v>16324.197911824</v>
      </c>
      <c r="F85" s="147">
        <v>16664.0069039675</v>
      </c>
      <c r="G85" s="83">
        <v>16582.311185382499</v>
      </c>
      <c r="H85" s="83">
        <v>17628.63726838</v>
      </c>
    </row>
    <row r="86" spans="1:8">
      <c r="A86" s="49" t="str">
        <f>HLOOKUP(INDICE!$F$2,Nombres!$C$3:$E$853,109)</f>
        <v>Depósitos de bancos centrales y entidades de crédito</v>
      </c>
      <c r="B86" s="149">
        <v>1873.5120341685999</v>
      </c>
      <c r="C86" s="84">
        <v>1874.0368473684</v>
      </c>
      <c r="D86" s="84">
        <v>1885.6307335352001</v>
      </c>
      <c r="E86" s="150">
        <v>1817.2953537214</v>
      </c>
      <c r="F86" s="158">
        <v>1887.8351260958</v>
      </c>
      <c r="G86" s="84">
        <v>1678.794796875</v>
      </c>
      <c r="H86" s="84">
        <v>1735.2370000000001</v>
      </c>
    </row>
    <row r="87" spans="1:8">
      <c r="A87" s="49" t="str">
        <f>HLOOKUP(INDICE!$F$2,Nombres!$C$3:$E$853,110)</f>
        <v>Depósitos de la clientela</v>
      </c>
      <c r="B87" s="149">
        <v>7170.4176628701998</v>
      </c>
      <c r="C87" s="84">
        <v>7283.4695315789004</v>
      </c>
      <c r="D87" s="84">
        <v>7025.9523595761002</v>
      </c>
      <c r="E87" s="150">
        <v>7693.5377155489996</v>
      </c>
      <c r="F87" s="158">
        <v>7507.6841099123003</v>
      </c>
      <c r="G87" s="84">
        <v>7560.3716711648003</v>
      </c>
      <c r="H87" s="84">
        <v>7682.2780000000002</v>
      </c>
    </row>
    <row r="88" spans="1:8">
      <c r="A88" s="49" t="str">
        <f>HLOOKUP(INDICE!$F$2,Nombres!$C$3:$E$853,111)</f>
        <v>Débitos representados por valores negociables</v>
      </c>
      <c r="B88" s="149">
        <v>1863.3086917236001</v>
      </c>
      <c r="C88" s="84">
        <v>2239.5168105263001</v>
      </c>
      <c r="D88" s="84">
        <v>2502.0765874337999</v>
      </c>
      <c r="E88" s="150">
        <v>2434.8098658805998</v>
      </c>
      <c r="F88" s="158">
        <v>2607.5808327713999</v>
      </c>
      <c r="G88" s="84">
        <v>2679.0966960227001</v>
      </c>
      <c r="H88" s="84">
        <v>2588.4969999999998</v>
      </c>
    </row>
    <row r="89" spans="1:8">
      <c r="A89" s="49" t="str">
        <f>HLOOKUP(INDICE!$F$2,Nombres!$C$3:$E$853,112)</f>
        <v>Pasivos subordinados</v>
      </c>
      <c r="B89" s="149">
        <v>539.09358845860004</v>
      </c>
      <c r="C89" s="84">
        <v>536.1181894737</v>
      </c>
      <c r="D89" s="84">
        <v>544.05421196060001</v>
      </c>
      <c r="E89" s="150">
        <v>541.74100294770005</v>
      </c>
      <c r="F89" s="158">
        <v>546.16926972349995</v>
      </c>
      <c r="G89" s="84">
        <v>541.33024928980001</v>
      </c>
      <c r="H89" s="84">
        <v>553.88900000000001</v>
      </c>
    </row>
    <row r="90" spans="1:8">
      <c r="A90" s="49" t="str">
        <f>HLOOKUP(INDICE!$F$2,Nombres!$C$3:$E$853,114)</f>
        <v>Cartera de negociación</v>
      </c>
      <c r="B90" s="149">
        <v>1091.341080486</v>
      </c>
      <c r="C90" s="84">
        <v>1115.2457894736999</v>
      </c>
      <c r="D90" s="84">
        <v>1642.4146896290999</v>
      </c>
      <c r="E90" s="150">
        <v>1644.6061481208999</v>
      </c>
      <c r="F90" s="158">
        <v>1818.2543567094001</v>
      </c>
      <c r="G90" s="84">
        <v>1836.8701441761</v>
      </c>
      <c r="H90" s="84">
        <v>2588.837</v>
      </c>
    </row>
    <row r="91" spans="1:8">
      <c r="A91" s="49" t="str">
        <f>HLOOKUP(INDICE!$F$2,Nombres!$C$3:$E$853,115)</f>
        <v>Otros pasivos</v>
      </c>
      <c r="B91" s="149">
        <v>1537.6459075129999</v>
      </c>
      <c r="C91" s="84">
        <v>1621.3199474843</v>
      </c>
      <c r="D91" s="84">
        <v>2110.5285682094</v>
      </c>
      <c r="E91" s="150">
        <v>1765.7828941158998</v>
      </c>
      <c r="F91" s="158">
        <v>1858.0538692606999</v>
      </c>
      <c r="G91" s="84">
        <v>1814.3739184860997</v>
      </c>
      <c r="H91" s="84">
        <v>2012.9315380800001</v>
      </c>
    </row>
    <row r="92" spans="1:8" ht="12" customHeight="1">
      <c r="A92" s="49" t="str">
        <f>HLOOKUP(INDICE!$F$2,Nombres!$C$3:$E$853,116)</f>
        <v>Dotación de capital económico</v>
      </c>
      <c r="B92" s="149">
        <v>417.4064542369</v>
      </c>
      <c r="C92" s="84">
        <v>422.13428731580001</v>
      </c>
      <c r="D92" s="84">
        <v>413.09364420520001</v>
      </c>
      <c r="E92" s="150">
        <v>426.42493148850002</v>
      </c>
      <c r="F92" s="158">
        <v>438.4293394943</v>
      </c>
      <c r="G92" s="84">
        <v>471.47370936790003</v>
      </c>
      <c r="H92" s="84">
        <v>466.96773030000003</v>
      </c>
    </row>
    <row r="93" spans="1:8" ht="12" customHeight="1">
      <c r="A93" s="144" t="str">
        <f>HLOOKUP(INDICE!$F$2,Nombres!$C$3:$E$853,117)</f>
        <v>Indicadores relevantes</v>
      </c>
      <c r="G93" s="74"/>
      <c r="H93" s="74"/>
    </row>
    <row r="94" spans="1:8" ht="18">
      <c r="A94" s="144" t="str">
        <f>HLOOKUP(INDICE!$F$2,Nombres!$C$3:$E$853,201)</f>
        <v>Anexo:</v>
      </c>
      <c r="G94" s="74"/>
      <c r="H94" s="74"/>
    </row>
    <row r="95" spans="1:8" ht="12" customHeight="1">
      <c r="A95" s="41" t="str">
        <f>HLOOKUP(INDICE!$F$2,Nombres!$C$3:$E$853,31)</f>
        <v>(Millones de euros constantes)</v>
      </c>
    </row>
    <row r="96" spans="1:8" ht="11.25" customHeight="1">
      <c r="A96"/>
      <c r="B96" s="81">
        <v>41729</v>
      </c>
      <c r="C96" s="82">
        <v>41820</v>
      </c>
      <c r="D96" s="82">
        <v>41912</v>
      </c>
      <c r="E96" s="82">
        <v>42004</v>
      </c>
      <c r="F96" s="81">
        <v>42094</v>
      </c>
      <c r="G96" s="82">
        <v>42185</v>
      </c>
      <c r="H96" s="82">
        <v>42277</v>
      </c>
    </row>
    <row r="97" spans="1:8">
      <c r="A97" s="49" t="str">
        <f>HLOOKUP(INDICE!$F$2,Nombres!$C$3:$E$853,118)</f>
        <v>Crédito a la clientela bruto (*)</v>
      </c>
      <c r="B97" s="155">
        <v>10820.208469999901</v>
      </c>
      <c r="C97" s="157">
        <v>11125.425216269501</v>
      </c>
      <c r="D97" s="157">
        <v>11196.793845088001</v>
      </c>
      <c r="E97" s="157">
        <v>11503.621908813901</v>
      </c>
      <c r="F97" s="155">
        <v>11593.901155102099</v>
      </c>
      <c r="G97" s="157">
        <v>11555.701500646001</v>
      </c>
      <c r="H97" s="157">
        <v>12054.786158520001</v>
      </c>
    </row>
    <row r="98" spans="1:8">
      <c r="A98" s="49" t="str">
        <f>HLOOKUP(INDICE!$F$2,Nombres!$C$3:$E$853,121)</f>
        <v>Depósitos de clientes en gestión (**)</v>
      </c>
      <c r="B98" s="155">
        <v>7441.2384158829</v>
      </c>
      <c r="C98" s="157">
        <v>7449.5476292814001</v>
      </c>
      <c r="D98" s="157">
        <v>7408.7180548746001</v>
      </c>
      <c r="E98" s="157">
        <v>8093.3069275916996</v>
      </c>
      <c r="F98" s="155">
        <v>7828.5283511930002</v>
      </c>
      <c r="G98" s="157">
        <v>7678.9115045281997</v>
      </c>
      <c r="H98" s="157">
        <v>8023.4290739999997</v>
      </c>
    </row>
    <row r="99" spans="1:8">
      <c r="A99" s="49" t="str">
        <f>HLOOKUP(INDICE!$F$2,Nombres!$C$3:$E$853,122)</f>
        <v>Fondos de inversión</v>
      </c>
      <c r="B99" s="155">
        <v>1102.6561630000001</v>
      </c>
      <c r="C99" s="157">
        <v>1035.5799159999999</v>
      </c>
      <c r="D99" s="157">
        <v>1223.142795</v>
      </c>
      <c r="E99" s="157">
        <v>1196.6574270000001</v>
      </c>
      <c r="F99" s="155">
        <v>1231.1422801537001</v>
      </c>
      <c r="G99" s="157">
        <v>1238.2890079219001</v>
      </c>
      <c r="H99" s="157">
        <v>1928.095198</v>
      </c>
    </row>
    <row r="100" spans="1:8">
      <c r="A100" s="49" t="str">
        <f>HLOOKUP(INDICE!$F$2,Nombres!$C$3:$E$853,206)</f>
        <v>Fondos de pensiones</v>
      </c>
      <c r="B100" s="238">
        <v>0</v>
      </c>
      <c r="C100" s="239">
        <v>0</v>
      </c>
      <c r="D100" s="239">
        <v>0</v>
      </c>
      <c r="E100" s="239">
        <v>0</v>
      </c>
      <c r="F100" s="238">
        <v>0</v>
      </c>
      <c r="G100" s="239">
        <v>0</v>
      </c>
      <c r="H100" s="239">
        <v>0</v>
      </c>
    </row>
    <row r="101" spans="1:8">
      <c r="A101" s="49" t="str">
        <f>HLOOKUP(INDICE!$F$2,Nombres!$C$3:$E$853,308)</f>
        <v>Otros recursos fuera de balance</v>
      </c>
      <c r="B101" s="238">
        <v>0</v>
      </c>
      <c r="C101" s="239">
        <v>0</v>
      </c>
      <c r="D101" s="239">
        <v>0</v>
      </c>
      <c r="E101" s="239">
        <v>0</v>
      </c>
      <c r="F101" s="238">
        <v>0</v>
      </c>
      <c r="G101" s="239">
        <v>0</v>
      </c>
      <c r="H101" s="239">
        <v>0</v>
      </c>
    </row>
    <row r="102" spans="1:8">
      <c r="A102" s="156" t="str">
        <f>HLOOKUP(INDICE!$F$2,Nombres!$C$3:$E$853,307)</f>
        <v>(*) No incluye las adquisiciones temporales de activos.</v>
      </c>
      <c r="B102" s="72"/>
      <c r="C102" s="73"/>
      <c r="D102" s="73"/>
      <c r="E102" s="73"/>
      <c r="F102" s="73"/>
    </row>
    <row r="103" spans="1:8">
      <c r="A103" s="156" t="str">
        <f>HLOOKUP(INDICE!$F$2,Nombres!$C$3:$E$853,284)</f>
        <v>(**) No incluye las cesiones temporales de activos e incluye determinados valores negociables.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H103"/>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HLOOKUP(INDICE!$F$2,Nombres!$C$3:$E$853,17)</f>
        <v>Colombia</v>
      </c>
    </row>
    <row r="2" spans="1:8" ht="18" customHeight="1">
      <c r="A2" s="144" t="str">
        <f>HLOOKUP(INDICE!$F$2,Nombres!$C$3:$E$853,93)</f>
        <v xml:space="preserve">Cuentas de resultados  </v>
      </c>
    </row>
    <row r="3" spans="1:8">
      <c r="A3" s="41" t="str">
        <f>HLOOKUP(INDICE!$F$2,Nombres!$C$3:$E$853,30)</f>
        <v>(Millones de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181.29299985</v>
      </c>
      <c r="C6" s="83">
        <v>197.30700003000001</v>
      </c>
      <c r="D6" s="83">
        <v>201.58499968000001</v>
      </c>
      <c r="E6" s="148">
        <v>202.14399989999998</v>
      </c>
      <c r="F6" s="83">
        <v>201.23500084</v>
      </c>
      <c r="G6" s="83">
        <v>201.65216625000002</v>
      </c>
      <c r="H6" s="83">
        <v>177.53135427000001</v>
      </c>
    </row>
    <row r="7" spans="1:8">
      <c r="A7" s="49" t="str">
        <f>HLOOKUP(INDICE!$F$2,Nombres!$C$3:$E$853,39)</f>
        <v>Comisiones</v>
      </c>
      <c r="B7" s="149">
        <v>20.67100061</v>
      </c>
      <c r="C7" s="84">
        <v>22.02409432</v>
      </c>
      <c r="D7" s="84">
        <v>24.495681230000002</v>
      </c>
      <c r="E7" s="150">
        <v>22.375278520000002</v>
      </c>
      <c r="F7" s="84">
        <v>17.859322470000002</v>
      </c>
      <c r="G7" s="84">
        <v>21.50788816</v>
      </c>
      <c r="H7" s="84">
        <v>18.638619370000001</v>
      </c>
    </row>
    <row r="8" spans="1:8">
      <c r="A8" s="49" t="str">
        <f>HLOOKUP(INDICE!$F$2,Nombres!$C$3:$E$853,40)</f>
        <v>Resultados de operaciones financieras</v>
      </c>
      <c r="B8" s="149">
        <v>15.204223420000002</v>
      </c>
      <c r="C8" s="84">
        <v>12.079624259999999</v>
      </c>
      <c r="D8" s="84">
        <v>16.26768337</v>
      </c>
      <c r="E8" s="150">
        <v>20.633664230000001</v>
      </c>
      <c r="F8" s="84">
        <v>17.722368629999998</v>
      </c>
      <c r="G8" s="84">
        <v>10.524855899999999</v>
      </c>
      <c r="H8" s="84">
        <v>4.8024838399999998</v>
      </c>
    </row>
    <row r="9" spans="1:8">
      <c r="A9" s="49" t="str">
        <f>HLOOKUP(INDICE!$F$2,Nombres!$C$3:$E$853,95)</f>
        <v>Otros ingresos netos</v>
      </c>
      <c r="B9" s="149">
        <v>5.3089997000000002</v>
      </c>
      <c r="C9" s="84">
        <v>3.7850001</v>
      </c>
      <c r="D9" s="84">
        <v>5.5409985900000009</v>
      </c>
      <c r="E9" s="150">
        <v>4.2029994100000003</v>
      </c>
      <c r="F9" s="84">
        <v>11.681000469999999</v>
      </c>
      <c r="G9" s="84">
        <v>5.0650002399999998</v>
      </c>
      <c r="H9" s="84">
        <v>2.2719976600000003</v>
      </c>
    </row>
    <row r="10" spans="1:8">
      <c r="A10" s="54" t="str">
        <f>HLOOKUP(INDICE!$F$2,Nombres!$C$3:$E$853,44)</f>
        <v>Margen bruto</v>
      </c>
      <c r="B10" s="147">
        <v>222.47722358000001</v>
      </c>
      <c r="C10" s="83">
        <v>235.19571870999999</v>
      </c>
      <c r="D10" s="83">
        <v>247.88936287000001</v>
      </c>
      <c r="E10" s="148">
        <v>249.35594205999999</v>
      </c>
      <c r="F10" s="83">
        <v>248.49769241000001</v>
      </c>
      <c r="G10" s="83">
        <v>238.74991054999998</v>
      </c>
      <c r="H10" s="83">
        <v>203.24445514000001</v>
      </c>
    </row>
    <row r="11" spans="1:8">
      <c r="A11" s="49" t="str">
        <f>HLOOKUP(INDICE!$F$2,Nombres!$C$3:$E$853,45)</f>
        <v>Gastos de explotación</v>
      </c>
      <c r="B11" s="149">
        <v>-91.844307459999996</v>
      </c>
      <c r="C11" s="84">
        <v>-95.747496259999991</v>
      </c>
      <c r="D11" s="84">
        <v>-102.06790033000001</v>
      </c>
      <c r="E11" s="150">
        <v>-105.40090380000001</v>
      </c>
      <c r="F11" s="84">
        <v>-97.210898999999984</v>
      </c>
      <c r="G11" s="84">
        <v>-94.47689668999999</v>
      </c>
      <c r="H11" s="84">
        <v>-80.139896589999992</v>
      </c>
    </row>
    <row r="12" spans="1:8">
      <c r="A12" s="49" t="str">
        <f>HLOOKUP(INDICE!$F$2,Nombres!$C$3:$E$853,46)</f>
        <v xml:space="preserve">  Gastos de administración</v>
      </c>
      <c r="B12" s="149">
        <v>-84.92330604</v>
      </c>
      <c r="C12" s="84">
        <v>-88.378498039999997</v>
      </c>
      <c r="D12" s="84">
        <v>-94.526900119999993</v>
      </c>
      <c r="E12" s="150">
        <v>-103.79490383999999</v>
      </c>
      <c r="F12" s="84">
        <v>-91.129898520000012</v>
      </c>
      <c r="G12" s="84">
        <v>-90.549896939999996</v>
      </c>
      <c r="H12" s="84">
        <v>-75.482897440000002</v>
      </c>
    </row>
    <row r="13" spans="1:8">
      <c r="A13" s="88" t="str">
        <f>HLOOKUP(INDICE!$F$2,Nombres!$C$3:$E$853,47)</f>
        <v xml:space="preserve">  Gastos de personal</v>
      </c>
      <c r="B13" s="149">
        <v>-42.928001199999997</v>
      </c>
      <c r="C13" s="84">
        <v>-44.695997309999996</v>
      </c>
      <c r="D13" s="84">
        <v>-47.791000980000007</v>
      </c>
      <c r="E13" s="150">
        <v>-45.70400042</v>
      </c>
      <c r="F13" s="84">
        <v>-45.572002230000002</v>
      </c>
      <c r="G13" s="84">
        <v>-44.505998939999998</v>
      </c>
      <c r="H13" s="84">
        <v>-36.930998959999997</v>
      </c>
    </row>
    <row r="14" spans="1:8">
      <c r="A14" s="88" t="str">
        <f>HLOOKUP(INDICE!$F$2,Nombres!$C$3:$E$853,48)</f>
        <v xml:space="preserve">  Otros gastos generales de administración</v>
      </c>
      <c r="B14" s="149">
        <v>-41.995304840000003</v>
      </c>
      <c r="C14" s="84">
        <v>-43.682500730000001</v>
      </c>
      <c r="D14" s="84">
        <v>-46.735899140000001</v>
      </c>
      <c r="E14" s="150">
        <v>-58.090903420000004</v>
      </c>
      <c r="F14" s="84">
        <v>-45.557896290000002</v>
      </c>
      <c r="G14" s="84">
        <v>-46.043897999999999</v>
      </c>
      <c r="H14" s="84">
        <v>-38.551898479999998</v>
      </c>
    </row>
    <row r="15" spans="1:8" ht="13.5" customHeight="1">
      <c r="A15" s="49" t="str">
        <f>HLOOKUP(INDICE!$F$2,Nombres!$C$3:$E$853,49)</f>
        <v xml:space="preserve">  Amortizaciones</v>
      </c>
      <c r="B15" s="149">
        <v>-6.9210014199999996</v>
      </c>
      <c r="C15" s="84">
        <v>-7.368998219999999</v>
      </c>
      <c r="D15" s="84">
        <v>-7.54100021</v>
      </c>
      <c r="E15" s="150">
        <v>-1.6059999600000001</v>
      </c>
      <c r="F15" s="84">
        <v>-6.0810004800000002</v>
      </c>
      <c r="G15" s="84">
        <v>-3.9269997500000002</v>
      </c>
      <c r="H15" s="84">
        <v>-4.6569991499999999</v>
      </c>
    </row>
    <row r="16" spans="1:8" ht="12.75" customHeight="1">
      <c r="A16" s="54" t="str">
        <f>HLOOKUP(INDICE!$F$2,Nombres!$C$3:$E$853,50)</f>
        <v>Margen neto</v>
      </c>
      <c r="B16" s="147">
        <v>130.63291612</v>
      </c>
      <c r="C16" s="83">
        <v>139.44822245</v>
      </c>
      <c r="D16" s="83">
        <v>145.82146254</v>
      </c>
      <c r="E16" s="148">
        <v>143.95503826000001</v>
      </c>
      <c r="F16" s="83">
        <v>151.28679341</v>
      </c>
      <c r="G16" s="83">
        <v>144.27301385999999</v>
      </c>
      <c r="H16" s="83">
        <v>123.10455855000001</v>
      </c>
    </row>
    <row r="17" spans="1:8" ht="13.5" customHeight="1">
      <c r="A17" s="49" t="str">
        <f>HLOOKUP(INDICE!$F$2,Nombres!$C$3:$E$853,51)</f>
        <v>Pérdidas por deterioro de activos financieros</v>
      </c>
      <c r="B17" s="149">
        <v>-35.922999529999998</v>
      </c>
      <c r="C17" s="84">
        <v>-39.57000034</v>
      </c>
      <c r="D17" s="84">
        <v>-44.443999149999996</v>
      </c>
      <c r="E17" s="150">
        <v>-37.29600164</v>
      </c>
      <c r="F17" s="84">
        <v>-37.739000250000004</v>
      </c>
      <c r="G17" s="84">
        <v>-47.492999789999999</v>
      </c>
      <c r="H17" s="84">
        <v>-43.187000830000002</v>
      </c>
    </row>
    <row r="18" spans="1:8" ht="13.5" customHeight="1">
      <c r="A18" s="49" t="str">
        <f>HLOOKUP(INDICE!$F$2,Nombres!$C$3:$E$853,160)</f>
        <v>Dotaciones a provisiones y otros resultados</v>
      </c>
      <c r="B18" s="149">
        <v>3.9999910000000305E-2</v>
      </c>
      <c r="C18" s="84">
        <v>0.87600060000000024</v>
      </c>
      <c r="D18" s="84">
        <v>1.46699954</v>
      </c>
      <c r="E18" s="150">
        <v>-2.8909995100000003</v>
      </c>
      <c r="F18" s="84">
        <v>-3.2040003399999999</v>
      </c>
      <c r="G18" s="84">
        <v>12.352999749999999</v>
      </c>
      <c r="H18" s="84">
        <v>-1.9489996000000001</v>
      </c>
    </row>
    <row r="19" spans="1:8" ht="12.75" customHeight="1">
      <c r="A19" s="54" t="str">
        <f>HLOOKUP(INDICE!$F$2,Nombres!$C$3:$E$853,54)</f>
        <v>Beneficio antes de impuestos</v>
      </c>
      <c r="B19" s="147">
        <v>94.749916500000012</v>
      </c>
      <c r="C19" s="83">
        <v>100.75422270999999</v>
      </c>
      <c r="D19" s="83">
        <v>102.84446293000001</v>
      </c>
      <c r="E19" s="148">
        <v>103.76803710999999</v>
      </c>
      <c r="F19" s="83">
        <v>110.34379282</v>
      </c>
      <c r="G19" s="83">
        <v>109.13301382</v>
      </c>
      <c r="H19" s="83">
        <v>77.968558120000012</v>
      </c>
    </row>
    <row r="20" spans="1:8" ht="13.5" customHeight="1">
      <c r="A20" s="49" t="str">
        <f>HLOOKUP(INDICE!$F$2,Nombres!$C$3:$E$853,55)</f>
        <v>Impuesto sobre beneficios</v>
      </c>
      <c r="B20" s="149">
        <v>-31.148443480000001</v>
      </c>
      <c r="C20" s="84">
        <v>-27.586656859999998</v>
      </c>
      <c r="D20" s="84">
        <v>-32.25873859</v>
      </c>
      <c r="E20" s="150">
        <v>-30.805990080000001</v>
      </c>
      <c r="F20" s="84">
        <v>-35.358676800000005</v>
      </c>
      <c r="G20" s="84">
        <v>-18.16604096</v>
      </c>
      <c r="H20" s="84">
        <v>-30.400694469999998</v>
      </c>
    </row>
    <row r="21" spans="1:8" ht="13.5" customHeight="1">
      <c r="A21" s="54" t="str">
        <f>HLOOKUP(INDICE!$F$2,Nombres!$C$3:$E$853,56)</f>
        <v>Beneficio después de impuestos</v>
      </c>
      <c r="B21" s="147">
        <v>63.60147302</v>
      </c>
      <c r="C21" s="83">
        <v>73.167565850000003</v>
      </c>
      <c r="D21" s="83">
        <v>70.585724339999999</v>
      </c>
      <c r="E21" s="148">
        <v>72.962047029999994</v>
      </c>
      <c r="F21" s="83">
        <v>74.985116019999992</v>
      </c>
      <c r="G21" s="83">
        <v>90.966972859999998</v>
      </c>
      <c r="H21" s="83">
        <v>47.56786365</v>
      </c>
    </row>
    <row r="22" spans="1:8" ht="12" customHeight="1">
      <c r="A22" s="49" t="str">
        <f>HLOOKUP(INDICE!$F$2,Nombres!$C$3:$E$853,57)</f>
        <v>Resultado atribuido a la minoría</v>
      </c>
      <c r="B22" s="149">
        <v>-2.56094</v>
      </c>
      <c r="C22" s="84">
        <v>-2.9219819999999999</v>
      </c>
      <c r="D22" s="84">
        <v>-2.7739029999999998</v>
      </c>
      <c r="E22" s="150">
        <v>-2.8535161599999999</v>
      </c>
      <c r="F22" s="84">
        <v>-2.872074</v>
      </c>
      <c r="G22" s="84">
        <v>-3.64946606</v>
      </c>
      <c r="H22" s="84">
        <v>-1.8381331400000001</v>
      </c>
    </row>
    <row r="23" spans="1:8" ht="14.25" customHeight="1">
      <c r="A23" s="54" t="str">
        <f>HLOOKUP(INDICE!$F$2,Nombres!$C$3:$E$853,58)</f>
        <v>Beneficio atribuido al Grupo</v>
      </c>
      <c r="B23" s="147">
        <v>61.040533019999998</v>
      </c>
      <c r="C23" s="83">
        <v>70.245583849999989</v>
      </c>
      <c r="D23" s="83">
        <v>67.811821339999995</v>
      </c>
      <c r="E23" s="148">
        <v>70.108530869999996</v>
      </c>
      <c r="F23" s="83">
        <v>72.113042019999995</v>
      </c>
      <c r="G23" s="83">
        <v>87.31750679999999</v>
      </c>
      <c r="H23" s="83">
        <v>45.729730509999996</v>
      </c>
    </row>
    <row r="24" spans="1:8" ht="13.5" customHeight="1">
      <c r="A24" s="144" t="str">
        <f>HLOOKUP(INDICE!$F$2,Nombres!$C$3:$E$853,94)</f>
        <v>Balances</v>
      </c>
      <c r="F24" s="151"/>
      <c r="G24" s="74"/>
      <c r="H24" s="74"/>
    </row>
    <row r="25" spans="1:8" ht="12.75" customHeight="1">
      <c r="A25" s="41" t="str">
        <f>HLOOKUP(INDICE!$F$2,Nombres!$C$3:$E$853,30)</f>
        <v>(Millones de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1246.519</v>
      </c>
      <c r="C27" s="84">
        <v>1108.905</v>
      </c>
      <c r="D27" s="84">
        <v>1019.654</v>
      </c>
      <c r="E27" s="150">
        <v>974.28399999999999</v>
      </c>
      <c r="F27" s="84">
        <v>1778.8340000000001</v>
      </c>
      <c r="G27" s="84">
        <v>1174.037</v>
      </c>
      <c r="H27" s="84">
        <v>1148.6610000000001</v>
      </c>
    </row>
    <row r="28" spans="1:8">
      <c r="A28" s="49" t="str">
        <f>HLOOKUP(INDICE!$F$2,Nombres!$C$3:$E$853,101)</f>
        <v>Cartera de títulos</v>
      </c>
      <c r="B28" s="149">
        <v>2843.8620000000001</v>
      </c>
      <c r="C28" s="84">
        <v>2487.0430000000001</v>
      </c>
      <c r="D28" s="84">
        <v>2206.299</v>
      </c>
      <c r="E28" s="150">
        <v>2827.27</v>
      </c>
      <c r="F28" s="84">
        <v>2988.4540000000002</v>
      </c>
      <c r="G28" s="84">
        <v>2787.0129999999999</v>
      </c>
      <c r="H28" s="84">
        <v>2337.317</v>
      </c>
    </row>
    <row r="29" spans="1:8">
      <c r="A29" s="49" t="str">
        <f>HLOOKUP(INDICE!$F$2,Nombres!$C$3:$E$853,102)</f>
        <v>Inversiones crediticias</v>
      </c>
      <c r="B29" s="149">
        <v>10058.038</v>
      </c>
      <c r="C29" s="84">
        <v>11084.38</v>
      </c>
      <c r="D29" s="84">
        <v>11688.484</v>
      </c>
      <c r="E29" s="150">
        <v>10681.384</v>
      </c>
      <c r="F29" s="84">
        <v>11563.272000000001</v>
      </c>
      <c r="G29" s="84">
        <v>11705.355</v>
      </c>
      <c r="H29" s="84">
        <v>10084.153</v>
      </c>
    </row>
    <row r="30" spans="1:8">
      <c r="A30" s="49" t="str">
        <f>HLOOKUP(INDICE!$F$2,Nombres!$C$3:$E$853,103)</f>
        <v xml:space="preserve">  . Crédito a la clientela neto</v>
      </c>
      <c r="B30" s="149">
        <v>9724.8690000000006</v>
      </c>
      <c r="C30" s="84">
        <v>10933.111000000001</v>
      </c>
      <c r="D30" s="84">
        <v>11470.769</v>
      </c>
      <c r="E30" s="150">
        <v>10476.719999999999</v>
      </c>
      <c r="F30" s="84">
        <v>11057.996999999999</v>
      </c>
      <c r="G30" s="84">
        <v>11134.859</v>
      </c>
      <c r="H30" s="84">
        <v>9738.7369999999992</v>
      </c>
    </row>
    <row r="31" spans="1:8">
      <c r="A31" s="49" t="str">
        <f>HLOOKUP(INDICE!$F$2,Nombres!$C$3:$E$853,104)</f>
        <v xml:space="preserve">  . Depósitos en entidades de crédito y otros</v>
      </c>
      <c r="B31" s="154">
        <v>333.16899999999998</v>
      </c>
      <c r="C31" s="84">
        <v>151.26900000000001</v>
      </c>
      <c r="D31" s="84">
        <v>217.715</v>
      </c>
      <c r="E31" s="150">
        <v>204.66399999999999</v>
      </c>
      <c r="F31" s="84">
        <v>505.27499999999998</v>
      </c>
      <c r="G31" s="84">
        <v>570.49599999999998</v>
      </c>
      <c r="H31" s="84">
        <v>345.416</v>
      </c>
    </row>
    <row r="32" spans="1:8">
      <c r="A32" s="49" t="str">
        <f>HLOOKUP(INDICE!$F$2,Nombres!$C$3:$E$853,106)</f>
        <v>Activo material</v>
      </c>
      <c r="B32" s="149">
        <v>117.408</v>
      </c>
      <c r="C32" s="84">
        <v>119.252</v>
      </c>
      <c r="D32" s="84">
        <v>118.98</v>
      </c>
      <c r="E32" s="150">
        <v>121.417</v>
      </c>
      <c r="F32" s="84">
        <v>124.813</v>
      </c>
      <c r="G32" s="84">
        <v>117.215</v>
      </c>
      <c r="H32" s="84">
        <v>95.948999999999998</v>
      </c>
    </row>
    <row r="33" spans="1:8">
      <c r="A33" s="49" t="str">
        <f>HLOOKUP(INDICE!$F$2,Nombres!$C$3:$E$853,107)</f>
        <v>Otros activos</v>
      </c>
      <c r="B33" s="149">
        <v>248.60578496999494</v>
      </c>
      <c r="C33" s="84">
        <v>300.89299303000001</v>
      </c>
      <c r="D33" s="84">
        <v>322.80548247000144</v>
      </c>
      <c r="E33" s="150">
        <v>222.95656885999841</v>
      </c>
      <c r="F33" s="84">
        <v>290.02872138999606</v>
      </c>
      <c r="G33" s="84">
        <v>307.98899999999998</v>
      </c>
      <c r="H33" s="84">
        <v>318.322</v>
      </c>
    </row>
    <row r="34" spans="1:8">
      <c r="A34" s="54" t="str">
        <f>HLOOKUP(INDICE!$F$2,Nombres!$C$3:$E$853,108)</f>
        <v>Total activo / pasivo</v>
      </c>
      <c r="B34" s="147">
        <v>14514.432784969997</v>
      </c>
      <c r="C34" s="83">
        <v>15100.47299303</v>
      </c>
      <c r="D34" s="83">
        <v>15356.222482470001</v>
      </c>
      <c r="E34" s="148">
        <v>14827.311568859999</v>
      </c>
      <c r="F34" s="83">
        <v>16745.401721389997</v>
      </c>
      <c r="G34" s="83">
        <v>16091.609</v>
      </c>
      <c r="H34" s="83">
        <v>13984.402000000002</v>
      </c>
    </row>
    <row r="35" spans="1:8">
      <c r="A35" s="49" t="str">
        <f>HLOOKUP(INDICE!$F$2,Nombres!$C$3:$E$853,109)</f>
        <v>Depósitos de bancos centrales y entidades de crédito</v>
      </c>
      <c r="B35" s="149">
        <v>382.89400000000001</v>
      </c>
      <c r="C35" s="84">
        <v>389.56299999999999</v>
      </c>
      <c r="D35" s="84">
        <v>308.25700000000001</v>
      </c>
      <c r="E35" s="150">
        <v>754.19100000000003</v>
      </c>
      <c r="F35" s="84">
        <v>1227.9839999999999</v>
      </c>
      <c r="G35" s="84">
        <v>671.88</v>
      </c>
      <c r="H35" s="84">
        <v>654.952</v>
      </c>
    </row>
    <row r="36" spans="1:8">
      <c r="A36" s="49" t="str">
        <f>HLOOKUP(INDICE!$F$2,Nombres!$C$3:$E$853,110)</f>
        <v>Depósitos de la clientela</v>
      </c>
      <c r="B36" s="149">
        <v>11551.877</v>
      </c>
      <c r="C36" s="84">
        <v>11930.576999999999</v>
      </c>
      <c r="D36" s="84">
        <v>11764.355</v>
      </c>
      <c r="E36" s="150">
        <v>10779.151</v>
      </c>
      <c r="F36" s="84">
        <v>11536.393</v>
      </c>
      <c r="G36" s="84">
        <v>11202.465</v>
      </c>
      <c r="H36" s="84">
        <v>9508.125</v>
      </c>
    </row>
    <row r="37" spans="1:8">
      <c r="A37" s="49" t="str">
        <f>HLOOKUP(INDICE!$F$2,Nombres!$C$3:$E$853,111)</f>
        <v>Débitos representados por valores negociables</v>
      </c>
      <c r="B37" s="149">
        <v>245.018</v>
      </c>
      <c r="C37" s="84">
        <v>247.47</v>
      </c>
      <c r="D37" s="84">
        <v>251.55699999999999</v>
      </c>
      <c r="E37" s="150">
        <v>214.64500000000001</v>
      </c>
      <c r="F37" s="84">
        <v>211.82900000000001</v>
      </c>
      <c r="G37" s="84">
        <v>207.869</v>
      </c>
      <c r="H37" s="84">
        <v>177.471</v>
      </c>
    </row>
    <row r="38" spans="1:8" ht="13.5" customHeight="1">
      <c r="A38" s="49" t="str">
        <f>HLOOKUP(INDICE!$F$2,Nombres!$C$3:$E$853,112)</f>
        <v>Pasivos subordinados</v>
      </c>
      <c r="B38" s="149">
        <v>270.23200000000003</v>
      </c>
      <c r="C38" s="84">
        <v>285.029</v>
      </c>
      <c r="D38" s="84">
        <v>287.24599999999998</v>
      </c>
      <c r="E38" s="150">
        <v>338.899</v>
      </c>
      <c r="F38" s="84">
        <v>373.71800000000002</v>
      </c>
      <c r="G38" s="84">
        <v>712.57600000000002</v>
      </c>
      <c r="H38" s="84">
        <v>630.81700000000001</v>
      </c>
    </row>
    <row r="39" spans="1:8">
      <c r="A39" s="49" t="str">
        <f>HLOOKUP(INDICE!$F$2,Nombres!$C$3:$E$853,114)</f>
        <v>Cartera de negociación</v>
      </c>
      <c r="B39" s="149">
        <v>99.846000000000004</v>
      </c>
      <c r="C39" s="84">
        <v>114.02800000000001</v>
      </c>
      <c r="D39" s="84">
        <v>535.08199999999999</v>
      </c>
      <c r="E39" s="150">
        <v>680.81399999999996</v>
      </c>
      <c r="F39" s="84">
        <v>1216.6079999999999</v>
      </c>
      <c r="G39" s="84">
        <v>1118.365</v>
      </c>
      <c r="H39" s="84">
        <v>1114.3030000000001</v>
      </c>
    </row>
    <row r="40" spans="1:8">
      <c r="A40" s="49" t="str">
        <f>HLOOKUP(INDICE!$F$2,Nombres!$C$3:$E$853,115)</f>
        <v>Otros pasivos</v>
      </c>
      <c r="B40" s="149">
        <v>1112.7237849700002</v>
      </c>
      <c r="C40" s="84">
        <v>1228.8875830300001</v>
      </c>
      <c r="D40" s="84">
        <v>1303.8125239799999</v>
      </c>
      <c r="E40" s="150">
        <v>1170.5470039999998</v>
      </c>
      <c r="F40" s="84">
        <v>1267.1755913899999</v>
      </c>
      <c r="G40" s="84">
        <v>1328.648979999999</v>
      </c>
      <c r="H40" s="84">
        <v>1190.0110686900018</v>
      </c>
    </row>
    <row r="41" spans="1:8" ht="12.75" customHeight="1">
      <c r="A41" s="49" t="str">
        <f>HLOOKUP(INDICE!$F$2,Nombres!$C$3:$E$853,116)</f>
        <v>Dotación de capital económico</v>
      </c>
      <c r="B41" s="149">
        <v>851.84199999999998</v>
      </c>
      <c r="C41" s="84">
        <v>904.91840999999999</v>
      </c>
      <c r="D41" s="84">
        <v>905.91295849000005</v>
      </c>
      <c r="E41" s="150">
        <v>889.06456486000002</v>
      </c>
      <c r="F41" s="84">
        <v>911.69412999999997</v>
      </c>
      <c r="G41" s="84">
        <v>849.80502000000001</v>
      </c>
      <c r="H41" s="84">
        <v>708.72293131000004</v>
      </c>
    </row>
    <row r="42" spans="1:8" ht="15" customHeight="1">
      <c r="A42" s="144" t="str">
        <f>HLOOKUP(INDICE!$F$2,Nombres!$C$3:$E$853,117)</f>
        <v>Indicadores relevantes</v>
      </c>
      <c r="F42" s="151"/>
      <c r="G42" s="74"/>
      <c r="H42" s="74"/>
    </row>
    <row r="43" spans="1:8" ht="13.5" customHeight="1">
      <c r="A43" s="144" t="str">
        <f>HLOOKUP(INDICE!$F$2,Nombres!$C$3:$E$853,201)</f>
        <v>Anexo:</v>
      </c>
      <c r="F43" s="151"/>
      <c r="G43" s="74"/>
      <c r="H43" s="74"/>
    </row>
    <row r="44" spans="1:8" ht="12.75" customHeight="1">
      <c r="A44" s="41" t="str">
        <f>HLOOKUP(INDICE!$F$2,Nombres!$C$3:$E$853,30)</f>
        <v>(Millones de euros)</v>
      </c>
      <c r="B44" s="81">
        <v>41729</v>
      </c>
      <c r="C44" s="82">
        <v>41820</v>
      </c>
      <c r="D44" s="82">
        <v>41912</v>
      </c>
      <c r="E44" s="82">
        <v>42004</v>
      </c>
      <c r="F44" s="81">
        <v>42094</v>
      </c>
      <c r="G44" s="82">
        <v>42185</v>
      </c>
      <c r="H44" s="82">
        <v>42277</v>
      </c>
    </row>
    <row r="45" spans="1:8" ht="12" customHeight="1">
      <c r="A45" s="49" t="str">
        <f>HLOOKUP(INDICE!$F$2,Nombres!$C$3:$E$853,118)</f>
        <v>Crédito a la clientela bruto (*)</v>
      </c>
      <c r="B45" s="155">
        <v>10044.656000000001</v>
      </c>
      <c r="C45" s="157">
        <v>11284.700999999999</v>
      </c>
      <c r="D45" s="157">
        <v>11842.584999999999</v>
      </c>
      <c r="E45" s="157">
        <v>10816.282999999999</v>
      </c>
      <c r="F45" s="155">
        <v>11425.763000000001</v>
      </c>
      <c r="G45" s="157">
        <v>11504.851000000001</v>
      </c>
      <c r="H45" s="157">
        <v>10061.799999999999</v>
      </c>
    </row>
    <row r="46" spans="1:8">
      <c r="A46" s="49" t="str">
        <f>HLOOKUP(INDICE!$F$2,Nombres!$C$3:$E$853,121)</f>
        <v>Depósitos de clientes en gestión (**)</v>
      </c>
      <c r="B46" s="155">
        <v>11565.803032420001</v>
      </c>
      <c r="C46" s="157">
        <v>11935.74776009</v>
      </c>
      <c r="D46" s="157">
        <v>11926.887464380001</v>
      </c>
      <c r="E46" s="157">
        <v>11002.60931571</v>
      </c>
      <c r="F46" s="155">
        <v>11752.56221342</v>
      </c>
      <c r="G46" s="157">
        <v>11401.301355109999</v>
      </c>
      <c r="H46" s="157">
        <v>9702.0727685000002</v>
      </c>
    </row>
    <row r="47" spans="1:8">
      <c r="A47" s="49" t="str">
        <f>HLOOKUP(INDICE!$F$2,Nombres!$C$3:$E$853,122)</f>
        <v>Fondos de inversión</v>
      </c>
      <c r="B47" s="155">
        <v>700.57240402000002</v>
      </c>
      <c r="C47" s="157">
        <v>669.71962384000005</v>
      </c>
      <c r="D47" s="157">
        <v>750.69818310999995</v>
      </c>
      <c r="E47" s="157">
        <v>669.37413530000003</v>
      </c>
      <c r="F47" s="155">
        <v>769.73630184000001</v>
      </c>
      <c r="G47" s="157">
        <v>708.02099112999997</v>
      </c>
      <c r="H47" s="157">
        <v>586.95998035000002</v>
      </c>
    </row>
    <row r="48" spans="1:8">
      <c r="A48" s="49" t="str">
        <f>HLOOKUP(INDICE!$F$2,Nombres!$C$3:$E$853,206)</f>
        <v>Fondos de pensiones</v>
      </c>
      <c r="B48" s="238">
        <v>0</v>
      </c>
      <c r="C48" s="239">
        <v>0</v>
      </c>
      <c r="D48" s="239">
        <v>0</v>
      </c>
      <c r="E48" s="239">
        <v>0</v>
      </c>
      <c r="F48" s="238">
        <v>0</v>
      </c>
      <c r="G48" s="239">
        <v>0</v>
      </c>
      <c r="H48" s="239">
        <v>0</v>
      </c>
    </row>
    <row r="49" spans="1:8">
      <c r="A49" s="49" t="str">
        <f>HLOOKUP(INDICE!$F$2,Nombres!$C$3:$E$853,308)</f>
        <v>Otros recursos fuera de balance</v>
      </c>
      <c r="B49" s="238">
        <v>0</v>
      </c>
      <c r="C49" s="239">
        <v>0</v>
      </c>
      <c r="D49" s="239">
        <v>0</v>
      </c>
      <c r="E49" s="239">
        <v>0</v>
      </c>
      <c r="F49" s="238">
        <v>0</v>
      </c>
      <c r="G49" s="239">
        <v>0</v>
      </c>
      <c r="H49" s="239">
        <v>0</v>
      </c>
    </row>
    <row r="50" spans="1:8">
      <c r="A50" s="156" t="str">
        <f>HLOOKUP(INDICE!$F$2,Nombres!$C$3:$E$853,307)</f>
        <v>(*) No incluye las adquisiciones temporales de activos.</v>
      </c>
      <c r="B50" s="157"/>
      <c r="C50" s="157"/>
      <c r="D50" s="157"/>
      <c r="E50" s="157"/>
      <c r="F50" s="157"/>
      <c r="G50" s="157"/>
      <c r="H50" s="157"/>
    </row>
    <row r="51" spans="1:8">
      <c r="A51" s="156" t="str">
        <f>HLOOKUP(INDICE!$F$2,Nombres!$C$3:$E$853,284)</f>
        <v>(**) No incluye las cesiones temporales de activos e incluye determinados valores negociables.</v>
      </c>
      <c r="C51"/>
      <c r="D51"/>
      <c r="E51"/>
    </row>
    <row r="52" spans="1:8" ht="18">
      <c r="A52" s="144" t="str">
        <f>HLOOKUP(INDICE!$F$2,Nombres!$C$3:$E$853,93)</f>
        <v xml:space="preserve">Cuentas de resultados  </v>
      </c>
      <c r="C52" s="145"/>
      <c r="D52" s="145"/>
      <c r="E52" s="145"/>
      <c r="G52" s="74"/>
      <c r="H52" s="74"/>
    </row>
    <row r="53" spans="1:8">
      <c r="A53" s="41" t="str">
        <f>HLOOKUP(INDICE!$F$2,Nombres!$C$3:$E$853,31)</f>
        <v>(Millones de euros constantes)</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1er Trim.</v>
      </c>
      <c r="C55" s="146" t="str">
        <f>HLOOKUP(INDICE!$F$2,Nombres!$C$3:$E$857,35)</f>
        <v>2º Trim.</v>
      </c>
      <c r="D55" s="146" t="str">
        <f>HLOOKUP(INDICE!$F$2,Nombres!$C$3:$E$857,36)</f>
        <v>3er Trim.</v>
      </c>
      <c r="E55" s="146" t="str">
        <f>HLOOKUP(INDICE!$F$2,Nombres!$C$3:$E$857,37)</f>
        <v>4º Trim.</v>
      </c>
      <c r="F55" s="146" t="str">
        <f>HLOOKUP(INDICE!$F$2,Nombres!$C$3:$E$857,34)</f>
        <v>1er Trim.</v>
      </c>
      <c r="G55" s="146" t="str">
        <f>HLOOKUP(INDICE!$F$2,Nombres!$C$3:$E$857,35)</f>
        <v>2º Trim.</v>
      </c>
      <c r="H55" s="146" t="str">
        <f>HLOOKUP(INDICE!$F$2,Nombres!$C$3:$E$857,36)</f>
        <v>3er Trim.</v>
      </c>
    </row>
    <row r="56" spans="1:8">
      <c r="A56" s="54" t="str">
        <f>HLOOKUP(INDICE!$F$2,Nombres!$C$3:$E$853,38)</f>
        <v>Margen de intereses</v>
      </c>
      <c r="B56" s="147">
        <v>169.33961524450001</v>
      </c>
      <c r="C56" s="83">
        <v>176.69264271029999</v>
      </c>
      <c r="D56" s="83">
        <v>173.08063638829998</v>
      </c>
      <c r="E56" s="148">
        <v>186.43580543510001</v>
      </c>
      <c r="F56" s="54">
        <v>190.05527857110002</v>
      </c>
      <c r="G56" s="54">
        <v>189.39523890980001</v>
      </c>
      <c r="H56" s="54">
        <v>200.96800387909997</v>
      </c>
    </row>
    <row r="57" spans="1:8">
      <c r="A57" s="49" t="str">
        <f>HLOOKUP(INDICE!$F$2,Nombres!$C$3:$E$853,39)</f>
        <v>Comisiones</v>
      </c>
      <c r="B57" s="149">
        <v>19.308077492900001</v>
      </c>
      <c r="C57" s="84">
        <v>19.714321099199999</v>
      </c>
      <c r="D57" s="84">
        <v>21.0956642881</v>
      </c>
      <c r="E57" s="150">
        <v>20.6576893513</v>
      </c>
      <c r="F57" s="73">
        <v>16.8671378883</v>
      </c>
      <c r="G57" s="73">
        <v>20.210013397499999</v>
      </c>
      <c r="H57" s="73">
        <v>20.928678714100002</v>
      </c>
    </row>
    <row r="58" spans="1:8">
      <c r="A58" s="49" t="str">
        <f>HLOOKUP(INDICE!$F$2,Nombres!$C$3:$E$853,40)</f>
        <v>Resultados de operaciones financieras</v>
      </c>
      <c r="B58" s="149">
        <v>14.201747150600001</v>
      </c>
      <c r="C58" s="84">
        <v>10.735102879599999</v>
      </c>
      <c r="D58" s="84">
        <v>14.030309330400001</v>
      </c>
      <c r="E58" s="150">
        <v>18.918693146599999</v>
      </c>
      <c r="F58" s="73">
        <v>16.737792595000002</v>
      </c>
      <c r="G58" s="73">
        <v>9.8662415882999994</v>
      </c>
      <c r="H58" s="73">
        <v>6.4456741865999998</v>
      </c>
    </row>
    <row r="59" spans="1:8" ht="17.25" customHeight="1">
      <c r="A59" s="49" t="str">
        <f>HLOOKUP(INDICE!$F$2,Nombres!$C$3:$E$853,95)</f>
        <v>Otros ingresos netos</v>
      </c>
      <c r="B59" s="149">
        <v>4.9589557637999997</v>
      </c>
      <c r="C59" s="84">
        <v>3.3527644836000001</v>
      </c>
      <c r="D59" s="84">
        <v>4.7827519964</v>
      </c>
      <c r="E59" s="150">
        <v>3.8947034911</v>
      </c>
      <c r="F59" s="73">
        <v>11.032055999400001</v>
      </c>
      <c r="G59" s="73">
        <v>4.7398006249000009</v>
      </c>
      <c r="H59" s="73">
        <v>3.2461417456000001</v>
      </c>
    </row>
    <row r="60" spans="1:8" ht="15.75" customHeight="1">
      <c r="A60" s="54" t="str">
        <f>HLOOKUP(INDICE!$F$2,Nombres!$C$3:$E$853,44)</f>
        <v>Margen bruto</v>
      </c>
      <c r="B60" s="147">
        <v>207.80839565170001</v>
      </c>
      <c r="C60" s="83">
        <v>210.49483117250003</v>
      </c>
      <c r="D60" s="83">
        <v>212.98936200330002</v>
      </c>
      <c r="E60" s="148">
        <v>229.90689142410002</v>
      </c>
      <c r="F60" s="54">
        <v>234.6922650539</v>
      </c>
      <c r="G60" s="54">
        <v>224.21129452060001</v>
      </c>
      <c r="H60" s="54">
        <v>231.58849852549997</v>
      </c>
    </row>
    <row r="61" spans="1:8">
      <c r="A61" s="49" t="str">
        <f>HLOOKUP(INDICE!$F$2,Nombres!$C$3:$E$853,45)</f>
        <v>Gastos de explotación</v>
      </c>
      <c r="B61" s="149">
        <v>-85.788638836299995</v>
      </c>
      <c r="C61" s="84">
        <v>-85.666235531499993</v>
      </c>
      <c r="D61" s="84">
        <v>-87.714334519100007</v>
      </c>
      <c r="E61" s="150">
        <v>-97.118872463299994</v>
      </c>
      <c r="F61" s="73">
        <v>-91.810293500100002</v>
      </c>
      <c r="G61" s="73">
        <v>-88.726688590400002</v>
      </c>
      <c r="H61" s="73">
        <v>-91.290710189800009</v>
      </c>
    </row>
    <row r="62" spans="1:8">
      <c r="A62" s="49" t="str">
        <f>HLOOKUP(INDICE!$F$2,Nombres!$C$3:$E$853,46)</f>
        <v xml:space="preserve">  Gastos de administración</v>
      </c>
      <c r="B62" s="149">
        <v>-79.3239671802</v>
      </c>
      <c r="C62" s="84">
        <v>-79.070154828399993</v>
      </c>
      <c r="D62" s="84">
        <v>-81.242087012399992</v>
      </c>
      <c r="E62" s="150">
        <v>-95.515055524399997</v>
      </c>
      <c r="F62" s="73">
        <v>-86.067126380099992</v>
      </c>
      <c r="G62" s="73">
        <v>-85.044038319099997</v>
      </c>
      <c r="H62" s="73">
        <v>-86.051528200900009</v>
      </c>
    </row>
    <row r="63" spans="1:8">
      <c r="A63" s="189" t="str">
        <f>HLOOKUP(INDICE!$F$2,Nombres!$C$3:$E$853,47)</f>
        <v xml:space="preserve">  Gastos de personal</v>
      </c>
      <c r="B63" s="149">
        <v>-40.097583538500004</v>
      </c>
      <c r="C63" s="84">
        <v>-39.9888667126</v>
      </c>
      <c r="D63" s="84">
        <v>-41.074338766399997</v>
      </c>
      <c r="E63" s="150">
        <v>-42.182606126899998</v>
      </c>
      <c r="F63" s="73">
        <v>-43.040224328299999</v>
      </c>
      <c r="G63" s="73">
        <v>-41.797782313799999</v>
      </c>
      <c r="H63" s="73">
        <v>-42.170993487800004</v>
      </c>
    </row>
    <row r="64" spans="1:8">
      <c r="A64" s="189" t="str">
        <f>HLOOKUP(INDICE!$F$2,Nombres!$C$3:$E$853,48)</f>
        <v xml:space="preserve">  Otros gastos generales de administración</v>
      </c>
      <c r="B64" s="149">
        <v>-39.226383641799998</v>
      </c>
      <c r="C64" s="84">
        <v>-39.0812881158</v>
      </c>
      <c r="D64" s="84">
        <v>-40.167748246100004</v>
      </c>
      <c r="E64" s="150">
        <v>-53.332449397399998</v>
      </c>
      <c r="F64" s="73">
        <v>-43.026902051700006</v>
      </c>
      <c r="G64" s="73">
        <v>-43.246256005399999</v>
      </c>
      <c r="H64" s="73">
        <v>-43.880534712900001</v>
      </c>
    </row>
    <row r="65" spans="1:8" ht="13.5" customHeight="1">
      <c r="A65" s="49" t="str">
        <f>HLOOKUP(INDICE!$F$2,Nombres!$C$3:$E$853,49)</f>
        <v xml:space="preserve">  Amortizaciones</v>
      </c>
      <c r="B65" s="149">
        <v>-6.4646716561000002</v>
      </c>
      <c r="C65" s="84">
        <v>-6.5960807031000002</v>
      </c>
      <c r="D65" s="84">
        <v>-6.4722475065999996</v>
      </c>
      <c r="E65" s="150">
        <v>-1.6038169390000001</v>
      </c>
      <c r="F65" s="73">
        <v>-5.7431671199999998</v>
      </c>
      <c r="G65" s="73">
        <v>-3.6826502711</v>
      </c>
      <c r="H65" s="73">
        <v>-5.2391819889000004</v>
      </c>
    </row>
    <row r="66" spans="1:8" ht="14.25" customHeight="1">
      <c r="A66" s="54" t="str">
        <f>HLOOKUP(INDICE!$F$2,Nombres!$C$3:$E$853,50)</f>
        <v>Margen neto</v>
      </c>
      <c r="B66" s="147">
        <v>122.0197568154</v>
      </c>
      <c r="C66" s="83">
        <v>124.82859564099999</v>
      </c>
      <c r="D66" s="83">
        <v>125.27502748410001</v>
      </c>
      <c r="E66" s="148">
        <v>132.7880189608</v>
      </c>
      <c r="F66" s="54">
        <v>142.8819715539</v>
      </c>
      <c r="G66" s="54">
        <v>135.48460593030001</v>
      </c>
      <c r="H66" s="54">
        <v>140.29778833569998</v>
      </c>
    </row>
    <row r="67" spans="1:8">
      <c r="A67" s="49" t="str">
        <f>HLOOKUP(INDICE!$F$2,Nombres!$C$3:$E$853,51)</f>
        <v>Pérdidas por deterioro de activos financieros</v>
      </c>
      <c r="B67" s="149">
        <v>-33.554450110499999</v>
      </c>
      <c r="C67" s="84">
        <v>-35.444528265400002</v>
      </c>
      <c r="D67" s="84">
        <v>-38.3130733789</v>
      </c>
      <c r="E67" s="150">
        <v>-34.489593402800004</v>
      </c>
      <c r="F67" s="73">
        <v>-35.642389124899999</v>
      </c>
      <c r="G67" s="73">
        <v>-44.6315167299</v>
      </c>
      <c r="H67" s="73">
        <v>-48.145095015099997</v>
      </c>
    </row>
    <row r="68" spans="1:8" ht="16.5" customHeight="1">
      <c r="A68" s="49" t="str">
        <f>HLOOKUP(INDICE!$F$2,Nombres!$C$3:$E$853,160)</f>
        <v>Dotaciones a provisiones y otros resultados</v>
      </c>
      <c r="B68" s="149">
        <v>3.7362553199999982E-2</v>
      </c>
      <c r="C68" s="84">
        <v>0.79984221400000011</v>
      </c>
      <c r="D68" s="84">
        <v>1.2949531722000001</v>
      </c>
      <c r="E68" s="150">
        <v>-2.5903006885000002</v>
      </c>
      <c r="F68" s="73">
        <v>-3.0260003210999997</v>
      </c>
      <c r="G68" s="73">
        <v>11.642786468899999</v>
      </c>
      <c r="H68" s="73">
        <v>-1.4167863379999999</v>
      </c>
    </row>
    <row r="69" spans="1:8" ht="12.75" customHeight="1">
      <c r="A69" s="54" t="str">
        <f>HLOOKUP(INDICE!$F$2,Nombres!$C$3:$E$853,54)</f>
        <v>Beneficio antes de impuestos</v>
      </c>
      <c r="B69" s="147">
        <v>88.502669258200001</v>
      </c>
      <c r="C69" s="83">
        <v>90.183909589500004</v>
      </c>
      <c r="D69" s="83">
        <v>88.256907277400003</v>
      </c>
      <c r="E69" s="148">
        <v>95.708124869499997</v>
      </c>
      <c r="F69" s="54">
        <v>104.2135821079</v>
      </c>
      <c r="G69" s="54">
        <v>102.49587566949999</v>
      </c>
      <c r="H69" s="54">
        <v>90.735906982700001</v>
      </c>
    </row>
    <row r="70" spans="1:8" ht="13.5" customHeight="1">
      <c r="A70" s="49" t="str">
        <f>HLOOKUP(INDICE!$F$2,Nombres!$C$3:$E$853,55)</f>
        <v>Impuesto sobre beneficios</v>
      </c>
      <c r="B70" s="149">
        <v>-29.094699953899998</v>
      </c>
      <c r="C70" s="84">
        <v>-24.587918636400001</v>
      </c>
      <c r="D70" s="84">
        <v>-27.732921505</v>
      </c>
      <c r="E70" s="150">
        <v>-28.430459542400001</v>
      </c>
      <c r="F70" s="73">
        <v>-33.394305866700002</v>
      </c>
      <c r="G70" s="73">
        <v>-17.016785652500001</v>
      </c>
      <c r="H70" s="73">
        <v>-33.514320710900002</v>
      </c>
    </row>
    <row r="71" spans="1:8" ht="12.75" customHeight="1">
      <c r="A71" s="54" t="str">
        <f>HLOOKUP(INDICE!$F$2,Nombres!$C$3:$E$853,56)</f>
        <v>Beneficio después de impuestos</v>
      </c>
      <c r="B71" s="147">
        <v>59.407969304399998</v>
      </c>
      <c r="C71" s="83">
        <v>65.595990953099999</v>
      </c>
      <c r="D71" s="83">
        <v>60.523985772499998</v>
      </c>
      <c r="E71" s="148">
        <v>67.27766532710001</v>
      </c>
      <c r="F71" s="54">
        <v>70.819276241099999</v>
      </c>
      <c r="G71" s="54">
        <v>85.479090017100006</v>
      </c>
      <c r="H71" s="54">
        <v>57.221586271799993</v>
      </c>
    </row>
    <row r="72" spans="1:8" ht="12.75" customHeight="1">
      <c r="A72" s="49" t="str">
        <f>HLOOKUP(INDICE!$F$2,Nombres!$C$3:$E$853,57)</f>
        <v>Resultado atribuido a la minoría</v>
      </c>
      <c r="B72" s="149">
        <v>-2.3920868131999997</v>
      </c>
      <c r="C72" s="84">
        <v>-2.6191859823999999</v>
      </c>
      <c r="D72" s="84">
        <v>-2.3764127305999998</v>
      </c>
      <c r="E72" s="150">
        <v>-2.6322507982999999</v>
      </c>
      <c r="F72" s="73">
        <v>-2.7125143332999997</v>
      </c>
      <c r="G72" s="73">
        <v>-3.4296563603000001</v>
      </c>
      <c r="H72" s="73">
        <v>-2.2175025063999998</v>
      </c>
    </row>
    <row r="73" spans="1:8" ht="15" customHeight="1">
      <c r="A73" s="54" t="str">
        <f>HLOOKUP(INDICE!$F$2,Nombres!$C$3:$E$853,58)</f>
        <v>Beneficio atribuido al Grupo</v>
      </c>
      <c r="B73" s="147">
        <v>57.015882491200003</v>
      </c>
      <c r="C73" s="83">
        <v>62.9768049706</v>
      </c>
      <c r="D73" s="83">
        <v>58.147573041800001</v>
      </c>
      <c r="E73" s="148">
        <v>64.6454145286</v>
      </c>
      <c r="F73" s="54">
        <v>68.106761907800006</v>
      </c>
      <c r="G73" s="54">
        <v>82.049433656800005</v>
      </c>
      <c r="H73" s="54">
        <v>55.004083765500006</v>
      </c>
    </row>
    <row r="74" spans="1:8" s="169" customFormat="1" ht="15" customHeight="1">
      <c r="A74" s="190"/>
      <c r="B74" s="191"/>
      <c r="C74" s="191"/>
      <c r="D74" s="191"/>
      <c r="E74" s="191"/>
      <c r="F74" s="190"/>
      <c r="G74" s="190"/>
      <c r="H74" s="190"/>
    </row>
    <row r="75" spans="1:8" ht="15.75" customHeight="1">
      <c r="A75" s="144" t="str">
        <f>HLOOKUP(INDICE!$F$2,Nombres!$C$3:$E$853,94)</f>
        <v>Balances</v>
      </c>
      <c r="G75" s="74"/>
      <c r="H75" s="74"/>
    </row>
    <row r="76" spans="1:8">
      <c r="A76" s="41" t="str">
        <f>HLOOKUP(INDICE!$F$2,Nombres!$C$3:$E$853,31)</f>
        <v>(Millones de euros constantes)</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Caja y depósitos en bancos centrales</v>
      </c>
      <c r="B78" s="149">
        <v>966.13667750679997</v>
      </c>
      <c r="C78" s="84">
        <v>815.28748071979999</v>
      </c>
      <c r="D78" s="84">
        <v>743.93123469390002</v>
      </c>
      <c r="E78" s="150">
        <v>810.01518604650005</v>
      </c>
      <c r="F78" s="158">
        <v>1409.2701495844999</v>
      </c>
      <c r="G78" s="84">
        <v>970.44676878610005</v>
      </c>
      <c r="H78" s="84">
        <v>1148.6610000000001</v>
      </c>
    </row>
    <row r="79" spans="1:8">
      <c r="A79" s="49" t="str">
        <f>HLOOKUP(INDICE!$F$2,Nombres!$C$3:$E$853,101)</f>
        <v>Cartera de títulos</v>
      </c>
      <c r="B79" s="149">
        <v>2204.1857235772</v>
      </c>
      <c r="C79" s="84">
        <v>1828.5200462724999</v>
      </c>
      <c r="D79" s="84">
        <v>1609.6977397958999</v>
      </c>
      <c r="E79" s="150">
        <v>2350.5791279069999</v>
      </c>
      <c r="F79" s="158">
        <v>2367.5840554017</v>
      </c>
      <c r="G79" s="84">
        <v>2303.7159479769002</v>
      </c>
      <c r="H79" s="84">
        <v>2337.317</v>
      </c>
    </row>
    <row r="80" spans="1:8">
      <c r="A80" s="49" t="str">
        <f>HLOOKUP(INDICE!$F$2,Nombres!$C$3:$E$853,102)</f>
        <v>Inversiones crediticias</v>
      </c>
      <c r="B80" s="149">
        <v>7795.6608888889004</v>
      </c>
      <c r="C80" s="84">
        <v>8149.4413367609004</v>
      </c>
      <c r="D80" s="84">
        <v>8527.8225102040997</v>
      </c>
      <c r="E80" s="150">
        <v>8880.4529767442</v>
      </c>
      <c r="F80" s="158">
        <v>9160.9301717450999</v>
      </c>
      <c r="G80" s="84">
        <v>9675.5246531792</v>
      </c>
      <c r="H80" s="84">
        <v>10084.153</v>
      </c>
    </row>
    <row r="81" spans="1:8">
      <c r="A81" s="49" t="str">
        <f>HLOOKUP(INDICE!$F$2,Nombres!$C$3:$E$853,103)</f>
        <v xml:space="preserve">  . Crédito a la clientela neto</v>
      </c>
      <c r="B81" s="149">
        <v>7537.4323414634</v>
      </c>
      <c r="C81" s="84">
        <v>8038.2255681234001</v>
      </c>
      <c r="D81" s="84">
        <v>8368.9794234694</v>
      </c>
      <c r="E81" s="150">
        <v>8710.2962790698002</v>
      </c>
      <c r="F81" s="158">
        <v>8760.6292022160997</v>
      </c>
      <c r="G81" s="84">
        <v>9203.9585953756996</v>
      </c>
      <c r="H81" s="84">
        <v>9738.7369999999992</v>
      </c>
    </row>
    <row r="82" spans="1:8">
      <c r="A82" s="49" t="str">
        <f>HLOOKUP(INDICE!$F$2,Nombres!$C$3:$E$853,104)</f>
        <v xml:space="preserve">  . Depósitos en entidades de crédito y otros</v>
      </c>
      <c r="B82" s="149">
        <v>258.22854742549998</v>
      </c>
      <c r="C82" s="84">
        <v>111.21576863750001</v>
      </c>
      <c r="D82" s="84">
        <v>158.84308673469999</v>
      </c>
      <c r="E82" s="150">
        <v>170.15669767439999</v>
      </c>
      <c r="F82" s="158">
        <v>400.30096952909997</v>
      </c>
      <c r="G82" s="84">
        <v>471.56605780349997</v>
      </c>
      <c r="H82" s="84">
        <v>345.416</v>
      </c>
    </row>
    <row r="83" spans="1:8">
      <c r="A83" s="49" t="str">
        <f>HLOOKUP(INDICE!$F$2,Nombres!$C$3:$E$853,106)</f>
        <v>Activo material</v>
      </c>
      <c r="B83" s="149">
        <v>90.999154471500006</v>
      </c>
      <c r="C83" s="84">
        <v>87.676277635000005</v>
      </c>
      <c r="D83" s="84">
        <v>86.806836734699999</v>
      </c>
      <c r="E83" s="150">
        <v>100.9455290698</v>
      </c>
      <c r="F83" s="158">
        <v>98.882321329600003</v>
      </c>
      <c r="G83" s="84">
        <v>96.888699422000002</v>
      </c>
      <c r="H83" s="84">
        <v>95.948999999999998</v>
      </c>
    </row>
    <row r="84" spans="1:8">
      <c r="A84" s="49" t="str">
        <f>HLOOKUP(INDICE!$F$2,Nombres!$C$3:$E$853,107)</f>
        <v>Otros activos</v>
      </c>
      <c r="B84" s="149">
        <v>192.68632656210158</v>
      </c>
      <c r="C84" s="84">
        <v>221.22209770330088</v>
      </c>
      <c r="D84" s="84">
        <v>235.51624486329777</v>
      </c>
      <c r="E84" s="150">
        <v>185.36505434299849</v>
      </c>
      <c r="F84" s="158">
        <v>229.77344686309848</v>
      </c>
      <c r="G84" s="84">
        <v>254.58050289019999</v>
      </c>
      <c r="H84" s="84">
        <v>318.322</v>
      </c>
    </row>
    <row r="85" spans="1:8">
      <c r="A85" s="54" t="str">
        <f>HLOOKUP(INDICE!$F$2,Nombres!$C$3:$E$853,108)</f>
        <v>Total activo / pasivo</v>
      </c>
      <c r="B85" s="147">
        <v>11249.668771006602</v>
      </c>
      <c r="C85" s="83">
        <v>11102.147239091501</v>
      </c>
      <c r="D85" s="83">
        <v>11203.774566291899</v>
      </c>
      <c r="E85" s="148">
        <v>12327.357874110501</v>
      </c>
      <c r="F85" s="147">
        <v>13266.440144923999</v>
      </c>
      <c r="G85" s="83">
        <v>13301.1565722544</v>
      </c>
      <c r="H85" s="83">
        <v>13984.402000000002</v>
      </c>
    </row>
    <row r="86" spans="1:8">
      <c r="A86" s="49" t="str">
        <f>HLOOKUP(INDICE!$F$2,Nombres!$C$3:$E$853,109)</f>
        <v>Depósitos de bancos centrales y entidades de crédito</v>
      </c>
      <c r="B86" s="149">
        <v>296.76879132789998</v>
      </c>
      <c r="C86" s="84">
        <v>286.4139280206</v>
      </c>
      <c r="D86" s="84">
        <v>224.90179081630001</v>
      </c>
      <c r="E86" s="150">
        <v>627.03088953489998</v>
      </c>
      <c r="F86" s="158">
        <v>972.86267036009997</v>
      </c>
      <c r="G86" s="84">
        <v>555.36901734100002</v>
      </c>
      <c r="H86" s="84">
        <v>654.952</v>
      </c>
    </row>
    <row r="87" spans="1:8">
      <c r="A87" s="49" t="str">
        <f>HLOOKUP(INDICE!$F$2,Nombres!$C$3:$E$853,110)</f>
        <v>Depósitos de la clientela</v>
      </c>
      <c r="B87" s="149">
        <v>8953.4873224931998</v>
      </c>
      <c r="C87" s="84">
        <v>8771.5810334189991</v>
      </c>
      <c r="D87" s="84">
        <v>8583.1773724489994</v>
      </c>
      <c r="E87" s="150">
        <v>8961.7360058140002</v>
      </c>
      <c r="F87" s="158">
        <v>9139.6354515234998</v>
      </c>
      <c r="G87" s="84">
        <v>9259.8410115607003</v>
      </c>
      <c r="H87" s="84">
        <v>9508.125</v>
      </c>
    </row>
    <row r="88" spans="1:8">
      <c r="A88" s="49" t="str">
        <f>HLOOKUP(INDICE!$F$2,Nombres!$C$3:$E$853,111)</f>
        <v>Débitos representados por valores negociables</v>
      </c>
      <c r="B88" s="149">
        <v>189.90555013549999</v>
      </c>
      <c r="C88" s="84">
        <v>181.94452442159999</v>
      </c>
      <c r="D88" s="84">
        <v>183.5339336735</v>
      </c>
      <c r="E88" s="150">
        <v>178.45485465120001</v>
      </c>
      <c r="F88" s="158">
        <v>167.82020498610001</v>
      </c>
      <c r="G88" s="84">
        <v>171.82235260120001</v>
      </c>
      <c r="H88" s="84">
        <v>177.471</v>
      </c>
    </row>
    <row r="89" spans="1:8">
      <c r="A89" s="49" t="str">
        <f>HLOOKUP(INDICE!$F$2,Nombres!$C$3:$E$853,112)</f>
        <v>Pasivos subordinados</v>
      </c>
      <c r="B89" s="149">
        <v>209.4481084011</v>
      </c>
      <c r="C89" s="84">
        <v>209.55859640099999</v>
      </c>
      <c r="D89" s="84">
        <v>209.5723367347</v>
      </c>
      <c r="E89" s="150">
        <v>281.75905232560001</v>
      </c>
      <c r="F89" s="158">
        <v>296.07575623269997</v>
      </c>
      <c r="G89" s="84">
        <v>589.00790751449995</v>
      </c>
      <c r="H89" s="84">
        <v>630.81700000000001</v>
      </c>
    </row>
    <row r="90" spans="1:8">
      <c r="A90" s="49" t="str">
        <f>HLOOKUP(INDICE!$F$2,Nombres!$C$3:$E$853,114)</f>
        <v>Cartera de negociación</v>
      </c>
      <c r="B90" s="149">
        <v>77.387414634099997</v>
      </c>
      <c r="C90" s="84">
        <v>83.835496144000004</v>
      </c>
      <c r="D90" s="84">
        <v>390.39145918370002</v>
      </c>
      <c r="E90" s="150">
        <v>566.02559302329996</v>
      </c>
      <c r="F90" s="158">
        <v>963.85010526320002</v>
      </c>
      <c r="G90" s="84">
        <v>924.42887283239997</v>
      </c>
      <c r="H90" s="84">
        <v>1114.3030000000001</v>
      </c>
    </row>
    <row r="91" spans="1:8">
      <c r="A91" s="49" t="str">
        <f>HLOOKUP(INDICE!$F$2,Nombres!$C$3:$E$853,115)</f>
        <v>Otros pasivos</v>
      </c>
      <c r="B91" s="149">
        <v>862.436321142</v>
      </c>
      <c r="C91" s="84">
        <v>903.5008965208001</v>
      </c>
      <c r="D91" s="84">
        <v>951.25097412830007</v>
      </c>
      <c r="E91" s="150">
        <v>973.18733472099996</v>
      </c>
      <c r="F91" s="158">
        <v>1003.9119643699</v>
      </c>
      <c r="G91" s="84">
        <v>1098.2474227747016</v>
      </c>
      <c r="H91" s="84">
        <v>1190.0110686900018</v>
      </c>
    </row>
    <row r="92" spans="1:8" ht="12" customHeight="1">
      <c r="A92" s="49" t="str">
        <f>HLOOKUP(INDICE!$F$2,Nombres!$C$3:$E$853,116)</f>
        <v>Dotación de capital económico</v>
      </c>
      <c r="B92" s="149">
        <v>660.23526287259995</v>
      </c>
      <c r="C92" s="84">
        <v>665.31276416449998</v>
      </c>
      <c r="D92" s="84">
        <v>660.94669930650002</v>
      </c>
      <c r="E92" s="150">
        <v>739.16414404060004</v>
      </c>
      <c r="F92" s="158">
        <v>722.28399218840002</v>
      </c>
      <c r="G92" s="84">
        <v>702.43998763009995</v>
      </c>
      <c r="H92" s="84">
        <v>708.72293131000004</v>
      </c>
    </row>
    <row r="93" spans="1:8" ht="12" customHeight="1">
      <c r="A93" s="144" t="str">
        <f>HLOOKUP(INDICE!$F$2,Nombres!$C$3:$E$853,117)</f>
        <v>Indicadores relevantes</v>
      </c>
      <c r="G93" s="74"/>
      <c r="H93" s="74"/>
    </row>
    <row r="94" spans="1:8" ht="18">
      <c r="A94" s="144" t="str">
        <f>HLOOKUP(INDICE!$F$2,Nombres!$C$3:$E$853,201)</f>
        <v>Anexo:</v>
      </c>
      <c r="G94" s="74"/>
      <c r="H94" s="74"/>
    </row>
    <row r="95" spans="1:8" ht="12" customHeight="1">
      <c r="A95" s="41" t="str">
        <f>HLOOKUP(INDICE!$F$2,Nombres!$C$3:$E$853,31)</f>
        <v>(Millones de euros constantes)</v>
      </c>
    </row>
    <row r="96" spans="1:8" ht="11.25" customHeight="1">
      <c r="A96"/>
      <c r="B96" s="81">
        <v>41729</v>
      </c>
      <c r="C96" s="82">
        <v>41820</v>
      </c>
      <c r="D96" s="82">
        <v>41912</v>
      </c>
      <c r="E96" s="82">
        <v>42004</v>
      </c>
      <c r="F96" s="81">
        <v>42094</v>
      </c>
      <c r="G96" s="82">
        <v>42185</v>
      </c>
      <c r="H96" s="82">
        <v>42277</v>
      </c>
    </row>
    <row r="97" spans="1:8">
      <c r="A97" s="49" t="str">
        <f>HLOOKUP(INDICE!$F$2,Nombres!$C$3:$E$853,118)</f>
        <v>Crédito a la clientela bruto (*)</v>
      </c>
      <c r="B97" s="155">
        <v>7785.2889322493002</v>
      </c>
      <c r="C97" s="157">
        <v>8296.7210437018002</v>
      </c>
      <c r="D97" s="157">
        <v>8640.2533418368002</v>
      </c>
      <c r="E97" s="157">
        <v>8992.6073779069993</v>
      </c>
      <c r="F97" s="155">
        <v>9051.9895235457006</v>
      </c>
      <c r="G97" s="157">
        <v>9509.790132948001</v>
      </c>
      <c r="H97" s="157">
        <v>10061.799999999999</v>
      </c>
    </row>
    <row r="98" spans="1:8">
      <c r="A98" s="49" t="str">
        <f>HLOOKUP(INDICE!$F$2,Nombres!$C$3:$E$853,121)</f>
        <v>Depósitos de clientes en gestión (**)</v>
      </c>
      <c r="B98" s="155">
        <v>8964.2809411169001</v>
      </c>
      <c r="C98" s="157">
        <v>8775.3826719427998</v>
      </c>
      <c r="D98" s="157">
        <v>8701.7597316650008</v>
      </c>
      <c r="E98" s="157">
        <v>9147.5182101541996</v>
      </c>
      <c r="F98" s="155">
        <v>9310.8941635405008</v>
      </c>
      <c r="G98" s="157">
        <v>9424.1970738770997</v>
      </c>
      <c r="H98" s="157">
        <v>9702.0727685000002</v>
      </c>
    </row>
    <row r="99" spans="1:8">
      <c r="A99" s="49" t="str">
        <f>HLOOKUP(INDICE!$F$2,Nombres!$C$3:$E$853,122)</f>
        <v>Fondos de inversión</v>
      </c>
      <c r="B99" s="155">
        <v>542.99107737049997</v>
      </c>
      <c r="C99" s="157">
        <v>492.39026328599999</v>
      </c>
      <c r="D99" s="157">
        <v>547.70326624860002</v>
      </c>
      <c r="E99" s="157">
        <v>556.51454272030003</v>
      </c>
      <c r="F99" s="155">
        <v>609.81878760730001</v>
      </c>
      <c r="G99" s="157">
        <v>585.24278457569994</v>
      </c>
      <c r="H99" s="157">
        <v>586.95998035000002</v>
      </c>
    </row>
    <row r="100" spans="1:8">
      <c r="A100" s="49" t="str">
        <f>HLOOKUP(INDICE!$F$2,Nombres!$C$3:$E$853,206)</f>
        <v>Fondos de pensiones</v>
      </c>
      <c r="B100" s="238">
        <v>0</v>
      </c>
      <c r="C100" s="239">
        <v>0</v>
      </c>
      <c r="D100" s="239">
        <v>0</v>
      </c>
      <c r="E100" s="239">
        <v>0</v>
      </c>
      <c r="F100" s="238">
        <v>0</v>
      </c>
      <c r="G100" s="239">
        <v>0</v>
      </c>
      <c r="H100" s="239">
        <v>0</v>
      </c>
    </row>
    <row r="101" spans="1:8">
      <c r="A101" s="49" t="str">
        <f>HLOOKUP(INDICE!$F$2,Nombres!$C$3:$E$853,308)</f>
        <v>Otros recursos fuera de balance</v>
      </c>
      <c r="B101" s="238">
        <v>0</v>
      </c>
      <c r="C101" s="239">
        <v>0</v>
      </c>
      <c r="D101" s="239">
        <v>0</v>
      </c>
      <c r="E101" s="239">
        <v>0</v>
      </c>
      <c r="F101" s="238">
        <v>0</v>
      </c>
      <c r="G101" s="239">
        <v>0</v>
      </c>
      <c r="H101" s="239">
        <v>0</v>
      </c>
    </row>
    <row r="102" spans="1:8">
      <c r="A102" s="156" t="str">
        <f>HLOOKUP(INDICE!$F$2,Nombres!$C$3:$E$853,307)</f>
        <v>(*) No incluye las adquisiciones temporales de activos.</v>
      </c>
      <c r="B102" s="72"/>
      <c r="C102" s="73"/>
      <c r="D102" s="73"/>
      <c r="E102" s="73"/>
      <c r="F102" s="73"/>
    </row>
    <row r="103" spans="1:8">
      <c r="A103" s="156" t="str">
        <f>HLOOKUP(INDICE!$F$2,Nombres!$C$3:$E$853,284)</f>
        <v>(**) No incluye las cesiones temporales de activos e incluye determinados valores negociables.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H103"/>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HLOOKUP(INDICE!$F$2,Nombres!$C$3:$E$853,18)</f>
        <v>Perú</v>
      </c>
    </row>
    <row r="2" spans="1:8" ht="18" customHeight="1">
      <c r="A2" s="144" t="str">
        <f>HLOOKUP(INDICE!$F$2,Nombres!$C$3:$E$853,93)</f>
        <v xml:space="preserve">Cuentas de resultados  </v>
      </c>
    </row>
    <row r="3" spans="1:8">
      <c r="A3" s="41" t="str">
        <f>HLOOKUP(INDICE!$F$2,Nombres!$C$3:$E$853,30)</f>
        <v>(Millones de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166.85599969</v>
      </c>
      <c r="C6" s="83">
        <v>171.48941416</v>
      </c>
      <c r="D6" s="83">
        <v>177.25961470999999</v>
      </c>
      <c r="E6" s="148">
        <v>185.02180048</v>
      </c>
      <c r="F6" s="83">
        <v>189.05080909999998</v>
      </c>
      <c r="G6" s="83">
        <v>191.35578784999998</v>
      </c>
      <c r="H6" s="83">
        <v>181.26759018000001</v>
      </c>
    </row>
    <row r="7" spans="1:8">
      <c r="A7" s="49" t="str">
        <f>HLOOKUP(INDICE!$F$2,Nombres!$C$3:$E$853,39)</f>
        <v>Comisiones</v>
      </c>
      <c r="B7" s="149">
        <v>43.5330236</v>
      </c>
      <c r="C7" s="84">
        <v>46.713892439999995</v>
      </c>
      <c r="D7" s="84">
        <v>46.79410395</v>
      </c>
      <c r="E7" s="150">
        <v>51.876790099999994</v>
      </c>
      <c r="F7" s="84">
        <v>51.27394692</v>
      </c>
      <c r="G7" s="84">
        <v>53.285336699999995</v>
      </c>
      <c r="H7" s="84">
        <v>52.811831120000008</v>
      </c>
    </row>
    <row r="8" spans="1:8">
      <c r="A8" s="49" t="str">
        <f>HLOOKUP(INDICE!$F$2,Nombres!$C$3:$E$853,40)</f>
        <v>Resultados de operaciones financieras</v>
      </c>
      <c r="B8" s="149">
        <v>23.822358229999999</v>
      </c>
      <c r="C8" s="84">
        <v>29.312395389999999</v>
      </c>
      <c r="D8" s="84">
        <v>29.901446809999996</v>
      </c>
      <c r="E8" s="150">
        <v>43.474498519999997</v>
      </c>
      <c r="F8" s="84">
        <v>42.359523639999999</v>
      </c>
      <c r="G8" s="84">
        <v>51.092704230000002</v>
      </c>
      <c r="H8" s="84">
        <v>36.887145279999999</v>
      </c>
    </row>
    <row r="9" spans="1:8">
      <c r="A9" s="49" t="str">
        <f>HLOOKUP(INDICE!$F$2,Nombres!$C$3:$E$853,95)</f>
        <v>Otros ingresos netos</v>
      </c>
      <c r="B9" s="149">
        <v>-4.4380003099999996</v>
      </c>
      <c r="C9" s="84">
        <v>-2.3210002899999997</v>
      </c>
      <c r="D9" s="84">
        <v>-3.9849992199999997</v>
      </c>
      <c r="E9" s="150">
        <v>-3.6000000600000002</v>
      </c>
      <c r="F9" s="84">
        <v>-5.768000090000001</v>
      </c>
      <c r="G9" s="84">
        <v>-4.33800031</v>
      </c>
      <c r="H9" s="84">
        <v>-4.7099986200000004</v>
      </c>
    </row>
    <row r="10" spans="1:8">
      <c r="A10" s="54" t="str">
        <f>HLOOKUP(INDICE!$F$2,Nombres!$C$3:$E$853,44)</f>
        <v>Margen bruto</v>
      </c>
      <c r="B10" s="147">
        <v>229.77338121000003</v>
      </c>
      <c r="C10" s="83">
        <v>245.1947017</v>
      </c>
      <c r="D10" s="83">
        <v>249.97016625000003</v>
      </c>
      <c r="E10" s="148">
        <v>276.77308904</v>
      </c>
      <c r="F10" s="83">
        <v>276.91627957000003</v>
      </c>
      <c r="G10" s="83">
        <v>291.39582846999997</v>
      </c>
      <c r="H10" s="83">
        <v>266.25656795999998</v>
      </c>
    </row>
    <row r="11" spans="1:8">
      <c r="A11" s="49" t="str">
        <f>HLOOKUP(INDICE!$F$2,Nombres!$C$3:$E$853,45)</f>
        <v>Gastos de explotación</v>
      </c>
      <c r="B11" s="149">
        <v>-85.529563749999994</v>
      </c>
      <c r="C11" s="84">
        <v>-84.398423629999996</v>
      </c>
      <c r="D11" s="84">
        <v>-92.031496720000007</v>
      </c>
      <c r="E11" s="150">
        <v>-88.072414269999996</v>
      </c>
      <c r="F11" s="84">
        <v>-100.67826446000001</v>
      </c>
      <c r="G11" s="84">
        <v>-100.63826116999999</v>
      </c>
      <c r="H11" s="84">
        <v>-99.706267950000012</v>
      </c>
    </row>
    <row r="12" spans="1:8">
      <c r="A12" s="49" t="str">
        <f>HLOOKUP(INDICE!$F$2,Nombres!$C$3:$E$853,46)</f>
        <v xml:space="preserve">  Gastos de administración</v>
      </c>
      <c r="B12" s="149">
        <v>-79.585563379999996</v>
      </c>
      <c r="C12" s="84">
        <v>-78.411424530000005</v>
      </c>
      <c r="D12" s="84">
        <v>-85.651495409999995</v>
      </c>
      <c r="E12" s="150">
        <v>-81.239415210000004</v>
      </c>
      <c r="F12" s="84">
        <v>-93.137264239999993</v>
      </c>
      <c r="G12" s="84">
        <v>-93.348261010000002</v>
      </c>
      <c r="H12" s="84">
        <v>-92.482269029999998</v>
      </c>
    </row>
    <row r="13" spans="1:8">
      <c r="A13" s="88" t="str">
        <f>HLOOKUP(INDICE!$F$2,Nombres!$C$3:$E$853,47)</f>
        <v xml:space="preserve">  Gastos de personal</v>
      </c>
      <c r="B13" s="149">
        <v>-44.176999719999998</v>
      </c>
      <c r="C13" s="84">
        <v>-43.992000300000001</v>
      </c>
      <c r="D13" s="84">
        <v>-46.74899911</v>
      </c>
      <c r="E13" s="150">
        <v>-45.301001470000003</v>
      </c>
      <c r="F13" s="84">
        <v>-52.421999470000003</v>
      </c>
      <c r="G13" s="84">
        <v>-52.096000179999997</v>
      </c>
      <c r="H13" s="84">
        <v>-49.524000260000001</v>
      </c>
    </row>
    <row r="14" spans="1:8">
      <c r="A14" s="88" t="str">
        <f>HLOOKUP(INDICE!$F$2,Nombres!$C$3:$E$853,48)</f>
        <v xml:space="preserve">  Otros gastos generales de administración</v>
      </c>
      <c r="B14" s="149">
        <v>-35.408563659999999</v>
      </c>
      <c r="C14" s="84">
        <v>-34.419424229999997</v>
      </c>
      <c r="D14" s="84">
        <v>-38.902496300000003</v>
      </c>
      <c r="E14" s="150">
        <v>-35.938413740000001</v>
      </c>
      <c r="F14" s="84">
        <v>-40.715264770000005</v>
      </c>
      <c r="G14" s="84">
        <v>-41.252260830000004</v>
      </c>
      <c r="H14" s="84">
        <v>-42.958268770000004</v>
      </c>
    </row>
    <row r="15" spans="1:8" ht="13.5" customHeight="1">
      <c r="A15" s="49" t="str">
        <f>HLOOKUP(INDICE!$F$2,Nombres!$C$3:$E$853,49)</f>
        <v xml:space="preserve">  Amortizaciones</v>
      </c>
      <c r="B15" s="149">
        <v>-5.9440003699999995</v>
      </c>
      <c r="C15" s="84">
        <v>-5.9869991000000002</v>
      </c>
      <c r="D15" s="84">
        <v>-6.3800013099999999</v>
      </c>
      <c r="E15" s="150">
        <v>-6.8329990600000006</v>
      </c>
      <c r="F15" s="84">
        <v>-7.541000219999999</v>
      </c>
      <c r="G15" s="84">
        <v>-7.29000016</v>
      </c>
      <c r="H15" s="84">
        <v>-7.2239989199999997</v>
      </c>
    </row>
    <row r="16" spans="1:8" ht="12.75" customHeight="1">
      <c r="A16" s="54" t="str">
        <f>HLOOKUP(INDICE!$F$2,Nombres!$C$3:$E$853,50)</f>
        <v>Margen neto</v>
      </c>
      <c r="B16" s="147">
        <v>144.24381746</v>
      </c>
      <c r="C16" s="83">
        <v>160.79627807</v>
      </c>
      <c r="D16" s="83">
        <v>157.93866953</v>
      </c>
      <c r="E16" s="148">
        <v>188.70067476999998</v>
      </c>
      <c r="F16" s="83">
        <v>176.23801510999999</v>
      </c>
      <c r="G16" s="83">
        <v>190.75756730000001</v>
      </c>
      <c r="H16" s="83">
        <v>166.55030001</v>
      </c>
    </row>
    <row r="17" spans="1:8" ht="13.5" customHeight="1">
      <c r="A17" s="49" t="str">
        <f>HLOOKUP(INDICE!$F$2,Nombres!$C$3:$E$853,51)</f>
        <v>Pérdidas por deterioro de activos financieros</v>
      </c>
      <c r="B17" s="149">
        <v>-35.731000210000005</v>
      </c>
      <c r="C17" s="84">
        <v>-36.996000039999998</v>
      </c>
      <c r="D17" s="84">
        <v>-32.329001050000002</v>
      </c>
      <c r="E17" s="150">
        <v>-38.31699922</v>
      </c>
      <c r="F17" s="84">
        <v>-38.324000440000006</v>
      </c>
      <c r="G17" s="84">
        <v>-54.372999840000006</v>
      </c>
      <c r="H17" s="84">
        <v>-43.398000190000005</v>
      </c>
    </row>
    <row r="18" spans="1:8" ht="13.5" customHeight="1">
      <c r="A18" s="49" t="str">
        <f>HLOOKUP(INDICE!$F$2,Nombres!$C$3:$E$853,160)</f>
        <v>Dotaciones a provisiones y otros resultados</v>
      </c>
      <c r="B18" s="149">
        <v>-3.29199983</v>
      </c>
      <c r="C18" s="84">
        <v>-1.2950016799999999</v>
      </c>
      <c r="D18" s="84">
        <v>6.20100126</v>
      </c>
      <c r="E18" s="150">
        <v>-4.1519991599999999</v>
      </c>
      <c r="F18" s="84">
        <v>-2.7770000000000001</v>
      </c>
      <c r="G18" s="84">
        <v>-9.7001500000000185E-2</v>
      </c>
      <c r="H18" s="84">
        <v>1.8100018699999991</v>
      </c>
    </row>
    <row r="19" spans="1:8" ht="12.75" customHeight="1">
      <c r="A19" s="54" t="str">
        <f>HLOOKUP(INDICE!$F$2,Nombres!$C$3:$E$853,54)</f>
        <v>Beneficio antes de impuestos</v>
      </c>
      <c r="B19" s="147">
        <v>105.22081742</v>
      </c>
      <c r="C19" s="83">
        <v>122.50527635</v>
      </c>
      <c r="D19" s="83">
        <v>131.81066974000001</v>
      </c>
      <c r="E19" s="148">
        <v>146.23167639000002</v>
      </c>
      <c r="F19" s="83">
        <v>135.13701467000001</v>
      </c>
      <c r="G19" s="83">
        <v>136.28756595999999</v>
      </c>
      <c r="H19" s="83">
        <v>124.96230168999999</v>
      </c>
    </row>
    <row r="20" spans="1:8" ht="13.5" customHeight="1">
      <c r="A20" s="49" t="str">
        <f>HLOOKUP(INDICE!$F$2,Nombres!$C$3:$E$853,55)</f>
        <v>Impuesto sobre beneficios</v>
      </c>
      <c r="B20" s="149">
        <v>-28.738580839999997</v>
      </c>
      <c r="C20" s="84">
        <v>-33.49256132</v>
      </c>
      <c r="D20" s="84">
        <v>-36.481676419999999</v>
      </c>
      <c r="E20" s="150">
        <v>-41.009929960000001</v>
      </c>
      <c r="F20" s="84">
        <v>-37.463492700000003</v>
      </c>
      <c r="G20" s="84">
        <v>-37.630597760000001</v>
      </c>
      <c r="H20" s="84">
        <v>-34.190604219999997</v>
      </c>
    </row>
    <row r="21" spans="1:8" ht="13.5" customHeight="1">
      <c r="A21" s="54" t="str">
        <f>HLOOKUP(INDICE!$F$2,Nombres!$C$3:$E$853,56)</f>
        <v>Beneficio después de impuestos</v>
      </c>
      <c r="B21" s="147">
        <v>76.482236580000006</v>
      </c>
      <c r="C21" s="83">
        <v>89.012715029999995</v>
      </c>
      <c r="D21" s="83">
        <v>95.328993319999995</v>
      </c>
      <c r="E21" s="148">
        <v>105.22174643</v>
      </c>
      <c r="F21" s="83">
        <v>97.673521969999996</v>
      </c>
      <c r="G21" s="83">
        <v>98.656968199999994</v>
      </c>
      <c r="H21" s="83">
        <v>90.771697470000007</v>
      </c>
    </row>
    <row r="22" spans="1:8" ht="12" customHeight="1">
      <c r="A22" s="49" t="str">
        <f>HLOOKUP(INDICE!$F$2,Nombres!$C$3:$E$853,57)</f>
        <v>Resultado atribuido a la minoría</v>
      </c>
      <c r="B22" s="149">
        <v>-40.954314490000002</v>
      </c>
      <c r="C22" s="84">
        <v>-47.674755379999993</v>
      </c>
      <c r="D22" s="84">
        <v>-51.216644099999996</v>
      </c>
      <c r="E22" s="150">
        <v>-56.939384869999998</v>
      </c>
      <c r="F22" s="84">
        <v>-52.005374359999998</v>
      </c>
      <c r="G22" s="84">
        <v>-52.704659059999997</v>
      </c>
      <c r="H22" s="84">
        <v>-49.757034959999999</v>
      </c>
    </row>
    <row r="23" spans="1:8" ht="14.25" customHeight="1">
      <c r="A23" s="54" t="str">
        <f>HLOOKUP(INDICE!$F$2,Nombres!$C$3:$E$853,58)</f>
        <v>Beneficio atribuido al Grupo</v>
      </c>
      <c r="B23" s="147">
        <v>35.527922090000004</v>
      </c>
      <c r="C23" s="83">
        <v>41.337959650000002</v>
      </c>
      <c r="D23" s="83">
        <v>44.112349219999999</v>
      </c>
      <c r="E23" s="148">
        <v>48.282361559999998</v>
      </c>
      <c r="F23" s="83">
        <v>45.668147610000005</v>
      </c>
      <c r="G23" s="83">
        <v>45.952309139999997</v>
      </c>
      <c r="H23" s="83">
        <v>41.014662510000001</v>
      </c>
    </row>
    <row r="24" spans="1:8" ht="13.5" customHeight="1">
      <c r="A24" s="144" t="str">
        <f>HLOOKUP(INDICE!$F$2,Nombres!$C$3:$E$853,94)</f>
        <v>Balances</v>
      </c>
      <c r="F24" s="151"/>
      <c r="G24" s="74"/>
      <c r="H24" s="74"/>
    </row>
    <row r="25" spans="1:8" ht="12.75" customHeight="1">
      <c r="A25" s="41" t="str">
        <f>HLOOKUP(INDICE!$F$2,Nombres!$C$3:$E$853,30)</f>
        <v>(Millones de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2921.672</v>
      </c>
      <c r="C27" s="84">
        <v>2557.3440000000001</v>
      </c>
      <c r="D27" s="84">
        <v>3349.9479999999999</v>
      </c>
      <c r="E27" s="150">
        <v>3858.3359999999998</v>
      </c>
      <c r="F27" s="84">
        <v>4480.1419999999998</v>
      </c>
      <c r="G27" s="84">
        <v>5227.0420000000004</v>
      </c>
      <c r="H27" s="84">
        <v>5413.7780000000002</v>
      </c>
    </row>
    <row r="28" spans="1:8">
      <c r="A28" s="49" t="str">
        <f>HLOOKUP(INDICE!$F$2,Nombres!$C$3:$E$853,101)</f>
        <v>Cartera de títulos</v>
      </c>
      <c r="B28" s="149">
        <v>1187.268</v>
      </c>
      <c r="C28" s="84">
        <v>1034.711</v>
      </c>
      <c r="D28" s="84">
        <v>1805.271</v>
      </c>
      <c r="E28" s="150">
        <v>1192.5709999999999</v>
      </c>
      <c r="F28" s="84">
        <v>1709.77</v>
      </c>
      <c r="G28" s="84">
        <v>1292.6790000000001</v>
      </c>
      <c r="H28" s="84">
        <v>2057.7339999999999</v>
      </c>
    </row>
    <row r="29" spans="1:8">
      <c r="A29" s="49" t="str">
        <f>HLOOKUP(INDICE!$F$2,Nombres!$C$3:$E$853,102)</f>
        <v>Inversiones crediticias</v>
      </c>
      <c r="B29" s="149">
        <v>10392.911</v>
      </c>
      <c r="C29" s="84">
        <v>10862.712</v>
      </c>
      <c r="D29" s="84">
        <v>11493.339</v>
      </c>
      <c r="E29" s="150">
        <v>11865.819</v>
      </c>
      <c r="F29" s="84">
        <v>13401.378000000001</v>
      </c>
      <c r="G29" s="84">
        <v>13140.682000000001</v>
      </c>
      <c r="H29" s="84">
        <v>12978.004000000001</v>
      </c>
    </row>
    <row r="30" spans="1:8">
      <c r="A30" s="49" t="str">
        <f>HLOOKUP(INDICE!$F$2,Nombres!$C$3:$E$853,103)</f>
        <v xml:space="preserve">  . Crédito a la clientela neto</v>
      </c>
      <c r="B30" s="149">
        <v>10090.537</v>
      </c>
      <c r="C30" s="84">
        <v>10567.752</v>
      </c>
      <c r="D30" s="84">
        <v>11166.614</v>
      </c>
      <c r="E30" s="150">
        <v>11529.554</v>
      </c>
      <c r="F30" s="84">
        <v>12831.027</v>
      </c>
      <c r="G30" s="84">
        <v>12606.984</v>
      </c>
      <c r="H30" s="84">
        <v>12543.67</v>
      </c>
    </row>
    <row r="31" spans="1:8">
      <c r="A31" s="49" t="str">
        <f>HLOOKUP(INDICE!$F$2,Nombres!$C$3:$E$853,104)</f>
        <v xml:space="preserve">  . Depósitos en entidades de crédito y otros</v>
      </c>
      <c r="B31" s="154">
        <v>302.37400000000002</v>
      </c>
      <c r="C31" s="84">
        <v>294.95999999999998</v>
      </c>
      <c r="D31" s="84">
        <v>326.72500000000002</v>
      </c>
      <c r="E31" s="150">
        <v>336.26499999999999</v>
      </c>
      <c r="F31" s="84">
        <v>570.351</v>
      </c>
      <c r="G31" s="84">
        <v>533.69799999999998</v>
      </c>
      <c r="H31" s="84">
        <v>434.334</v>
      </c>
    </row>
    <row r="32" spans="1:8">
      <c r="A32" s="49" t="str">
        <f>HLOOKUP(INDICE!$F$2,Nombres!$C$3:$E$853,106)</f>
        <v>Activo material</v>
      </c>
      <c r="B32" s="149">
        <v>212.553</v>
      </c>
      <c r="C32" s="84">
        <v>216.81700000000001</v>
      </c>
      <c r="D32" s="84">
        <v>228.999</v>
      </c>
      <c r="E32" s="150">
        <v>237.65700000000001</v>
      </c>
      <c r="F32" s="84">
        <v>257.01400000000001</v>
      </c>
      <c r="G32" s="84">
        <v>236.328</v>
      </c>
      <c r="H32" s="84">
        <v>234.69900000000001</v>
      </c>
    </row>
    <row r="33" spans="1:8">
      <c r="A33" s="49" t="str">
        <f>HLOOKUP(INDICE!$F$2,Nombres!$C$3:$E$853,107)</f>
        <v>Otros activos</v>
      </c>
      <c r="B33" s="149">
        <v>452.3925035700002</v>
      </c>
      <c r="C33" s="84">
        <v>368.70102454000192</v>
      </c>
      <c r="D33" s="84">
        <v>411.32505213000013</v>
      </c>
      <c r="E33" s="150">
        <v>421.84888152000445</v>
      </c>
      <c r="F33" s="84">
        <v>560.09864022999955</v>
      </c>
      <c r="G33" s="84">
        <v>326.59154616999967</v>
      </c>
      <c r="H33" s="84">
        <v>633.34500000000003</v>
      </c>
    </row>
    <row r="34" spans="1:8">
      <c r="A34" s="54" t="str">
        <f>HLOOKUP(INDICE!$F$2,Nombres!$C$3:$E$853,108)</f>
        <v>Total activo / pasivo</v>
      </c>
      <c r="B34" s="147">
        <v>15166.79650357</v>
      </c>
      <c r="C34" s="83">
        <v>15040.28502454</v>
      </c>
      <c r="D34" s="83">
        <v>17288.88205213</v>
      </c>
      <c r="E34" s="148">
        <v>17576.231881520001</v>
      </c>
      <c r="F34" s="83">
        <v>20408.402640229997</v>
      </c>
      <c r="G34" s="83">
        <v>20223.322546170002</v>
      </c>
      <c r="H34" s="83">
        <v>21317.56</v>
      </c>
    </row>
    <row r="35" spans="1:8">
      <c r="A35" s="49" t="str">
        <f>HLOOKUP(INDICE!$F$2,Nombres!$C$3:$E$853,109)</f>
        <v>Depósitos de bancos centrales y entidades de crédito</v>
      </c>
      <c r="B35" s="149">
        <v>1748.655</v>
      </c>
      <c r="C35" s="84">
        <v>1715.2159999999999</v>
      </c>
      <c r="D35" s="84">
        <v>2486.7370000000001</v>
      </c>
      <c r="E35" s="150">
        <v>2409.817</v>
      </c>
      <c r="F35" s="84">
        <v>3306.0630000000001</v>
      </c>
      <c r="G35" s="84">
        <v>3465.0230000000001</v>
      </c>
      <c r="H35" s="84">
        <v>4421.1469999999999</v>
      </c>
    </row>
    <row r="36" spans="1:8">
      <c r="A36" s="49" t="str">
        <f>HLOOKUP(INDICE!$F$2,Nombres!$C$3:$E$853,110)</f>
        <v>Depósitos de la clientela</v>
      </c>
      <c r="B36" s="149">
        <v>9479.1460000000006</v>
      </c>
      <c r="C36" s="84">
        <v>9580.5499999999993</v>
      </c>
      <c r="D36" s="84">
        <v>10359.986000000001</v>
      </c>
      <c r="E36" s="150">
        <v>10522.248</v>
      </c>
      <c r="F36" s="84">
        <v>11945.870999999999</v>
      </c>
      <c r="G36" s="84">
        <v>12016.855</v>
      </c>
      <c r="H36" s="84">
        <v>11935.519</v>
      </c>
    </row>
    <row r="37" spans="1:8">
      <c r="A37" s="49" t="str">
        <f>HLOOKUP(INDICE!$F$2,Nombres!$C$3:$E$853,111)</f>
        <v>Débitos representados por valores negociables</v>
      </c>
      <c r="B37" s="149">
        <v>1432.76</v>
      </c>
      <c r="C37" s="84">
        <v>1498.4359999999999</v>
      </c>
      <c r="D37" s="84">
        <v>1578.453</v>
      </c>
      <c r="E37" s="150">
        <v>1605.44</v>
      </c>
      <c r="F37" s="84">
        <v>1776.4390000000001</v>
      </c>
      <c r="G37" s="84">
        <v>1683.337</v>
      </c>
      <c r="H37" s="84">
        <v>1656.1120000000001</v>
      </c>
    </row>
    <row r="38" spans="1:8" ht="13.5" customHeight="1">
      <c r="A38" s="49" t="str">
        <f>HLOOKUP(INDICE!$F$2,Nombres!$C$3:$E$853,112)</f>
        <v>Pasivos subordinados</v>
      </c>
      <c r="B38" s="149">
        <v>368.55799999999999</v>
      </c>
      <c r="C38" s="84">
        <v>370.47399999999999</v>
      </c>
      <c r="D38" s="84">
        <v>639.351</v>
      </c>
      <c r="E38" s="150">
        <v>661.78399999999999</v>
      </c>
      <c r="F38" s="84">
        <v>723.279</v>
      </c>
      <c r="G38" s="84">
        <v>667.55399999999997</v>
      </c>
      <c r="H38" s="84">
        <v>667.49900000000002</v>
      </c>
    </row>
    <row r="39" spans="1:8">
      <c r="A39" s="49" t="str">
        <f>HLOOKUP(INDICE!$F$2,Nombres!$C$3:$E$853,114)</f>
        <v>Cartera de negociación</v>
      </c>
      <c r="B39" s="149">
        <v>112.498</v>
      </c>
      <c r="C39" s="84">
        <v>84.125</v>
      </c>
      <c r="D39" s="84">
        <v>150.321</v>
      </c>
      <c r="E39" s="150">
        <v>195.39699999999999</v>
      </c>
      <c r="F39" s="84">
        <v>291.71199999999999</v>
      </c>
      <c r="G39" s="84">
        <v>264.005</v>
      </c>
      <c r="H39" s="84">
        <v>301.01499999999999</v>
      </c>
    </row>
    <row r="40" spans="1:8">
      <c r="A40" s="49" t="str">
        <f>HLOOKUP(INDICE!$F$2,Nombres!$C$3:$E$853,115)</f>
        <v>Otros pasivos</v>
      </c>
      <c r="B40" s="149">
        <v>1599.5171435700001</v>
      </c>
      <c r="C40" s="84">
        <v>1333.8908045400003</v>
      </c>
      <c r="D40" s="84">
        <v>1603.2172955799999</v>
      </c>
      <c r="E40" s="150">
        <v>1712.7943398999998</v>
      </c>
      <c r="F40" s="84">
        <v>1877.0257402299999</v>
      </c>
      <c r="G40" s="84">
        <v>1671.5233361700002</v>
      </c>
      <c r="H40" s="84">
        <v>1883.2802475200037</v>
      </c>
    </row>
    <row r="41" spans="1:8" ht="12.75" customHeight="1">
      <c r="A41" s="49" t="str">
        <f>HLOOKUP(INDICE!$F$2,Nombres!$C$3:$E$853,116)</f>
        <v>Dotación de capital económico</v>
      </c>
      <c r="B41" s="149">
        <v>425.66235999999998</v>
      </c>
      <c r="C41" s="84">
        <v>457.59321999999997</v>
      </c>
      <c r="D41" s="84">
        <v>470.81675654999998</v>
      </c>
      <c r="E41" s="150">
        <v>468.75154162000001</v>
      </c>
      <c r="F41" s="84">
        <v>488.0129</v>
      </c>
      <c r="G41" s="84">
        <v>455.02521000000002</v>
      </c>
      <c r="H41" s="84">
        <v>452.98775247999998</v>
      </c>
    </row>
    <row r="42" spans="1:8" ht="15" customHeight="1">
      <c r="A42" s="144" t="str">
        <f>HLOOKUP(INDICE!$F$2,Nombres!$C$3:$E$853,117)</f>
        <v>Indicadores relevantes</v>
      </c>
      <c r="F42" s="151"/>
      <c r="G42" s="74"/>
      <c r="H42" s="74"/>
    </row>
    <row r="43" spans="1:8" ht="13.5" customHeight="1">
      <c r="A43" s="144" t="str">
        <f>HLOOKUP(INDICE!$F$2,Nombres!$C$3:$E$853,201)</f>
        <v>Anexo:</v>
      </c>
      <c r="F43" s="151"/>
      <c r="G43" s="74"/>
      <c r="H43" s="74"/>
    </row>
    <row r="44" spans="1:8" ht="12.75" customHeight="1">
      <c r="A44" s="41" t="str">
        <f>HLOOKUP(INDICE!$F$2,Nombres!$C$3:$E$853,30)</f>
        <v>(Millones de euros)</v>
      </c>
      <c r="B44" s="81">
        <v>41729</v>
      </c>
      <c r="C44" s="82">
        <v>41820</v>
      </c>
      <c r="D44" s="82">
        <v>41912</v>
      </c>
      <c r="E44" s="82">
        <v>42004</v>
      </c>
      <c r="F44" s="81">
        <v>42094</v>
      </c>
      <c r="G44" s="82">
        <v>42185</v>
      </c>
      <c r="H44" s="82">
        <v>42277</v>
      </c>
    </row>
    <row r="45" spans="1:8" ht="12" customHeight="1">
      <c r="A45" s="49" t="str">
        <f>HLOOKUP(INDICE!$F$2,Nombres!$C$3:$E$853,118)</f>
        <v>Crédito a la clientela bruto (*)</v>
      </c>
      <c r="B45" s="155">
        <v>10532.196</v>
      </c>
      <c r="C45" s="157">
        <v>11026.949999999999</v>
      </c>
      <c r="D45" s="157">
        <v>11658.323</v>
      </c>
      <c r="E45" s="157">
        <v>12019.917000000001</v>
      </c>
      <c r="F45" s="155">
        <v>13396.904</v>
      </c>
      <c r="G45" s="157">
        <v>13148.773000000001</v>
      </c>
      <c r="H45" s="157">
        <v>13089.163</v>
      </c>
    </row>
    <row r="46" spans="1:8">
      <c r="A46" s="49" t="str">
        <f>HLOOKUP(INDICE!$F$2,Nombres!$C$3:$E$853,121)</f>
        <v>Depósitos de clientes en gestión (**)</v>
      </c>
      <c r="B46" s="155">
        <v>9204.7406256800004</v>
      </c>
      <c r="C46" s="157">
        <v>9244.2890503899998</v>
      </c>
      <c r="D46" s="157">
        <v>10030.573741349999</v>
      </c>
      <c r="E46" s="157">
        <v>10192.873578410001</v>
      </c>
      <c r="F46" s="155">
        <v>11642.38093453</v>
      </c>
      <c r="G46" s="157">
        <v>11728.564920479999</v>
      </c>
      <c r="H46" s="157">
        <v>11684.283363779999</v>
      </c>
    </row>
    <row r="47" spans="1:8">
      <c r="A47" s="49" t="str">
        <f>HLOOKUP(INDICE!$F$2,Nombres!$C$3:$E$853,122)</f>
        <v>Fondos de inversión</v>
      </c>
      <c r="B47" s="155">
        <v>1082.32021446</v>
      </c>
      <c r="C47" s="157">
        <v>1086.9410993900001</v>
      </c>
      <c r="D47" s="157">
        <v>1192.7892898</v>
      </c>
      <c r="E47" s="157">
        <v>1239.98400973</v>
      </c>
      <c r="F47" s="155">
        <v>1369.3128405299999</v>
      </c>
      <c r="G47" s="157">
        <v>1300.9553842099999</v>
      </c>
      <c r="H47" s="157">
        <v>1258.0059734399999</v>
      </c>
    </row>
    <row r="48" spans="1:8">
      <c r="A48" s="49" t="str">
        <f>HLOOKUP(INDICE!$F$2,Nombres!$C$3:$E$853,206)</f>
        <v>Fondos de pensiones</v>
      </c>
      <c r="B48" s="238">
        <v>0</v>
      </c>
      <c r="C48" s="239">
        <v>0</v>
      </c>
      <c r="D48" s="239">
        <v>0</v>
      </c>
      <c r="E48" s="239">
        <v>0</v>
      </c>
      <c r="F48" s="238">
        <v>0</v>
      </c>
      <c r="G48" s="239">
        <v>0</v>
      </c>
      <c r="H48" s="239">
        <v>0</v>
      </c>
    </row>
    <row r="49" spans="1:8">
      <c r="A49" s="49" t="str">
        <f>HLOOKUP(INDICE!$F$2,Nombres!$C$3:$E$853,308)</f>
        <v>Otros recursos fuera de balance</v>
      </c>
      <c r="B49" s="238">
        <v>0</v>
      </c>
      <c r="C49" s="239">
        <v>0</v>
      </c>
      <c r="D49" s="239">
        <v>0</v>
      </c>
      <c r="E49" s="239">
        <v>0</v>
      </c>
      <c r="F49" s="238">
        <v>0</v>
      </c>
      <c r="G49" s="239">
        <v>0</v>
      </c>
      <c r="H49" s="239">
        <v>0</v>
      </c>
    </row>
    <row r="50" spans="1:8">
      <c r="A50" s="156" t="str">
        <f>HLOOKUP(INDICE!$F$2,Nombres!$C$3:$E$853,307)</f>
        <v>(*) No incluye las adquisiciones temporales de activos.</v>
      </c>
      <c r="B50" s="157"/>
      <c r="C50" s="157"/>
      <c r="D50" s="157"/>
      <c r="E50" s="157"/>
      <c r="F50" s="157"/>
      <c r="G50" s="157"/>
      <c r="H50" s="157"/>
    </row>
    <row r="51" spans="1:8">
      <c r="A51" s="156" t="str">
        <f>HLOOKUP(INDICE!$F$2,Nombres!$C$3:$E$853,284)</f>
        <v>(**) No incluye las cesiones temporales de activos e incluye determinados valores negociables.</v>
      </c>
      <c r="C51"/>
      <c r="D51"/>
      <c r="E51"/>
    </row>
    <row r="52" spans="1:8" ht="18">
      <c r="A52" s="144" t="str">
        <f>HLOOKUP(INDICE!$F$2,Nombres!$C$3:$E$853,93)</f>
        <v xml:space="preserve">Cuentas de resultados  </v>
      </c>
      <c r="C52" s="145"/>
      <c r="D52" s="145"/>
      <c r="E52" s="145"/>
      <c r="G52" s="74"/>
      <c r="H52" s="74"/>
    </row>
    <row r="53" spans="1:8">
      <c r="A53" s="41" t="str">
        <f>HLOOKUP(INDICE!$F$2,Nombres!$C$3:$E$853,31)</f>
        <v>(Millones de euros constantes)</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1er Trim.</v>
      </c>
      <c r="C55" s="146" t="str">
        <f>HLOOKUP(INDICE!$F$2,Nombres!$C$3:$E$857,35)</f>
        <v>2º Trim.</v>
      </c>
      <c r="D55" s="146" t="str">
        <f>HLOOKUP(INDICE!$F$2,Nombres!$C$3:$E$857,36)</f>
        <v>3er Trim.</v>
      </c>
      <c r="E55" s="146" t="str">
        <f>HLOOKUP(INDICE!$F$2,Nombres!$C$3:$E$857,37)</f>
        <v>4º Trim.</v>
      </c>
      <c r="F55" s="146" t="str">
        <f>HLOOKUP(INDICE!$F$2,Nombres!$C$3:$E$857,34)</f>
        <v>1er Trim.</v>
      </c>
      <c r="G55" s="146" t="str">
        <f>HLOOKUP(INDICE!$F$2,Nombres!$C$3:$E$857,35)</f>
        <v>2º Trim.</v>
      </c>
      <c r="H55" s="146" t="str">
        <f>HLOOKUP(INDICE!$F$2,Nombres!$C$3:$E$857,36)</f>
        <v>3er Trim.</v>
      </c>
    </row>
    <row r="56" spans="1:8">
      <c r="A56" s="54" t="str">
        <f>HLOOKUP(INDICE!$F$2,Nombres!$C$3:$E$853,38)</f>
        <v>Margen de intereses</v>
      </c>
      <c r="B56" s="147">
        <v>183.5733052256</v>
      </c>
      <c r="C56" s="83">
        <v>187.75681382159999</v>
      </c>
      <c r="D56" s="83">
        <v>189.5388894102</v>
      </c>
      <c r="E56" s="148">
        <v>194.0637374005</v>
      </c>
      <c r="F56" s="54">
        <v>186.18791193199999</v>
      </c>
      <c r="G56" s="54">
        <v>190.0150210683</v>
      </c>
      <c r="H56" s="54">
        <v>185.47125412970001</v>
      </c>
    </row>
    <row r="57" spans="1:8">
      <c r="A57" s="49" t="str">
        <f>HLOOKUP(INDICE!$F$2,Nombres!$C$3:$E$853,39)</f>
        <v>Comisiones</v>
      </c>
      <c r="B57" s="149">
        <v>47.894597997999995</v>
      </c>
      <c r="C57" s="84">
        <v>51.150332729599995</v>
      </c>
      <c r="D57" s="84">
        <v>50.026658458499995</v>
      </c>
      <c r="E57" s="150">
        <v>54.489329695899997</v>
      </c>
      <c r="F57" s="73">
        <v>50.497478212299995</v>
      </c>
      <c r="G57" s="73">
        <v>52.906378307699995</v>
      </c>
      <c r="H57" s="73">
        <v>53.9672582201</v>
      </c>
    </row>
    <row r="58" spans="1:8">
      <c r="A58" s="49" t="str">
        <f>HLOOKUP(INDICE!$F$2,Nombres!$C$3:$E$853,40)</f>
        <v>Resultados de operaciones financieras</v>
      </c>
      <c r="B58" s="149">
        <v>26.2091207189</v>
      </c>
      <c r="C58" s="84">
        <v>32.105647501999997</v>
      </c>
      <c r="D58" s="84">
        <v>32.011021524299998</v>
      </c>
      <c r="E58" s="150">
        <v>45.990813302500001</v>
      </c>
      <c r="F58" s="73">
        <v>41.718050795500005</v>
      </c>
      <c r="G58" s="73">
        <v>50.701487934799999</v>
      </c>
      <c r="H58" s="73">
        <v>37.919834419600001</v>
      </c>
    </row>
    <row r="59" spans="1:8" ht="17.25" customHeight="1">
      <c r="A59" s="49" t="str">
        <f>HLOOKUP(INDICE!$F$2,Nombres!$C$3:$E$853,95)</f>
        <v>Otros ingresos netos</v>
      </c>
      <c r="B59" s="149">
        <v>-4.8826436389000003</v>
      </c>
      <c r="C59" s="84">
        <v>-2.5352801593000001</v>
      </c>
      <c r="D59" s="84">
        <v>-4.2692712292000001</v>
      </c>
      <c r="E59" s="150">
        <v>-3.7686150659999997</v>
      </c>
      <c r="F59" s="73">
        <v>-5.6806521902</v>
      </c>
      <c r="G59" s="73">
        <v>-4.3136723610000001</v>
      </c>
      <c r="H59" s="73">
        <v>-4.8216744687000004</v>
      </c>
    </row>
    <row r="60" spans="1:8" ht="15.75" customHeight="1">
      <c r="A60" s="54" t="str">
        <f>HLOOKUP(INDICE!$F$2,Nombres!$C$3:$E$853,44)</f>
        <v>Margen bruto</v>
      </c>
      <c r="B60" s="147">
        <v>252.7943803037</v>
      </c>
      <c r="C60" s="83">
        <v>268.47751389389998</v>
      </c>
      <c r="D60" s="83">
        <v>267.30729816389999</v>
      </c>
      <c r="E60" s="148">
        <v>290.77526533280002</v>
      </c>
      <c r="F60" s="54">
        <v>272.7227887496</v>
      </c>
      <c r="G60" s="54">
        <v>289.30921494969999</v>
      </c>
      <c r="H60" s="54">
        <v>272.53667230069999</v>
      </c>
    </row>
    <row r="61" spans="1:8">
      <c r="A61" s="49" t="str">
        <f>HLOOKUP(INDICE!$F$2,Nombres!$C$3:$E$853,45)</f>
        <v>Gastos de explotación</v>
      </c>
      <c r="B61" s="149">
        <v>-94.098772242300001</v>
      </c>
      <c r="C61" s="84">
        <v>-92.395198712600006</v>
      </c>
      <c r="D61" s="84">
        <v>-98.462435528399993</v>
      </c>
      <c r="E61" s="150">
        <v>-92.206629845799995</v>
      </c>
      <c r="F61" s="73">
        <v>-99.153639838900006</v>
      </c>
      <c r="G61" s="73">
        <v>-99.9382476591</v>
      </c>
      <c r="H61" s="73">
        <v>-101.93090608209999</v>
      </c>
    </row>
    <row r="62" spans="1:8">
      <c r="A62" s="49" t="str">
        <f>HLOOKUP(INDICE!$F$2,Nombres!$C$3:$E$853,46)</f>
        <v xml:space="preserve">  Gastos de administración</v>
      </c>
      <c r="B62" s="149">
        <v>-87.559242371000011</v>
      </c>
      <c r="C62" s="84">
        <v>-85.840596752400003</v>
      </c>
      <c r="D62" s="84">
        <v>-91.638078822300002</v>
      </c>
      <c r="E62" s="150">
        <v>-85.032195226200002</v>
      </c>
      <c r="F62" s="73">
        <v>-91.726837004499998</v>
      </c>
      <c r="G62" s="73">
        <v>-92.697939336399998</v>
      </c>
      <c r="H62" s="73">
        <v>-94.543017938899993</v>
      </c>
    </row>
    <row r="63" spans="1:8">
      <c r="A63" s="189" t="str">
        <f>HLOOKUP(INDICE!$F$2,Nombres!$C$3:$E$853,47)</f>
        <v xml:space="preserve">  Gastos de personal</v>
      </c>
      <c r="B63" s="149">
        <v>-48.6030940968</v>
      </c>
      <c r="C63" s="84">
        <v>-48.161348196600002</v>
      </c>
      <c r="D63" s="84">
        <v>-49.997750089500002</v>
      </c>
      <c r="E63" s="150">
        <v>-47.425668172100004</v>
      </c>
      <c r="F63" s="73">
        <v>-51.628145190600002</v>
      </c>
      <c r="G63" s="73">
        <v>-51.734883565800004</v>
      </c>
      <c r="H63" s="73">
        <v>-50.678971153600003</v>
      </c>
    </row>
    <row r="64" spans="1:8">
      <c r="A64" s="189" t="str">
        <f>HLOOKUP(INDICE!$F$2,Nombres!$C$3:$E$853,48)</f>
        <v xml:space="preserve">  Otros gastos generales de administración</v>
      </c>
      <c r="B64" s="149">
        <v>-38.956148274100002</v>
      </c>
      <c r="C64" s="84">
        <v>-37.679248555900003</v>
      </c>
      <c r="D64" s="84">
        <v>-41.640328732699999</v>
      </c>
      <c r="E64" s="150">
        <v>-37.606527053999997</v>
      </c>
      <c r="F64" s="73">
        <v>-40.098691813900004</v>
      </c>
      <c r="G64" s="73">
        <v>-40.9630557706</v>
      </c>
      <c r="H64" s="73">
        <v>-43.864046785400006</v>
      </c>
    </row>
    <row r="65" spans="1:8" ht="13.5" customHeight="1">
      <c r="A65" s="49" t="str">
        <f>HLOOKUP(INDICE!$F$2,Nombres!$C$3:$E$853,49)</f>
        <v xml:space="preserve">  Amortizaciones</v>
      </c>
      <c r="B65" s="149">
        <v>-6.5395298713999992</v>
      </c>
      <c r="C65" s="84">
        <v>-6.5546019601999994</v>
      </c>
      <c r="D65" s="84">
        <v>-6.8243567061999997</v>
      </c>
      <c r="E65" s="150">
        <v>-7.1744346194999995</v>
      </c>
      <c r="F65" s="73">
        <v>-7.4268028342000001</v>
      </c>
      <c r="G65" s="73">
        <v>-7.2403083226999998</v>
      </c>
      <c r="H65" s="73">
        <v>-7.3878881430000005</v>
      </c>
    </row>
    <row r="66" spans="1:8" ht="14.25" customHeight="1">
      <c r="A66" s="54" t="str">
        <f>HLOOKUP(INDICE!$F$2,Nombres!$C$3:$E$853,50)</f>
        <v>Margen neto</v>
      </c>
      <c r="B66" s="147">
        <v>158.69560806129999</v>
      </c>
      <c r="C66" s="83">
        <v>176.08231518119999</v>
      </c>
      <c r="D66" s="83">
        <v>168.84486263540001</v>
      </c>
      <c r="E66" s="148">
        <v>198.56863548699999</v>
      </c>
      <c r="F66" s="54">
        <v>173.56914891079998</v>
      </c>
      <c r="G66" s="54">
        <v>189.37096729070001</v>
      </c>
      <c r="H66" s="54">
        <v>170.6057662186</v>
      </c>
    </row>
    <row r="67" spans="1:8">
      <c r="A67" s="49" t="str">
        <f>HLOOKUP(INDICE!$F$2,Nombres!$C$3:$E$853,51)</f>
        <v>Pérdidas por deterioro de activos financieros</v>
      </c>
      <c r="B67" s="149">
        <v>-39.310889747700003</v>
      </c>
      <c r="C67" s="84">
        <v>-40.506139108900001</v>
      </c>
      <c r="D67" s="84">
        <v>-34.461637986900001</v>
      </c>
      <c r="E67" s="150">
        <v>-40.207242742299997</v>
      </c>
      <c r="F67" s="73">
        <v>-37.743639674400001</v>
      </c>
      <c r="G67" s="73">
        <v>-53.929017070499995</v>
      </c>
      <c r="H67" s="73">
        <v>-44.422343725099999</v>
      </c>
    </row>
    <row r="68" spans="1:8" ht="16.5" customHeight="1">
      <c r="A68" s="49" t="str">
        <f>HLOOKUP(INDICE!$F$2,Nombres!$C$3:$E$853,160)</f>
        <v>Dotaciones a provisiones y otros resultados</v>
      </c>
      <c r="B68" s="149">
        <v>-3.6218253506</v>
      </c>
      <c r="C68" s="84">
        <v>-1.4123549487</v>
      </c>
      <c r="D68" s="84">
        <v>6.7898700023000007</v>
      </c>
      <c r="E68" s="150">
        <v>-4.4904106473999992</v>
      </c>
      <c r="F68" s="73">
        <v>-2.7349464088000004</v>
      </c>
      <c r="G68" s="73">
        <v>-0.10729608230000021</v>
      </c>
      <c r="H68" s="73">
        <v>1.7782428610999998</v>
      </c>
    </row>
    <row r="69" spans="1:8" ht="12.75" customHeight="1">
      <c r="A69" s="54" t="str">
        <f>HLOOKUP(INDICE!$F$2,Nombres!$C$3:$E$853,54)</f>
        <v>Beneficio antes de impuestos</v>
      </c>
      <c r="B69" s="147">
        <v>115.7628929629</v>
      </c>
      <c r="C69" s="83">
        <v>134.1638211236</v>
      </c>
      <c r="D69" s="83">
        <v>141.1730946509</v>
      </c>
      <c r="E69" s="148">
        <v>153.8709820974</v>
      </c>
      <c r="F69" s="54">
        <v>133.0905628276</v>
      </c>
      <c r="G69" s="54">
        <v>135.33465413779999</v>
      </c>
      <c r="H69" s="54">
        <v>127.96166535450001</v>
      </c>
    </row>
    <row r="70" spans="1:8" ht="13.5" customHeight="1">
      <c r="A70" s="49" t="str">
        <f>HLOOKUP(INDICE!$F$2,Nombres!$C$3:$E$853,55)</f>
        <v>Impuesto sobre beneficios</v>
      </c>
      <c r="B70" s="149">
        <v>-31.617899758499998</v>
      </c>
      <c r="C70" s="84">
        <v>-36.680048080700004</v>
      </c>
      <c r="D70" s="84">
        <v>-39.080680398200002</v>
      </c>
      <c r="E70" s="150">
        <v>-43.174096611499998</v>
      </c>
      <c r="F70" s="73">
        <v>-36.896163061700001</v>
      </c>
      <c r="G70" s="73">
        <v>-37.368103932099999</v>
      </c>
      <c r="H70" s="73">
        <v>-35.020427686300003</v>
      </c>
    </row>
    <row r="71" spans="1:8" ht="12.75" customHeight="1">
      <c r="A71" s="54" t="str">
        <f>HLOOKUP(INDICE!$F$2,Nombres!$C$3:$E$853,56)</f>
        <v>Beneficio después de impuestos</v>
      </c>
      <c r="B71" s="147">
        <v>84.144993204499997</v>
      </c>
      <c r="C71" s="83">
        <v>97.483773043100001</v>
      </c>
      <c r="D71" s="83">
        <v>102.0924142528</v>
      </c>
      <c r="E71" s="148">
        <v>110.6968854859</v>
      </c>
      <c r="F71" s="54">
        <v>96.194399765899988</v>
      </c>
      <c r="G71" s="54">
        <v>97.966550205900006</v>
      </c>
      <c r="H71" s="54">
        <v>92.941237668200003</v>
      </c>
    </row>
    <row r="72" spans="1:8" ht="12.75" customHeight="1">
      <c r="A72" s="49" t="str">
        <f>HLOOKUP(INDICE!$F$2,Nombres!$C$3:$E$853,57)</f>
        <v>Resultado atribuido a la minoría</v>
      </c>
      <c r="B72" s="149">
        <v>-45.057527976999999</v>
      </c>
      <c r="C72" s="84">
        <v>-52.211835574799991</v>
      </c>
      <c r="D72" s="84">
        <v>-54.853138337699995</v>
      </c>
      <c r="E72" s="150">
        <v>-59.9155030135</v>
      </c>
      <c r="F72" s="73">
        <v>-51.217829256800002</v>
      </c>
      <c r="G72" s="73">
        <v>-52.335111210199997</v>
      </c>
      <c r="H72" s="73">
        <v>-50.914127913100003</v>
      </c>
    </row>
    <row r="73" spans="1:8" ht="15" customHeight="1">
      <c r="A73" s="54" t="str">
        <f>HLOOKUP(INDICE!$F$2,Nombres!$C$3:$E$853,58)</f>
        <v>Beneficio atribuido al Grupo</v>
      </c>
      <c r="B73" s="147">
        <v>39.087465227399996</v>
      </c>
      <c r="C73" s="83">
        <v>45.271937468300003</v>
      </c>
      <c r="D73" s="83">
        <v>47.239275915</v>
      </c>
      <c r="E73" s="148">
        <v>50.781382472400004</v>
      </c>
      <c r="F73" s="54">
        <v>44.976570509200002</v>
      </c>
      <c r="G73" s="54">
        <v>45.631438995800004</v>
      </c>
      <c r="H73" s="54">
        <v>42.0271097551</v>
      </c>
    </row>
    <row r="74" spans="1:8" s="169" customFormat="1" ht="15" customHeight="1">
      <c r="A74" s="190"/>
      <c r="B74" s="191"/>
      <c r="C74" s="191"/>
      <c r="D74" s="191"/>
      <c r="E74" s="191"/>
      <c r="F74" s="190"/>
      <c r="G74" s="190"/>
      <c r="H74" s="190"/>
    </row>
    <row r="75" spans="1:8" ht="15.75" customHeight="1">
      <c r="A75" s="144" t="str">
        <f>HLOOKUP(INDICE!$F$2,Nombres!$C$3:$E$853,94)</f>
        <v>Balances</v>
      </c>
      <c r="G75" s="74"/>
      <c r="H75" s="74"/>
    </row>
    <row r="76" spans="1:8">
      <c r="A76" s="41" t="str">
        <f>HLOOKUP(INDICE!$F$2,Nombres!$C$3:$E$853,31)</f>
        <v>(Millones de euros constantes)</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Caja y depósitos en bancos centrales</v>
      </c>
      <c r="B78" s="149">
        <v>3138.5638908807</v>
      </c>
      <c r="C78" s="84">
        <v>2705.7785693204</v>
      </c>
      <c r="D78" s="84">
        <v>3381.7840118173999</v>
      </c>
      <c r="E78" s="150">
        <v>3869.3110876739001</v>
      </c>
      <c r="F78" s="158">
        <v>4141.9600529132003</v>
      </c>
      <c r="G78" s="84">
        <v>5152.5010243220004</v>
      </c>
      <c r="H78" s="84">
        <v>5413.7780000000002</v>
      </c>
    </row>
    <row r="79" spans="1:8">
      <c r="A79" s="49" t="str">
        <f>HLOOKUP(INDICE!$F$2,Nombres!$C$3:$E$853,101)</f>
        <v>Cartera de títulos</v>
      </c>
      <c r="B79" s="149">
        <v>1275.4054779584999</v>
      </c>
      <c r="C79" s="84">
        <v>1094.7681849763001</v>
      </c>
      <c r="D79" s="84">
        <v>1822.4272749301001</v>
      </c>
      <c r="E79" s="150">
        <v>1195.9632839489</v>
      </c>
      <c r="F79" s="158">
        <v>1580.7086113943001</v>
      </c>
      <c r="G79" s="84">
        <v>1274.2445673135001</v>
      </c>
      <c r="H79" s="84">
        <v>2057.7339999999999</v>
      </c>
    </row>
    <row r="80" spans="1:8">
      <c r="A80" s="49" t="str">
        <f>HLOOKUP(INDICE!$F$2,Nombres!$C$3:$E$853,102)</f>
        <v>Inversiones crediticias</v>
      </c>
      <c r="B80" s="149">
        <v>11164.434332716401</v>
      </c>
      <c r="C80" s="84">
        <v>11493.210664775301</v>
      </c>
      <c r="D80" s="84">
        <v>11602.5651958173</v>
      </c>
      <c r="E80" s="150">
        <v>11899.5714787493</v>
      </c>
      <c r="F80" s="158">
        <v>12389.779683320299</v>
      </c>
      <c r="G80" s="84">
        <v>12953.2874358555</v>
      </c>
      <c r="H80" s="84">
        <v>12978.004000000001</v>
      </c>
    </row>
    <row r="81" spans="1:8">
      <c r="A81" s="49" t="str">
        <f>HLOOKUP(INDICE!$F$2,Nombres!$C$3:$E$853,103)</f>
        <v xml:space="preserve">  . Crédito a la clientela neto</v>
      </c>
      <c r="B81" s="149">
        <v>10839.6134363458</v>
      </c>
      <c r="C81" s="84">
        <v>11181.1304570258</v>
      </c>
      <c r="D81" s="84">
        <v>11272.7351861393</v>
      </c>
      <c r="E81" s="150">
        <v>11562.3499685188</v>
      </c>
      <c r="F81" s="158">
        <v>11862.4814284572</v>
      </c>
      <c r="G81" s="84">
        <v>12427.2003120715</v>
      </c>
      <c r="H81" s="84">
        <v>12543.67</v>
      </c>
    </row>
    <row r="82" spans="1:8">
      <c r="A82" s="49" t="str">
        <f>HLOOKUP(INDICE!$F$2,Nombres!$C$3:$E$853,104)</f>
        <v xml:space="preserve">  . Depósitos en entidades de crédito y otros</v>
      </c>
      <c r="B82" s="149">
        <v>324.82089637069998</v>
      </c>
      <c r="C82" s="84">
        <v>312.08020774940002</v>
      </c>
      <c r="D82" s="84">
        <v>329.8300096781</v>
      </c>
      <c r="E82" s="150">
        <v>337.22151023049997</v>
      </c>
      <c r="F82" s="158">
        <v>527.29825486319999</v>
      </c>
      <c r="G82" s="84">
        <v>526.08712378409996</v>
      </c>
      <c r="H82" s="84">
        <v>434.334</v>
      </c>
    </row>
    <row r="83" spans="1:8">
      <c r="A83" s="49" t="str">
        <f>HLOOKUP(INDICE!$F$2,Nombres!$C$3:$E$853,106)</f>
        <v>Activo material</v>
      </c>
      <c r="B83" s="149">
        <v>228.3319861704</v>
      </c>
      <c r="C83" s="84">
        <v>229.40159480470001</v>
      </c>
      <c r="D83" s="84">
        <v>231.1752770258</v>
      </c>
      <c r="E83" s="150">
        <v>238.3330184731</v>
      </c>
      <c r="F83" s="158">
        <v>237.6133883791</v>
      </c>
      <c r="G83" s="84">
        <v>232.95781095230001</v>
      </c>
      <c r="H83" s="84">
        <v>234.69900000000001</v>
      </c>
    </row>
    <row r="84" spans="1:8">
      <c r="A84" s="49" t="str">
        <f>HLOOKUP(INDICE!$F$2,Nombres!$C$3:$E$853,107)</f>
        <v>Otros activos</v>
      </c>
      <c r="B84" s="149">
        <v>485.97610416560133</v>
      </c>
      <c r="C84" s="84">
        <v>390.10134369379898</v>
      </c>
      <c r="D84" s="84">
        <v>415.23405287300511</v>
      </c>
      <c r="E84" s="150">
        <v>423.0488362309959</v>
      </c>
      <c r="F84" s="158">
        <v>517.81979087369791</v>
      </c>
      <c r="G84" s="84">
        <v>321.93414098759843</v>
      </c>
      <c r="H84" s="84">
        <v>633.34500000000003</v>
      </c>
    </row>
    <row r="85" spans="1:8">
      <c r="A85" s="54" t="str">
        <f>HLOOKUP(INDICE!$F$2,Nombres!$C$3:$E$853,108)</f>
        <v>Total activo / pasivo</v>
      </c>
      <c r="B85" s="147">
        <v>16292.711791891601</v>
      </c>
      <c r="C85" s="83">
        <v>15913.2603575703</v>
      </c>
      <c r="D85" s="83">
        <v>17453.185812463598</v>
      </c>
      <c r="E85" s="148">
        <v>17626.227705076199</v>
      </c>
      <c r="F85" s="147">
        <v>18867.881526880497</v>
      </c>
      <c r="G85" s="83">
        <v>19934.9249794309</v>
      </c>
      <c r="H85" s="83">
        <v>21317.56</v>
      </c>
    </row>
    <row r="86" spans="1:8">
      <c r="A86" s="49" t="str">
        <f>HLOOKUP(INDICE!$F$2,Nombres!$C$3:$E$853,109)</f>
        <v>Depósitos de bancos centrales y entidades de crédito</v>
      </c>
      <c r="B86" s="149">
        <v>1878.4673435648999</v>
      </c>
      <c r="C86" s="84">
        <v>1814.7713778652001</v>
      </c>
      <c r="D86" s="84">
        <v>2510.3695425107999</v>
      </c>
      <c r="E86" s="150">
        <v>2416.6717562610002</v>
      </c>
      <c r="F86" s="158">
        <v>3056.5059943222</v>
      </c>
      <c r="G86" s="84">
        <v>3415.6095468142998</v>
      </c>
      <c r="H86" s="84">
        <v>4421.1469999999999</v>
      </c>
    </row>
    <row r="87" spans="1:8">
      <c r="A87" s="49" t="str">
        <f>HLOOKUP(INDICE!$F$2,Nombres!$C$3:$E$853,110)</f>
        <v>Depósitos de la clientela</v>
      </c>
      <c r="B87" s="149">
        <v>10182.8354969298</v>
      </c>
      <c r="C87" s="84">
        <v>10136.628811885301</v>
      </c>
      <c r="D87" s="84">
        <v>10458.441449673999</v>
      </c>
      <c r="E87" s="150">
        <v>10552.178673307501</v>
      </c>
      <c r="F87" s="158">
        <v>11044.1411185749</v>
      </c>
      <c r="G87" s="84">
        <v>11845.4869305868</v>
      </c>
      <c r="H87" s="84">
        <v>11935.519</v>
      </c>
    </row>
    <row r="88" spans="1:8">
      <c r="A88" s="49" t="str">
        <f>HLOOKUP(INDICE!$F$2,Nombres!$C$3:$E$853,111)</f>
        <v>Débitos representados por valores negociables</v>
      </c>
      <c r="B88" s="149">
        <v>1539.1217084937</v>
      </c>
      <c r="C88" s="84">
        <v>1585.408930632</v>
      </c>
      <c r="D88" s="84">
        <v>1593.4537248951999</v>
      </c>
      <c r="E88" s="150">
        <v>1610.0066952684001</v>
      </c>
      <c r="F88" s="158">
        <v>1642.3451253190001</v>
      </c>
      <c r="G88" s="84">
        <v>1659.3315333564999</v>
      </c>
      <c r="H88" s="84">
        <v>1656.1120000000001</v>
      </c>
    </row>
    <row r="89" spans="1:8">
      <c r="A89" s="49" t="str">
        <f>HLOOKUP(INDICE!$F$2,Nombres!$C$3:$E$853,112)</f>
        <v>Pasivos subordinados</v>
      </c>
      <c r="B89" s="149">
        <v>395.91810117469998</v>
      </c>
      <c r="C89" s="84">
        <v>391.97722703340003</v>
      </c>
      <c r="D89" s="84">
        <v>645.4270304314</v>
      </c>
      <c r="E89" s="150">
        <v>663.66645332220003</v>
      </c>
      <c r="F89" s="158">
        <v>668.68253843540003</v>
      </c>
      <c r="G89" s="84">
        <v>658.03425126299999</v>
      </c>
      <c r="H89" s="84">
        <v>667.49900000000002</v>
      </c>
    </row>
    <row r="90" spans="1:8">
      <c r="A90" s="49" t="str">
        <f>HLOOKUP(INDICE!$F$2,Nombres!$C$3:$E$853,114)</f>
        <v>Cartera de negociación</v>
      </c>
      <c r="B90" s="149">
        <v>120.8493494808</v>
      </c>
      <c r="C90" s="84">
        <v>89.007823016399996</v>
      </c>
      <c r="D90" s="84">
        <v>151.74956579639999</v>
      </c>
      <c r="E90" s="150">
        <v>195.95280934530001</v>
      </c>
      <c r="F90" s="158">
        <v>269.69222202229997</v>
      </c>
      <c r="G90" s="84">
        <v>260.24011915839998</v>
      </c>
      <c r="H90" s="84">
        <v>301.01499999999999</v>
      </c>
    </row>
    <row r="91" spans="1:8">
      <c r="A91" s="49" t="str">
        <f>HLOOKUP(INDICE!$F$2,Nombres!$C$3:$E$853,115)</f>
        <v>Otros pasivos</v>
      </c>
      <c r="B91" s="149">
        <v>1718.2581582235</v>
      </c>
      <c r="C91" s="84">
        <v>1411.3131251556001</v>
      </c>
      <c r="D91" s="84">
        <v>1618.4533663393001</v>
      </c>
      <c r="E91" s="150">
        <v>1717.6664060051</v>
      </c>
      <c r="F91" s="158">
        <v>1735.3391107518</v>
      </c>
      <c r="G91" s="84">
        <v>1647.6863399593997</v>
      </c>
      <c r="H91" s="84">
        <v>1883.2802475200037</v>
      </c>
    </row>
    <row r="92" spans="1:8" ht="12" customHeight="1">
      <c r="A92" s="49" t="str">
        <f>HLOOKUP(INDICE!$F$2,Nombres!$C$3:$E$853,116)</f>
        <v>Dotación de capital económico</v>
      </c>
      <c r="B92" s="149">
        <v>457.26163402430001</v>
      </c>
      <c r="C92" s="84">
        <v>484.1530619824</v>
      </c>
      <c r="D92" s="84">
        <v>475.29113281650001</v>
      </c>
      <c r="E92" s="150">
        <v>470.08491156669999</v>
      </c>
      <c r="F92" s="158">
        <v>451.17541745469998</v>
      </c>
      <c r="G92" s="84">
        <v>448.53625829240002</v>
      </c>
      <c r="H92" s="84">
        <v>452.98775247999998</v>
      </c>
    </row>
    <row r="93" spans="1:8" ht="12" customHeight="1">
      <c r="A93" s="144" t="str">
        <f>HLOOKUP(INDICE!$F$2,Nombres!$C$3:$E$853,117)</f>
        <v>Indicadores relevantes</v>
      </c>
      <c r="G93" s="74"/>
      <c r="H93" s="74"/>
    </row>
    <row r="94" spans="1:8" ht="18">
      <c r="A94" s="144" t="str">
        <f>HLOOKUP(INDICE!$F$2,Nombres!$C$3:$E$853,201)</f>
        <v>Anexo:</v>
      </c>
      <c r="G94" s="74"/>
      <c r="H94" s="74"/>
    </row>
    <row r="95" spans="1:8" ht="12" customHeight="1">
      <c r="A95" s="41" t="str">
        <f>HLOOKUP(INDICE!$F$2,Nombres!$C$3:$E$853,31)</f>
        <v>(Millones de euros constantes)</v>
      </c>
    </row>
    <row r="96" spans="1:8" ht="11.25" customHeight="1">
      <c r="A96"/>
      <c r="B96" s="81">
        <v>41729</v>
      </c>
      <c r="C96" s="82">
        <v>41820</v>
      </c>
      <c r="D96" s="82">
        <v>41912</v>
      </c>
      <c r="E96" s="82">
        <v>42004</v>
      </c>
      <c r="F96" s="81">
        <v>42094</v>
      </c>
      <c r="G96" s="82">
        <v>42185</v>
      </c>
      <c r="H96" s="82">
        <v>42277</v>
      </c>
    </row>
    <row r="97" spans="1:8">
      <c r="A97" s="49" t="str">
        <f>HLOOKUP(INDICE!$F$2,Nombres!$C$3:$E$853,118)</f>
        <v>Crédito a la clientela bruto (*)</v>
      </c>
      <c r="B97" s="155">
        <v>11314.0592295362</v>
      </c>
      <c r="C97" s="157">
        <v>11666.9814444075</v>
      </c>
      <c r="D97" s="157">
        <v>11769.117110475599</v>
      </c>
      <c r="E97" s="157">
        <v>12054.107812544</v>
      </c>
      <c r="F97" s="155">
        <v>12385.6434016407</v>
      </c>
      <c r="G97" s="157">
        <v>12961.2630529996</v>
      </c>
      <c r="H97" s="157">
        <v>13089.163</v>
      </c>
    </row>
    <row r="98" spans="1:8">
      <c r="A98" s="49" t="str">
        <f>HLOOKUP(INDICE!$F$2,Nombres!$C$3:$E$853,121)</f>
        <v>Depósitos de clientes en gestión (**)</v>
      </c>
      <c r="B98" s="155">
        <v>9888.0594921953998</v>
      </c>
      <c r="C98" s="157">
        <v>9780.8504452853995</v>
      </c>
      <c r="D98" s="157">
        <v>10125.898643159</v>
      </c>
      <c r="E98" s="157">
        <v>10221.8673418282</v>
      </c>
      <c r="F98" s="155">
        <v>10763.559894222501</v>
      </c>
      <c r="G98" s="157">
        <v>11561.308052738001</v>
      </c>
      <c r="H98" s="157">
        <v>11684.283363779999</v>
      </c>
    </row>
    <row r="99" spans="1:8">
      <c r="A99" s="49" t="str">
        <f>HLOOKUP(INDICE!$F$2,Nombres!$C$3:$E$853,122)</f>
        <v>Fondos de inversión</v>
      </c>
      <c r="B99" s="155">
        <v>1162.6668371653</v>
      </c>
      <c r="C99" s="157">
        <v>1150.0298484846001</v>
      </c>
      <c r="D99" s="157">
        <v>1204.1248848378</v>
      </c>
      <c r="E99" s="157">
        <v>1243.5111606109001</v>
      </c>
      <c r="F99" s="155">
        <v>1265.9507411632001</v>
      </c>
      <c r="G99" s="157">
        <v>1282.4029249696</v>
      </c>
      <c r="H99" s="157">
        <v>1258.0059734399999</v>
      </c>
    </row>
    <row r="100" spans="1:8">
      <c r="A100" s="49" t="str">
        <f>HLOOKUP(INDICE!$F$2,Nombres!$C$3:$E$853,206)</f>
        <v>Fondos de pensiones</v>
      </c>
      <c r="B100" s="238">
        <v>0</v>
      </c>
      <c r="C100" s="239">
        <v>0</v>
      </c>
      <c r="D100" s="239">
        <v>0</v>
      </c>
      <c r="E100" s="239">
        <v>0</v>
      </c>
      <c r="F100" s="238">
        <v>0</v>
      </c>
      <c r="G100" s="239">
        <v>0</v>
      </c>
      <c r="H100" s="239">
        <v>0</v>
      </c>
    </row>
    <row r="101" spans="1:8">
      <c r="A101" s="49" t="str">
        <f>HLOOKUP(INDICE!$F$2,Nombres!$C$3:$E$853,308)</f>
        <v>Otros recursos fuera de balance</v>
      </c>
      <c r="B101" s="238">
        <v>0</v>
      </c>
      <c r="C101" s="239">
        <v>0</v>
      </c>
      <c r="D101" s="239">
        <v>0</v>
      </c>
      <c r="E101" s="239">
        <v>0</v>
      </c>
      <c r="F101" s="238">
        <v>0</v>
      </c>
      <c r="G101" s="239">
        <v>0</v>
      </c>
      <c r="H101" s="239">
        <v>0</v>
      </c>
    </row>
    <row r="102" spans="1:8">
      <c r="A102" s="156" t="str">
        <f>HLOOKUP(INDICE!$F$2,Nombres!$C$3:$E$853,307)</f>
        <v>(*) No incluye las adquisiciones temporales de activos.</v>
      </c>
      <c r="B102" s="72"/>
      <c r="C102" s="73"/>
      <c r="D102" s="73"/>
      <c r="E102" s="73"/>
      <c r="F102" s="73"/>
    </row>
    <row r="103" spans="1:8">
      <c r="A103" s="156" t="str">
        <f>HLOOKUP(INDICE!$F$2,Nombres!$C$3:$E$853,284)</f>
        <v>(**) No incluye las cesiones temporales de activos e incluye determinados valores negociables.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H103"/>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HLOOKUP(INDICE!$F$2,Nombres!$C$3:$E$853,19)</f>
        <v>Venezuela</v>
      </c>
    </row>
    <row r="2" spans="1:8" ht="18" customHeight="1">
      <c r="A2" s="144" t="str">
        <f>HLOOKUP(INDICE!$F$2,Nombres!$C$3:$E$853,93)</f>
        <v xml:space="preserve">Cuentas de resultados  </v>
      </c>
    </row>
    <row r="3" spans="1:8">
      <c r="A3" s="41" t="str">
        <f>HLOOKUP(INDICE!$F$2,Nombres!$C$3:$E$853,30)</f>
        <v>(Millones de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293.15199927999998</v>
      </c>
      <c r="C6" s="83">
        <v>447.22900023</v>
      </c>
      <c r="D6" s="83">
        <v>508.32299983999997</v>
      </c>
      <c r="E6" s="148">
        <v>676.2730004</v>
      </c>
      <c r="F6" s="83">
        <v>38.962999400000001</v>
      </c>
      <c r="G6" s="83">
        <v>54.946001279999997</v>
      </c>
      <c r="H6" s="83">
        <v>82.72499916999999</v>
      </c>
    </row>
    <row r="7" spans="1:8">
      <c r="A7" s="49" t="str">
        <f>HLOOKUP(INDICE!$F$2,Nombres!$C$3:$E$853,39)</f>
        <v>Comisiones</v>
      </c>
      <c r="B7" s="149">
        <v>36.98000004</v>
      </c>
      <c r="C7" s="84">
        <v>67.181591130000001</v>
      </c>
      <c r="D7" s="84">
        <v>83.365823750000004</v>
      </c>
      <c r="E7" s="150">
        <v>115.63196001</v>
      </c>
      <c r="F7" s="84">
        <v>6.1659992899999949</v>
      </c>
      <c r="G7" s="84">
        <v>8.2779983599999998</v>
      </c>
      <c r="H7" s="84">
        <v>11.16700148</v>
      </c>
    </row>
    <row r="8" spans="1:8">
      <c r="A8" s="49" t="str">
        <f>HLOOKUP(INDICE!$F$2,Nombres!$C$3:$E$853,40)</f>
        <v>Resultados de operaciones financieras</v>
      </c>
      <c r="B8" s="149">
        <v>70.667984939999997</v>
      </c>
      <c r="C8" s="84">
        <v>10.53298479</v>
      </c>
      <c r="D8" s="84">
        <v>19.131443769999997</v>
      </c>
      <c r="E8" s="150">
        <v>10.32038517</v>
      </c>
      <c r="F8" s="84">
        <v>71.920994379999996</v>
      </c>
      <c r="G8" s="84">
        <v>17.611951560000001</v>
      </c>
      <c r="H8" s="84">
        <v>28.369982489999998</v>
      </c>
    </row>
    <row r="9" spans="1:8">
      <c r="A9" s="49" t="str">
        <f>HLOOKUP(INDICE!$F$2,Nombres!$C$3:$E$853,95)</f>
        <v>Otros ingresos netos</v>
      </c>
      <c r="B9" s="149">
        <v>-118.02899889</v>
      </c>
      <c r="C9" s="84">
        <v>-260.21200105000003</v>
      </c>
      <c r="D9" s="84">
        <v>-244.38500126000002</v>
      </c>
      <c r="E9" s="150">
        <v>-351.98499984</v>
      </c>
      <c r="F9" s="84">
        <v>-23.246000219999985</v>
      </c>
      <c r="G9" s="84">
        <v>-47.164001209999995</v>
      </c>
      <c r="H9" s="84">
        <v>-64.084999199999999</v>
      </c>
    </row>
    <row r="10" spans="1:8">
      <c r="A10" s="54" t="str">
        <f>HLOOKUP(INDICE!$F$2,Nombres!$C$3:$E$853,44)</f>
        <v>Margen bruto</v>
      </c>
      <c r="B10" s="147">
        <v>282.77098537000001</v>
      </c>
      <c r="C10" s="83">
        <v>264.73157509999999</v>
      </c>
      <c r="D10" s="83">
        <v>366.43526610000004</v>
      </c>
      <c r="E10" s="148">
        <v>450.24034574000001</v>
      </c>
      <c r="F10" s="83">
        <v>93.80399285</v>
      </c>
      <c r="G10" s="83">
        <v>33.671949990000002</v>
      </c>
      <c r="H10" s="83">
        <v>58.17698394</v>
      </c>
    </row>
    <row r="11" spans="1:8">
      <c r="A11" s="49" t="str">
        <f>HLOOKUP(INDICE!$F$2,Nombres!$C$3:$E$853,45)</f>
        <v>Gastos de explotación</v>
      </c>
      <c r="B11" s="149">
        <v>-93.560002869999991</v>
      </c>
      <c r="C11" s="84">
        <v>-139.40999313</v>
      </c>
      <c r="D11" s="84">
        <v>-159.47899946999999</v>
      </c>
      <c r="E11" s="150">
        <v>-240.76400197999999</v>
      </c>
      <c r="F11" s="84">
        <v>-14.720005100000009</v>
      </c>
      <c r="G11" s="84">
        <v>-18.75299162</v>
      </c>
      <c r="H11" s="84">
        <v>-29.942995830000001</v>
      </c>
    </row>
    <row r="12" spans="1:8">
      <c r="A12" s="49" t="str">
        <f>HLOOKUP(INDICE!$F$2,Nombres!$C$3:$E$853,46)</f>
        <v xml:space="preserve">  Gastos de administración</v>
      </c>
      <c r="B12" s="149">
        <v>-81.991001819999994</v>
      </c>
      <c r="C12" s="84">
        <v>-122.06299505000001</v>
      </c>
      <c r="D12" s="84">
        <v>-139.8629995</v>
      </c>
      <c r="E12" s="150">
        <v>-196.02999986999998</v>
      </c>
      <c r="F12" s="84">
        <v>-12.88100326</v>
      </c>
      <c r="G12" s="84">
        <v>-16.40799458</v>
      </c>
      <c r="H12" s="84">
        <v>-26.483994639999999</v>
      </c>
    </row>
    <row r="13" spans="1:8">
      <c r="A13" s="88" t="str">
        <f>HLOOKUP(INDICE!$F$2,Nombres!$C$3:$E$853,47)</f>
        <v xml:space="preserve">  Gastos de personal</v>
      </c>
      <c r="B13" s="149">
        <v>-36.410000940000003</v>
      </c>
      <c r="C13" s="84">
        <v>-54.712000490000001</v>
      </c>
      <c r="D13" s="84">
        <v>-58.107997869999998</v>
      </c>
      <c r="E13" s="150">
        <v>-82.523998419999998</v>
      </c>
      <c r="F13" s="84">
        <v>-5.4259992600000047</v>
      </c>
      <c r="G13" s="84">
        <v>-6.8300010200000001</v>
      </c>
      <c r="H13" s="84">
        <v>-11.232998030000001</v>
      </c>
    </row>
    <row r="14" spans="1:8">
      <c r="A14" s="88" t="str">
        <f>HLOOKUP(INDICE!$F$2,Nombres!$C$3:$E$853,48)</f>
        <v xml:space="preserve">  Otros gastos generales de administración</v>
      </c>
      <c r="B14" s="149">
        <v>-45.581000879999998</v>
      </c>
      <c r="C14" s="84">
        <v>-67.350994560000004</v>
      </c>
      <c r="D14" s="84">
        <v>-81.755001629999995</v>
      </c>
      <c r="E14" s="150">
        <v>-113.50600145000001</v>
      </c>
      <c r="F14" s="84">
        <v>-7.4550039999999882</v>
      </c>
      <c r="G14" s="84">
        <v>-9.5779935599999995</v>
      </c>
      <c r="H14" s="84">
        <v>-15.250996610000001</v>
      </c>
    </row>
    <row r="15" spans="1:8" ht="13.5" customHeight="1">
      <c r="A15" s="49" t="str">
        <f>HLOOKUP(INDICE!$F$2,Nombres!$C$3:$E$853,49)</f>
        <v xml:space="preserve">  Amortizaciones</v>
      </c>
      <c r="B15" s="149">
        <v>-11.569001050000001</v>
      </c>
      <c r="C15" s="84">
        <v>-17.346998079999999</v>
      </c>
      <c r="D15" s="84">
        <v>-19.615999969999997</v>
      </c>
      <c r="E15" s="150">
        <v>-44.734002109999999</v>
      </c>
      <c r="F15" s="84">
        <v>-1.8390018399999999</v>
      </c>
      <c r="G15" s="84">
        <v>-2.34499704</v>
      </c>
      <c r="H15" s="84">
        <v>-3.4590011900000004</v>
      </c>
    </row>
    <row r="16" spans="1:8" ht="12.75" customHeight="1">
      <c r="A16" s="54" t="str">
        <f>HLOOKUP(INDICE!$F$2,Nombres!$C$3:$E$853,50)</f>
        <v>Margen neto</v>
      </c>
      <c r="B16" s="147">
        <v>189.2109825</v>
      </c>
      <c r="C16" s="83">
        <v>125.32158197000001</v>
      </c>
      <c r="D16" s="83">
        <v>206.95626663000002</v>
      </c>
      <c r="E16" s="148">
        <v>209.47634375999999</v>
      </c>
      <c r="F16" s="83">
        <v>79.083987750000006</v>
      </c>
      <c r="G16" s="83">
        <v>14.91895837</v>
      </c>
      <c r="H16" s="83">
        <v>28.233988110000002</v>
      </c>
    </row>
    <row r="17" spans="1:8" ht="13.5" customHeight="1">
      <c r="A17" s="49" t="str">
        <f>HLOOKUP(INDICE!$F$2,Nombres!$C$3:$E$853,51)</f>
        <v>Pérdidas por deterioro de activos financieros</v>
      </c>
      <c r="B17" s="149">
        <v>-21.193000559999998</v>
      </c>
      <c r="C17" s="84">
        <v>-50.419999200000007</v>
      </c>
      <c r="D17" s="84">
        <v>-69.481000550000005</v>
      </c>
      <c r="E17" s="150">
        <v>-88.365999790000004</v>
      </c>
      <c r="F17" s="84">
        <v>-3.3990001700000008</v>
      </c>
      <c r="G17" s="84">
        <v>-6.376000079999999</v>
      </c>
      <c r="H17" s="84">
        <v>-7.7749992400000005</v>
      </c>
    </row>
    <row r="18" spans="1:8" ht="13.5" customHeight="1">
      <c r="A18" s="49" t="str">
        <f>HLOOKUP(INDICE!$F$2,Nombres!$C$3:$E$853,160)</f>
        <v>Dotaciones a provisiones y otros resultados</v>
      </c>
      <c r="B18" s="149">
        <v>-16.640000450000002</v>
      </c>
      <c r="C18" s="84">
        <v>-19.327999519999999</v>
      </c>
      <c r="D18" s="84">
        <v>-26.686999630000003</v>
      </c>
      <c r="E18" s="150">
        <v>-42.306000850000004</v>
      </c>
      <c r="F18" s="84">
        <v>-28.713999289999997</v>
      </c>
      <c r="G18" s="84">
        <v>-1.8560006000000002</v>
      </c>
      <c r="H18" s="84">
        <v>-3.6099995599999994</v>
      </c>
    </row>
    <row r="19" spans="1:8" ht="12.75" customHeight="1">
      <c r="A19" s="54" t="str">
        <f>HLOOKUP(INDICE!$F$2,Nombres!$C$3:$E$853,54)</f>
        <v>Beneficio antes de impuestos</v>
      </c>
      <c r="B19" s="147">
        <v>151.37798149</v>
      </c>
      <c r="C19" s="83">
        <v>55.573583249999999</v>
      </c>
      <c r="D19" s="83">
        <v>110.78826644999999</v>
      </c>
      <c r="E19" s="148">
        <v>78.804343119999999</v>
      </c>
      <c r="F19" s="83">
        <v>46.970988290000001</v>
      </c>
      <c r="G19" s="83">
        <v>6.6869576899999998</v>
      </c>
      <c r="H19" s="83">
        <v>16.84898931</v>
      </c>
    </row>
    <row r="20" spans="1:8" ht="13.5" customHeight="1">
      <c r="A20" s="49" t="str">
        <f>HLOOKUP(INDICE!$F$2,Nombres!$C$3:$E$853,55)</f>
        <v>Impuesto sobre beneficios</v>
      </c>
      <c r="B20" s="149">
        <v>-49.087054179999996</v>
      </c>
      <c r="C20" s="84">
        <v>-24.361553239999999</v>
      </c>
      <c r="D20" s="84">
        <v>-22.775197690000002</v>
      </c>
      <c r="E20" s="150">
        <v>-6.5219781399999999</v>
      </c>
      <c r="F20" s="84">
        <v>-20.878998030000005</v>
      </c>
      <c r="G20" s="84">
        <v>-16.37098374</v>
      </c>
      <c r="H20" s="84">
        <v>-25.453994690000002</v>
      </c>
    </row>
    <row r="21" spans="1:8" ht="13.5" customHeight="1">
      <c r="A21" s="54" t="str">
        <f>HLOOKUP(INDICE!$F$2,Nombres!$C$3:$E$853,56)</f>
        <v>Beneficio después de impuestos</v>
      </c>
      <c r="B21" s="147">
        <v>102.29092731</v>
      </c>
      <c r="C21" s="83">
        <v>31.212030009999999</v>
      </c>
      <c r="D21" s="83">
        <v>88.01306876000001</v>
      </c>
      <c r="E21" s="148">
        <v>72.282364979999997</v>
      </c>
      <c r="F21" s="83">
        <v>26.091990259999996</v>
      </c>
      <c r="G21" s="83">
        <v>-9.6840260499999999</v>
      </c>
      <c r="H21" s="83">
        <v>-8.6050053799999997</v>
      </c>
    </row>
    <row r="22" spans="1:8" ht="12" customHeight="1">
      <c r="A22" s="49" t="str">
        <f>HLOOKUP(INDICE!$F$2,Nombres!$C$3:$E$853,57)</f>
        <v>Resultado atribuido a la minoría</v>
      </c>
      <c r="B22" s="149">
        <v>-45.752980999999998</v>
      </c>
      <c r="C22" s="84">
        <v>-13.643652000000001</v>
      </c>
      <c r="D22" s="84">
        <v>-39.487663999999995</v>
      </c>
      <c r="E22" s="150">
        <v>-32.441820999999997</v>
      </c>
      <c r="F22" s="84">
        <v>-11.507998000000001</v>
      </c>
      <c r="G22" s="84">
        <v>4.2990139999999997</v>
      </c>
      <c r="H22" s="84">
        <v>3.8880050000000002</v>
      </c>
    </row>
    <row r="23" spans="1:8" ht="14.25" customHeight="1">
      <c r="A23" s="54" t="str">
        <f>HLOOKUP(INDICE!$F$2,Nombres!$C$3:$E$853,58)</f>
        <v>Beneficio atribuido al Grupo</v>
      </c>
      <c r="B23" s="147">
        <v>56.537946309999995</v>
      </c>
      <c r="C23" s="83">
        <v>17.56837801</v>
      </c>
      <c r="D23" s="83">
        <v>48.525404760000001</v>
      </c>
      <c r="E23" s="148">
        <v>39.84054398</v>
      </c>
      <c r="F23" s="83">
        <v>14.583992260000002</v>
      </c>
      <c r="G23" s="83">
        <v>-5.3850120500000003</v>
      </c>
      <c r="H23" s="83">
        <v>-4.71700038</v>
      </c>
    </row>
    <row r="24" spans="1:8" ht="13.5" customHeight="1">
      <c r="A24" s="144" t="str">
        <f>HLOOKUP(INDICE!$F$2,Nombres!$C$3:$E$853,94)</f>
        <v>Balances</v>
      </c>
      <c r="F24" s="151"/>
      <c r="G24" s="74"/>
      <c r="H24" s="74"/>
    </row>
    <row r="25" spans="1:8" ht="12.75" customHeight="1">
      <c r="A25" s="41" t="str">
        <f>HLOOKUP(INDICE!$F$2,Nombres!$C$3:$E$853,30)</f>
        <v>(Millones de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4575.7650000000003</v>
      </c>
      <c r="C27" s="84">
        <v>4484.0690000000004</v>
      </c>
      <c r="D27" s="84">
        <v>3724.8560000000002</v>
      </c>
      <c r="E27" s="150">
        <v>5762.085</v>
      </c>
      <c r="F27" s="84">
        <v>549.40599999999995</v>
      </c>
      <c r="G27" s="84">
        <v>440.28500000000003</v>
      </c>
      <c r="H27" s="84">
        <v>527.42899999999997</v>
      </c>
    </row>
    <row r="28" spans="1:8">
      <c r="A28" s="49" t="str">
        <f>HLOOKUP(INDICE!$F$2,Nombres!$C$3:$E$853,101)</f>
        <v>Cartera de títulos</v>
      </c>
      <c r="B28" s="149">
        <v>1767.335</v>
      </c>
      <c r="C28" s="84">
        <v>1763.6369999999999</v>
      </c>
      <c r="D28" s="84">
        <v>1699.7719999999999</v>
      </c>
      <c r="E28" s="150">
        <v>1756.1780000000001</v>
      </c>
      <c r="F28" s="84">
        <v>253.398</v>
      </c>
      <c r="G28" s="84">
        <v>264.31</v>
      </c>
      <c r="H28" s="84">
        <v>257.03500000000003</v>
      </c>
    </row>
    <row r="29" spans="1:8">
      <c r="A29" s="49" t="str">
        <f>HLOOKUP(INDICE!$F$2,Nombres!$C$3:$E$853,102)</f>
        <v>Inversiones crediticias</v>
      </c>
      <c r="B29" s="149">
        <v>8269.5360000000001</v>
      </c>
      <c r="C29" s="84">
        <v>9582.7420000000002</v>
      </c>
      <c r="D29" s="84">
        <v>11510.931</v>
      </c>
      <c r="E29" s="150">
        <v>13682.894</v>
      </c>
      <c r="F29" s="84">
        <v>1542.279</v>
      </c>
      <c r="G29" s="84">
        <v>1687.444</v>
      </c>
      <c r="H29" s="84">
        <v>1821.07</v>
      </c>
    </row>
    <row r="30" spans="1:8">
      <c r="A30" s="49" t="str">
        <f>HLOOKUP(INDICE!$F$2,Nombres!$C$3:$E$853,103)</f>
        <v xml:space="preserve">  . Crédito a la clientela neto</v>
      </c>
      <c r="B30" s="149">
        <v>6592.5680000000002</v>
      </c>
      <c r="C30" s="84">
        <v>7685.0379999999996</v>
      </c>
      <c r="D30" s="84">
        <v>8874.4220000000005</v>
      </c>
      <c r="E30" s="150">
        <v>10560.779</v>
      </c>
      <c r="F30" s="84">
        <v>1010.849</v>
      </c>
      <c r="G30" s="84">
        <v>1161.9179999999999</v>
      </c>
      <c r="H30" s="84">
        <v>1328.662</v>
      </c>
    </row>
    <row r="31" spans="1:8">
      <c r="A31" s="49" t="str">
        <f>HLOOKUP(INDICE!$F$2,Nombres!$C$3:$E$853,104)</f>
        <v xml:space="preserve">  . Depósitos en entidades de crédito y otros</v>
      </c>
      <c r="B31" s="154">
        <v>1676.9679999999998</v>
      </c>
      <c r="C31" s="84">
        <v>1897.7040000000002</v>
      </c>
      <c r="D31" s="84">
        <v>2636.509</v>
      </c>
      <c r="E31" s="150">
        <v>3122.1150000000002</v>
      </c>
      <c r="F31" s="84">
        <v>531.43000000000006</v>
      </c>
      <c r="G31" s="84">
        <v>525.52600000000007</v>
      </c>
      <c r="H31" s="84">
        <v>492.40800000000002</v>
      </c>
    </row>
    <row r="32" spans="1:8">
      <c r="A32" s="49" t="str">
        <f>HLOOKUP(INDICE!$F$2,Nombres!$C$3:$E$853,106)</f>
        <v>Activo material</v>
      </c>
      <c r="B32" s="149">
        <v>211.834</v>
      </c>
      <c r="C32" s="84">
        <v>253.453</v>
      </c>
      <c r="D32" s="84">
        <v>273.90899999999999</v>
      </c>
      <c r="E32" s="150">
        <v>374.43099999999998</v>
      </c>
      <c r="F32" s="84">
        <v>31.425000000000001</v>
      </c>
      <c r="G32" s="84">
        <v>36.500999999999998</v>
      </c>
      <c r="H32" s="84">
        <v>47.622999999999998</v>
      </c>
    </row>
    <row r="33" spans="1:8">
      <c r="A33" s="49" t="str">
        <f>HLOOKUP(INDICE!$F$2,Nombres!$C$3:$E$853,107)</f>
        <v>Otros activos</v>
      </c>
      <c r="B33" s="149">
        <v>210.99</v>
      </c>
      <c r="C33" s="84">
        <v>237.43192857999898</v>
      </c>
      <c r="D33" s="84">
        <v>303.45652290000635</v>
      </c>
      <c r="E33" s="150">
        <v>412.15605204999827</v>
      </c>
      <c r="F33" s="84">
        <v>66.013000000000005</v>
      </c>
      <c r="G33" s="84">
        <v>73.587999999999994</v>
      </c>
      <c r="H33" s="84">
        <v>75.537999999999997</v>
      </c>
    </row>
    <row r="34" spans="1:8">
      <c r="A34" s="54" t="str">
        <f>HLOOKUP(INDICE!$F$2,Nombres!$C$3:$E$853,108)</f>
        <v>Total activo / pasivo</v>
      </c>
      <c r="B34" s="147">
        <v>15035.460000000001</v>
      </c>
      <c r="C34" s="83">
        <v>16321.332928579999</v>
      </c>
      <c r="D34" s="83">
        <v>17512.924522900001</v>
      </c>
      <c r="E34" s="148">
        <v>21987.744052049999</v>
      </c>
      <c r="F34" s="83">
        <v>2442.5210000000002</v>
      </c>
      <c r="G34" s="83">
        <v>2502.1280000000006</v>
      </c>
      <c r="H34" s="83">
        <v>2728.6950000000002</v>
      </c>
    </row>
    <row r="35" spans="1:8">
      <c r="A35" s="49" t="str">
        <f>HLOOKUP(INDICE!$F$2,Nombres!$C$3:$E$853,109)</f>
        <v>Depósitos de bancos centrales y entidades de crédito</v>
      </c>
      <c r="B35" s="149">
        <v>128.428</v>
      </c>
      <c r="C35" s="84">
        <v>105.375</v>
      </c>
      <c r="D35" s="84">
        <v>194.185</v>
      </c>
      <c r="E35" s="150">
        <v>372.88200000000001</v>
      </c>
      <c r="F35" s="84">
        <v>36.881</v>
      </c>
      <c r="G35" s="84">
        <v>8.2769999999999992</v>
      </c>
      <c r="H35" s="84">
        <v>11.1</v>
      </c>
    </row>
    <row r="36" spans="1:8">
      <c r="A36" s="49" t="str">
        <f>HLOOKUP(INDICE!$F$2,Nombres!$C$3:$E$853,110)</f>
        <v>Depósitos de la clientela</v>
      </c>
      <c r="B36" s="149">
        <v>12633.431</v>
      </c>
      <c r="C36" s="84">
        <v>13798.061</v>
      </c>
      <c r="D36" s="84">
        <v>14645.154</v>
      </c>
      <c r="E36" s="150">
        <v>18340.96</v>
      </c>
      <c r="F36" s="84">
        <v>1944.454</v>
      </c>
      <c r="G36" s="84">
        <v>2017.4659999999999</v>
      </c>
      <c r="H36" s="84">
        <v>2181.511</v>
      </c>
    </row>
    <row r="37" spans="1:8">
      <c r="A37" s="49" t="str">
        <f>HLOOKUP(INDICE!$F$2,Nombres!$C$3:$E$853,111)</f>
        <v>Débitos representados por valores negociables</v>
      </c>
      <c r="B37" s="241">
        <v>0</v>
      </c>
      <c r="C37" s="236">
        <v>0</v>
      </c>
      <c r="D37" s="236">
        <v>0</v>
      </c>
      <c r="E37" s="237">
        <v>0</v>
      </c>
      <c r="F37" s="236">
        <v>0</v>
      </c>
      <c r="G37" s="236">
        <v>0</v>
      </c>
      <c r="H37" s="236">
        <v>0</v>
      </c>
    </row>
    <row r="38" spans="1:8" ht="13.5" customHeight="1">
      <c r="A38" s="49" t="str">
        <f>HLOOKUP(INDICE!$F$2,Nombres!$C$3:$E$853,112)</f>
        <v>Pasivos subordinados</v>
      </c>
      <c r="B38" s="241">
        <v>0</v>
      </c>
      <c r="C38" s="236">
        <v>0</v>
      </c>
      <c r="D38" s="236">
        <v>0</v>
      </c>
      <c r="E38" s="237">
        <v>0</v>
      </c>
      <c r="F38" s="236">
        <v>0</v>
      </c>
      <c r="G38" s="236">
        <v>0</v>
      </c>
      <c r="H38" s="236">
        <v>0</v>
      </c>
    </row>
    <row r="39" spans="1:8">
      <c r="A39" s="49" t="str">
        <f>HLOOKUP(INDICE!$F$2,Nombres!$C$3:$E$853,114)</f>
        <v>Cartera de negociación</v>
      </c>
      <c r="B39" s="149">
        <v>2.0579999999999998</v>
      </c>
      <c r="C39" s="84">
        <v>1.8820000000000001</v>
      </c>
      <c r="D39" s="84">
        <v>0</v>
      </c>
      <c r="E39" s="150">
        <v>0</v>
      </c>
      <c r="F39" s="236">
        <v>0</v>
      </c>
      <c r="G39" s="236">
        <v>0</v>
      </c>
      <c r="H39" s="236">
        <v>0</v>
      </c>
    </row>
    <row r="40" spans="1:8">
      <c r="A40" s="49" t="str">
        <f>HLOOKUP(INDICE!$F$2,Nombres!$C$3:$E$853,115)</f>
        <v>Otros pasivos</v>
      </c>
      <c r="B40" s="149">
        <v>1579.5292499999994</v>
      </c>
      <c r="C40" s="84">
        <v>1641.7696885799999</v>
      </c>
      <c r="D40" s="84">
        <v>1806.49228483</v>
      </c>
      <c r="E40" s="150">
        <v>2225.5146776000001</v>
      </c>
      <c r="F40" s="84">
        <v>373.61679999999996</v>
      </c>
      <c r="G40" s="84">
        <v>361.43967000000066</v>
      </c>
      <c r="H40" s="84">
        <v>416.98686097000001</v>
      </c>
    </row>
    <row r="41" spans="1:8" ht="12.75" customHeight="1">
      <c r="A41" s="49" t="str">
        <f>HLOOKUP(INDICE!$F$2,Nombres!$C$3:$E$853,116)</f>
        <v>Dotación de capital económico</v>
      </c>
      <c r="B41" s="149">
        <v>692.01374999999996</v>
      </c>
      <c r="C41" s="84">
        <v>774.24523999999997</v>
      </c>
      <c r="D41" s="84">
        <v>867.09323806999998</v>
      </c>
      <c r="E41" s="150">
        <v>1048.3873744499999</v>
      </c>
      <c r="F41" s="84">
        <v>87.569199999999995</v>
      </c>
      <c r="G41" s="84">
        <v>114.94533</v>
      </c>
      <c r="H41" s="84">
        <v>119.09713902999999</v>
      </c>
    </row>
    <row r="42" spans="1:8" ht="15" customHeight="1">
      <c r="A42" s="144" t="str">
        <f>HLOOKUP(INDICE!$F$2,Nombres!$C$3:$E$853,117)</f>
        <v>Indicadores relevantes</v>
      </c>
      <c r="F42" s="151"/>
      <c r="G42" s="74"/>
      <c r="H42" s="74"/>
    </row>
    <row r="43" spans="1:8" ht="13.5" customHeight="1">
      <c r="A43" s="144" t="str">
        <f>HLOOKUP(INDICE!$F$2,Nombres!$C$3:$E$853,201)</f>
        <v>Anexo:</v>
      </c>
      <c r="F43" s="151"/>
      <c r="G43" s="74"/>
      <c r="H43" s="74"/>
    </row>
    <row r="44" spans="1:8" ht="12.75" customHeight="1">
      <c r="A44" s="41" t="str">
        <f>HLOOKUP(INDICE!$F$2,Nombres!$C$3:$E$853,30)</f>
        <v>(Millones de euros)</v>
      </c>
      <c r="B44" s="81">
        <v>41729</v>
      </c>
      <c r="C44" s="82">
        <v>41820</v>
      </c>
      <c r="D44" s="82">
        <v>41912</v>
      </c>
      <c r="E44" s="82">
        <v>42004</v>
      </c>
      <c r="F44" s="81">
        <v>42094</v>
      </c>
      <c r="G44" s="82">
        <v>42185</v>
      </c>
      <c r="H44" s="82">
        <v>42277</v>
      </c>
    </row>
    <row r="45" spans="1:8" ht="12" customHeight="1">
      <c r="A45" s="49" t="str">
        <f>HLOOKUP(INDICE!$F$2,Nombres!$C$3:$E$853,118)</f>
        <v>Crédito a la clientela bruto (*)</v>
      </c>
      <c r="B45" s="155">
        <v>6812.8710000000001</v>
      </c>
      <c r="C45" s="157">
        <v>7951.88</v>
      </c>
      <c r="D45" s="157">
        <v>9180.7729999999992</v>
      </c>
      <c r="E45" s="157">
        <v>10936.634</v>
      </c>
      <c r="F45" s="155">
        <v>1041.626</v>
      </c>
      <c r="G45" s="157">
        <v>1195.5609999999999</v>
      </c>
      <c r="H45" s="157">
        <v>1365.4350000000002</v>
      </c>
    </row>
    <row r="46" spans="1:8">
      <c r="A46" s="49" t="str">
        <f>HLOOKUP(INDICE!$F$2,Nombres!$C$3:$E$853,121)</f>
        <v>Depósitos de clientes en gestión (**)</v>
      </c>
      <c r="B46" s="155">
        <v>12512.234786630001</v>
      </c>
      <c r="C46" s="157">
        <v>13662.68636014</v>
      </c>
      <c r="D46" s="157">
        <v>14498.273905030001</v>
      </c>
      <c r="E46" s="157">
        <v>18332.530347129999</v>
      </c>
      <c r="F46" s="155">
        <v>1922.0015853100001</v>
      </c>
      <c r="G46" s="157">
        <v>1995.8840727899999</v>
      </c>
      <c r="H46" s="157">
        <v>2168.64913858</v>
      </c>
    </row>
    <row r="47" spans="1:8">
      <c r="A47" s="49" t="str">
        <f>HLOOKUP(INDICE!$F$2,Nombres!$C$3:$E$853,122)</f>
        <v>Fondos de inversión</v>
      </c>
      <c r="B47" s="155">
        <v>9.5200864700000007</v>
      </c>
      <c r="C47" s="157">
        <v>9.7576068300000003</v>
      </c>
      <c r="D47" s="157">
        <v>9.2385821099999994</v>
      </c>
      <c r="E47" s="157">
        <v>9.3031853899999994</v>
      </c>
      <c r="F47" s="155">
        <v>0.66369003000000004</v>
      </c>
      <c r="G47" s="157">
        <v>0.61977720999999997</v>
      </c>
      <c r="H47" s="157">
        <v>0.61680778999999997</v>
      </c>
    </row>
    <row r="48" spans="1:8">
      <c r="A48" s="49" t="str">
        <f>HLOOKUP(INDICE!$F$2,Nombres!$C$3:$E$853,206)</f>
        <v>Fondos de pensiones</v>
      </c>
      <c r="B48" s="238">
        <v>0</v>
      </c>
      <c r="C48" s="239">
        <v>0</v>
      </c>
      <c r="D48" s="239">
        <v>0</v>
      </c>
      <c r="E48" s="239">
        <v>0</v>
      </c>
      <c r="F48" s="238">
        <v>0</v>
      </c>
      <c r="G48" s="239">
        <v>0</v>
      </c>
      <c r="H48" s="239">
        <v>0</v>
      </c>
    </row>
    <row r="49" spans="1:8">
      <c r="A49" s="49" t="str">
        <f>HLOOKUP(INDICE!$F$2,Nombres!$C$3:$E$853,308)</f>
        <v>Otros recursos fuera de balance</v>
      </c>
      <c r="B49" s="238">
        <v>0</v>
      </c>
      <c r="C49" s="239">
        <v>0</v>
      </c>
      <c r="D49" s="239">
        <v>0</v>
      </c>
      <c r="E49" s="239">
        <v>0</v>
      </c>
      <c r="F49" s="238">
        <v>0</v>
      </c>
      <c r="G49" s="239">
        <v>0</v>
      </c>
      <c r="H49" s="239">
        <v>0</v>
      </c>
    </row>
    <row r="50" spans="1:8">
      <c r="A50" s="156" t="str">
        <f>HLOOKUP(INDICE!$F$2,Nombres!$C$3:$E$853,307)</f>
        <v>(*) No incluye las adquisiciones temporales de activos.</v>
      </c>
      <c r="B50" s="157"/>
      <c r="C50" s="157"/>
      <c r="D50" s="157"/>
      <c r="E50" s="157"/>
      <c r="F50" s="157"/>
      <c r="G50" s="157"/>
      <c r="H50" s="157"/>
    </row>
    <row r="51" spans="1:8">
      <c r="A51" s="156" t="str">
        <f>HLOOKUP(INDICE!$F$2,Nombres!$C$3:$E$853,284)</f>
        <v>(**) No incluye las cesiones temporales de activos e incluye determinados valores negociables.</v>
      </c>
      <c r="C51"/>
      <c r="D51"/>
      <c r="E51"/>
    </row>
    <row r="52" spans="1:8" ht="18">
      <c r="A52" s="144" t="str">
        <f>HLOOKUP(INDICE!$F$2,Nombres!$C$3:$E$853,93)</f>
        <v xml:space="preserve">Cuentas de resultados  </v>
      </c>
      <c r="C52" s="145"/>
      <c r="D52" s="145"/>
      <c r="E52" s="145"/>
      <c r="G52" s="74"/>
      <c r="H52" s="74"/>
    </row>
    <row r="53" spans="1:8">
      <c r="A53" s="41" t="str">
        <f>HLOOKUP(INDICE!$F$2,Nombres!$C$3:$E$853,31)</f>
        <v>(Millones de euros constantes)</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1er Trim.</v>
      </c>
      <c r="C55" s="146" t="str">
        <f>HLOOKUP(INDICE!$F$2,Nombres!$C$3:$E$857,35)</f>
        <v>2º Trim.</v>
      </c>
      <c r="D55" s="146" t="str">
        <f>HLOOKUP(INDICE!$F$2,Nombres!$C$3:$E$857,36)</f>
        <v>3er Trim.</v>
      </c>
      <c r="E55" s="146" t="str">
        <f>HLOOKUP(INDICE!$F$2,Nombres!$C$3:$E$857,37)</f>
        <v>4º Trim.</v>
      </c>
      <c r="F55" s="146" t="str">
        <f>HLOOKUP(INDICE!$F$2,Nombres!$C$3:$E$857,34)</f>
        <v>1er Trim.</v>
      </c>
      <c r="G55" s="146" t="str">
        <f>HLOOKUP(INDICE!$F$2,Nombres!$C$3:$E$857,35)</f>
        <v>2º Trim.</v>
      </c>
      <c r="H55" s="146" t="str">
        <f>HLOOKUP(INDICE!$F$2,Nombres!$C$3:$E$857,36)</f>
        <v>3er Trim.</v>
      </c>
    </row>
    <row r="56" spans="1:8">
      <c r="A56" s="54" t="str">
        <f>HLOOKUP(INDICE!$F$2,Nombres!$C$3:$E$853,38)</f>
        <v>Margen de intereses</v>
      </c>
      <c r="B56" s="147">
        <v>20.2983826366</v>
      </c>
      <c r="C56" s="83">
        <v>28.197905504200001</v>
      </c>
      <c r="D56" s="83">
        <v>33.705069348000002</v>
      </c>
      <c r="E56" s="148">
        <v>45.132858378599998</v>
      </c>
      <c r="F56" s="54">
        <v>36.204771707399999</v>
      </c>
      <c r="G56" s="54">
        <v>56.584783931399997</v>
      </c>
      <c r="H56" s="54">
        <v>83.844444211199999</v>
      </c>
    </row>
    <row r="57" spans="1:8">
      <c r="A57" s="49" t="str">
        <f>HLOOKUP(INDICE!$F$2,Nombres!$C$3:$E$853,39)</f>
        <v>Comisiones</v>
      </c>
      <c r="B57" s="149">
        <v>2.5605630954</v>
      </c>
      <c r="C57" s="84">
        <v>4.2622086152000005</v>
      </c>
      <c r="D57" s="84">
        <v>5.5220338482999995</v>
      </c>
      <c r="E57" s="150">
        <v>7.7087126359999996</v>
      </c>
      <c r="F57" s="73">
        <v>5.7295023504000007</v>
      </c>
      <c r="G57" s="73">
        <v>8.5423151951000005</v>
      </c>
      <c r="H57" s="73">
        <v>11.3391815845</v>
      </c>
    </row>
    <row r="58" spans="1:8">
      <c r="A58" s="49" t="str">
        <f>HLOOKUP(INDICE!$F$2,Nombres!$C$3:$E$853,40)</f>
        <v>Resultados de operaciones financieras</v>
      </c>
      <c r="B58" s="149">
        <v>4.8931810187</v>
      </c>
      <c r="C58" s="84">
        <v>0.42562865899999996</v>
      </c>
      <c r="D58" s="84">
        <v>1.2860066713</v>
      </c>
      <c r="E58" s="150">
        <v>0.7146931071</v>
      </c>
      <c r="F58" s="73">
        <v>66.829638954700002</v>
      </c>
      <c r="G58" s="73">
        <v>21.636026834999999</v>
      </c>
      <c r="H58" s="73">
        <v>29.437262640299998</v>
      </c>
    </row>
    <row r="59" spans="1:8" ht="17.25" customHeight="1">
      <c r="A59" s="49" t="str">
        <f>HLOOKUP(INDICE!$F$2,Nombres!$C$3:$E$853,95)</f>
        <v>Otros ingresos netos</v>
      </c>
      <c r="B59" s="149">
        <v>-8.1725445761</v>
      </c>
      <c r="C59" s="84">
        <v>-16.6029217472</v>
      </c>
      <c r="D59" s="84">
        <v>-16.211591084399998</v>
      </c>
      <c r="E59" s="150">
        <v>-23.481935005899999</v>
      </c>
      <c r="F59" s="73">
        <v>-21.6003938104</v>
      </c>
      <c r="G59" s="73">
        <v>-47.970283099200003</v>
      </c>
      <c r="H59" s="73">
        <v>-64.924323720399997</v>
      </c>
    </row>
    <row r="60" spans="1:8" ht="15.75" customHeight="1">
      <c r="A60" s="54" t="str">
        <f>HLOOKUP(INDICE!$F$2,Nombres!$C$3:$E$853,44)</f>
        <v>Margen bruto</v>
      </c>
      <c r="B60" s="147">
        <v>19.579582174599999</v>
      </c>
      <c r="C60" s="83">
        <v>16.282821031200001</v>
      </c>
      <c r="D60" s="83">
        <v>24.301518783299997</v>
      </c>
      <c r="E60" s="148">
        <v>30.074329115700003</v>
      </c>
      <c r="F60" s="54">
        <v>87.163519202100005</v>
      </c>
      <c r="G60" s="54">
        <v>38.792842862299999</v>
      </c>
      <c r="H60" s="54">
        <v>59.696564715500003</v>
      </c>
    </row>
    <row r="61" spans="1:8">
      <c r="A61" s="49" t="str">
        <f>HLOOKUP(INDICE!$F$2,Nombres!$C$3:$E$853,45)</f>
        <v>Gastos de explotación</v>
      </c>
      <c r="B61" s="149">
        <v>-6.4782663682999999</v>
      </c>
      <c r="C61" s="84">
        <v>-8.7816877116000001</v>
      </c>
      <c r="D61" s="84">
        <v>-10.574703444599999</v>
      </c>
      <c r="E61" s="150">
        <v>-16.0513912531</v>
      </c>
      <c r="F61" s="73">
        <v>-13.6779619738</v>
      </c>
      <c r="G61" s="73">
        <v>-19.396018891299999</v>
      </c>
      <c r="H61" s="73">
        <v>-30.342011685000003</v>
      </c>
    </row>
    <row r="62" spans="1:8">
      <c r="A62" s="49" t="str">
        <f>HLOOKUP(INDICE!$F$2,Nombres!$C$3:$E$853,46)</f>
        <v xml:space="preserve">  Gastos de administración</v>
      </c>
      <c r="B62" s="149">
        <v>-5.6772074956999994</v>
      </c>
      <c r="C62" s="84">
        <v>-7.6886965929000004</v>
      </c>
      <c r="D62" s="84">
        <v>-9.2739240689999995</v>
      </c>
      <c r="E62" s="150">
        <v>-13.076820605</v>
      </c>
      <c r="F62" s="73">
        <v>-11.9691448188</v>
      </c>
      <c r="G62" s="73">
        <v>-16.970712649599999</v>
      </c>
      <c r="H62" s="73">
        <v>-26.8331350116</v>
      </c>
    </row>
    <row r="63" spans="1:8">
      <c r="A63" s="189" t="str">
        <f>HLOOKUP(INDICE!$F$2,Nombres!$C$3:$E$853,47)</f>
        <v xml:space="preserve">  Gastos de personal</v>
      </c>
      <c r="B63" s="149">
        <v>-2.5210953112999999</v>
      </c>
      <c r="C63" s="84">
        <v>-3.4475598004000001</v>
      </c>
      <c r="D63" s="84">
        <v>-3.8550569344999999</v>
      </c>
      <c r="E63" s="150">
        <v>-5.5064521986999999</v>
      </c>
      <c r="F63" s="73">
        <v>-5.0418876246000002</v>
      </c>
      <c r="G63" s="73">
        <v>-7.0680146389000003</v>
      </c>
      <c r="H63" s="73">
        <v>-11.379096046600001</v>
      </c>
    </row>
    <row r="64" spans="1:8">
      <c r="A64" s="189" t="str">
        <f>HLOOKUP(INDICE!$F$2,Nombres!$C$3:$E$853,48)</f>
        <v xml:space="preserve">  Otros gastos generales de administración</v>
      </c>
      <c r="B64" s="149">
        <v>-3.1561121844</v>
      </c>
      <c r="C64" s="84">
        <v>-4.2411367924999999</v>
      </c>
      <c r="D64" s="84">
        <v>-5.4188671345000001</v>
      </c>
      <c r="E64" s="150">
        <v>-7.5703684061000001</v>
      </c>
      <c r="F64" s="73">
        <v>-6.9272571941000001</v>
      </c>
      <c r="G64" s="73">
        <v>-9.9026980109</v>
      </c>
      <c r="H64" s="73">
        <v>-15.454038964999999</v>
      </c>
    </row>
    <row r="65" spans="1:8" ht="13.5" customHeight="1">
      <c r="A65" s="49" t="str">
        <f>HLOOKUP(INDICE!$F$2,Nombres!$C$3:$E$853,49)</f>
        <v xml:space="preserve">  Amortizaciones</v>
      </c>
      <c r="B65" s="149">
        <v>-0.80105887260000008</v>
      </c>
      <c r="C65" s="84">
        <v>-1.0929911187000001</v>
      </c>
      <c r="D65" s="84">
        <v>-1.3007793755999999</v>
      </c>
      <c r="E65" s="150">
        <v>-2.9745706480999994</v>
      </c>
      <c r="F65" s="73">
        <v>-1.7088171550000002</v>
      </c>
      <c r="G65" s="73">
        <v>-2.4253062416</v>
      </c>
      <c r="H65" s="73">
        <v>-3.5088766734000005</v>
      </c>
    </row>
    <row r="66" spans="1:8" ht="14.25" customHeight="1">
      <c r="A66" s="54" t="str">
        <f>HLOOKUP(INDICE!$F$2,Nombres!$C$3:$E$853,50)</f>
        <v>Margen neto</v>
      </c>
      <c r="B66" s="147">
        <v>13.101315806300001</v>
      </c>
      <c r="C66" s="83">
        <v>7.5011333195000001</v>
      </c>
      <c r="D66" s="83">
        <v>13.726815338700002</v>
      </c>
      <c r="E66" s="148">
        <v>14.022937862599999</v>
      </c>
      <c r="F66" s="54">
        <v>73.485557228299996</v>
      </c>
      <c r="G66" s="54">
        <v>19.396823971</v>
      </c>
      <c r="H66" s="54">
        <v>29.354553030699996</v>
      </c>
    </row>
    <row r="67" spans="1:8">
      <c r="A67" s="49" t="str">
        <f>HLOOKUP(INDICE!$F$2,Nombres!$C$3:$E$853,51)</f>
        <v>Pérdidas por deterioro de activos financieros</v>
      </c>
      <c r="B67" s="149">
        <v>-1.4674422676000001</v>
      </c>
      <c r="C67" s="84">
        <v>-3.2233381187999997</v>
      </c>
      <c r="D67" s="84">
        <v>-4.5973442331999994</v>
      </c>
      <c r="E67" s="150">
        <v>-5.8902952729000004</v>
      </c>
      <c r="F67" s="73">
        <v>-3.1583817232999998</v>
      </c>
      <c r="G67" s="73">
        <v>-6.5000953449000001</v>
      </c>
      <c r="H67" s="73">
        <v>-7.8915224217999995</v>
      </c>
    </row>
    <row r="68" spans="1:8" ht="16.5" customHeight="1">
      <c r="A68" s="49" t="str">
        <f>HLOOKUP(INDICE!$F$2,Nombres!$C$3:$E$853,160)</f>
        <v>Dotaciones a provisiones y otros resultados</v>
      </c>
      <c r="B68" s="149">
        <v>-1.152184181</v>
      </c>
      <c r="C68" s="84">
        <v>-1.2037845587</v>
      </c>
      <c r="D68" s="84">
        <v>-1.7685683988999998</v>
      </c>
      <c r="E68" s="150">
        <v>-2.8184687729000002</v>
      </c>
      <c r="F68" s="73">
        <v>-26.681308038600001</v>
      </c>
      <c r="G68" s="73">
        <v>-3.5242812567999993</v>
      </c>
      <c r="H68" s="73">
        <v>-3.9744101547000001</v>
      </c>
    </row>
    <row r="69" spans="1:8" ht="12.75" customHeight="1">
      <c r="A69" s="54" t="str">
        <f>HLOOKUP(INDICE!$F$2,Nombres!$C$3:$E$853,54)</f>
        <v>Beneficio antes de impuestos</v>
      </c>
      <c r="B69" s="147">
        <v>10.481689357700001</v>
      </c>
      <c r="C69" s="83">
        <v>3.0740106419000002</v>
      </c>
      <c r="D69" s="83">
        <v>7.3609027064999992</v>
      </c>
      <c r="E69" s="148">
        <v>5.3141738169000003</v>
      </c>
      <c r="F69" s="54">
        <v>43.6458674665</v>
      </c>
      <c r="G69" s="54">
        <v>9.3724473693999997</v>
      </c>
      <c r="H69" s="54">
        <v>17.488620454100001</v>
      </c>
    </row>
    <row r="70" spans="1:8" ht="13.5" customHeight="1">
      <c r="A70" s="49" t="str">
        <f>HLOOKUP(INDICE!$F$2,Nombres!$C$3:$E$853,55)</f>
        <v>Impuesto sobre beneficios</v>
      </c>
      <c r="B70" s="149">
        <v>-3.3988777517999997</v>
      </c>
      <c r="C70" s="84">
        <v>-1.4121382404</v>
      </c>
      <c r="D70" s="84">
        <v>-1.5233333868000001</v>
      </c>
      <c r="E70" s="150">
        <v>-0.46212338169999989</v>
      </c>
      <c r="F70" s="73">
        <v>-19.4009539511</v>
      </c>
      <c r="G70" s="73">
        <v>-17.404988301100001</v>
      </c>
      <c r="H70" s="73">
        <v>-25.8980342079</v>
      </c>
    </row>
    <row r="71" spans="1:8" ht="12.75" customHeight="1">
      <c r="A71" s="54" t="str">
        <f>HLOOKUP(INDICE!$F$2,Nombres!$C$3:$E$853,56)</f>
        <v>Beneficio después de impuestos</v>
      </c>
      <c r="B71" s="147">
        <v>7.0828116058999999</v>
      </c>
      <c r="C71" s="83">
        <v>1.6618724016000002</v>
      </c>
      <c r="D71" s="83">
        <v>5.8375693198</v>
      </c>
      <c r="E71" s="148">
        <v>4.8520504350999998</v>
      </c>
      <c r="F71" s="54">
        <v>24.244913515500002</v>
      </c>
      <c r="G71" s="54">
        <v>-8.0325409317999998</v>
      </c>
      <c r="H71" s="54">
        <v>-8.4094137537000009</v>
      </c>
    </row>
    <row r="72" spans="1:8" ht="12.75" customHeight="1">
      <c r="A72" s="49" t="str">
        <f>HLOOKUP(INDICE!$F$2,Nombres!$C$3:$E$853,57)</f>
        <v>Resultado atribuido a la minoría</v>
      </c>
      <c r="B72" s="149">
        <v>-3.1680204036999999</v>
      </c>
      <c r="C72" s="84">
        <v>-0.72256597070000006</v>
      </c>
      <c r="D72" s="84">
        <v>-2.6189014240999997</v>
      </c>
      <c r="E72" s="150">
        <v>-2.1775293764999999</v>
      </c>
      <c r="F72" s="73">
        <v>-10.6933359037</v>
      </c>
      <c r="G72" s="73">
        <v>3.5702868123</v>
      </c>
      <c r="H72" s="73">
        <v>3.8020700914000001</v>
      </c>
    </row>
    <row r="73" spans="1:8" ht="15" customHeight="1">
      <c r="A73" s="54" t="str">
        <f>HLOOKUP(INDICE!$F$2,Nombres!$C$3:$E$853,58)</f>
        <v>Beneficio atribuido al Grupo</v>
      </c>
      <c r="B73" s="147">
        <v>3.9147912021999995</v>
      </c>
      <c r="C73" s="83">
        <v>0.9393064309000001</v>
      </c>
      <c r="D73" s="83">
        <v>3.2186678957000003</v>
      </c>
      <c r="E73" s="148">
        <v>2.6745210584999999</v>
      </c>
      <c r="F73" s="54">
        <v>13.551577611699999</v>
      </c>
      <c r="G73" s="54">
        <v>-4.4622541194999998</v>
      </c>
      <c r="H73" s="54">
        <v>-4.6073436622999999</v>
      </c>
    </row>
    <row r="74" spans="1:8" s="169" customFormat="1" ht="15" customHeight="1">
      <c r="A74" s="190"/>
      <c r="B74" s="191"/>
      <c r="C74" s="191"/>
      <c r="D74" s="191"/>
      <c r="E74" s="191"/>
      <c r="F74" s="190"/>
      <c r="G74" s="190"/>
      <c r="H74" s="190"/>
    </row>
    <row r="75" spans="1:8" ht="15.75" customHeight="1">
      <c r="A75" s="144" t="str">
        <f>HLOOKUP(INDICE!$F$2,Nombres!$C$3:$E$853,94)</f>
        <v>Balances</v>
      </c>
      <c r="G75" s="74"/>
      <c r="H75" s="74"/>
    </row>
    <row r="76" spans="1:8">
      <c r="A76" s="41" t="str">
        <f>HLOOKUP(INDICE!$F$2,Nombres!$C$3:$E$853,31)</f>
        <v>(Millones de euros constantes)</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Caja y depósitos en bancos centrales</v>
      </c>
      <c r="B78" s="149">
        <v>302.16169691070002</v>
      </c>
      <c r="C78" s="84">
        <v>290.57218948069999</v>
      </c>
      <c r="D78" s="84">
        <v>251.74710399080001</v>
      </c>
      <c r="E78" s="150">
        <v>375.75530260210002</v>
      </c>
      <c r="F78" s="158">
        <v>510.51302802570001</v>
      </c>
      <c r="G78" s="84">
        <v>435.03656953640001</v>
      </c>
      <c r="H78" s="84">
        <v>527.42899999999997</v>
      </c>
    </row>
    <row r="79" spans="1:8">
      <c r="A79" s="49" t="str">
        <f>HLOOKUP(INDICE!$F$2,Nombres!$C$3:$E$853,101)</f>
        <v>Cartera de títulos</v>
      </c>
      <c r="B79" s="149">
        <v>116.7063742587</v>
      </c>
      <c r="C79" s="84">
        <v>114.2854546929</v>
      </c>
      <c r="D79" s="84">
        <v>114.8803278421</v>
      </c>
      <c r="E79" s="150">
        <v>114.5233358781</v>
      </c>
      <c r="F79" s="158">
        <v>235.45971517539999</v>
      </c>
      <c r="G79" s="84">
        <v>261.1592847682</v>
      </c>
      <c r="H79" s="84">
        <v>257.03500000000003</v>
      </c>
    </row>
    <row r="80" spans="1:8">
      <c r="A80" s="49" t="str">
        <f>HLOOKUP(INDICE!$F$2,Nombres!$C$3:$E$853,102)</f>
        <v>Inversiones crediticias</v>
      </c>
      <c r="B80" s="149">
        <v>546.08071665039995</v>
      </c>
      <c r="C80" s="84">
        <v>620.97133745459996</v>
      </c>
      <c r="D80" s="84">
        <v>777.97465015780006</v>
      </c>
      <c r="E80" s="150">
        <v>892.28464617270004</v>
      </c>
      <c r="F80" s="158">
        <v>1433.0996063939999</v>
      </c>
      <c r="G80" s="84">
        <v>1667.3287735099</v>
      </c>
      <c r="H80" s="84">
        <v>1821.07</v>
      </c>
    </row>
    <row r="81" spans="1:8">
      <c r="A81" s="49" t="str">
        <f>HLOOKUP(INDICE!$F$2,Nombres!$C$3:$E$853,103)</f>
        <v xml:space="preserve">  . Crédito a la clientela neto</v>
      </c>
      <c r="B81" s="149">
        <v>435.34174807469998</v>
      </c>
      <c r="C81" s="84">
        <v>497.99820607179998</v>
      </c>
      <c r="D81" s="84">
        <v>599.78427034289996</v>
      </c>
      <c r="E81" s="150">
        <v>688.6862496576</v>
      </c>
      <c r="F81" s="158">
        <v>939.29004027400003</v>
      </c>
      <c r="G81" s="84">
        <v>1148.0673218543</v>
      </c>
      <c r="H81" s="84">
        <v>1328.662</v>
      </c>
    </row>
    <row r="82" spans="1:8">
      <c r="A82" s="49" t="str">
        <f>HLOOKUP(INDICE!$F$2,Nombres!$C$3:$E$853,104)</f>
        <v xml:space="preserve">  . Depósitos en entidades de crédito y otros</v>
      </c>
      <c r="B82" s="149">
        <v>110.7389685757</v>
      </c>
      <c r="C82" s="84">
        <v>122.97313138280001</v>
      </c>
      <c r="D82" s="84">
        <v>178.1903798148</v>
      </c>
      <c r="E82" s="150">
        <v>203.59839651510001</v>
      </c>
      <c r="F82" s="158">
        <v>493.80956612</v>
      </c>
      <c r="G82" s="84">
        <v>519.26145165560001</v>
      </c>
      <c r="H82" s="84">
        <v>492.40800000000002</v>
      </c>
    </row>
    <row r="83" spans="1:8">
      <c r="A83" s="49" t="str">
        <f>HLOOKUP(INDICE!$F$2,Nombres!$C$3:$E$853,106)</f>
        <v>Activo material</v>
      </c>
      <c r="B83" s="149">
        <v>13.9885070373</v>
      </c>
      <c r="C83" s="84">
        <v>16.424009786700001</v>
      </c>
      <c r="D83" s="84">
        <v>18.512339136600001</v>
      </c>
      <c r="E83" s="150">
        <v>24.417278417199999</v>
      </c>
      <c r="F83" s="158">
        <v>29.2003944364</v>
      </c>
      <c r="G83" s="84">
        <v>36.0658887417</v>
      </c>
      <c r="H83" s="84">
        <v>47.622999999999998</v>
      </c>
    </row>
    <row r="84" spans="1:8">
      <c r="A84" s="49" t="str">
        <f>HLOOKUP(INDICE!$F$2,Nombres!$C$3:$E$853,107)</f>
        <v>Otros activos</v>
      </c>
      <c r="B84" s="149">
        <v>13.932773302599999</v>
      </c>
      <c r="C84" s="84">
        <v>15.385828215299822</v>
      </c>
      <c r="D84" s="84">
        <v>20.509329978799801</v>
      </c>
      <c r="E84" s="150">
        <v>26.877392828599625</v>
      </c>
      <c r="F84" s="158">
        <v>61.339877101900001</v>
      </c>
      <c r="G84" s="84">
        <v>72.710792053000006</v>
      </c>
      <c r="H84" s="84">
        <v>75.537999999999997</v>
      </c>
    </row>
    <row r="85" spans="1:8">
      <c r="A85" s="54" t="str">
        <f>HLOOKUP(INDICE!$F$2,Nombres!$C$3:$E$853,108)</f>
        <v>Total activo / pasivo</v>
      </c>
      <c r="B85" s="147">
        <v>992.87006815970005</v>
      </c>
      <c r="C85" s="83">
        <v>1057.6388196303001</v>
      </c>
      <c r="D85" s="83">
        <v>1183.6237511060999</v>
      </c>
      <c r="E85" s="148">
        <v>1433.8579558986999</v>
      </c>
      <c r="F85" s="147">
        <v>2269.6126211334999</v>
      </c>
      <c r="G85" s="83">
        <v>2472.3013086091996</v>
      </c>
      <c r="H85" s="83">
        <v>2728.6950000000002</v>
      </c>
    </row>
    <row r="86" spans="1:8">
      <c r="A86" s="49" t="str">
        <f>HLOOKUP(INDICE!$F$2,Nombres!$C$3:$E$853,109)</f>
        <v>Depósitos de bancos centrales y entidades de crédito</v>
      </c>
      <c r="B86" s="149">
        <v>8.4807725944999994</v>
      </c>
      <c r="C86" s="84">
        <v>6.8284061789999999</v>
      </c>
      <c r="D86" s="84">
        <v>13.124134567500001</v>
      </c>
      <c r="E86" s="150">
        <v>24.316265508899999</v>
      </c>
      <c r="F86" s="158">
        <v>34.270159020100003</v>
      </c>
      <c r="G86" s="84">
        <v>8.1783337748000005</v>
      </c>
      <c r="H86" s="84">
        <v>11.1</v>
      </c>
    </row>
    <row r="87" spans="1:8">
      <c r="A87" s="49" t="str">
        <f>HLOOKUP(INDICE!$F$2,Nombres!$C$3:$E$853,110)</f>
        <v>Depósitos de la clientela</v>
      </c>
      <c r="B87" s="149">
        <v>834.25152925559996</v>
      </c>
      <c r="C87" s="84">
        <v>894.12825613480004</v>
      </c>
      <c r="D87" s="84">
        <v>989.80339293639997</v>
      </c>
      <c r="E87" s="150">
        <v>1196.0450036422999</v>
      </c>
      <c r="F87" s="158">
        <v>1806.8042565912001</v>
      </c>
      <c r="G87" s="84">
        <v>1993.4167364238001</v>
      </c>
      <c r="H87" s="84">
        <v>2181.511</v>
      </c>
    </row>
    <row r="88" spans="1:8">
      <c r="A88" s="49" t="str">
        <f>HLOOKUP(INDICE!$F$2,Nombres!$C$3:$E$853,111)</f>
        <v>Débitos representados por valores negociables</v>
      </c>
      <c r="B88" s="241">
        <v>0</v>
      </c>
      <c r="C88" s="236">
        <v>0</v>
      </c>
      <c r="D88" s="236">
        <v>0</v>
      </c>
      <c r="E88" s="237">
        <v>0</v>
      </c>
      <c r="F88" s="235">
        <v>0</v>
      </c>
      <c r="G88" s="236">
        <v>0</v>
      </c>
      <c r="H88" s="236">
        <v>0</v>
      </c>
    </row>
    <row r="89" spans="1:8">
      <c r="A89" s="49" t="str">
        <f>HLOOKUP(INDICE!$F$2,Nombres!$C$3:$E$853,112)</f>
        <v>Pasivos subordinados</v>
      </c>
      <c r="B89" s="241">
        <v>0</v>
      </c>
      <c r="C89" s="236">
        <v>0</v>
      </c>
      <c r="D89" s="236">
        <v>0</v>
      </c>
      <c r="E89" s="237">
        <v>0</v>
      </c>
      <c r="F89" s="235">
        <v>0</v>
      </c>
      <c r="G89" s="236">
        <v>0</v>
      </c>
      <c r="H89" s="236">
        <v>0</v>
      </c>
    </row>
    <row r="90" spans="1:8">
      <c r="A90" s="49" t="str">
        <f>HLOOKUP(INDICE!$F$2,Nombres!$C$3:$E$853,114)</f>
        <v>Cartera de negociación</v>
      </c>
      <c r="B90" s="149">
        <v>0.1359005046</v>
      </c>
      <c r="C90" s="84">
        <v>0.1219554964</v>
      </c>
      <c r="D90" s="84">
        <v>0</v>
      </c>
      <c r="E90" s="150">
        <v>0</v>
      </c>
      <c r="F90" s="235">
        <v>0</v>
      </c>
      <c r="G90" s="236">
        <v>0</v>
      </c>
      <c r="H90" s="236">
        <v>0</v>
      </c>
    </row>
    <row r="91" spans="1:8">
      <c r="A91" s="49" t="str">
        <f>HLOOKUP(INDICE!$F$2,Nombres!$C$3:$E$853,115)</f>
        <v>Otros pasivos</v>
      </c>
      <c r="B91" s="149">
        <v>104.30457825080009</v>
      </c>
      <c r="C91" s="84">
        <v>106.38833011569999</v>
      </c>
      <c r="D91" s="84">
        <v>122.09309597150001</v>
      </c>
      <c r="E91" s="150">
        <v>145.12957395219999</v>
      </c>
      <c r="F91" s="158">
        <v>347.16811226910016</v>
      </c>
      <c r="G91" s="84">
        <v>357.13111764219985</v>
      </c>
      <c r="H91" s="84">
        <v>416.98686097000001</v>
      </c>
    </row>
    <row r="92" spans="1:8" ht="12" customHeight="1">
      <c r="A92" s="49" t="str">
        <f>HLOOKUP(INDICE!$F$2,Nombres!$C$3:$E$853,116)</f>
        <v>Dotación de capital económico</v>
      </c>
      <c r="B92" s="149">
        <v>45.697287554200003</v>
      </c>
      <c r="C92" s="84">
        <v>50.171871704399997</v>
      </c>
      <c r="D92" s="84">
        <v>58.603127630700001</v>
      </c>
      <c r="E92" s="150">
        <v>68.367112795200001</v>
      </c>
      <c r="F92" s="158">
        <v>81.370093253099995</v>
      </c>
      <c r="G92" s="84">
        <v>113.57512076819999</v>
      </c>
      <c r="H92" s="84">
        <v>119.09713902999999</v>
      </c>
    </row>
    <row r="93" spans="1:8" ht="12" customHeight="1">
      <c r="A93" s="144" t="str">
        <f>HLOOKUP(INDICE!$F$2,Nombres!$C$3:$E$853,117)</f>
        <v>Indicadores relevantes</v>
      </c>
      <c r="G93" s="74"/>
      <c r="H93" s="74"/>
    </row>
    <row r="94" spans="1:8" ht="18">
      <c r="A94" s="144" t="str">
        <f>HLOOKUP(INDICE!$F$2,Nombres!$C$3:$E$853,201)</f>
        <v>Anexo:</v>
      </c>
      <c r="G94" s="74"/>
      <c r="H94" s="74"/>
    </row>
    <row r="95" spans="1:8" ht="12" customHeight="1">
      <c r="A95" s="41" t="str">
        <f>HLOOKUP(INDICE!$F$2,Nombres!$C$3:$E$853,31)</f>
        <v>(Millones de euros constantes)</v>
      </c>
    </row>
    <row r="96" spans="1:8" ht="11.25" customHeight="1">
      <c r="A96"/>
      <c r="B96" s="81">
        <v>41729</v>
      </c>
      <c r="C96" s="82">
        <v>41820</v>
      </c>
      <c r="D96" s="82">
        <v>41912</v>
      </c>
      <c r="E96" s="82">
        <v>42004</v>
      </c>
      <c r="F96" s="81">
        <v>42094</v>
      </c>
      <c r="G96" s="82">
        <v>42185</v>
      </c>
      <c r="H96" s="82">
        <v>42277</v>
      </c>
    </row>
    <row r="97" spans="1:8">
      <c r="A97" s="49" t="str">
        <f>HLOOKUP(INDICE!$F$2,Nombres!$C$3:$E$853,118)</f>
        <v>Crédito a la clientela bruto (*)</v>
      </c>
      <c r="B97" s="155">
        <v>449.88950747979999</v>
      </c>
      <c r="C97" s="157">
        <v>515.2898365497</v>
      </c>
      <c r="D97" s="157">
        <v>620.48922566329998</v>
      </c>
      <c r="E97" s="157">
        <v>713.19638952180003</v>
      </c>
      <c r="F97" s="155">
        <v>967.88830724510001</v>
      </c>
      <c r="G97" s="157">
        <v>1181.3092794702</v>
      </c>
      <c r="H97" s="157">
        <v>1365.4350000000002</v>
      </c>
    </row>
    <row r="98" spans="1:8">
      <c r="A98" s="49" t="str">
        <f>HLOOKUP(INDICE!$F$2,Nombres!$C$3:$E$853,121)</f>
        <v>Depósitos de clientes en gestión (**)</v>
      </c>
      <c r="B98" s="155">
        <v>826.24830935880004</v>
      </c>
      <c r="C98" s="157">
        <v>885.35584306440001</v>
      </c>
      <c r="D98" s="157">
        <v>979.87639480749999</v>
      </c>
      <c r="E98" s="157">
        <v>1195.4952917298999</v>
      </c>
      <c r="F98" s="155">
        <v>1785.9412696382999</v>
      </c>
      <c r="G98" s="157">
        <v>1972.0920772203001</v>
      </c>
      <c r="H98" s="157">
        <v>2168.64913858</v>
      </c>
    </row>
    <row r="99" spans="1:8">
      <c r="A99" s="49" t="str">
        <f>HLOOKUP(INDICE!$F$2,Nombres!$C$3:$E$853,122)</f>
        <v>Fondos de inversión</v>
      </c>
      <c r="B99" s="155">
        <v>0.62866110529999997</v>
      </c>
      <c r="C99" s="157">
        <v>0.63230275459999996</v>
      </c>
      <c r="D99" s="157">
        <v>0.62439629640000005</v>
      </c>
      <c r="E99" s="157">
        <v>0.60667644460000003</v>
      </c>
      <c r="F99" s="155">
        <v>0.61670678310000004</v>
      </c>
      <c r="G99" s="157">
        <v>0.6123891373</v>
      </c>
      <c r="H99" s="157">
        <v>0.61680778999999997</v>
      </c>
    </row>
    <row r="100" spans="1:8">
      <c r="A100" s="49" t="str">
        <f>HLOOKUP(INDICE!$F$2,Nombres!$C$3:$E$853,206)</f>
        <v>Fondos de pensiones</v>
      </c>
      <c r="B100" s="238">
        <v>0</v>
      </c>
      <c r="C100" s="239">
        <v>0</v>
      </c>
      <c r="D100" s="239">
        <v>0</v>
      </c>
      <c r="E100" s="239">
        <v>0</v>
      </c>
      <c r="F100" s="238">
        <v>0</v>
      </c>
      <c r="G100" s="239">
        <v>0</v>
      </c>
      <c r="H100" s="239">
        <v>0</v>
      </c>
    </row>
    <row r="101" spans="1:8">
      <c r="A101" s="49" t="str">
        <f>HLOOKUP(INDICE!$F$2,Nombres!$C$3:$E$853,308)</f>
        <v>Otros recursos fuera de balance</v>
      </c>
      <c r="B101" s="238">
        <v>0</v>
      </c>
      <c r="C101" s="239">
        <v>0</v>
      </c>
      <c r="D101" s="239">
        <v>0</v>
      </c>
      <c r="E101" s="239">
        <v>0</v>
      </c>
      <c r="F101" s="238">
        <v>0</v>
      </c>
      <c r="G101" s="239">
        <v>0</v>
      </c>
      <c r="H101" s="239">
        <v>0</v>
      </c>
    </row>
    <row r="102" spans="1:8">
      <c r="A102" s="156" t="str">
        <f>HLOOKUP(INDICE!$F$2,Nombres!$C$3:$E$853,307)</f>
        <v>(*) No incluye las adquisiciones temporales de activos.</v>
      </c>
      <c r="B102" s="72"/>
      <c r="C102" s="73"/>
      <c r="D102" s="73"/>
      <c r="E102" s="73"/>
      <c r="F102" s="73"/>
    </row>
    <row r="103" spans="1:8">
      <c r="A103" s="156" t="str">
        <f>HLOOKUP(INDICE!$F$2,Nombres!$C$3:$E$853,284)</f>
        <v>(**) No incluye las cesiones temporales de activos e incluye determinados valores negociables.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H103"/>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HLOOKUP(INDICE!$F$2,Nombres!$C$3:$E$853,305)</f>
        <v>América del Sur sin Venezuela</v>
      </c>
    </row>
    <row r="2" spans="1:8" ht="18" customHeight="1">
      <c r="A2" s="144" t="str">
        <f>HLOOKUP(INDICE!$F$2,Nombres!$C$3:$E$853,93)</f>
        <v xml:space="preserve">Cuentas de resultados  </v>
      </c>
    </row>
    <row r="3" spans="1:8">
      <c r="A3" s="41" t="str">
        <f>HLOOKUP(INDICE!$F$2,Nombres!$C$3:$E$853,30)</f>
        <v>(Millones de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640.59538595999993</v>
      </c>
      <c r="C6" s="83">
        <v>679.61512201000005</v>
      </c>
      <c r="D6" s="83">
        <v>695.27436951000004</v>
      </c>
      <c r="E6" s="148">
        <v>758.04256295999994</v>
      </c>
      <c r="F6" s="83">
        <v>762.99996190000002</v>
      </c>
      <c r="G6" s="83">
        <v>795.42969249000009</v>
      </c>
      <c r="H6" s="83">
        <v>748.31903418000002</v>
      </c>
    </row>
    <row r="7" spans="1:8">
      <c r="A7" s="49" t="str">
        <f>HLOOKUP(INDICE!$F$2,Nombres!$C$3:$E$853,39)</f>
        <v>Comisiones</v>
      </c>
      <c r="B7" s="149">
        <v>135.7903958</v>
      </c>
      <c r="C7" s="84">
        <v>151.13242195000001</v>
      </c>
      <c r="D7" s="84">
        <v>155.40525467999998</v>
      </c>
      <c r="E7" s="150">
        <v>155.83148891000002</v>
      </c>
      <c r="F7" s="84">
        <v>168.15800659000001</v>
      </c>
      <c r="G7" s="84">
        <v>177.50897764999999</v>
      </c>
      <c r="H7" s="84">
        <v>173.18472961999998</v>
      </c>
    </row>
    <row r="8" spans="1:8">
      <c r="A8" s="49" t="str">
        <f>HLOOKUP(INDICE!$F$2,Nombres!$C$3:$E$853,40)</f>
        <v>Resultados de operaciones financieras</v>
      </c>
      <c r="B8" s="149">
        <v>81.732012919999988</v>
      </c>
      <c r="C8" s="84">
        <v>82.735675950000001</v>
      </c>
      <c r="D8" s="84">
        <v>113.88573879999998</v>
      </c>
      <c r="E8" s="150">
        <v>93.047887220000007</v>
      </c>
      <c r="F8" s="84">
        <v>108.22744240999999</v>
      </c>
      <c r="G8" s="84">
        <v>108.44917846</v>
      </c>
      <c r="H8" s="84">
        <v>98.773706129999994</v>
      </c>
    </row>
    <row r="9" spans="1:8">
      <c r="A9" s="49" t="str">
        <f>HLOOKUP(INDICE!$F$2,Nombres!$C$3:$E$853,95)</f>
        <v>Otros ingresos netos</v>
      </c>
      <c r="B9" s="149">
        <v>19.132997250000003</v>
      </c>
      <c r="C9" s="84">
        <v>23.759001560000002</v>
      </c>
      <c r="D9" s="84">
        <v>23.356999309999999</v>
      </c>
      <c r="E9" s="150">
        <v>17.943999950000002</v>
      </c>
      <c r="F9" s="84">
        <v>25.742001109999997</v>
      </c>
      <c r="G9" s="84">
        <v>22.62999881</v>
      </c>
      <c r="H9" s="84">
        <v>30.31099906</v>
      </c>
    </row>
    <row r="10" spans="1:8">
      <c r="A10" s="54" t="str">
        <f>HLOOKUP(INDICE!$F$2,Nombres!$C$3:$E$853,44)</f>
        <v>Margen bruto</v>
      </c>
      <c r="B10" s="147">
        <v>877.25079192999999</v>
      </c>
      <c r="C10" s="83">
        <v>937.24222147</v>
      </c>
      <c r="D10" s="83">
        <v>987.92236230000003</v>
      </c>
      <c r="E10" s="148">
        <v>1024.8659390399998</v>
      </c>
      <c r="F10" s="83">
        <v>1065.1274120099999</v>
      </c>
      <c r="G10" s="83">
        <v>1104.0178474100001</v>
      </c>
      <c r="H10" s="83">
        <v>1050.5884689900001</v>
      </c>
    </row>
    <row r="11" spans="1:8">
      <c r="A11" s="49" t="str">
        <f>HLOOKUP(INDICE!$F$2,Nombres!$C$3:$E$853,45)</f>
        <v>Gastos de explotación</v>
      </c>
      <c r="B11" s="149">
        <v>-401.81282236999994</v>
      </c>
      <c r="C11" s="84">
        <v>-410.54700925999998</v>
      </c>
      <c r="D11" s="84">
        <v>-428.30721183000003</v>
      </c>
      <c r="E11" s="150">
        <v>-442.47353019000002</v>
      </c>
      <c r="F11" s="84">
        <v>-489.08813277999997</v>
      </c>
      <c r="G11" s="84">
        <v>-491.41576714999997</v>
      </c>
      <c r="H11" s="84">
        <v>-472.16329800999995</v>
      </c>
    </row>
    <row r="12" spans="1:8">
      <c r="A12" s="49" t="str">
        <f>HLOOKUP(INDICE!$F$2,Nombres!$C$3:$E$853,46)</f>
        <v xml:space="preserve">  Gastos de administración</v>
      </c>
      <c r="B12" s="149">
        <v>-379.40989898999999</v>
      </c>
      <c r="C12" s="84">
        <v>-388.91149307000001</v>
      </c>
      <c r="D12" s="84">
        <v>-404.71414469000001</v>
      </c>
      <c r="E12" s="150">
        <v>-423.89882362999998</v>
      </c>
      <c r="F12" s="84">
        <v>-464.07847691000001</v>
      </c>
      <c r="G12" s="84">
        <v>-467.56730381999995</v>
      </c>
      <c r="H12" s="84">
        <v>-450.93082482000005</v>
      </c>
    </row>
    <row r="13" spans="1:8">
      <c r="A13" s="88" t="str">
        <f>HLOOKUP(INDICE!$F$2,Nombres!$C$3:$E$853,47)</f>
        <v xml:space="preserve">  Gastos de personal</v>
      </c>
      <c r="B13" s="149">
        <v>-210.06325980999998</v>
      </c>
      <c r="C13" s="84">
        <v>-215.26610542000003</v>
      </c>
      <c r="D13" s="84">
        <v>-217.80783332999999</v>
      </c>
      <c r="E13" s="150">
        <v>-224.05134956999999</v>
      </c>
      <c r="F13" s="84">
        <v>-260.86386886999998</v>
      </c>
      <c r="G13" s="84">
        <v>-253.63039587999998</v>
      </c>
      <c r="H13" s="84">
        <v>-243.19576918000001</v>
      </c>
    </row>
    <row r="14" spans="1:8">
      <c r="A14" s="88" t="str">
        <f>HLOOKUP(INDICE!$F$2,Nombres!$C$3:$E$853,48)</f>
        <v xml:space="preserve">  Otros gastos generales de administración</v>
      </c>
      <c r="B14" s="149">
        <v>-169.34663918000001</v>
      </c>
      <c r="C14" s="84">
        <v>-173.64538765</v>
      </c>
      <c r="D14" s="84">
        <v>-186.90631136000002</v>
      </c>
      <c r="E14" s="150">
        <v>-199.84747406000002</v>
      </c>
      <c r="F14" s="84">
        <v>-203.21460804</v>
      </c>
      <c r="G14" s="84">
        <v>-213.93690793999997</v>
      </c>
      <c r="H14" s="84">
        <v>-207.73505563999998</v>
      </c>
    </row>
    <row r="15" spans="1:8" ht="13.5" customHeight="1">
      <c r="A15" s="49" t="str">
        <f>HLOOKUP(INDICE!$F$2,Nombres!$C$3:$E$853,49)</f>
        <v xml:space="preserve">  Amortizaciones</v>
      </c>
      <c r="B15" s="149">
        <v>-22.402923380000001</v>
      </c>
      <c r="C15" s="84">
        <v>-21.635516190000001</v>
      </c>
      <c r="D15" s="84">
        <v>-23.593067140000002</v>
      </c>
      <c r="E15" s="150">
        <v>-18.574706560000003</v>
      </c>
      <c r="F15" s="84">
        <v>-25.00965587</v>
      </c>
      <c r="G15" s="84">
        <v>-23.848463330000001</v>
      </c>
      <c r="H15" s="84">
        <v>-21.23247319</v>
      </c>
    </row>
    <row r="16" spans="1:8" ht="12.75" customHeight="1">
      <c r="A16" s="54" t="str">
        <f>HLOOKUP(INDICE!$F$2,Nombres!$C$3:$E$853,50)</f>
        <v>Margen neto</v>
      </c>
      <c r="B16" s="147">
        <v>475.43796956</v>
      </c>
      <c r="C16" s="83">
        <v>526.69521221000002</v>
      </c>
      <c r="D16" s="83">
        <v>559.61515047</v>
      </c>
      <c r="E16" s="148">
        <v>582.39240885000004</v>
      </c>
      <c r="F16" s="83">
        <v>576.03927923000003</v>
      </c>
      <c r="G16" s="83">
        <v>612.60208025999998</v>
      </c>
      <c r="H16" s="83">
        <v>578.42517098000008</v>
      </c>
    </row>
    <row r="17" spans="1:8" ht="13.5" customHeight="1">
      <c r="A17" s="49" t="str">
        <f>HLOOKUP(INDICE!$F$2,Nombres!$C$3:$E$853,51)</f>
        <v>Pérdidas por deterioro de activos financieros</v>
      </c>
      <c r="B17" s="149">
        <v>-115.31499918</v>
      </c>
      <c r="C17" s="84">
        <v>-119.16800132999998</v>
      </c>
      <c r="D17" s="84">
        <v>-129.64799798000001</v>
      </c>
      <c r="E17" s="150">
        <v>-112.41300249000001</v>
      </c>
      <c r="F17" s="84">
        <v>-133.28800061000001</v>
      </c>
      <c r="G17" s="84">
        <v>-166.88599962000001</v>
      </c>
      <c r="H17" s="84">
        <v>-132.18900109999998</v>
      </c>
    </row>
    <row r="18" spans="1:8" ht="13.5" customHeight="1">
      <c r="A18" s="49" t="str">
        <f>HLOOKUP(INDICE!$F$2,Nombres!$C$3:$E$853,160)</f>
        <v>Dotaciones a provisiones y otros resultados</v>
      </c>
      <c r="B18" s="149">
        <v>-10.025999169999999</v>
      </c>
      <c r="C18" s="84">
        <v>-8.397000310000001</v>
      </c>
      <c r="D18" s="84">
        <v>-23.787000300000003</v>
      </c>
      <c r="E18" s="150">
        <v>-71.344997589999991</v>
      </c>
      <c r="F18" s="84">
        <v>-21.66600051</v>
      </c>
      <c r="G18" s="84">
        <v>6.7929969399999992</v>
      </c>
      <c r="H18" s="84">
        <v>-14.985997130000001</v>
      </c>
    </row>
    <row r="19" spans="1:8" ht="12.75" customHeight="1">
      <c r="A19" s="54" t="str">
        <f>HLOOKUP(INDICE!$F$2,Nombres!$C$3:$E$853,54)</f>
        <v>Beneficio antes de impuestos</v>
      </c>
      <c r="B19" s="147">
        <v>350.09697120999999</v>
      </c>
      <c r="C19" s="83">
        <v>399.13021057000003</v>
      </c>
      <c r="D19" s="83">
        <v>406.18015218999994</v>
      </c>
      <c r="E19" s="148">
        <v>398.63440876999999</v>
      </c>
      <c r="F19" s="83">
        <v>421.08527810999999</v>
      </c>
      <c r="G19" s="83">
        <v>452.50907757999994</v>
      </c>
      <c r="H19" s="83">
        <v>431.25017274999993</v>
      </c>
    </row>
    <row r="20" spans="1:8" ht="13.5" customHeight="1">
      <c r="A20" s="49" t="str">
        <f>HLOOKUP(INDICE!$F$2,Nombres!$C$3:$E$853,55)</f>
        <v>Impuesto sobre beneficios</v>
      </c>
      <c r="B20" s="149">
        <v>-92.559157220000003</v>
      </c>
      <c r="C20" s="84">
        <v>-97.813093760000001</v>
      </c>
      <c r="D20" s="84">
        <v>-89.178639939999996</v>
      </c>
      <c r="E20" s="150">
        <v>-107.69042345000001</v>
      </c>
      <c r="F20" s="84">
        <v>-123.77642227999999</v>
      </c>
      <c r="G20" s="84">
        <v>-110.88325209999999</v>
      </c>
      <c r="H20" s="84">
        <v>-125.92898384999998</v>
      </c>
    </row>
    <row r="21" spans="1:8" ht="13.5" customHeight="1">
      <c r="A21" s="54" t="str">
        <f>HLOOKUP(INDICE!$F$2,Nombres!$C$3:$E$853,56)</f>
        <v>Beneficio después de impuestos</v>
      </c>
      <c r="B21" s="147">
        <v>257.53781399000002</v>
      </c>
      <c r="C21" s="83">
        <v>301.31711681000002</v>
      </c>
      <c r="D21" s="83">
        <v>317.00151225000002</v>
      </c>
      <c r="E21" s="148">
        <v>290.94398532000002</v>
      </c>
      <c r="F21" s="83">
        <v>297.30885582999997</v>
      </c>
      <c r="G21" s="83">
        <v>341.62582548</v>
      </c>
      <c r="H21" s="83">
        <v>305.32118889999998</v>
      </c>
    </row>
    <row r="22" spans="1:8" ht="12" customHeight="1">
      <c r="A22" s="49" t="str">
        <f>HLOOKUP(INDICE!$F$2,Nombres!$C$3:$E$853,57)</f>
        <v>Resultado atribuido a la minoría</v>
      </c>
      <c r="B22" s="149">
        <v>-70.935872570000001</v>
      </c>
      <c r="C22" s="84">
        <v>-81.224656449999998</v>
      </c>
      <c r="D22" s="84">
        <v>-92.812136650000014</v>
      </c>
      <c r="E22" s="150">
        <v>-83.362259899999998</v>
      </c>
      <c r="F22" s="84">
        <v>-84.588413250000002</v>
      </c>
      <c r="G22" s="84">
        <v>-89.160388560000001</v>
      </c>
      <c r="H22" s="84">
        <v>-81.762535459999995</v>
      </c>
    </row>
    <row r="23" spans="1:8" ht="14.25" customHeight="1">
      <c r="A23" s="54" t="str">
        <f>HLOOKUP(INDICE!$F$2,Nombres!$C$3:$E$853,58)</f>
        <v>Beneficio atribuido al Grupo</v>
      </c>
      <c r="B23" s="147">
        <v>186.60194142</v>
      </c>
      <c r="C23" s="83">
        <v>220.09246035999999</v>
      </c>
      <c r="D23" s="83">
        <v>224.18937560000001</v>
      </c>
      <c r="E23" s="148">
        <v>207.58172542</v>
      </c>
      <c r="F23" s="83">
        <v>212.72044258</v>
      </c>
      <c r="G23" s="83">
        <v>252.46543692</v>
      </c>
      <c r="H23" s="83">
        <v>223.55865344</v>
      </c>
    </row>
    <row r="24" spans="1:8" ht="13.5" customHeight="1">
      <c r="A24" s="144" t="str">
        <f>HLOOKUP(INDICE!$F$2,Nombres!$C$3:$E$853,94)</f>
        <v>Balances</v>
      </c>
      <c r="F24" s="151"/>
      <c r="G24" s="74"/>
      <c r="H24" s="74"/>
    </row>
    <row r="25" spans="1:8" ht="12.75" customHeight="1">
      <c r="A25" s="41" t="str">
        <f>HLOOKUP(INDICE!$F$2,Nombres!$C$3:$E$853,30)</f>
        <v>(Millones de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6500.732</v>
      </c>
      <c r="C27" s="84">
        <v>6159.8630000000003</v>
      </c>
      <c r="D27" s="84">
        <v>6992.8869999999997</v>
      </c>
      <c r="E27" s="150">
        <v>7760.63</v>
      </c>
      <c r="F27" s="84">
        <v>9237.0229999999992</v>
      </c>
      <c r="G27" s="84">
        <v>9282.1869999999999</v>
      </c>
      <c r="H27" s="84">
        <v>9342.3269999999993</v>
      </c>
    </row>
    <row r="28" spans="1:8">
      <c r="A28" s="49" t="str">
        <f>HLOOKUP(INDICE!$F$2,Nombres!$C$3:$E$853,101)</f>
        <v>Cartera de títulos</v>
      </c>
      <c r="B28" s="149">
        <v>7524.7250000000004</v>
      </c>
      <c r="C28" s="84">
        <v>7422.1850000000004</v>
      </c>
      <c r="D28" s="84">
        <v>8205.6110000000008</v>
      </c>
      <c r="E28" s="150">
        <v>8914.4719999999998</v>
      </c>
      <c r="F28" s="84">
        <v>10274.481</v>
      </c>
      <c r="G28" s="84">
        <v>9472.1869999999999</v>
      </c>
      <c r="H28" s="84">
        <v>9852.1139999999996</v>
      </c>
    </row>
    <row r="29" spans="1:8">
      <c r="A29" s="49" t="str">
        <f>HLOOKUP(INDICE!$F$2,Nombres!$C$3:$E$853,102)</f>
        <v>Inversiones crediticias</v>
      </c>
      <c r="B29" s="149">
        <v>38955.658265120001</v>
      </c>
      <c r="C29" s="84">
        <v>41202.814705199999</v>
      </c>
      <c r="D29" s="84">
        <v>43556.228403369998</v>
      </c>
      <c r="E29" s="150">
        <v>43529.37347929</v>
      </c>
      <c r="F29" s="84">
        <v>48884.88732627</v>
      </c>
      <c r="G29" s="84">
        <v>47825.721076089998</v>
      </c>
      <c r="H29" s="84">
        <v>45327.587659019999</v>
      </c>
    </row>
    <row r="30" spans="1:8">
      <c r="A30" s="49" t="str">
        <f>HLOOKUP(INDICE!$F$2,Nombres!$C$3:$E$853,103)</f>
        <v xml:space="preserve">  . Crédito a la clientela neto</v>
      </c>
      <c r="B30" s="149">
        <v>36107.741265119999</v>
      </c>
      <c r="C30" s="84">
        <v>38449.5007052</v>
      </c>
      <c r="D30" s="84">
        <v>40345.801403370002</v>
      </c>
      <c r="E30" s="150">
        <v>40741.704479289998</v>
      </c>
      <c r="F30" s="84">
        <v>44788.931326270002</v>
      </c>
      <c r="G30" s="84">
        <v>43856.425076090003</v>
      </c>
      <c r="H30" s="84">
        <v>41670.706659019997</v>
      </c>
    </row>
    <row r="31" spans="1:8">
      <c r="A31" s="49" t="str">
        <f>HLOOKUP(INDICE!$F$2,Nombres!$C$3:$E$853,104)</f>
        <v xml:space="preserve">  . Depósitos en entidades de crédito y otros</v>
      </c>
      <c r="B31" s="154">
        <v>2847.9170000000004</v>
      </c>
      <c r="C31" s="84">
        <v>2753.3139999999999</v>
      </c>
      <c r="D31" s="84">
        <v>3210.4270000000001</v>
      </c>
      <c r="E31" s="150">
        <v>2787.6689999999999</v>
      </c>
      <c r="F31" s="84">
        <v>4095.9560000000001</v>
      </c>
      <c r="G31" s="84">
        <v>3969.2959999999998</v>
      </c>
      <c r="H31" s="84">
        <v>3656.8810000000003</v>
      </c>
    </row>
    <row r="32" spans="1:8">
      <c r="A32" s="49" t="str">
        <f>HLOOKUP(INDICE!$F$2,Nombres!$C$3:$E$853,106)</f>
        <v>Activo material</v>
      </c>
      <c r="B32" s="149">
        <v>583.46600000000001</v>
      </c>
      <c r="C32" s="84">
        <v>603.971</v>
      </c>
      <c r="D32" s="84">
        <v>643.78700000000003</v>
      </c>
      <c r="E32" s="150">
        <v>688.00800000000004</v>
      </c>
      <c r="F32" s="84">
        <v>776.83900000000006</v>
      </c>
      <c r="G32" s="84">
        <v>730.87400000000002</v>
      </c>
      <c r="H32" s="84">
        <v>701.08</v>
      </c>
    </row>
    <row r="33" spans="1:8">
      <c r="A33" s="49" t="str">
        <f>HLOOKUP(INDICE!$F$2,Nombres!$C$3:$E$853,107)</f>
        <v>Otros activos</v>
      </c>
      <c r="B33" s="149">
        <v>1367.9570000000001</v>
      </c>
      <c r="C33" s="84">
        <v>1325.355</v>
      </c>
      <c r="D33" s="84">
        <v>1709.3019999999999</v>
      </c>
      <c r="E33" s="150">
        <v>1484.921</v>
      </c>
      <c r="F33" s="84">
        <v>1913.231</v>
      </c>
      <c r="G33" s="84">
        <v>1627.6610000000001</v>
      </c>
      <c r="H33" s="84">
        <v>1910.8030000000001</v>
      </c>
    </row>
    <row r="34" spans="1:8">
      <c r="A34" s="54" t="str">
        <f>HLOOKUP(INDICE!$F$2,Nombres!$C$3:$E$853,108)</f>
        <v>Total activo / pasivo</v>
      </c>
      <c r="B34" s="147">
        <v>54932.538265119998</v>
      </c>
      <c r="C34" s="83">
        <v>56714.188705200002</v>
      </c>
      <c r="D34" s="83">
        <v>61107.815403369998</v>
      </c>
      <c r="E34" s="148">
        <v>62377.404479289995</v>
      </c>
      <c r="F34" s="83">
        <v>71086.46132627</v>
      </c>
      <c r="G34" s="83">
        <v>68938.63007608999</v>
      </c>
      <c r="H34" s="83">
        <v>67133.911659019985</v>
      </c>
    </row>
    <row r="35" spans="1:8">
      <c r="A35" s="49" t="str">
        <f>HLOOKUP(INDICE!$F$2,Nombres!$C$3:$E$853,109)</f>
        <v>Depósitos de bancos centrales y entidades de crédito</v>
      </c>
      <c r="B35" s="149">
        <v>4288.4920000000002</v>
      </c>
      <c r="C35" s="84">
        <v>4255.232</v>
      </c>
      <c r="D35" s="84">
        <v>4984.1279999999997</v>
      </c>
      <c r="E35" s="150">
        <v>5397.28</v>
      </c>
      <c r="F35" s="84">
        <v>7037.7359999999999</v>
      </c>
      <c r="G35" s="84">
        <v>6399.0709999999999</v>
      </c>
      <c r="H35" s="84">
        <v>7115.8639999999996</v>
      </c>
    </row>
    <row r="36" spans="1:8">
      <c r="A36" s="49" t="str">
        <f>HLOOKUP(INDICE!$F$2,Nombres!$C$3:$E$853,110)</f>
        <v>Depósitos de la clientela</v>
      </c>
      <c r="B36" s="149">
        <v>35425.031000000003</v>
      </c>
      <c r="C36" s="84">
        <v>36544.713000000003</v>
      </c>
      <c r="D36" s="84">
        <v>37450.915000000001</v>
      </c>
      <c r="E36" s="150">
        <v>38028.938000000002</v>
      </c>
      <c r="F36" s="84">
        <v>42110.754000000001</v>
      </c>
      <c r="G36" s="84">
        <v>41320.053999999996</v>
      </c>
      <c r="H36" s="84">
        <v>38987.339999999997</v>
      </c>
    </row>
    <row r="37" spans="1:8">
      <c r="A37" s="49" t="str">
        <f>HLOOKUP(INDICE!$F$2,Nombres!$C$3:$E$853,111)</f>
        <v>Débitos representados por valores negociables</v>
      </c>
      <c r="B37" s="149">
        <v>3783.181</v>
      </c>
      <c r="C37" s="84">
        <v>4266.3980000000001</v>
      </c>
      <c r="D37" s="84">
        <v>4656.8329999999996</v>
      </c>
      <c r="E37" s="150">
        <v>4676.7370000000001</v>
      </c>
      <c r="F37" s="84">
        <v>5314.7269999999999</v>
      </c>
      <c r="G37" s="84">
        <v>5119.1760000000004</v>
      </c>
      <c r="H37" s="84">
        <v>4659.7150000000001</v>
      </c>
    </row>
    <row r="38" spans="1:8" ht="13.5" customHeight="1">
      <c r="A38" s="49" t="str">
        <f>HLOOKUP(INDICE!$F$2,Nombres!$C$3:$E$853,112)</f>
        <v>Pasivos subordinados</v>
      </c>
      <c r="B38" s="149">
        <v>1243.00833878</v>
      </c>
      <c r="C38" s="84">
        <v>1262.39333878</v>
      </c>
      <c r="D38" s="84">
        <v>1540.7953384899999</v>
      </c>
      <c r="E38" s="150">
        <v>1658.23633849</v>
      </c>
      <c r="F38" s="84">
        <v>1813.877</v>
      </c>
      <c r="G38" s="84">
        <v>2056.328</v>
      </c>
      <c r="H38" s="84">
        <v>1927.05</v>
      </c>
    </row>
    <row r="39" spans="1:8">
      <c r="A39" s="49" t="str">
        <f>HLOOKUP(INDICE!$F$2,Nombres!$C$3:$E$853,114)</f>
        <v>Cartera de negociación</v>
      </c>
      <c r="B39" s="149">
        <v>1356.4179999999999</v>
      </c>
      <c r="C39" s="84">
        <v>1376.1690000000001</v>
      </c>
      <c r="D39" s="84">
        <v>2405.1080000000002</v>
      </c>
      <c r="E39" s="150">
        <v>2647.652</v>
      </c>
      <c r="F39" s="84">
        <v>3659.2510000000002</v>
      </c>
      <c r="G39" s="84">
        <v>3444.7620000000002</v>
      </c>
      <c r="H39" s="84">
        <v>4025.027</v>
      </c>
    </row>
    <row r="40" spans="1:8">
      <c r="A40" s="49" t="str">
        <f>HLOOKUP(INDICE!$F$2,Nombres!$C$3:$E$853,115)</f>
        <v>Otros pasivos</v>
      </c>
      <c r="B40" s="149">
        <v>6621.7139363400029</v>
      </c>
      <c r="C40" s="84">
        <v>6704.4581764199984</v>
      </c>
      <c r="D40" s="84">
        <v>7743.0415725999947</v>
      </c>
      <c r="E40" s="150">
        <v>7609.0979143099894</v>
      </c>
      <c r="F40" s="84">
        <v>8594.0143462699925</v>
      </c>
      <c r="G40" s="84">
        <v>8120.4909160899952</v>
      </c>
      <c r="H40" s="84">
        <v>8151.5212423399807</v>
      </c>
    </row>
    <row r="41" spans="1:8" ht="12.75" customHeight="1">
      <c r="A41" s="49" t="str">
        <f>HLOOKUP(INDICE!$F$2,Nombres!$C$3:$E$853,116)</f>
        <v>Dotación de capital económico</v>
      </c>
      <c r="B41" s="149">
        <v>2214.6939900000002</v>
      </c>
      <c r="C41" s="84">
        <v>2304.82519</v>
      </c>
      <c r="D41" s="84">
        <v>2326.99449228</v>
      </c>
      <c r="E41" s="150">
        <v>2359.4632264900001</v>
      </c>
      <c r="F41" s="84">
        <v>2556.1019799999999</v>
      </c>
      <c r="G41" s="84">
        <v>2478.7481600000001</v>
      </c>
      <c r="H41" s="84">
        <v>2267.3944166800002</v>
      </c>
    </row>
    <row r="42" spans="1:8" ht="15" customHeight="1">
      <c r="A42" s="144" t="str">
        <f>HLOOKUP(INDICE!$F$2,Nombres!$C$3:$E$853,117)</f>
        <v>Indicadores relevantes</v>
      </c>
      <c r="F42" s="151"/>
      <c r="G42" s="74"/>
      <c r="H42" s="74"/>
    </row>
    <row r="43" spans="1:8" ht="13.5" customHeight="1">
      <c r="A43" s="144" t="str">
        <f>HLOOKUP(INDICE!$F$2,Nombres!$C$3:$E$853,201)</f>
        <v>Anexo:</v>
      </c>
      <c r="F43" s="151"/>
      <c r="G43" s="74"/>
      <c r="H43" s="74"/>
    </row>
    <row r="44" spans="1:8" ht="12.75" customHeight="1">
      <c r="A44" s="41" t="str">
        <f>HLOOKUP(INDICE!$F$2,Nombres!$C$3:$E$853,30)</f>
        <v>(Millones de euros)</v>
      </c>
      <c r="B44" s="81">
        <v>41729</v>
      </c>
      <c r="C44" s="82">
        <v>41820</v>
      </c>
      <c r="D44" s="82">
        <v>41912</v>
      </c>
      <c r="E44" s="82">
        <v>42004</v>
      </c>
      <c r="F44" s="81">
        <v>42094</v>
      </c>
      <c r="G44" s="82">
        <v>42185</v>
      </c>
      <c r="H44" s="82">
        <v>42277</v>
      </c>
    </row>
    <row r="45" spans="1:8" ht="12" customHeight="1">
      <c r="A45" s="49" t="str">
        <f>HLOOKUP(INDICE!$F$2,Nombres!$C$3:$E$853,118)</f>
        <v>Crédito a la clientela bruto (*)</v>
      </c>
      <c r="B45" s="155">
        <v>37230.736593519992</v>
      </c>
      <c r="C45" s="157">
        <v>39635.294155199997</v>
      </c>
      <c r="D45" s="157">
        <v>41519.935263899999</v>
      </c>
      <c r="E45" s="157">
        <v>41965.509479289998</v>
      </c>
      <c r="F45" s="155">
        <v>46119.550261260003</v>
      </c>
      <c r="G45" s="157">
        <v>45177.806116740001</v>
      </c>
      <c r="H45" s="157">
        <v>42890.792158519995</v>
      </c>
    </row>
    <row r="46" spans="1:8">
      <c r="A46" s="49" t="str">
        <f>HLOOKUP(INDICE!$F$2,Nombres!$C$3:$E$853,121)</f>
        <v>Depósitos de clientes en gestión (**)</v>
      </c>
      <c r="B46" s="155">
        <v>35431.981850960001</v>
      </c>
      <c r="C46" s="157">
        <v>36298.976480800004</v>
      </c>
      <c r="D46" s="157">
        <v>37579.756353210003</v>
      </c>
      <c r="E46" s="157">
        <v>38287.088357280001</v>
      </c>
      <c r="F46" s="155">
        <v>42312.558410199999</v>
      </c>
      <c r="G46" s="157">
        <v>41288.478703549998</v>
      </c>
      <c r="H46" s="157">
        <v>39193.798427499998</v>
      </c>
    </row>
    <row r="47" spans="1:8">
      <c r="A47" s="49" t="str">
        <f>HLOOKUP(INDICE!$F$2,Nombres!$C$3:$E$853,122)</f>
        <v>Fondos de inversión</v>
      </c>
      <c r="B47" s="155">
        <v>3210.2622511999998</v>
      </c>
      <c r="C47" s="157">
        <v>3161.0740417799998</v>
      </c>
      <c r="D47" s="157">
        <v>3725.6479875499999</v>
      </c>
      <c r="E47" s="157">
        <v>3838.2552492599998</v>
      </c>
      <c r="F47" s="155">
        <v>4399.1454865599999</v>
      </c>
      <c r="G47" s="157">
        <v>4327.0486149199996</v>
      </c>
      <c r="H47" s="157">
        <v>4819.0165910200003</v>
      </c>
    </row>
    <row r="48" spans="1:8">
      <c r="A48" s="49" t="str">
        <f>HLOOKUP(INDICE!$F$2,Nombres!$C$3:$E$853,206)</f>
        <v>Fondos de pensiones</v>
      </c>
      <c r="B48" s="155">
        <v>3656.4477285299999</v>
      </c>
      <c r="C48" s="157">
        <v>3828.2085989000002</v>
      </c>
      <c r="D48" s="157">
        <v>4285.0318874900004</v>
      </c>
      <c r="E48" s="157">
        <v>4631.6069399400003</v>
      </c>
      <c r="F48" s="155">
        <v>5410.9752847899999</v>
      </c>
      <c r="G48" s="157">
        <v>5381.2153253200004</v>
      </c>
      <c r="H48" s="157">
        <v>5585.62164407</v>
      </c>
    </row>
    <row r="49" spans="1:8">
      <c r="A49" s="49" t="str">
        <f>HLOOKUP(INDICE!$F$2,Nombres!$C$3:$E$853,308)</f>
        <v>Otros recursos fuera de balance</v>
      </c>
      <c r="B49" s="238">
        <v>0</v>
      </c>
      <c r="C49" s="239">
        <v>0</v>
      </c>
      <c r="D49" s="239">
        <v>0</v>
      </c>
      <c r="E49" s="239">
        <v>0</v>
      </c>
      <c r="F49" s="238">
        <v>0</v>
      </c>
      <c r="G49" s="239">
        <v>0</v>
      </c>
      <c r="H49" s="239">
        <v>0</v>
      </c>
    </row>
    <row r="50" spans="1:8">
      <c r="A50" s="156" t="str">
        <f>HLOOKUP(INDICE!$F$2,Nombres!$C$3:$E$853,307)</f>
        <v>(*) No incluye las adquisiciones temporales de activos.</v>
      </c>
      <c r="B50" s="157"/>
      <c r="C50" s="157"/>
      <c r="D50" s="157"/>
      <c r="E50" s="157"/>
      <c r="F50" s="157"/>
      <c r="G50" s="157"/>
      <c r="H50" s="157"/>
    </row>
    <row r="51" spans="1:8">
      <c r="A51" s="156" t="str">
        <f>HLOOKUP(INDICE!$F$2,Nombres!$C$3:$E$853,284)</f>
        <v>(**) No incluye las cesiones temporales de activos e incluye determinados valores negociables.</v>
      </c>
      <c r="C51"/>
      <c r="D51"/>
      <c r="E51"/>
    </row>
    <row r="52" spans="1:8" ht="18">
      <c r="A52" s="144" t="str">
        <f>HLOOKUP(INDICE!$F$2,Nombres!$C$3:$E$853,93)</f>
        <v xml:space="preserve">Cuentas de resultados  </v>
      </c>
      <c r="C52" s="145"/>
      <c r="D52" s="145"/>
      <c r="E52" s="145"/>
      <c r="G52" s="74"/>
      <c r="H52" s="74"/>
    </row>
    <row r="53" spans="1:8">
      <c r="A53" s="41" t="str">
        <f>HLOOKUP(INDICE!$F$2,Nombres!$C$3:$E$853,31)</f>
        <v>(Millones de euros constantes)</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1er Trim.</v>
      </c>
      <c r="C55" s="146" t="str">
        <f>HLOOKUP(INDICE!$F$2,Nombres!$C$3:$E$857,35)</f>
        <v>2º Trim.</v>
      </c>
      <c r="D55" s="146" t="str">
        <f>HLOOKUP(INDICE!$F$2,Nombres!$C$3:$E$857,36)</f>
        <v>3er Trim.</v>
      </c>
      <c r="E55" s="146" t="str">
        <f>HLOOKUP(INDICE!$F$2,Nombres!$C$3:$E$857,37)</f>
        <v>4º Trim.</v>
      </c>
      <c r="F55" s="146" t="str">
        <f>HLOOKUP(INDICE!$F$2,Nombres!$C$3:$E$857,34)</f>
        <v>1er Trim.</v>
      </c>
      <c r="G55" s="146" t="str">
        <f>HLOOKUP(INDICE!$F$2,Nombres!$C$3:$E$857,35)</f>
        <v>2º Trim.</v>
      </c>
      <c r="H55" s="146" t="str">
        <f>HLOOKUP(INDICE!$F$2,Nombres!$C$3:$E$857,36)</f>
        <v>3er Trim.</v>
      </c>
    </row>
    <row r="56" spans="1:8">
      <c r="A56" s="54" t="str">
        <f>HLOOKUP(INDICE!$F$2,Nombres!$C$3:$E$853,38)</f>
        <v>Margen de intereses</v>
      </c>
      <c r="B56" s="147">
        <v>659.74965806379998</v>
      </c>
      <c r="C56" s="83">
        <v>700.62615988249991</v>
      </c>
      <c r="D56" s="83">
        <v>704.7671535124</v>
      </c>
      <c r="E56" s="148">
        <v>771.60905457280001</v>
      </c>
      <c r="F56" s="54">
        <v>740.58624539150003</v>
      </c>
      <c r="G56" s="54">
        <v>773.78309992160007</v>
      </c>
      <c r="H56" s="54">
        <v>792.37934325690003</v>
      </c>
    </row>
    <row r="57" spans="1:8">
      <c r="A57" s="49" t="str">
        <f>HLOOKUP(INDICE!$F$2,Nombres!$C$3:$E$853,39)</f>
        <v>Comisiones</v>
      </c>
      <c r="B57" s="149">
        <v>142.64015335619999</v>
      </c>
      <c r="C57" s="84">
        <v>160.8781382832</v>
      </c>
      <c r="D57" s="84">
        <v>162.84183378669999</v>
      </c>
      <c r="E57" s="150">
        <v>161.56773161149999</v>
      </c>
      <c r="F57" s="73">
        <v>164.22653421090001</v>
      </c>
      <c r="G57" s="73">
        <v>174.17520149609999</v>
      </c>
      <c r="H57" s="73">
        <v>180.44997815300002</v>
      </c>
    </row>
    <row r="58" spans="1:8">
      <c r="A58" s="49" t="str">
        <f>HLOOKUP(INDICE!$F$2,Nombres!$C$3:$E$853,40)</f>
        <v>Resultados de operaciones financieras</v>
      </c>
      <c r="B58" s="149">
        <v>85.199782016699999</v>
      </c>
      <c r="C58" s="84">
        <v>87.923791835900005</v>
      </c>
      <c r="D58" s="84">
        <v>119.3369125613</v>
      </c>
      <c r="E58" s="150">
        <v>95.525516534999994</v>
      </c>
      <c r="F58" s="73">
        <v>105.5112379322</v>
      </c>
      <c r="G58" s="73">
        <v>106.25958929559999</v>
      </c>
      <c r="H58" s="73">
        <v>103.6794997722</v>
      </c>
    </row>
    <row r="59" spans="1:8" ht="17.25" customHeight="1">
      <c r="A59" s="49" t="str">
        <f>HLOOKUP(INDICE!$F$2,Nombres!$C$3:$E$853,95)</f>
        <v>Otros ingresos netos</v>
      </c>
      <c r="B59" s="149">
        <v>19.124816405899999</v>
      </c>
      <c r="C59" s="84">
        <v>25.287976253</v>
      </c>
      <c r="D59" s="84">
        <v>24.527674809600001</v>
      </c>
      <c r="E59" s="150">
        <v>18.642489612600002</v>
      </c>
      <c r="F59" s="73">
        <v>24.901360398800001</v>
      </c>
      <c r="G59" s="73">
        <v>21.986513234499999</v>
      </c>
      <c r="H59" s="73">
        <v>31.795125346799999</v>
      </c>
    </row>
    <row r="60" spans="1:8" ht="15.75" customHeight="1">
      <c r="A60" s="54" t="str">
        <f>HLOOKUP(INDICE!$F$2,Nombres!$C$3:$E$853,44)</f>
        <v>Margen bruto</v>
      </c>
      <c r="B60" s="147">
        <v>906.71440984280002</v>
      </c>
      <c r="C60" s="83">
        <v>974.71606625459992</v>
      </c>
      <c r="D60" s="83">
        <v>1011.4735746699999</v>
      </c>
      <c r="E60" s="148">
        <v>1047.3447923319</v>
      </c>
      <c r="F60" s="54">
        <v>1035.2253779334999</v>
      </c>
      <c r="G60" s="54">
        <v>1076.2044039477</v>
      </c>
      <c r="H60" s="54">
        <v>1108.3039465288998</v>
      </c>
    </row>
    <row r="61" spans="1:8">
      <c r="A61" s="49" t="str">
        <f>HLOOKUP(INDICE!$F$2,Nombres!$C$3:$E$853,45)</f>
        <v>Gastos de explotación</v>
      </c>
      <c r="B61" s="149">
        <v>-415.22568604140002</v>
      </c>
      <c r="C61" s="84">
        <v>-428.3072609216</v>
      </c>
      <c r="D61" s="84">
        <v>-439.62203597630003</v>
      </c>
      <c r="E61" s="150">
        <v>-451.6542187192</v>
      </c>
      <c r="F61" s="73">
        <v>-475.78576470029998</v>
      </c>
      <c r="G61" s="73">
        <v>-479.48625867300007</v>
      </c>
      <c r="H61" s="73">
        <v>-497.39517456660002</v>
      </c>
    </row>
    <row r="62" spans="1:8">
      <c r="A62" s="49" t="str">
        <f>HLOOKUP(INDICE!$F$2,Nombres!$C$3:$E$853,46)</f>
        <v xml:space="preserve">  Gastos de administración</v>
      </c>
      <c r="B62" s="149">
        <v>-392.19432234879991</v>
      </c>
      <c r="C62" s="84">
        <v>-406.1626156602</v>
      </c>
      <c r="D62" s="84">
        <v>-415.9251756379</v>
      </c>
      <c r="E62" s="150">
        <v>-432.24615122320006</v>
      </c>
      <c r="F62" s="73">
        <v>-451.54789491460002</v>
      </c>
      <c r="G62" s="73">
        <v>-456.134243857</v>
      </c>
      <c r="H62" s="73">
        <v>-474.89446677849992</v>
      </c>
    </row>
    <row r="63" spans="1:8">
      <c r="A63" s="189" t="str">
        <f>HLOOKUP(INDICE!$F$2,Nombres!$C$3:$E$853,47)</f>
        <v xml:space="preserve">  Gastos de personal</v>
      </c>
      <c r="B63" s="149">
        <v>-217.58354861719999</v>
      </c>
      <c r="C63" s="84">
        <v>-225.54388693279998</v>
      </c>
      <c r="D63" s="84">
        <v>-224.41283881680002</v>
      </c>
      <c r="E63" s="150">
        <v>-229.73778482270001</v>
      </c>
      <c r="F63" s="73">
        <v>-253.88308964940001</v>
      </c>
      <c r="G63" s="73">
        <v>-247.74295371490001</v>
      </c>
      <c r="H63" s="73">
        <v>-256.06399056559997</v>
      </c>
    </row>
    <row r="64" spans="1:8">
      <c r="A64" s="189" t="str">
        <f>HLOOKUP(INDICE!$F$2,Nombres!$C$3:$E$853,48)</f>
        <v xml:space="preserve">  Otros gastos generales de administración</v>
      </c>
      <c r="B64" s="149">
        <v>-174.61077373170002</v>
      </c>
      <c r="C64" s="84">
        <v>-180.61872872729998</v>
      </c>
      <c r="D64" s="84">
        <v>-191.51233682100002</v>
      </c>
      <c r="E64" s="150">
        <v>-202.50836640030002</v>
      </c>
      <c r="F64" s="73">
        <v>-197.66480526499998</v>
      </c>
      <c r="G64" s="73">
        <v>-208.39129014219998</v>
      </c>
      <c r="H64" s="73">
        <v>-218.83047621280002</v>
      </c>
    </row>
    <row r="65" spans="1:8" ht="13.5" customHeight="1">
      <c r="A65" s="49" t="str">
        <f>HLOOKUP(INDICE!$F$2,Nombres!$C$3:$E$853,49)</f>
        <v xml:space="preserve">  Amortizaciones</v>
      </c>
      <c r="B65" s="149">
        <v>-23.031363692500001</v>
      </c>
      <c r="C65" s="84">
        <v>-22.144645261299999</v>
      </c>
      <c r="D65" s="84">
        <v>-23.696860338699999</v>
      </c>
      <c r="E65" s="150">
        <v>-19.408067496099996</v>
      </c>
      <c r="F65" s="73">
        <v>-24.237869785699999</v>
      </c>
      <c r="G65" s="73">
        <v>-23.352014816000001</v>
      </c>
      <c r="H65" s="73">
        <v>-22.500707788300002</v>
      </c>
    </row>
    <row r="66" spans="1:8" ht="14.25" customHeight="1">
      <c r="A66" s="54" t="str">
        <f>HLOOKUP(INDICE!$F$2,Nombres!$C$3:$E$853,50)</f>
        <v>Margen neto</v>
      </c>
      <c r="B66" s="147">
        <v>491.48872380140006</v>
      </c>
      <c r="C66" s="83">
        <v>546.40880533300003</v>
      </c>
      <c r="D66" s="83">
        <v>571.85153869360011</v>
      </c>
      <c r="E66" s="148">
        <v>595.69057361260002</v>
      </c>
      <c r="F66" s="54">
        <v>559.43961323310009</v>
      </c>
      <c r="G66" s="54">
        <v>596.71814527469996</v>
      </c>
      <c r="H66" s="54">
        <v>610.90877196220003</v>
      </c>
    </row>
    <row r="67" spans="1:8">
      <c r="A67" s="49" t="str">
        <f>HLOOKUP(INDICE!$F$2,Nombres!$C$3:$E$853,51)</f>
        <v>Pérdidas por deterioro de activos financieros</v>
      </c>
      <c r="B67" s="149">
        <v>-118.81483495890001</v>
      </c>
      <c r="C67" s="84">
        <v>-121.87489883559999</v>
      </c>
      <c r="D67" s="84">
        <v>-129.7494294956</v>
      </c>
      <c r="E67" s="150">
        <v>-113.1685230778</v>
      </c>
      <c r="F67" s="73">
        <v>-129.5162830534</v>
      </c>
      <c r="G67" s="73">
        <v>-161.7152200466</v>
      </c>
      <c r="H67" s="73">
        <v>-141.13149822989999</v>
      </c>
    </row>
    <row r="68" spans="1:8" ht="16.5" customHeight="1">
      <c r="A68" s="49" t="str">
        <f>HLOOKUP(INDICE!$F$2,Nombres!$C$3:$E$853,160)</f>
        <v>Dotaciones a provisiones y otros resultados</v>
      </c>
      <c r="B68" s="149">
        <v>-10.636955480500001</v>
      </c>
      <c r="C68" s="84">
        <v>-9.6285730361999988</v>
      </c>
      <c r="D68" s="84">
        <v>-26.033021193500002</v>
      </c>
      <c r="E68" s="150">
        <v>-75.289365076700008</v>
      </c>
      <c r="F68" s="73">
        <v>-21.128777299900001</v>
      </c>
      <c r="G68" s="73">
        <v>6.0070536346000019</v>
      </c>
      <c r="H68" s="73">
        <v>-14.7372770348</v>
      </c>
    </row>
    <row r="69" spans="1:8" ht="12.75" customHeight="1">
      <c r="A69" s="54" t="str">
        <f>HLOOKUP(INDICE!$F$2,Nombres!$C$3:$E$853,54)</f>
        <v>Beneficio antes de impuestos</v>
      </c>
      <c r="B69" s="147">
        <v>362.03693336200001</v>
      </c>
      <c r="C69" s="83">
        <v>414.90533346140001</v>
      </c>
      <c r="D69" s="83">
        <v>416.06908800459996</v>
      </c>
      <c r="E69" s="148">
        <v>407.23268545809998</v>
      </c>
      <c r="F69" s="54">
        <v>408.79455287960002</v>
      </c>
      <c r="G69" s="54">
        <v>441.00997886280004</v>
      </c>
      <c r="H69" s="54">
        <v>455.03999669749999</v>
      </c>
    </row>
    <row r="70" spans="1:8" ht="13.5" customHeight="1">
      <c r="A70" s="49" t="str">
        <f>HLOOKUP(INDICE!$F$2,Nombres!$C$3:$E$853,55)</f>
        <v>Impuesto sobre beneficios</v>
      </c>
      <c r="B70" s="149">
        <v>-94.956366343500008</v>
      </c>
      <c r="C70" s="84">
        <v>-101.5051889409</v>
      </c>
      <c r="D70" s="84">
        <v>-89.857680225899998</v>
      </c>
      <c r="E70" s="150">
        <v>-110.0846915704</v>
      </c>
      <c r="F70" s="73">
        <v>-120.0943367439</v>
      </c>
      <c r="G70" s="73">
        <v>-108.64906557539999</v>
      </c>
      <c r="H70" s="73">
        <v>-131.84525591069999</v>
      </c>
    </row>
    <row r="71" spans="1:8" ht="12.75" customHeight="1">
      <c r="A71" s="54" t="str">
        <f>HLOOKUP(INDICE!$F$2,Nombres!$C$3:$E$853,56)</f>
        <v>Beneficio después de impuestos</v>
      </c>
      <c r="B71" s="147">
        <v>267.08056701850001</v>
      </c>
      <c r="C71" s="83">
        <v>313.40014452050002</v>
      </c>
      <c r="D71" s="83">
        <v>326.21140777869999</v>
      </c>
      <c r="E71" s="148">
        <v>297.1479938878</v>
      </c>
      <c r="F71" s="54">
        <v>288.70021613569997</v>
      </c>
      <c r="G71" s="54">
        <v>332.36091328730004</v>
      </c>
      <c r="H71" s="54">
        <v>323.194740787</v>
      </c>
    </row>
    <row r="72" spans="1:8" ht="12.75" customHeight="1">
      <c r="A72" s="49" t="str">
        <f>HLOOKUP(INDICE!$F$2,Nombres!$C$3:$E$853,57)</f>
        <v>Resultado atribuido a la minoría</v>
      </c>
      <c r="B72" s="149">
        <v>-76.283085302100005</v>
      </c>
      <c r="C72" s="84">
        <v>-87.997572066900005</v>
      </c>
      <c r="D72" s="84">
        <v>-99.275364357800001</v>
      </c>
      <c r="E72" s="150">
        <v>-87.489702871300011</v>
      </c>
      <c r="F72" s="73">
        <v>-83.119158482399996</v>
      </c>
      <c r="G72" s="73">
        <v>-87.825716214099998</v>
      </c>
      <c r="H72" s="73">
        <v>-84.566462573500004</v>
      </c>
    </row>
    <row r="73" spans="1:8" ht="15" customHeight="1">
      <c r="A73" s="54" t="str">
        <f>HLOOKUP(INDICE!$F$2,Nombres!$C$3:$E$853,58)</f>
        <v>Beneficio atribuido al Grupo</v>
      </c>
      <c r="B73" s="147">
        <v>190.7974817164</v>
      </c>
      <c r="C73" s="83">
        <v>225.4025724535</v>
      </c>
      <c r="D73" s="83">
        <v>226.93604342089998</v>
      </c>
      <c r="E73" s="148">
        <v>209.6582910164</v>
      </c>
      <c r="F73" s="54">
        <v>205.58105765329998</v>
      </c>
      <c r="G73" s="54">
        <v>244.53519707319998</v>
      </c>
      <c r="H73" s="54">
        <v>238.62827821339999</v>
      </c>
    </row>
    <row r="74" spans="1:8" s="169" customFormat="1" ht="15" customHeight="1">
      <c r="A74" s="190"/>
      <c r="B74" s="191"/>
      <c r="C74" s="191"/>
      <c r="D74" s="191"/>
      <c r="E74" s="191"/>
      <c r="F74" s="190"/>
      <c r="G74" s="190"/>
      <c r="H74" s="190"/>
    </row>
    <row r="75" spans="1:8" ht="15.75" customHeight="1">
      <c r="A75" s="144" t="str">
        <f>HLOOKUP(INDICE!$F$2,Nombres!$C$3:$E$853,94)</f>
        <v>Balances</v>
      </c>
      <c r="G75" s="74"/>
      <c r="H75" s="74"/>
    </row>
    <row r="76" spans="1:8">
      <c r="A76" s="41" t="str">
        <f>HLOOKUP(INDICE!$F$2,Nombres!$C$3:$E$853,31)</f>
        <v>(Millones de euros constantes)</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Caja y depósitos en bancos centrales</v>
      </c>
      <c r="B78" s="149">
        <v>6444.4883988225001</v>
      </c>
      <c r="C78" s="84">
        <v>6019.3397382581998</v>
      </c>
      <c r="D78" s="84">
        <v>6687.9551152063004</v>
      </c>
      <c r="E78" s="150">
        <v>7443.0331524562998</v>
      </c>
      <c r="F78" s="158">
        <v>8142.8555000111</v>
      </c>
      <c r="G78" s="84">
        <v>8821.6708539712999</v>
      </c>
      <c r="H78" s="84">
        <v>9342.3269999999993</v>
      </c>
    </row>
    <row r="79" spans="1:8">
      <c r="A79" s="49" t="str">
        <f>HLOOKUP(INDICE!$F$2,Nombres!$C$3:$E$853,101)</f>
        <v>Cartera de títulos</v>
      </c>
      <c r="B79" s="149">
        <v>6923.6200558337996</v>
      </c>
      <c r="C79" s="84">
        <v>6761.3935663801003</v>
      </c>
      <c r="D79" s="84">
        <v>7527.6163927783</v>
      </c>
      <c r="E79" s="150">
        <v>8234.9426531936006</v>
      </c>
      <c r="F79" s="158">
        <v>8946.7381286220007</v>
      </c>
      <c r="G79" s="84">
        <v>8637.1455937221999</v>
      </c>
      <c r="H79" s="84">
        <v>9852.1139999999996</v>
      </c>
    </row>
    <row r="80" spans="1:8">
      <c r="A80" s="49" t="str">
        <f>HLOOKUP(INDICE!$F$2,Nombres!$C$3:$E$853,102)</f>
        <v>Inversiones crediticias</v>
      </c>
      <c r="B80" s="149">
        <v>37064.760239788702</v>
      </c>
      <c r="C80" s="84">
        <v>38359.502113340102</v>
      </c>
      <c r="D80" s="84">
        <v>39796.742570433198</v>
      </c>
      <c r="E80" s="150">
        <v>40488.440416150297</v>
      </c>
      <c r="F80" s="158">
        <v>42159.0290164006</v>
      </c>
      <c r="G80" s="84">
        <v>43725.657370601002</v>
      </c>
      <c r="H80" s="84">
        <v>45327.587659019999</v>
      </c>
    </row>
    <row r="81" spans="1:8">
      <c r="A81" s="49" t="str">
        <f>HLOOKUP(INDICE!$F$2,Nombres!$C$3:$E$853,103)</f>
        <v xml:space="preserve">  . Crédito a la clientela neto</v>
      </c>
      <c r="B81" s="149">
        <v>34315.171929789802</v>
      </c>
      <c r="C81" s="84">
        <v>35695.314607277498</v>
      </c>
      <c r="D81" s="84">
        <v>36732.460916285301</v>
      </c>
      <c r="E81" s="150">
        <v>37869.839687326697</v>
      </c>
      <c r="F81" s="158">
        <v>38626.151122220203</v>
      </c>
      <c r="G81" s="84">
        <v>40093.358058700498</v>
      </c>
      <c r="H81" s="84">
        <v>41670.706659019997</v>
      </c>
    </row>
    <row r="82" spans="1:8">
      <c r="A82" s="49" t="str">
        <f>HLOOKUP(INDICE!$F$2,Nombres!$C$3:$E$853,104)</f>
        <v xml:space="preserve">  . Depósitos en entidades de crédito y otros</v>
      </c>
      <c r="B82" s="149">
        <v>2749.5883099989001</v>
      </c>
      <c r="C82" s="84">
        <v>2664.1875060625998</v>
      </c>
      <c r="D82" s="84">
        <v>3064.2816541479001</v>
      </c>
      <c r="E82" s="150">
        <v>2618.6007288235</v>
      </c>
      <c r="F82" s="158">
        <v>3532.8778941803998</v>
      </c>
      <c r="G82" s="84">
        <v>3632.2993119005</v>
      </c>
      <c r="H82" s="84">
        <v>3656.8810000000003</v>
      </c>
    </row>
    <row r="83" spans="1:8">
      <c r="A83" s="49" t="str">
        <f>HLOOKUP(INDICE!$F$2,Nombres!$C$3:$E$853,106)</f>
        <v>Activo material</v>
      </c>
      <c r="B83" s="149">
        <v>575.01110291509997</v>
      </c>
      <c r="C83" s="84">
        <v>587.66981892460001</v>
      </c>
      <c r="D83" s="84">
        <v>609.70421331249997</v>
      </c>
      <c r="E83" s="150">
        <v>655.65552835649999</v>
      </c>
      <c r="F83" s="158">
        <v>683.98538682189997</v>
      </c>
      <c r="G83" s="84">
        <v>685.21786535210003</v>
      </c>
      <c r="H83" s="84">
        <v>701.08</v>
      </c>
    </row>
    <row r="84" spans="1:8">
      <c r="A84" s="49" t="str">
        <f>HLOOKUP(INDICE!$F$2,Nombres!$C$3:$E$853,107)</f>
        <v>Otros activos</v>
      </c>
      <c r="B84" s="149">
        <v>1336.6770486396999</v>
      </c>
      <c r="C84" s="84">
        <v>1256.0870773102999</v>
      </c>
      <c r="D84" s="84">
        <v>1596.014852192</v>
      </c>
      <c r="E84" s="150">
        <v>1403.2634403451</v>
      </c>
      <c r="F84" s="158">
        <v>1669.7922765197</v>
      </c>
      <c r="G84" s="84">
        <v>1488.5541607297</v>
      </c>
      <c r="H84" s="84">
        <v>1910.8030000000001</v>
      </c>
    </row>
    <row r="85" spans="1:8">
      <c r="A85" s="54" t="str">
        <f>HLOOKUP(INDICE!$F$2,Nombres!$C$3:$E$853,108)</f>
        <v>Total activo / pasivo</v>
      </c>
      <c r="B85" s="147">
        <v>52344.556845999803</v>
      </c>
      <c r="C85" s="83">
        <v>52983.992314213305</v>
      </c>
      <c r="D85" s="83">
        <v>56218.033143922199</v>
      </c>
      <c r="E85" s="148">
        <v>58225.335190501799</v>
      </c>
      <c r="F85" s="147">
        <v>61602.4003083754</v>
      </c>
      <c r="G85" s="83">
        <v>63358.245844376295</v>
      </c>
      <c r="H85" s="83">
        <v>67133.911659019985</v>
      </c>
    </row>
    <row r="86" spans="1:8">
      <c r="A86" s="49" t="str">
        <f>HLOOKUP(INDICE!$F$2,Nombres!$C$3:$E$853,109)</f>
        <v>Depósitos de bancos centrales y entidades de crédito</v>
      </c>
      <c r="B86" s="149">
        <v>4253.9725755648997</v>
      </c>
      <c r="C86" s="84">
        <v>4154.4385084063997</v>
      </c>
      <c r="D86" s="84">
        <v>4828.4248506352997</v>
      </c>
      <c r="E86" s="150">
        <v>5121.8805762533002</v>
      </c>
      <c r="F86" s="158">
        <v>6162.8383256385996</v>
      </c>
      <c r="G86" s="84">
        <v>6022.4491959058996</v>
      </c>
      <c r="H86" s="84">
        <v>7115.8639999999996</v>
      </c>
    </row>
    <row r="87" spans="1:8">
      <c r="A87" s="49" t="str">
        <f>HLOOKUP(INDICE!$F$2,Nombres!$C$3:$E$853,110)</f>
        <v>Depósitos de la clientela</v>
      </c>
      <c r="B87" s="149">
        <v>33320.752213703898</v>
      </c>
      <c r="C87" s="84">
        <v>33667.980179122002</v>
      </c>
      <c r="D87" s="84">
        <v>33891.1793838761</v>
      </c>
      <c r="E87" s="150">
        <v>35264.703913220103</v>
      </c>
      <c r="F87" s="158">
        <v>36300.160919967297</v>
      </c>
      <c r="G87" s="84">
        <v>37862.333430171901</v>
      </c>
      <c r="H87" s="84">
        <v>38987.339999999997</v>
      </c>
    </row>
    <row r="88" spans="1:8">
      <c r="A88" s="49" t="str">
        <f>HLOOKUP(INDICE!$F$2,Nombres!$C$3:$E$853,111)</f>
        <v>Débitos representados por valores negociables</v>
      </c>
      <c r="B88" s="149">
        <v>3763.0549563376999</v>
      </c>
      <c r="C88" s="84">
        <v>4177.3485513047999</v>
      </c>
      <c r="D88" s="84">
        <v>4489.7673533485004</v>
      </c>
      <c r="E88" s="150">
        <v>4459.9757510678</v>
      </c>
      <c r="F88" s="158">
        <v>4656.4220463110996</v>
      </c>
      <c r="G88" s="84">
        <v>4747.6501271199004</v>
      </c>
      <c r="H88" s="84">
        <v>4659.7150000000001</v>
      </c>
    </row>
    <row r="89" spans="1:8">
      <c r="A89" s="49" t="str">
        <f>HLOOKUP(INDICE!$F$2,Nombres!$C$3:$E$853,112)</f>
        <v>Pasivos subordinados</v>
      </c>
      <c r="B89" s="149">
        <v>1178.5989568917</v>
      </c>
      <c r="C89" s="84">
        <v>1172.1464396157</v>
      </c>
      <c r="D89" s="84">
        <v>1436.2190689633001</v>
      </c>
      <c r="E89" s="150">
        <v>1549.6619295839</v>
      </c>
      <c r="F89" s="158">
        <v>1576.3993584284999</v>
      </c>
      <c r="G89" s="84">
        <v>1857.4317168579</v>
      </c>
      <c r="H89" s="84">
        <v>1927.05</v>
      </c>
    </row>
    <row r="90" spans="1:8">
      <c r="A90" s="49" t="str">
        <f>HLOOKUP(INDICE!$F$2,Nombres!$C$3:$E$853,114)</f>
        <v>Cartera de negociación</v>
      </c>
      <c r="B90" s="149">
        <v>1299.3189168719</v>
      </c>
      <c r="C90" s="84">
        <v>1295.2932496450001</v>
      </c>
      <c r="D90" s="84">
        <v>2191.6399986791998</v>
      </c>
      <c r="E90" s="150">
        <v>2416.0343231623001</v>
      </c>
      <c r="F90" s="158">
        <v>3072.2505597493</v>
      </c>
      <c r="G90" s="84">
        <v>3041.2360337907999</v>
      </c>
      <c r="H90" s="84">
        <v>4025.027</v>
      </c>
    </row>
    <row r="91" spans="1:8">
      <c r="A91" s="49" t="str">
        <f>HLOOKUP(INDICE!$F$2,Nombres!$C$3:$E$853,115)</f>
        <v>Otros pasivos</v>
      </c>
      <c r="B91" s="149">
        <v>6514.1863924417039</v>
      </c>
      <c r="C91" s="84">
        <v>6469.4533817365063</v>
      </c>
      <c r="D91" s="84">
        <v>7354.1321579989899</v>
      </c>
      <c r="E91" s="150">
        <v>7288.6093421422956</v>
      </c>
      <c r="F91" s="158">
        <v>7656.6735304321955</v>
      </c>
      <c r="G91" s="84">
        <v>7586.0328660548912</v>
      </c>
      <c r="H91" s="84">
        <v>8151.5212423399807</v>
      </c>
    </row>
    <row r="92" spans="1:8" ht="12" customHeight="1">
      <c r="A92" s="49" t="str">
        <f>HLOOKUP(INDICE!$F$2,Nombres!$C$3:$E$853,116)</f>
        <v>Dotación de capital económico</v>
      </c>
      <c r="B92" s="149">
        <v>2014.6728341879</v>
      </c>
      <c r="C92" s="84">
        <v>2047.3320043831</v>
      </c>
      <c r="D92" s="84">
        <v>2026.6703304209</v>
      </c>
      <c r="E92" s="150">
        <v>2124.4693550719999</v>
      </c>
      <c r="F92" s="158">
        <v>2177.6555678484001</v>
      </c>
      <c r="G92" s="84">
        <v>2241.1124744751</v>
      </c>
      <c r="H92" s="84">
        <v>2267.3944166800002</v>
      </c>
    </row>
    <row r="93" spans="1:8" ht="12" customHeight="1">
      <c r="A93" s="144" t="str">
        <f>HLOOKUP(INDICE!$F$2,Nombres!$C$3:$E$853,117)</f>
        <v>Indicadores relevantes</v>
      </c>
      <c r="G93" s="74"/>
      <c r="H93" s="74"/>
    </row>
    <row r="94" spans="1:8" ht="18">
      <c r="A94" s="144" t="str">
        <f>HLOOKUP(INDICE!$F$2,Nombres!$C$3:$E$853,201)</f>
        <v>Anexo:</v>
      </c>
      <c r="G94" s="74"/>
      <c r="H94" s="74"/>
    </row>
    <row r="95" spans="1:8" ht="12" customHeight="1">
      <c r="A95" s="41" t="str">
        <f>HLOOKUP(INDICE!$F$2,Nombres!$C$3:$E$853,31)</f>
        <v>(Millones de euros constantes)</v>
      </c>
    </row>
    <row r="96" spans="1:8" ht="11.25" customHeight="1">
      <c r="A96"/>
      <c r="B96" s="81">
        <v>41729</v>
      </c>
      <c r="C96" s="82">
        <v>41820</v>
      </c>
      <c r="D96" s="82">
        <v>41912</v>
      </c>
      <c r="E96" s="82">
        <v>42004</v>
      </c>
      <c r="F96" s="81">
        <v>42094</v>
      </c>
      <c r="G96" s="82">
        <v>42185</v>
      </c>
      <c r="H96" s="82">
        <v>42277</v>
      </c>
    </row>
    <row r="97" spans="1:8">
      <c r="A97" s="49" t="str">
        <f>HLOOKUP(INDICE!$F$2,Nombres!$C$3:$E$853,118)</f>
        <v>Crédito a la clientela bruto (*)</v>
      </c>
      <c r="B97" s="155">
        <v>35394.265835445301</v>
      </c>
      <c r="C97" s="157">
        <v>36808.553731197499</v>
      </c>
      <c r="D97" s="157">
        <v>37802.965456258193</v>
      </c>
      <c r="E97" s="157">
        <v>39016.781729362607</v>
      </c>
      <c r="F97" s="155">
        <v>39785.746619014099</v>
      </c>
      <c r="G97" s="157">
        <v>41313.471396155604</v>
      </c>
      <c r="H97" s="157">
        <v>42890.792158519995</v>
      </c>
    </row>
    <row r="98" spans="1:8">
      <c r="A98" s="49" t="str">
        <f>HLOOKUP(INDICE!$F$2,Nombres!$C$3:$E$853,121)</f>
        <v>Depósitos de clientes en gestión (**)</v>
      </c>
      <c r="B98" s="155">
        <v>33287.823126145799</v>
      </c>
      <c r="C98" s="157">
        <v>33388.366143087303</v>
      </c>
      <c r="D98" s="157">
        <v>33955.615933712703</v>
      </c>
      <c r="E98" s="157">
        <v>35456.229551673503</v>
      </c>
      <c r="F98" s="155">
        <v>36433.673332483399</v>
      </c>
      <c r="G98" s="157">
        <v>37788.991190218199</v>
      </c>
      <c r="H98" s="157">
        <v>39193.798427499998</v>
      </c>
    </row>
    <row r="99" spans="1:8">
      <c r="A99" s="49" t="str">
        <f>HLOOKUP(INDICE!$F$2,Nombres!$C$3:$E$853,122)</f>
        <v>Fondos de inversión</v>
      </c>
      <c r="B99" s="155">
        <v>3102.5699631333</v>
      </c>
      <c r="C99" s="157">
        <v>3012.1704497329001</v>
      </c>
      <c r="D99" s="157">
        <v>3486.5631142604998</v>
      </c>
      <c r="E99" s="157">
        <v>3633.8391053461</v>
      </c>
      <c r="F99" s="155">
        <v>3843.4748181773002</v>
      </c>
      <c r="G99" s="157">
        <v>4013.4727674091</v>
      </c>
      <c r="H99" s="157">
        <v>4819.0165910200003</v>
      </c>
    </row>
    <row r="100" spans="1:8">
      <c r="A100" s="49" t="str">
        <f>HLOOKUP(INDICE!$F$2,Nombres!$C$3:$E$853,206)</f>
        <v>Fondos de pensiones</v>
      </c>
      <c r="B100" s="155">
        <v>4500.1629653107002</v>
      </c>
      <c r="C100" s="157">
        <v>4667.1353780621002</v>
      </c>
      <c r="D100" s="157">
        <v>4812.8600669691004</v>
      </c>
      <c r="E100" s="157">
        <v>5019.3939603647996</v>
      </c>
      <c r="F100" s="155">
        <v>5196.5219081146997</v>
      </c>
      <c r="G100" s="157">
        <v>5374.5168378771004</v>
      </c>
      <c r="H100" s="157">
        <v>5585.62164407</v>
      </c>
    </row>
    <row r="101" spans="1:8">
      <c r="A101" s="49" t="str">
        <f>HLOOKUP(INDICE!$F$2,Nombres!$C$3:$E$853,308)</f>
        <v>Otros recursos fuera de balance</v>
      </c>
      <c r="B101" s="238">
        <v>0</v>
      </c>
      <c r="C101" s="239">
        <v>0</v>
      </c>
      <c r="D101" s="239">
        <v>0</v>
      </c>
      <c r="E101" s="239">
        <v>0</v>
      </c>
      <c r="F101" s="238">
        <v>0</v>
      </c>
      <c r="G101" s="239">
        <v>0</v>
      </c>
      <c r="H101" s="239">
        <v>0</v>
      </c>
    </row>
    <row r="102" spans="1:8">
      <c r="A102" s="156" t="str">
        <f>HLOOKUP(INDICE!$F$2,Nombres!$C$3:$E$853,307)</f>
        <v>(*) No incluye las adquisiciones temporales de activos.</v>
      </c>
      <c r="B102" s="72"/>
      <c r="C102" s="73"/>
      <c r="D102" s="73"/>
      <c r="E102" s="73"/>
      <c r="F102" s="73"/>
    </row>
    <row r="103" spans="1:8">
      <c r="A103" s="156" t="str">
        <f>HLOOKUP(INDICE!$F$2,Nombres!$C$3:$E$853,284)</f>
        <v>(**) No incluye las cesiones temporales de activos e incluye determinados valores negociables.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H106"/>
  <sheetViews>
    <sheetView showGridLines="0" topLeftCell="A19"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HLOOKUP(INDICE!$F$2,Nombres!$C$3:$E$853,184)</f>
        <v>Resto de Eurasia</v>
      </c>
    </row>
    <row r="2" spans="1:8" ht="18">
      <c r="A2" s="144" t="str">
        <f>HLOOKUP(INDICE!$F$2,Nombres!$C$3:$E$853,93)</f>
        <v xml:space="preserve">Cuentas de resultados  </v>
      </c>
      <c r="C2" s="145"/>
      <c r="D2" s="145"/>
      <c r="E2" s="145"/>
    </row>
    <row r="3" spans="1:8">
      <c r="A3" s="41" t="str">
        <f>HLOOKUP(INDICE!$F$2,Nombres!$C$3:$E$853,30)</f>
        <v>(Millones de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47.334717870000006</v>
      </c>
      <c r="C6" s="83">
        <v>47.798718519999994</v>
      </c>
      <c r="D6" s="83">
        <v>49.94009346</v>
      </c>
      <c r="E6" s="148">
        <v>43.789860579999996</v>
      </c>
      <c r="F6" s="83">
        <v>46.316785299999992</v>
      </c>
      <c r="G6" s="83">
        <v>38.986556489999998</v>
      </c>
      <c r="H6" s="83">
        <v>45.152395599999998</v>
      </c>
    </row>
    <row r="7" spans="1:8">
      <c r="A7" s="49" t="str">
        <f>HLOOKUP(INDICE!$F$2,Nombres!$C$3:$E$853,39)</f>
        <v>Comisiones</v>
      </c>
      <c r="B7" s="149">
        <v>47.187699530000003</v>
      </c>
      <c r="C7" s="84">
        <v>49.222468800000001</v>
      </c>
      <c r="D7" s="84">
        <v>44.676670340000001</v>
      </c>
      <c r="E7" s="150">
        <v>46.308410530000003</v>
      </c>
      <c r="F7" s="84">
        <v>45.518635189999998</v>
      </c>
      <c r="G7" s="84">
        <v>44.869490460000002</v>
      </c>
      <c r="H7" s="84">
        <v>32.784712030000001</v>
      </c>
    </row>
    <row r="8" spans="1:8">
      <c r="A8" s="49" t="str">
        <f>HLOOKUP(INDICE!$F$2,Nombres!$C$3:$E$853,40)</f>
        <v>Resultados de operaciones financieras</v>
      </c>
      <c r="B8" s="149">
        <v>42.848322789999997</v>
      </c>
      <c r="C8" s="84">
        <v>51.86429322</v>
      </c>
      <c r="D8" s="84">
        <v>25.27883155</v>
      </c>
      <c r="E8" s="150">
        <v>30.00676567</v>
      </c>
      <c r="F8" s="84">
        <v>73.422160230000003</v>
      </c>
      <c r="G8" s="84">
        <v>15.89961881</v>
      </c>
      <c r="H8" s="84">
        <v>15.90500819</v>
      </c>
    </row>
    <row r="9" spans="1:8">
      <c r="A9" s="49" t="str">
        <f>HLOOKUP(INDICE!$F$2,Nombres!$C$3:$E$853,95)</f>
        <v>Otros ingresos netos</v>
      </c>
      <c r="B9" s="149">
        <v>18.903060780000001</v>
      </c>
      <c r="C9" s="84">
        <v>157.80692557</v>
      </c>
      <c r="D9" s="84">
        <v>18.853679169999999</v>
      </c>
      <c r="E9" s="150">
        <v>13.78575273</v>
      </c>
      <c r="F9" s="84">
        <v>-1.4002363900000001</v>
      </c>
      <c r="G9" s="84">
        <v>1.5018494499999999</v>
      </c>
      <c r="H9" s="84">
        <v>0.24596493999999997</v>
      </c>
    </row>
    <row r="10" spans="1:8">
      <c r="A10" s="54" t="str">
        <f>HLOOKUP(INDICE!$F$2,Nombres!$C$3:$E$853,44)</f>
        <v>Margen bruto</v>
      </c>
      <c r="B10" s="147">
        <v>156.27380097</v>
      </c>
      <c r="C10" s="83">
        <v>306.69240610999998</v>
      </c>
      <c r="D10" s="83">
        <v>138.74927452</v>
      </c>
      <c r="E10" s="148">
        <v>133.89078950999999</v>
      </c>
      <c r="F10" s="83">
        <v>163.85734432999999</v>
      </c>
      <c r="G10" s="83">
        <v>101.25751521000001</v>
      </c>
      <c r="H10" s="83">
        <v>94.088080759999997</v>
      </c>
    </row>
    <row r="11" spans="1:8">
      <c r="A11" s="49" t="str">
        <f>HLOOKUP(INDICE!$F$2,Nombres!$C$3:$E$853,45)</f>
        <v>Gastos de explotación</v>
      </c>
      <c r="B11" s="149">
        <v>-86.026502999999991</v>
      </c>
      <c r="C11" s="84">
        <v>-78.67287601000001</v>
      </c>
      <c r="D11" s="84">
        <v>-88.192270269999995</v>
      </c>
      <c r="E11" s="150">
        <v>-89.95224709</v>
      </c>
      <c r="F11" s="84">
        <v>-89.844150319999997</v>
      </c>
      <c r="G11" s="84">
        <v>-86.10209205000001</v>
      </c>
      <c r="H11" s="84">
        <v>-75.828205389999994</v>
      </c>
    </row>
    <row r="12" spans="1:8">
      <c r="A12" s="49" t="str">
        <f>HLOOKUP(INDICE!$F$2,Nombres!$C$3:$E$853,46)</f>
        <v xml:space="preserve">  Gastos de administración</v>
      </c>
      <c r="B12" s="149">
        <v>-83.350057370000002</v>
      </c>
      <c r="C12" s="84">
        <v>-76.019286170000001</v>
      </c>
      <c r="D12" s="84">
        <v>-85.54749477</v>
      </c>
      <c r="E12" s="150">
        <v>-86.208531499999992</v>
      </c>
      <c r="F12" s="84">
        <v>-86.227106550000002</v>
      </c>
      <c r="G12" s="84">
        <v>-82.582905729999993</v>
      </c>
      <c r="H12" s="84">
        <v>-72.812000479999995</v>
      </c>
    </row>
    <row r="13" spans="1:8">
      <c r="A13" s="88" t="str">
        <f>HLOOKUP(INDICE!$F$2,Nombres!$C$3:$E$853,47)</f>
        <v xml:space="preserve">  Gastos de personal</v>
      </c>
      <c r="B13" s="149">
        <v>-51.125246740000001</v>
      </c>
      <c r="C13" s="84">
        <v>-40.092004250000002</v>
      </c>
      <c r="D13" s="84">
        <v>-47.918346659999997</v>
      </c>
      <c r="E13" s="150">
        <v>-46.090227030000001</v>
      </c>
      <c r="F13" s="84">
        <v>-51.424499240000003</v>
      </c>
      <c r="G13" s="84">
        <v>-48.90420056</v>
      </c>
      <c r="H13" s="84">
        <v>-40.864687600000003</v>
      </c>
    </row>
    <row r="14" spans="1:8">
      <c r="A14" s="88" t="str">
        <f>HLOOKUP(INDICE!$F$2,Nombres!$C$3:$E$853,48)</f>
        <v xml:space="preserve">  Otros gastos generales de administración</v>
      </c>
      <c r="B14" s="149">
        <v>-32.22481063</v>
      </c>
      <c r="C14" s="84">
        <v>-35.927281919999999</v>
      </c>
      <c r="D14" s="84">
        <v>-37.629148110000003</v>
      </c>
      <c r="E14" s="150">
        <v>-40.118304469999998</v>
      </c>
      <c r="F14" s="84">
        <v>-34.802607309999999</v>
      </c>
      <c r="G14" s="84">
        <v>-33.678705170000001</v>
      </c>
      <c r="H14" s="84">
        <v>-31.947312880000002</v>
      </c>
    </row>
    <row r="15" spans="1:8" ht="13.5" customHeight="1">
      <c r="A15" s="49" t="str">
        <f>HLOOKUP(INDICE!$F$2,Nombres!$C$3:$E$853,49)</f>
        <v xml:space="preserve">  Amortizaciones</v>
      </c>
      <c r="B15" s="149">
        <v>-2.6764456299999999</v>
      </c>
      <c r="C15" s="84">
        <v>-2.65358984</v>
      </c>
      <c r="D15" s="84">
        <v>-2.6447754999999997</v>
      </c>
      <c r="E15" s="150">
        <v>-3.7437155899999999</v>
      </c>
      <c r="F15" s="84">
        <v>-3.61704377</v>
      </c>
      <c r="G15" s="84">
        <v>-3.5191863200000002</v>
      </c>
      <c r="H15" s="84">
        <v>-3.0162049099999999</v>
      </c>
    </row>
    <row r="16" spans="1:8" ht="12.75" customHeight="1">
      <c r="A16" s="54" t="str">
        <f>HLOOKUP(INDICE!$F$2,Nombres!$C$3:$E$853,50)</f>
        <v>Margen neto</v>
      </c>
      <c r="B16" s="147">
        <v>70.247297970000005</v>
      </c>
      <c r="C16" s="83">
        <v>228.0195301</v>
      </c>
      <c r="D16" s="83">
        <v>50.557004249999999</v>
      </c>
      <c r="E16" s="148">
        <v>43.938542420000005</v>
      </c>
      <c r="F16" s="83">
        <v>74.013194010000007</v>
      </c>
      <c r="G16" s="83">
        <v>15.155423160000002</v>
      </c>
      <c r="H16" s="83">
        <v>18.259875370000003</v>
      </c>
    </row>
    <row r="17" spans="1:8" ht="13.5" customHeight="1">
      <c r="A17" s="49" t="str">
        <f>HLOOKUP(INDICE!$F$2,Nombres!$C$3:$E$853,51)</f>
        <v>Pérdidas por deterioro de activos financieros</v>
      </c>
      <c r="B17" s="149">
        <v>-24.155984969999999</v>
      </c>
      <c r="C17" s="84">
        <v>-17.74837295</v>
      </c>
      <c r="D17" s="84">
        <v>-14.67261315</v>
      </c>
      <c r="E17" s="150">
        <v>0.36999791999999987</v>
      </c>
      <c r="F17" s="84">
        <v>-22.135366950000002</v>
      </c>
      <c r="G17" s="84">
        <v>-5.629346710000001</v>
      </c>
      <c r="H17" s="84">
        <v>21.449510659999998</v>
      </c>
    </row>
    <row r="18" spans="1:8" ht="13.5" customHeight="1">
      <c r="A18" s="49" t="str">
        <f>HLOOKUP(INDICE!$F$2,Nombres!$C$3:$E$853,160)</f>
        <v>Dotaciones a provisiones y otros resultados</v>
      </c>
      <c r="B18" s="149">
        <v>2.38625548</v>
      </c>
      <c r="C18" s="84">
        <v>-6.0628539999999997</v>
      </c>
      <c r="D18" s="84">
        <v>1.9376298100000002</v>
      </c>
      <c r="E18" s="150">
        <v>-14.56561801</v>
      </c>
      <c r="F18" s="84">
        <v>4.09722439</v>
      </c>
      <c r="G18" s="84">
        <v>0.86933723000000007</v>
      </c>
      <c r="H18" s="84">
        <v>-5.04356662</v>
      </c>
    </row>
    <row r="19" spans="1:8" ht="12.75" customHeight="1">
      <c r="A19" s="54" t="str">
        <f>HLOOKUP(INDICE!$F$2,Nombres!$C$3:$E$853,54)</f>
        <v>Beneficio antes de impuestos</v>
      </c>
      <c r="B19" s="147">
        <v>48.477568480000002</v>
      </c>
      <c r="C19" s="83">
        <v>204.20830314999998</v>
      </c>
      <c r="D19" s="83">
        <v>37.822020909999999</v>
      </c>
      <c r="E19" s="148">
        <v>29.742922330000003</v>
      </c>
      <c r="F19" s="83">
        <v>55.975051449999995</v>
      </c>
      <c r="G19" s="83">
        <v>10.395413679999997</v>
      </c>
      <c r="H19" s="83">
        <v>34.665819410000005</v>
      </c>
    </row>
    <row r="20" spans="1:8" ht="13.5" customHeight="1">
      <c r="A20" s="49" t="str">
        <f>HLOOKUP(INDICE!$F$2,Nombres!$C$3:$E$853,55)</f>
        <v>Impuesto sobre beneficios</v>
      </c>
      <c r="B20" s="149">
        <v>-11.05751298</v>
      </c>
      <c r="C20" s="84">
        <v>-33.195998899999999</v>
      </c>
      <c r="D20" s="84">
        <v>-10.494974409999999</v>
      </c>
      <c r="E20" s="150">
        <v>-10.55334435</v>
      </c>
      <c r="F20" s="84">
        <v>-19.664015389999999</v>
      </c>
      <c r="G20" s="84">
        <v>-3.4608241599999996</v>
      </c>
      <c r="H20" s="84">
        <v>-11.72862503</v>
      </c>
    </row>
    <row r="21" spans="1:8" ht="13.5" customHeight="1">
      <c r="A21" s="54" t="str">
        <f>HLOOKUP(INDICE!$F$2,Nombres!$C$3:$E$853,56)</f>
        <v>Beneficio después de impuestos</v>
      </c>
      <c r="B21" s="147">
        <v>37.420055499999997</v>
      </c>
      <c r="C21" s="83">
        <v>171.01230425</v>
      </c>
      <c r="D21" s="83">
        <v>27.327046500000002</v>
      </c>
      <c r="E21" s="148">
        <v>19.189577980000003</v>
      </c>
      <c r="F21" s="83">
        <v>36.311036059999999</v>
      </c>
      <c r="G21" s="83">
        <v>6.9345895199999994</v>
      </c>
      <c r="H21" s="83">
        <v>22.937194379999998</v>
      </c>
    </row>
    <row r="22" spans="1:8" ht="12" customHeight="1">
      <c r="A22" s="49" t="str">
        <f>HLOOKUP(INDICE!$F$2,Nombres!$C$3:$E$853,57)</f>
        <v>Resultado atribuido a la minoría</v>
      </c>
      <c r="B22" s="241">
        <v>0</v>
      </c>
      <c r="C22" s="236">
        <v>0</v>
      </c>
      <c r="D22" s="236">
        <v>0</v>
      </c>
      <c r="E22" s="237">
        <v>0</v>
      </c>
      <c r="F22" s="236">
        <v>0</v>
      </c>
      <c r="G22" s="236">
        <v>0</v>
      </c>
      <c r="H22" s="236">
        <v>0</v>
      </c>
    </row>
    <row r="23" spans="1:8" ht="14.25" customHeight="1">
      <c r="A23" s="54" t="str">
        <f>HLOOKUP(INDICE!$F$2,Nombres!$C$3:$E$853,58)</f>
        <v>Beneficio atribuido al Grupo</v>
      </c>
      <c r="B23" s="147">
        <v>37.420055499999997</v>
      </c>
      <c r="C23" s="83">
        <v>171.01230425</v>
      </c>
      <c r="D23" s="83">
        <v>27.327046500000002</v>
      </c>
      <c r="E23" s="148">
        <v>19.189577980000003</v>
      </c>
      <c r="F23" s="83">
        <v>36.311036059999999</v>
      </c>
      <c r="G23" s="83">
        <v>6.9345895199999994</v>
      </c>
      <c r="H23" s="83">
        <v>22.937194379999998</v>
      </c>
    </row>
    <row r="24" spans="1:8" ht="13.5" customHeight="1">
      <c r="A24" s="144" t="str">
        <f>HLOOKUP(INDICE!$F$2,Nombres!$C$3:$E$853,94)</f>
        <v>Balances</v>
      </c>
      <c r="F24" s="151"/>
      <c r="G24" s="74"/>
      <c r="H24" s="74"/>
    </row>
    <row r="25" spans="1:8" ht="12.75" customHeight="1">
      <c r="A25" s="41" t="str">
        <f>HLOOKUP(INDICE!$F$2,Nombres!$C$3:$E$853,30)</f>
        <v>(Millones de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173.66701104000001</v>
      </c>
      <c r="C27" s="84">
        <v>190.80105024</v>
      </c>
      <c r="D27" s="84">
        <v>204.14650777</v>
      </c>
      <c r="E27" s="150">
        <v>198.43595162</v>
      </c>
      <c r="F27" s="84">
        <v>246.53847041</v>
      </c>
      <c r="G27" s="84">
        <v>277.03916909999998</v>
      </c>
      <c r="H27" s="84">
        <v>262.83689399999997</v>
      </c>
    </row>
    <row r="28" spans="1:8">
      <c r="A28" s="49" t="str">
        <f>HLOOKUP(INDICE!$F$2,Nombres!$C$3:$E$853,101)</f>
        <v>Cartera de títulos</v>
      </c>
      <c r="B28" s="149">
        <v>4228.7163247500002</v>
      </c>
      <c r="C28" s="84">
        <v>4376.0487349200002</v>
      </c>
      <c r="D28" s="84">
        <v>4640.7783259099997</v>
      </c>
      <c r="E28" s="150">
        <v>5119.2228135799996</v>
      </c>
      <c r="F28" s="84">
        <v>3474.0741522899998</v>
      </c>
      <c r="G28" s="84">
        <v>3134.2226164799999</v>
      </c>
      <c r="H28" s="84">
        <v>2280.9537435799998</v>
      </c>
    </row>
    <row r="29" spans="1:8">
      <c r="A29" s="49" t="str">
        <f>HLOOKUP(INDICE!$F$2,Nombres!$C$3:$E$853,102)</f>
        <v>Inversiones crediticias</v>
      </c>
      <c r="B29" s="149">
        <v>17221.83173224</v>
      </c>
      <c r="C29" s="84">
        <v>17214.259615340001</v>
      </c>
      <c r="D29" s="84">
        <v>17618.319712600001</v>
      </c>
      <c r="E29" s="150">
        <v>16277.034306129999</v>
      </c>
      <c r="F29" s="84">
        <v>17188.798881300001</v>
      </c>
      <c r="G29" s="84">
        <v>15890.06619738</v>
      </c>
      <c r="H29" s="84">
        <v>16276.08976368</v>
      </c>
    </row>
    <row r="30" spans="1:8">
      <c r="A30" s="49" t="str">
        <f>HLOOKUP(INDICE!$F$2,Nombres!$C$3:$E$853,103)</f>
        <v xml:space="preserve">  . Crédito a la clientela neto</v>
      </c>
      <c r="B30" s="149">
        <v>15949.28130884</v>
      </c>
      <c r="C30" s="84">
        <v>15625.611146429999</v>
      </c>
      <c r="D30" s="84">
        <v>16018.88603195</v>
      </c>
      <c r="E30" s="150">
        <v>15101.06986204</v>
      </c>
      <c r="F30" s="84">
        <v>16186.92075311</v>
      </c>
      <c r="G30" s="84">
        <v>15070.46613422</v>
      </c>
      <c r="H30" s="84">
        <v>15493.32615968</v>
      </c>
    </row>
    <row r="31" spans="1:8">
      <c r="A31" s="49" t="str">
        <f>HLOOKUP(INDICE!$F$2,Nombres!$C$3:$E$853,104)</f>
        <v xml:space="preserve">  . Depósitos en entidades de crédito y otros</v>
      </c>
      <c r="B31" s="154">
        <v>1272.5504234</v>
      </c>
      <c r="C31" s="84">
        <v>1588.64846891</v>
      </c>
      <c r="D31" s="84">
        <v>1599.43368065</v>
      </c>
      <c r="E31" s="150">
        <v>1175.9644440899999</v>
      </c>
      <c r="F31" s="84">
        <v>1001.87812819</v>
      </c>
      <c r="G31" s="84">
        <v>819.60006315999999</v>
      </c>
      <c r="H31" s="84">
        <v>782.76360399999999</v>
      </c>
    </row>
    <row r="32" spans="1:8">
      <c r="A32" s="49" t="str">
        <f>HLOOKUP(INDICE!$F$2,Nombres!$C$3:$E$853,105)</f>
        <v>Posiciones inter-áreas activo</v>
      </c>
      <c r="B32" s="154">
        <v>0</v>
      </c>
      <c r="C32" s="84">
        <v>0</v>
      </c>
      <c r="D32" s="84">
        <v>0</v>
      </c>
      <c r="E32" s="150">
        <v>0</v>
      </c>
      <c r="F32" s="84">
        <v>0</v>
      </c>
      <c r="G32" s="84">
        <v>0</v>
      </c>
      <c r="H32" s="84">
        <v>1106.0959054999985</v>
      </c>
    </row>
    <row r="33" spans="1:8">
      <c r="A33" s="49" t="str">
        <f>HLOOKUP(INDICE!$F$2,Nombres!$C$3:$E$853,106)</f>
        <v>Activo material</v>
      </c>
      <c r="B33" s="155">
        <v>81.707716869999999</v>
      </c>
      <c r="C33" s="84">
        <v>79.356151319999995</v>
      </c>
      <c r="D33" s="84">
        <v>77.145669659999996</v>
      </c>
      <c r="E33" s="150">
        <v>52.125319339999997</v>
      </c>
      <c r="F33" s="84">
        <v>52.069683570000002</v>
      </c>
      <c r="G33" s="84">
        <v>51.1739064</v>
      </c>
      <c r="H33" s="84">
        <v>49.161946999999998</v>
      </c>
    </row>
    <row r="34" spans="1:8">
      <c r="A34" s="49" t="str">
        <f>HLOOKUP(INDICE!$F$2,Nombres!$C$3:$E$853,107)</f>
        <v>Otros activos</v>
      </c>
      <c r="B34" s="149">
        <v>314.38412914000003</v>
      </c>
      <c r="C34" s="84">
        <v>292.90306695999999</v>
      </c>
      <c r="D34" s="84">
        <v>287.66886667</v>
      </c>
      <c r="E34" s="150">
        <v>677.86418545000004</v>
      </c>
      <c r="F34" s="84">
        <v>621.46677348000003</v>
      </c>
      <c r="G34" s="84">
        <v>599.65182230999994</v>
      </c>
      <c r="H34" s="84">
        <v>336.771389</v>
      </c>
    </row>
    <row r="35" spans="1:8">
      <c r="A35" s="54" t="str">
        <f>HLOOKUP(INDICE!$F$2,Nombres!$C$3:$E$853,108)</f>
        <v>Total activo / pasivo</v>
      </c>
      <c r="B35" s="147">
        <v>22020.306914040004</v>
      </c>
      <c r="C35" s="83">
        <v>22153.368618780001</v>
      </c>
      <c r="D35" s="83">
        <v>22828.059082610001</v>
      </c>
      <c r="E35" s="148">
        <v>22324.682576119994</v>
      </c>
      <c r="F35" s="83">
        <v>21582.947961050006</v>
      </c>
      <c r="G35" s="83">
        <v>19952.153711669998</v>
      </c>
      <c r="H35" s="83">
        <v>20311.909642760002</v>
      </c>
    </row>
    <row r="36" spans="1:8">
      <c r="A36" s="49" t="str">
        <f>HLOOKUP(INDICE!$F$2,Nombres!$C$3:$E$853,109)</f>
        <v>Depósitos de bancos centrales y entidades de crédito</v>
      </c>
      <c r="B36" s="149">
        <v>5282.1688199199998</v>
      </c>
      <c r="C36" s="84">
        <v>5295.2463905799996</v>
      </c>
      <c r="D36" s="84">
        <v>4775.79193476</v>
      </c>
      <c r="E36" s="150">
        <v>5443.3478152400003</v>
      </c>
      <c r="F36" s="84">
        <v>6069.9719653900002</v>
      </c>
      <c r="G36" s="84">
        <v>5652.0154982599997</v>
      </c>
      <c r="H36" s="84">
        <v>5422.7458120000001</v>
      </c>
    </row>
    <row r="37" spans="1:8">
      <c r="A37" s="49" t="str">
        <f>HLOOKUP(INDICE!$F$2,Nombres!$C$3:$E$853,110)</f>
        <v>Depósitos de la clientela</v>
      </c>
      <c r="B37" s="149">
        <v>8525.4646233599997</v>
      </c>
      <c r="C37" s="84">
        <v>7734.6837751800003</v>
      </c>
      <c r="D37" s="84">
        <v>8766.6150230500007</v>
      </c>
      <c r="E37" s="150">
        <v>11044.86847071</v>
      </c>
      <c r="F37" s="84">
        <v>12968.679923829999</v>
      </c>
      <c r="G37" s="84">
        <v>11809.39355726</v>
      </c>
      <c r="H37" s="84">
        <v>13094.102351</v>
      </c>
    </row>
    <row r="38" spans="1:8">
      <c r="A38" s="49" t="str">
        <f>HLOOKUP(INDICE!$F$2,Nombres!$C$3:$E$853,111)</f>
        <v>Débitos representados por valores negociables</v>
      </c>
      <c r="B38" s="149">
        <v>0.36899974000000002</v>
      </c>
      <c r="C38" s="84">
        <v>0.36499973000000002</v>
      </c>
      <c r="D38" s="84">
        <v>0.36099969999999998</v>
      </c>
      <c r="E38" s="150">
        <v>0.35699967999999999</v>
      </c>
      <c r="F38" s="84">
        <v>0.35299964</v>
      </c>
      <c r="G38" s="84">
        <v>0.34799965999999999</v>
      </c>
      <c r="H38" s="84">
        <v>0.34399999999999997</v>
      </c>
    </row>
    <row r="39" spans="1:8" ht="13.5" customHeight="1">
      <c r="A39" s="49" t="str">
        <f>HLOOKUP(INDICE!$F$2,Nombres!$C$3:$E$853,112)</f>
        <v>Pasivos subordinados</v>
      </c>
      <c r="B39" s="149">
        <v>516.21948879000001</v>
      </c>
      <c r="C39" s="84">
        <v>528.59614390000002</v>
      </c>
      <c r="D39" s="84">
        <v>540.42539581999995</v>
      </c>
      <c r="E39" s="150">
        <v>609.49835657000006</v>
      </c>
      <c r="F39" s="84">
        <v>331.40774611000001</v>
      </c>
      <c r="G39" s="84">
        <v>324.90012758</v>
      </c>
      <c r="H39" s="84">
        <v>306.96940283999999</v>
      </c>
    </row>
    <row r="40" spans="1:8" ht="13.5" customHeight="1">
      <c r="A40" s="49" t="str">
        <f>HLOOKUP(INDICE!$F$2,Nombres!$C$3:$E$853,113)</f>
        <v>Posiciones inter-áreas pasivo</v>
      </c>
      <c r="B40" s="149">
        <v>5486.1743484200051</v>
      </c>
      <c r="C40" s="84">
        <v>6122.5397487400005</v>
      </c>
      <c r="D40" s="84">
        <v>5920.5492268800008</v>
      </c>
      <c r="E40" s="150">
        <v>1274.9997365499985</v>
      </c>
      <c r="F40" s="84">
        <v>309.82919311000296</v>
      </c>
      <c r="G40" s="84">
        <v>444.22709628999655</v>
      </c>
      <c r="H40" s="84">
        <v>0</v>
      </c>
    </row>
    <row r="41" spans="1:8">
      <c r="A41" s="49" t="str">
        <f>HLOOKUP(INDICE!$F$2,Nombres!$C$3:$E$853,114)</f>
        <v>Cartera de negociación</v>
      </c>
      <c r="B41" s="149">
        <v>190.27073052</v>
      </c>
      <c r="C41" s="84">
        <v>202.41676921000001</v>
      </c>
      <c r="D41" s="84">
        <v>212.47739555000001</v>
      </c>
      <c r="E41" s="150">
        <v>216.52826739</v>
      </c>
      <c r="F41" s="84">
        <v>114.7857125</v>
      </c>
      <c r="G41" s="84">
        <v>96.711229380000006</v>
      </c>
      <c r="H41" s="84">
        <v>97.631062999999997</v>
      </c>
    </row>
    <row r="42" spans="1:8">
      <c r="A42" s="49" t="str">
        <f>HLOOKUP(INDICE!$F$2,Nombres!$C$3:$E$853,115)</f>
        <v>Otros pasivos</v>
      </c>
      <c r="B42" s="149">
        <v>-45.719576710000034</v>
      </c>
      <c r="C42" s="84">
        <v>154.17906144000003</v>
      </c>
      <c r="D42" s="84">
        <v>449.08388589999998</v>
      </c>
      <c r="E42" s="150">
        <v>1296.0533456000001</v>
      </c>
      <c r="F42" s="84">
        <v>461.17807047000008</v>
      </c>
      <c r="G42" s="84">
        <v>324.00189324000002</v>
      </c>
      <c r="H42" s="84">
        <v>161.33435121999997</v>
      </c>
    </row>
    <row r="43" spans="1:8" ht="12.75" customHeight="1">
      <c r="A43" s="49" t="str">
        <f>HLOOKUP(INDICE!$F$2,Nombres!$C$3:$E$853,116)</f>
        <v>Dotación de capital económico</v>
      </c>
      <c r="B43" s="149">
        <v>2065.3594800000001</v>
      </c>
      <c r="C43" s="84">
        <v>2115.3417300000001</v>
      </c>
      <c r="D43" s="84">
        <v>2162.75522095</v>
      </c>
      <c r="E43" s="150">
        <v>2439.02958438</v>
      </c>
      <c r="F43" s="84">
        <v>1326.74235</v>
      </c>
      <c r="G43" s="84">
        <v>1300.5563099999999</v>
      </c>
      <c r="H43" s="84">
        <v>1228.7826626999999</v>
      </c>
    </row>
    <row r="44" spans="1:8" ht="15" customHeight="1">
      <c r="A44" s="144" t="str">
        <f>HLOOKUP(INDICE!$F$2,Nombres!$C$3:$E$853,117)</f>
        <v>Indicadores relevantes</v>
      </c>
      <c r="F44" s="151"/>
      <c r="G44" s="74"/>
      <c r="H44" s="74"/>
    </row>
    <row r="45" spans="1:8" ht="13.5" customHeight="1">
      <c r="A45" s="144" t="str">
        <f>HLOOKUP(INDICE!$F$2,Nombres!$C$3:$E$853,201)</f>
        <v>Anexo:</v>
      </c>
      <c r="F45" s="151"/>
      <c r="G45" s="74"/>
      <c r="H45" s="74"/>
    </row>
    <row r="46" spans="1:8" ht="12.75" customHeight="1">
      <c r="A46" s="41" t="str">
        <f>HLOOKUP(INDICE!$F$2,Nombres!$C$3:$E$853,30)</f>
        <v>(Millones de euros)</v>
      </c>
      <c r="B46" s="81">
        <v>41729</v>
      </c>
      <c r="C46" s="82">
        <v>41820</v>
      </c>
      <c r="D46" s="82">
        <v>41912</v>
      </c>
      <c r="E46" s="82">
        <v>42004</v>
      </c>
      <c r="F46" s="81">
        <v>42094</v>
      </c>
      <c r="G46" s="82">
        <v>42185</v>
      </c>
      <c r="H46" s="82">
        <v>42277</v>
      </c>
    </row>
    <row r="47" spans="1:8" ht="12" customHeight="1">
      <c r="A47" s="49" t="str">
        <f>HLOOKUP(INDICE!$F$2,Nombres!$C$3:$E$853,118)</f>
        <v>Crédito a la clientela bruto (*)</v>
      </c>
      <c r="B47" s="149">
        <v>16675.910820649999</v>
      </c>
      <c r="C47" s="84">
        <v>16364.43347425</v>
      </c>
      <c r="D47" s="84">
        <v>16767.878606350001</v>
      </c>
      <c r="E47" s="150">
        <v>15794.97996271</v>
      </c>
      <c r="F47" s="84">
        <v>16867.734423950002</v>
      </c>
      <c r="G47" s="84">
        <v>15742.082193990002</v>
      </c>
      <c r="H47" s="84">
        <v>16089.943389</v>
      </c>
    </row>
    <row r="48" spans="1:8">
      <c r="A48" s="49" t="str">
        <f>HLOOKUP(INDICE!$F$2,Nombres!$C$3:$E$853,121)</f>
        <v>Depósitos de clientes en gestión (**)</v>
      </c>
      <c r="B48" s="149">
        <v>8424.54775634</v>
      </c>
      <c r="C48" s="84">
        <v>7631.00329642</v>
      </c>
      <c r="D48" s="84">
        <v>8662.7121226899999</v>
      </c>
      <c r="E48" s="150">
        <v>10940.631369840001</v>
      </c>
      <c r="F48" s="84">
        <v>12858.371840649999</v>
      </c>
      <c r="G48" s="84">
        <v>11706.856557569999</v>
      </c>
      <c r="H48" s="84">
        <v>12989.889062</v>
      </c>
    </row>
    <row r="49" spans="1:8">
      <c r="A49" s="49" t="str">
        <f>HLOOKUP(INDICE!$F$2,Nombres!$C$3:$E$853,122)</f>
        <v>Fondos de inversión</v>
      </c>
      <c r="B49" s="149">
        <v>134.4</v>
      </c>
      <c r="C49" s="84">
        <v>143.9</v>
      </c>
      <c r="D49" s="84">
        <v>148.80000000000001</v>
      </c>
      <c r="E49" s="150">
        <v>151.80000000000001</v>
      </c>
      <c r="F49" s="84">
        <v>159.80000000000001</v>
      </c>
      <c r="G49" s="84">
        <v>2.1</v>
      </c>
      <c r="H49" s="84">
        <v>0.670871</v>
      </c>
    </row>
    <row r="50" spans="1:8">
      <c r="A50" s="49" t="str">
        <f>HLOOKUP(INDICE!$F$2,Nombres!$C$3:$E$853,206)</f>
        <v>Fondos de pensiones</v>
      </c>
      <c r="B50" s="149">
        <v>290.8</v>
      </c>
      <c r="C50" s="84">
        <v>307.2</v>
      </c>
      <c r="D50" s="84">
        <v>323.5</v>
      </c>
      <c r="E50" s="150">
        <v>314.3</v>
      </c>
      <c r="F50" s="84">
        <v>365.3</v>
      </c>
      <c r="G50" s="84">
        <v>338.2</v>
      </c>
      <c r="H50" s="84">
        <v>320.89999999999998</v>
      </c>
    </row>
    <row r="51" spans="1:8">
      <c r="A51" s="49" t="str">
        <f>HLOOKUP(INDICE!$F$2,Nombres!$C$3:$E$853,308)</f>
        <v>Otros recursos fuera de balance</v>
      </c>
      <c r="B51" s="241">
        <v>0</v>
      </c>
      <c r="C51" s="236">
        <v>0</v>
      </c>
      <c r="D51" s="236">
        <v>0</v>
      </c>
      <c r="E51" s="237">
        <v>0</v>
      </c>
      <c r="F51" s="236">
        <v>0</v>
      </c>
      <c r="G51" s="236">
        <v>0</v>
      </c>
      <c r="H51" s="236">
        <v>0</v>
      </c>
    </row>
    <row r="52" spans="1:8">
      <c r="A52" s="156" t="str">
        <f>HLOOKUP(INDICE!$F$2,Nombres!$C$3:$E$853,307)</f>
        <v>(*) No incluye las adquisiciones temporales de activos.</v>
      </c>
      <c r="B52" s="157"/>
      <c r="C52" s="84"/>
      <c r="D52" s="84"/>
      <c r="E52" s="84"/>
      <c r="F52" s="84"/>
      <c r="G52" s="84"/>
      <c r="H52" s="84"/>
    </row>
    <row r="53" spans="1:8">
      <c r="A53" s="156" t="str">
        <f>HLOOKUP(INDICE!$F$2,Nombres!$C$3:$E$853,285)</f>
        <v>(**) No incluye las cesiones temporales de activos.</v>
      </c>
      <c r="C53"/>
      <c r="D53"/>
      <c r="E53"/>
    </row>
    <row r="54" spans="1:8" ht="18">
      <c r="A54" s="144" t="str">
        <f>HLOOKUP(INDICE!$F$2,Nombres!$C$3:$E$853,93)</f>
        <v xml:space="preserve">Cuentas de resultados  </v>
      </c>
      <c r="C54" s="145"/>
      <c r="D54" s="145"/>
      <c r="E54" s="145"/>
      <c r="G54" s="74"/>
      <c r="H54" s="74"/>
    </row>
    <row r="55" spans="1:8">
      <c r="A55" s="41" t="str">
        <f>HLOOKUP(INDICE!$F$2,Nombres!$C$3:$E$853,31)</f>
        <v>(Millones de euros constantes)</v>
      </c>
      <c r="C55" s="145"/>
      <c r="D55" s="145"/>
      <c r="E55" s="145"/>
      <c r="G55" s="74"/>
      <c r="H55" s="74"/>
    </row>
    <row r="56" spans="1:8">
      <c r="A56" s="146"/>
      <c r="B56" s="252">
        <v>2014</v>
      </c>
      <c r="C56" s="252"/>
      <c r="D56" s="252"/>
      <c r="E56" s="256"/>
      <c r="F56" s="253">
        <v>2015</v>
      </c>
      <c r="G56" s="254"/>
      <c r="H56" s="254"/>
    </row>
    <row r="57" spans="1:8">
      <c r="A57" s="146"/>
      <c r="B57" s="146" t="str">
        <f>HLOOKUP(INDICE!$F$2,Nombres!$C$3:$E$857,34)</f>
        <v>1er Trim.</v>
      </c>
      <c r="C57" s="146" t="str">
        <f>HLOOKUP(INDICE!$F$2,Nombres!$C$3:$E$857,35)</f>
        <v>2º Trim.</v>
      </c>
      <c r="D57" s="146" t="str">
        <f>HLOOKUP(INDICE!$F$2,Nombres!$C$3:$E$857,36)</f>
        <v>3er Trim.</v>
      </c>
      <c r="E57" s="146" t="str">
        <f>HLOOKUP(INDICE!$F$2,Nombres!$C$3:$E$857,37)</f>
        <v>4º Trim.</v>
      </c>
      <c r="F57" s="146" t="str">
        <f>HLOOKUP(INDICE!$F$2,Nombres!$C$3:$E$857,34)</f>
        <v>1er Trim.</v>
      </c>
      <c r="G57" s="146" t="str">
        <f>HLOOKUP(INDICE!$F$2,Nombres!$C$3:$E$857,35)</f>
        <v>2º Trim.</v>
      </c>
      <c r="H57" s="146" t="str">
        <f>HLOOKUP(INDICE!$F$2,Nombres!$C$3:$E$857,36)</f>
        <v>3er Trim.</v>
      </c>
    </row>
    <row r="58" spans="1:8">
      <c r="A58" s="54" t="str">
        <f>HLOOKUP(INDICE!$F$2,Nombres!$C$3:$E$853,38)</f>
        <v>Margen de intereses</v>
      </c>
      <c r="B58" s="147">
        <v>47.883782458400006</v>
      </c>
      <c r="C58" s="83">
        <v>48.271238995299996</v>
      </c>
      <c r="D58" s="83">
        <v>50.388595219699994</v>
      </c>
      <c r="E58" s="148">
        <v>44.232689336199996</v>
      </c>
      <c r="F58" s="54">
        <v>46.347970707999998</v>
      </c>
      <c r="G58" s="54">
        <v>38.922670119199999</v>
      </c>
      <c r="H58" s="54">
        <v>45.185096562699997</v>
      </c>
    </row>
    <row r="59" spans="1:8">
      <c r="A59" s="49" t="str">
        <f>HLOOKUP(INDICE!$F$2,Nombres!$C$3:$E$853,39)</f>
        <v>Comisiones</v>
      </c>
      <c r="B59" s="149">
        <v>48.372184681699999</v>
      </c>
      <c r="C59" s="84">
        <v>50.491279691000003</v>
      </c>
      <c r="D59" s="84">
        <v>45.737527749699993</v>
      </c>
      <c r="E59" s="150">
        <v>47.741432145700003</v>
      </c>
      <c r="F59" s="73">
        <v>45.611750714499998</v>
      </c>
      <c r="G59" s="73">
        <v>44.683712567699999</v>
      </c>
      <c r="H59" s="73">
        <v>32.877374397700002</v>
      </c>
    </row>
    <row r="60" spans="1:8">
      <c r="A60" s="49" t="str">
        <f>HLOOKUP(INDICE!$F$2,Nombres!$C$3:$E$853,40)</f>
        <v>Resultados de operaciones financieras</v>
      </c>
      <c r="B60" s="149">
        <v>42.950493960700001</v>
      </c>
      <c r="C60" s="84">
        <v>51.955629490299998</v>
      </c>
      <c r="D60" s="84">
        <v>25.355937431000001</v>
      </c>
      <c r="E60" s="150">
        <v>30.097096401899996</v>
      </c>
      <c r="F60" s="73">
        <v>73.432816581299988</v>
      </c>
      <c r="G60" s="73">
        <v>15.876696529300002</v>
      </c>
      <c r="H60" s="73">
        <v>15.917274119500002</v>
      </c>
    </row>
    <row r="61" spans="1:8" ht="17.25" customHeight="1">
      <c r="A61" s="49" t="str">
        <f>HLOOKUP(INDICE!$F$2,Nombres!$C$3:$E$853,95)</f>
        <v>Otros ingresos netos</v>
      </c>
      <c r="B61" s="149">
        <v>18.902451712000001</v>
      </c>
      <c r="C61" s="84">
        <v>157.80573317240001</v>
      </c>
      <c r="D61" s="84">
        <v>18.853717682500001</v>
      </c>
      <c r="E61" s="150">
        <v>13.7855040523</v>
      </c>
      <c r="F61" s="73">
        <v>-1.4002460164000001</v>
      </c>
      <c r="G61" s="73">
        <v>1.5018793925</v>
      </c>
      <c r="H61" s="73">
        <v>0.24594462380000001</v>
      </c>
    </row>
    <row r="62" spans="1:8" ht="15.75" customHeight="1">
      <c r="A62" s="54" t="str">
        <f>HLOOKUP(INDICE!$F$2,Nombres!$C$3:$E$853,44)</f>
        <v>Margen bruto</v>
      </c>
      <c r="B62" s="147">
        <v>158.1089128127</v>
      </c>
      <c r="C62" s="83">
        <v>308.52388134879999</v>
      </c>
      <c r="D62" s="83">
        <v>140.3357780828</v>
      </c>
      <c r="E62" s="148">
        <v>135.85672193610003</v>
      </c>
      <c r="F62" s="54">
        <v>163.99229198750001</v>
      </c>
      <c r="G62" s="54">
        <v>100.98495860880001</v>
      </c>
      <c r="H62" s="54">
        <v>94.225689703699999</v>
      </c>
    </row>
    <row r="63" spans="1:8">
      <c r="A63" s="49" t="str">
        <f>HLOOKUP(INDICE!$F$2,Nombres!$C$3:$E$853,45)</f>
        <v>Gastos de explotación</v>
      </c>
      <c r="B63" s="149">
        <v>-87.097701488399991</v>
      </c>
      <c r="C63" s="84">
        <v>-79.989069943800004</v>
      </c>
      <c r="D63" s="84">
        <v>-89.511046290099998</v>
      </c>
      <c r="E63" s="150">
        <v>-91.077872316299988</v>
      </c>
      <c r="F63" s="73">
        <v>-89.927487675700007</v>
      </c>
      <c r="G63" s="73">
        <v>-85.921662233000006</v>
      </c>
      <c r="H63" s="73">
        <v>-75.925297851300002</v>
      </c>
    </row>
    <row r="64" spans="1:8">
      <c r="A64" s="49" t="str">
        <f>HLOOKUP(INDICE!$F$2,Nombres!$C$3:$E$853,46)</f>
        <v xml:space="preserve">  Gastos de administración</v>
      </c>
      <c r="B64" s="149">
        <v>-84.356237840799992</v>
      </c>
      <c r="C64" s="84">
        <v>-77.273344667299995</v>
      </c>
      <c r="D64" s="84">
        <v>-86.807138852099996</v>
      </c>
      <c r="E64" s="150">
        <v>-87.280914356599993</v>
      </c>
      <c r="F64" s="73">
        <v>-86.306670382899995</v>
      </c>
      <c r="G64" s="73">
        <v>-82.410180627999992</v>
      </c>
      <c r="H64" s="73">
        <v>-72.905161749000001</v>
      </c>
    </row>
    <row r="65" spans="1:8">
      <c r="A65" s="88" t="str">
        <f>HLOOKUP(INDICE!$F$2,Nombres!$C$3:$E$853,47)</f>
        <v xml:space="preserve">  Gastos de personal</v>
      </c>
      <c r="B65" s="149">
        <v>-51.906224287599997</v>
      </c>
      <c r="C65" s="84">
        <v>-40.993595668599994</v>
      </c>
      <c r="D65" s="84">
        <v>-48.7368206859</v>
      </c>
      <c r="E65" s="150">
        <v>-46.929640790100002</v>
      </c>
      <c r="F65" s="73">
        <v>-51.483510850900004</v>
      </c>
      <c r="G65" s="73">
        <v>-48.776432562700002</v>
      </c>
      <c r="H65" s="73">
        <v>-40.9334439864</v>
      </c>
    </row>
    <row r="66" spans="1:8">
      <c r="A66" s="88" t="str">
        <f>HLOOKUP(INDICE!$F$2,Nombres!$C$3:$E$853,48)</f>
        <v xml:space="preserve">  Otros gastos generales de administración</v>
      </c>
      <c r="B66" s="149">
        <v>-32.450013553200002</v>
      </c>
      <c r="C66" s="84">
        <v>-36.279748998700001</v>
      </c>
      <c r="D66" s="84">
        <v>-38.070318166100002</v>
      </c>
      <c r="E66" s="150">
        <v>-40.351273566399996</v>
      </c>
      <c r="F66" s="73">
        <v>-34.823159532199995</v>
      </c>
      <c r="G66" s="73">
        <v>-33.633748065399999</v>
      </c>
      <c r="H66" s="73">
        <v>-31.971717762600001</v>
      </c>
    </row>
    <row r="67" spans="1:8" ht="13.5" customHeight="1">
      <c r="A67" s="49" t="str">
        <f>HLOOKUP(INDICE!$F$2,Nombres!$C$3:$E$853,49)</f>
        <v xml:space="preserve">  Amortizaciones</v>
      </c>
      <c r="B67" s="149">
        <v>-2.7414636476999998</v>
      </c>
      <c r="C67" s="84">
        <v>-2.7157252763999997</v>
      </c>
      <c r="D67" s="84">
        <v>-2.7039074378999999</v>
      </c>
      <c r="E67" s="150">
        <v>-3.7969579597999998</v>
      </c>
      <c r="F67" s="73">
        <v>-3.6208172928</v>
      </c>
      <c r="G67" s="73">
        <v>-3.5114816049000002</v>
      </c>
      <c r="H67" s="73">
        <v>-3.0201361023</v>
      </c>
    </row>
    <row r="68" spans="1:8" ht="14.25" customHeight="1">
      <c r="A68" s="54" t="str">
        <f>HLOOKUP(INDICE!$F$2,Nombres!$C$3:$E$853,50)</f>
        <v>Margen neto</v>
      </c>
      <c r="B68" s="147">
        <v>71.011211324200005</v>
      </c>
      <c r="C68" s="83">
        <v>228.534811405</v>
      </c>
      <c r="D68" s="83">
        <v>50.824731792800002</v>
      </c>
      <c r="E68" s="148">
        <v>44.778849619900001</v>
      </c>
      <c r="F68" s="54">
        <v>74.064804311799989</v>
      </c>
      <c r="G68" s="54">
        <v>15.063296375799998</v>
      </c>
      <c r="H68" s="54">
        <v>18.300391852299999</v>
      </c>
    </row>
    <row r="69" spans="1:8">
      <c r="A69" s="49" t="str">
        <f>HLOOKUP(INDICE!$F$2,Nombres!$C$3:$E$853,51)</f>
        <v>Pérdidas por deterioro de activos financieros</v>
      </c>
      <c r="B69" s="149">
        <v>-24.175322881600003</v>
      </c>
      <c r="C69" s="84">
        <v>-17.7182262442</v>
      </c>
      <c r="D69" s="84">
        <v>-14.681512078200001</v>
      </c>
      <c r="E69" s="150">
        <v>0.41205655740000036</v>
      </c>
      <c r="F69" s="73">
        <v>-22.134298426999997</v>
      </c>
      <c r="G69" s="73">
        <v>-5.6306945813000002</v>
      </c>
      <c r="H69" s="73">
        <v>21.449790008400001</v>
      </c>
    </row>
    <row r="70" spans="1:8" ht="16.5" customHeight="1">
      <c r="A70" s="49" t="str">
        <f>HLOOKUP(INDICE!$F$2,Nombres!$C$3:$E$853,160)</f>
        <v>Dotaciones a provisiones y otros resultados</v>
      </c>
      <c r="B70" s="149">
        <v>2.4043752555000002</v>
      </c>
      <c r="C70" s="84">
        <v>-6.0917825695999994</v>
      </c>
      <c r="D70" s="84">
        <v>1.9465287382000001</v>
      </c>
      <c r="E70" s="150">
        <v>-14.573766298300001</v>
      </c>
      <c r="F70" s="73">
        <v>4.0961558670000002</v>
      </c>
      <c r="G70" s="73">
        <v>0.86755132140000002</v>
      </c>
      <c r="H70" s="73">
        <v>-5.0407121884000006</v>
      </c>
    </row>
    <row r="71" spans="1:8" ht="12.75" customHeight="1">
      <c r="A71" s="54" t="str">
        <f>HLOOKUP(INDICE!$F$2,Nombres!$C$3:$E$853,54)</f>
        <v>Beneficio antes de impuestos</v>
      </c>
      <c r="B71" s="147">
        <v>49.240263698</v>
      </c>
      <c r="C71" s="83">
        <v>204.72480259119999</v>
      </c>
      <c r="D71" s="83">
        <v>38.089748452799995</v>
      </c>
      <c r="E71" s="148">
        <v>30.617139878899998</v>
      </c>
      <c r="F71" s="54">
        <v>56.026661751799999</v>
      </c>
      <c r="G71" s="54">
        <v>10.300153115900001</v>
      </c>
      <c r="H71" s="54">
        <v>34.709469672300003</v>
      </c>
    </row>
    <row r="72" spans="1:8" ht="13.5" customHeight="1">
      <c r="A72" s="49" t="str">
        <f>HLOOKUP(INDICE!$F$2,Nombres!$C$3:$E$853,55)</f>
        <v>Impuesto sobre beneficios</v>
      </c>
      <c r="B72" s="149">
        <v>-11.206914294000001</v>
      </c>
      <c r="C72" s="84">
        <v>-33.311249076400003</v>
      </c>
      <c r="D72" s="84">
        <v>-10.5541125746</v>
      </c>
      <c r="E72" s="150">
        <v>-10.687631272299999</v>
      </c>
      <c r="F72" s="73">
        <v>-19.6760464772</v>
      </c>
      <c r="G72" s="73">
        <v>-3.4386778784000001</v>
      </c>
      <c r="H72" s="73">
        <v>-11.738740224299999</v>
      </c>
    </row>
    <row r="73" spans="1:8" ht="12.75" customHeight="1">
      <c r="A73" s="54" t="str">
        <f>HLOOKUP(INDICE!$F$2,Nombres!$C$3:$E$853,56)</f>
        <v>Beneficio después de impuestos</v>
      </c>
      <c r="B73" s="147">
        <v>38.033349403999999</v>
      </c>
      <c r="C73" s="83">
        <v>171.4135535147</v>
      </c>
      <c r="D73" s="83">
        <v>27.535635878199997</v>
      </c>
      <c r="E73" s="148">
        <v>19.929508606599999</v>
      </c>
      <c r="F73" s="54">
        <v>36.350615274600003</v>
      </c>
      <c r="G73" s="54">
        <v>6.8614752373999996</v>
      </c>
      <c r="H73" s="54">
        <v>22.970729448</v>
      </c>
    </row>
    <row r="74" spans="1:8" ht="12.75" customHeight="1">
      <c r="A74" s="49" t="str">
        <f>HLOOKUP(INDICE!$F$2,Nombres!$C$3:$E$853,57)</f>
        <v>Resultado atribuido a la minoría</v>
      </c>
      <c r="B74" s="241">
        <v>0</v>
      </c>
      <c r="C74" s="236">
        <v>0</v>
      </c>
      <c r="D74" s="236">
        <v>0</v>
      </c>
      <c r="E74" s="237">
        <v>0</v>
      </c>
      <c r="F74" s="242">
        <v>0</v>
      </c>
      <c r="G74" s="242">
        <v>0</v>
      </c>
      <c r="H74" s="242">
        <v>0</v>
      </c>
    </row>
    <row r="75" spans="1:8" ht="15" customHeight="1">
      <c r="A75" s="54" t="str">
        <f>HLOOKUP(INDICE!$F$2,Nombres!$C$3:$E$853,58)</f>
        <v>Beneficio atribuido al Grupo</v>
      </c>
      <c r="B75" s="147">
        <v>38.033349403999999</v>
      </c>
      <c r="C75" s="83">
        <v>171.4135535147</v>
      </c>
      <c r="D75" s="83">
        <v>27.535635878199997</v>
      </c>
      <c r="E75" s="148">
        <v>19.929508606599999</v>
      </c>
      <c r="F75" s="54">
        <v>36.350615274600003</v>
      </c>
      <c r="G75" s="54">
        <v>6.8614752373999996</v>
      </c>
      <c r="H75" s="54">
        <v>22.970729448</v>
      </c>
    </row>
    <row r="76" spans="1:8" ht="15.75" customHeight="1">
      <c r="A76" s="144" t="str">
        <f>HLOOKUP(INDICE!$F$2,Nombres!$C$3:$E$853,94)</f>
        <v>Balances</v>
      </c>
      <c r="G76" s="74"/>
      <c r="H76" s="74"/>
    </row>
    <row r="77" spans="1:8">
      <c r="A77" s="41" t="str">
        <f>HLOOKUP(INDICE!$F$2,Nombres!$C$3:$E$853,31)</f>
        <v>(Millones de euros constantes)</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Caja y depósitos en bancos centrales</v>
      </c>
      <c r="B79" s="149">
        <v>174.67638497530001</v>
      </c>
      <c r="C79" s="84">
        <v>192.35709762650001</v>
      </c>
      <c r="D79" s="84">
        <v>205.92934807509999</v>
      </c>
      <c r="E79" s="150">
        <v>200.09654776990001</v>
      </c>
      <c r="F79" s="158">
        <v>245.17859956320001</v>
      </c>
      <c r="G79" s="84">
        <v>274.52951598200002</v>
      </c>
      <c r="H79" s="84">
        <v>262.83689399999997</v>
      </c>
    </row>
    <row r="80" spans="1:8">
      <c r="A80" s="49" t="str">
        <f>HLOOKUP(INDICE!$F$2,Nombres!$C$3:$E$853,101)</f>
        <v>Cartera de títulos</v>
      </c>
      <c r="B80" s="149">
        <v>4286.9341401266001</v>
      </c>
      <c r="C80" s="84">
        <v>4431.7418379348001</v>
      </c>
      <c r="D80" s="84">
        <v>4691.7824305396998</v>
      </c>
      <c r="E80" s="150">
        <v>5171.328386704</v>
      </c>
      <c r="F80" s="158">
        <v>3451.1110612588</v>
      </c>
      <c r="G80" s="84">
        <v>3109.9225311934001</v>
      </c>
      <c r="H80" s="84">
        <v>2280.9537435799998</v>
      </c>
    </row>
    <row r="81" spans="1:8">
      <c r="A81" s="49" t="str">
        <f>HLOOKUP(INDICE!$F$2,Nombres!$C$3:$E$853,102)</f>
        <v>Inversiones crediticias</v>
      </c>
      <c r="B81" s="149">
        <v>17256.530806824601</v>
      </c>
      <c r="C81" s="84">
        <v>17255.884394562701</v>
      </c>
      <c r="D81" s="84">
        <v>17661.030996184301</v>
      </c>
      <c r="E81" s="150">
        <v>16316.0911333571</v>
      </c>
      <c r="F81" s="158">
        <v>17170.399379013299</v>
      </c>
      <c r="G81" s="84">
        <v>15868.656764101301</v>
      </c>
      <c r="H81" s="84">
        <v>16276.08976368</v>
      </c>
    </row>
    <row r="82" spans="1:8">
      <c r="A82" s="49" t="str">
        <f>HLOOKUP(INDICE!$F$2,Nombres!$C$3:$E$853,103)</f>
        <v xml:space="preserve">  . Crédito a la clientela neto</v>
      </c>
      <c r="B82" s="149">
        <v>15978.029600289001</v>
      </c>
      <c r="C82" s="84">
        <v>15652.7909260612</v>
      </c>
      <c r="D82" s="84">
        <v>16045.469820595299</v>
      </c>
      <c r="E82" s="150">
        <v>15127.065243020401</v>
      </c>
      <c r="F82" s="158">
        <v>16175.0600438976</v>
      </c>
      <c r="G82" s="84">
        <v>15056.453754836901</v>
      </c>
      <c r="H82" s="84">
        <v>15493.32615968</v>
      </c>
    </row>
    <row r="83" spans="1:8">
      <c r="A83" s="49" t="str">
        <f>HLOOKUP(INDICE!$F$2,Nombres!$C$3:$E$853,104)</f>
        <v xml:space="preserve">  . Depósitos en entidades de crédito y otros</v>
      </c>
      <c r="B83" s="149">
        <v>1278.5012065357</v>
      </c>
      <c r="C83" s="84">
        <v>1603.0934685016</v>
      </c>
      <c r="D83" s="84">
        <v>1615.561175589</v>
      </c>
      <c r="E83" s="150">
        <v>1189.0258903367001</v>
      </c>
      <c r="F83" s="158">
        <v>995.33933511570001</v>
      </c>
      <c r="G83" s="84">
        <v>812.20300926439995</v>
      </c>
      <c r="H83" s="84">
        <v>782.76360399999999</v>
      </c>
    </row>
    <row r="84" spans="1:8">
      <c r="A84" s="49" t="str">
        <f>HLOOKUP(INDICE!$F$2,Nombres!$C$3:$E$853,105)</f>
        <v>Posiciones inter-áreas activo</v>
      </c>
      <c r="B84" s="149">
        <v>0</v>
      </c>
      <c r="C84" s="84">
        <v>0</v>
      </c>
      <c r="D84" s="84">
        <v>0</v>
      </c>
      <c r="E84" s="150">
        <v>0</v>
      </c>
      <c r="F84" s="158">
        <v>0</v>
      </c>
      <c r="G84" s="84">
        <v>0</v>
      </c>
      <c r="H84" s="84">
        <v>1106.0959054999985</v>
      </c>
    </row>
    <row r="85" spans="1:8">
      <c r="A85" s="49" t="str">
        <f>HLOOKUP(INDICE!$F$2,Nombres!$C$3:$E$853,106)</f>
        <v>Activo material</v>
      </c>
      <c r="B85" s="149">
        <v>82.330402392699995</v>
      </c>
      <c r="C85" s="84">
        <v>79.940891324999996</v>
      </c>
      <c r="D85" s="84">
        <v>77.664608605500007</v>
      </c>
      <c r="E85" s="150">
        <v>52.604884552199998</v>
      </c>
      <c r="F85" s="158">
        <v>51.8543851799</v>
      </c>
      <c r="G85" s="84">
        <v>50.938886563200001</v>
      </c>
      <c r="H85" s="84">
        <v>49.161946999999998</v>
      </c>
    </row>
    <row r="86" spans="1:8">
      <c r="A86" s="49" t="str">
        <f>HLOOKUP(INDICE!$F$2,Nombres!$C$3:$E$853,107)</f>
        <v>Otros activos</v>
      </c>
      <c r="B86" s="149">
        <v>316.72148482699998</v>
      </c>
      <c r="C86" s="84">
        <v>295.17358181520001</v>
      </c>
      <c r="D86" s="84">
        <v>289.743570691</v>
      </c>
      <c r="E86" s="150">
        <v>679.18573305899997</v>
      </c>
      <c r="F86" s="158">
        <v>620.71329123199996</v>
      </c>
      <c r="G86" s="84">
        <v>598.80920030820005</v>
      </c>
      <c r="H86" s="84">
        <v>336.771389</v>
      </c>
    </row>
    <row r="87" spans="1:8">
      <c r="A87" s="54" t="str">
        <f>HLOOKUP(INDICE!$F$2,Nombres!$C$3:$E$853,108)</f>
        <v>Total activo / pasivo</v>
      </c>
      <c r="B87" s="147">
        <v>22117.193219146302</v>
      </c>
      <c r="C87" s="83">
        <v>22255.097803264202</v>
      </c>
      <c r="D87" s="83">
        <v>22926.150954095603</v>
      </c>
      <c r="E87" s="148">
        <v>22419.306685442098</v>
      </c>
      <c r="F87" s="147">
        <v>21539.256716247102</v>
      </c>
      <c r="G87" s="83">
        <v>19902.856898147998</v>
      </c>
      <c r="H87" s="83">
        <v>20311.909642760002</v>
      </c>
    </row>
    <row r="88" spans="1:8">
      <c r="A88" s="49" t="str">
        <f>HLOOKUP(INDICE!$F$2,Nombres!$C$3:$E$853,109)</f>
        <v>Depósitos de bancos centrales y entidades de crédito</v>
      </c>
      <c r="B88" s="149">
        <v>5282.5246904379001</v>
      </c>
      <c r="C88" s="84">
        <v>5295.8736529963999</v>
      </c>
      <c r="D88" s="84">
        <v>4776.2173721403997</v>
      </c>
      <c r="E88" s="150">
        <v>5444.4902371140997</v>
      </c>
      <c r="F88" s="158">
        <v>6069.7287970602001</v>
      </c>
      <c r="G88" s="84">
        <v>5650.5408062745</v>
      </c>
      <c r="H88" s="84">
        <v>5422.7458120000001</v>
      </c>
    </row>
    <row r="89" spans="1:8">
      <c r="A89" s="49" t="str">
        <f>HLOOKUP(INDICE!$F$2,Nombres!$C$3:$E$853,110)</f>
        <v>Depósitos de la clientela</v>
      </c>
      <c r="B89" s="149">
        <v>8603.8770653196007</v>
      </c>
      <c r="C89" s="84">
        <v>7817.8961549394999</v>
      </c>
      <c r="D89" s="84">
        <v>8846.8570355569009</v>
      </c>
      <c r="E89" s="150">
        <v>11120.471723201999</v>
      </c>
      <c r="F89" s="158">
        <v>12933.561273704299</v>
      </c>
      <c r="G89" s="84">
        <v>11770.7842133248</v>
      </c>
      <c r="H89" s="84">
        <v>13094.102351</v>
      </c>
    </row>
    <row r="90" spans="1:8">
      <c r="A90" s="49" t="str">
        <f>HLOOKUP(INDICE!$F$2,Nombres!$C$3:$E$853,111)</f>
        <v>Débitos representados por valores negociables</v>
      </c>
      <c r="B90" s="149">
        <v>0.36899974000000002</v>
      </c>
      <c r="C90" s="84">
        <v>0.36499973000000002</v>
      </c>
      <c r="D90" s="84">
        <v>0.36099969999999998</v>
      </c>
      <c r="E90" s="150">
        <v>0.35699967999999999</v>
      </c>
      <c r="F90" s="158">
        <v>0.35299964</v>
      </c>
      <c r="G90" s="84">
        <v>0.34799965999999999</v>
      </c>
      <c r="H90" s="84">
        <v>0.34399999999999997</v>
      </c>
    </row>
    <row r="91" spans="1:8">
      <c r="A91" s="49" t="str">
        <f>HLOOKUP(INDICE!$F$2,Nombres!$C$3:$E$853,112)</f>
        <v>Pasivos subordinados</v>
      </c>
      <c r="B91" s="149">
        <v>517.32176263500003</v>
      </c>
      <c r="C91" s="84">
        <v>529.56831155880002</v>
      </c>
      <c r="D91" s="84">
        <v>540.92486327489996</v>
      </c>
      <c r="E91" s="150">
        <v>610.01101787899995</v>
      </c>
      <c r="F91" s="158">
        <v>331.1935242189</v>
      </c>
      <c r="G91" s="84">
        <v>324.66385170429999</v>
      </c>
      <c r="H91" s="84">
        <v>306.96940283999999</v>
      </c>
    </row>
    <row r="92" spans="1:8">
      <c r="A92" s="49" t="str">
        <f>HLOOKUP(INDICE!$F$2,Nombres!$C$3:$E$853,113)</f>
        <v>Posiciones inter-áreas pasivo</v>
      </c>
      <c r="B92" s="149">
        <v>5495.5552908986028</v>
      </c>
      <c r="C92" s="84">
        <v>6132.1683584528018</v>
      </c>
      <c r="D92" s="84">
        <v>5931.5534999822048</v>
      </c>
      <c r="E92" s="150">
        <v>1285.5161636022967</v>
      </c>
      <c r="F92" s="158">
        <v>304.12535573589776</v>
      </c>
      <c r="G92" s="84">
        <v>437.84861798509883</v>
      </c>
      <c r="H92" s="84">
        <v>0</v>
      </c>
    </row>
    <row r="93" spans="1:8">
      <c r="A93" s="49" t="str">
        <f>HLOOKUP(INDICE!$F$2,Nombres!$C$3:$E$853,114)</f>
        <v>Cartera de negociación</v>
      </c>
      <c r="B93" s="149">
        <v>190.5914475459</v>
      </c>
      <c r="C93" s="84">
        <v>202.51784520929999</v>
      </c>
      <c r="D93" s="84">
        <v>212.6108640384</v>
      </c>
      <c r="E93" s="150">
        <v>216.7694724353</v>
      </c>
      <c r="F93" s="158">
        <v>114.5961720631</v>
      </c>
      <c r="G93" s="84">
        <v>96.635066395699994</v>
      </c>
      <c r="H93" s="84">
        <v>97.631062999999997</v>
      </c>
    </row>
    <row r="94" spans="1:8">
      <c r="A94" s="49" t="str">
        <f>HLOOKUP(INDICE!$F$2,Nombres!$C$3:$E$853,115)</f>
        <v>Otros pasivos</v>
      </c>
      <c r="B94" s="149">
        <v>-42.814617221199981</v>
      </c>
      <c r="C94" s="84">
        <v>157.47807585390007</v>
      </c>
      <c r="D94" s="84">
        <v>452.87322651380003</v>
      </c>
      <c r="E94" s="150">
        <v>1300.6108395654001</v>
      </c>
      <c r="F94" s="158">
        <v>459.81313224529998</v>
      </c>
      <c r="G94" s="84">
        <v>322.42513725190003</v>
      </c>
      <c r="H94" s="84">
        <v>161.33435121999997</v>
      </c>
    </row>
    <row r="95" spans="1:8" ht="12" customHeight="1">
      <c r="A95" s="49" t="str">
        <f>HLOOKUP(INDICE!$F$2,Nombres!$C$3:$E$853,116)</f>
        <v>Dotación de capital económico</v>
      </c>
      <c r="B95" s="149">
        <v>2069.7685797904001</v>
      </c>
      <c r="C95" s="84">
        <v>2119.2304045235001</v>
      </c>
      <c r="D95" s="84">
        <v>2164.7530928890001</v>
      </c>
      <c r="E95" s="150">
        <v>2441.0802319640002</v>
      </c>
      <c r="F95" s="158">
        <v>1325.8854615793</v>
      </c>
      <c r="G95" s="84">
        <v>1299.6112055517001</v>
      </c>
      <c r="H95" s="84">
        <v>1228.7826626999999</v>
      </c>
    </row>
    <row r="96" spans="1:8" ht="12" customHeight="1">
      <c r="A96" s="144" t="str">
        <f>HLOOKUP(INDICE!$F$2,Nombres!$C$3:$E$853,117)</f>
        <v>Indicadores relevantes</v>
      </c>
      <c r="G96" s="74"/>
      <c r="H96" s="74"/>
    </row>
    <row r="97" spans="1:8" ht="18">
      <c r="A97" s="144" t="str">
        <f>HLOOKUP(INDICE!$F$2,Nombres!$C$3:$E$853,201)</f>
        <v>Anexo:</v>
      </c>
      <c r="G97" s="74"/>
      <c r="H97" s="74"/>
    </row>
    <row r="98" spans="1:8" ht="12" customHeight="1">
      <c r="A98" s="41" t="str">
        <f>HLOOKUP(INDICE!$F$2,Nombres!$C$3:$E$853,31)</f>
        <v>(Millones de euros constantes)</v>
      </c>
      <c r="G98" s="74"/>
      <c r="H98" s="74"/>
    </row>
    <row r="99" spans="1:8" ht="11.25" customHeight="1">
      <c r="A99" s="153"/>
      <c r="B99" s="81">
        <v>41729</v>
      </c>
      <c r="C99" s="82">
        <v>41820</v>
      </c>
      <c r="D99" s="82">
        <v>41912</v>
      </c>
      <c r="E99" s="82">
        <v>42004</v>
      </c>
      <c r="F99" s="81">
        <v>42094</v>
      </c>
      <c r="G99" s="82">
        <v>42185</v>
      </c>
      <c r="H99" s="82">
        <v>42277</v>
      </c>
    </row>
    <row r="100" spans="1:8">
      <c r="A100" s="49" t="str">
        <f>HLOOKUP(INDICE!$F$2,Nombres!$C$3:$E$853,118)</f>
        <v>Crédito a la clientela bruto (*)</v>
      </c>
      <c r="B100" s="155">
        <v>16705.1400118704</v>
      </c>
      <c r="C100" s="157">
        <v>16392.080318229</v>
      </c>
      <c r="D100" s="157">
        <v>16794.917281687598</v>
      </c>
      <c r="E100" s="157">
        <v>15821.1351648936</v>
      </c>
      <c r="F100" s="155">
        <v>16855.7923411396</v>
      </c>
      <c r="G100" s="157">
        <v>15727.977830326401</v>
      </c>
      <c r="H100" s="157">
        <v>16089.943389</v>
      </c>
    </row>
    <row r="101" spans="1:8">
      <c r="A101" s="49" t="str">
        <f>HLOOKUP(INDICE!$F$2,Nombres!$C$3:$E$853,121)</f>
        <v>Depósitos de clientes en gestión (**)</v>
      </c>
      <c r="B101" s="155">
        <v>8502.9601982995991</v>
      </c>
      <c r="C101" s="157">
        <v>7714.2156761795004</v>
      </c>
      <c r="D101" s="157">
        <v>8742.9541351969001</v>
      </c>
      <c r="E101" s="157">
        <v>11016.234622332</v>
      </c>
      <c r="F101" s="155">
        <v>12823.253190524299</v>
      </c>
      <c r="G101" s="157">
        <v>11668.247213634801</v>
      </c>
      <c r="H101" s="157">
        <v>12989.889062</v>
      </c>
    </row>
    <row r="102" spans="1:8">
      <c r="A102" s="49" t="str">
        <f>HLOOKUP(INDICE!$F$2,Nombres!$C$3:$E$853,122)</f>
        <v>Fondos de inversión</v>
      </c>
      <c r="B102" s="155">
        <v>134.4</v>
      </c>
      <c r="C102" s="157">
        <v>143.9</v>
      </c>
      <c r="D102" s="157">
        <v>148.80000000000001</v>
      </c>
      <c r="E102" s="157">
        <v>151.80000000000001</v>
      </c>
      <c r="F102" s="155">
        <v>159.80000000000001</v>
      </c>
      <c r="G102" s="157">
        <v>2.1</v>
      </c>
      <c r="H102" s="157">
        <v>0.670871</v>
      </c>
    </row>
    <row r="103" spans="1:8">
      <c r="A103" s="49" t="str">
        <f>HLOOKUP(INDICE!$F$2,Nombres!$C$3:$E$853,206)</f>
        <v>Fondos de pensiones</v>
      </c>
      <c r="B103" s="154">
        <v>290.8</v>
      </c>
      <c r="C103" s="84">
        <v>307.2</v>
      </c>
      <c r="D103" s="84">
        <v>323.5</v>
      </c>
      <c r="E103" s="84">
        <v>314.3</v>
      </c>
      <c r="F103" s="154">
        <v>365.3</v>
      </c>
      <c r="G103" s="84">
        <v>338.2</v>
      </c>
      <c r="H103" s="84">
        <v>320.89999999999998</v>
      </c>
    </row>
    <row r="104" spans="1:8">
      <c r="A104" s="49" t="str">
        <f>HLOOKUP(INDICE!$F$2,Nombres!$C$3:$E$853,308)</f>
        <v>Otros recursos fuera de balance</v>
      </c>
      <c r="B104" s="240">
        <v>0</v>
      </c>
      <c r="C104" s="236">
        <v>0</v>
      </c>
      <c r="D104" s="236">
        <v>0</v>
      </c>
      <c r="E104" s="236">
        <v>0</v>
      </c>
      <c r="F104" s="240">
        <v>0</v>
      </c>
      <c r="G104" s="236">
        <v>0</v>
      </c>
      <c r="H104" s="236">
        <v>0</v>
      </c>
    </row>
    <row r="105" spans="1:8">
      <c r="A105" s="156" t="str">
        <f>HLOOKUP(INDICE!$F$2,Nombres!$C$3:$E$853,307)</f>
        <v>(*) No incluye las adquisiciones temporales de activos.</v>
      </c>
      <c r="B105" s="72"/>
      <c r="C105" s="73"/>
      <c r="D105" s="73"/>
      <c r="E105" s="73"/>
      <c r="F105" s="73"/>
    </row>
    <row r="106" spans="1:8">
      <c r="A106" s="156" t="str">
        <f>HLOOKUP(INDICE!$F$2,Nombres!$C$3:$E$853,285)</f>
        <v>(**) No incluye las cesiones temporales de activos.</v>
      </c>
      <c r="B106" s="72"/>
      <c r="C106" s="73"/>
      <c r="D106" s="73"/>
      <c r="E106" s="73"/>
      <c r="F106" s="73"/>
    </row>
  </sheetData>
  <mergeCells count="4">
    <mergeCell ref="B4:E4"/>
    <mergeCell ref="F4:H4"/>
    <mergeCell ref="B56:E56"/>
    <mergeCell ref="F56:H56"/>
  </mergeCells>
  <pageMargins left="0.7" right="0.7" top="0.75" bottom="0.75" header="0.3" footer="0.3"/>
  <pageSetup paperSize="9" scale="4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N102"/>
  <sheetViews>
    <sheetView showGridLines="0" workbookViewId="0">
      <selection activeCell="H22" sqref="H22"/>
    </sheetView>
  </sheetViews>
  <sheetFormatPr baseColWidth="10" defaultColWidth="9.140625" defaultRowHeight="15"/>
  <cols>
    <col min="1" max="1" width="57.42578125" style="159" customWidth="1"/>
    <col min="2" max="2" width="10.28515625" bestFit="1" customWidth="1"/>
    <col min="3" max="3" width="10.7109375" style="143" bestFit="1" customWidth="1"/>
    <col min="4" max="4" width="10.28515625" style="143" bestFit="1" customWidth="1"/>
    <col min="5" max="5" width="10.42578125" style="143" customWidth="1"/>
    <col min="6" max="6" width="10.28515625" bestFit="1" customWidth="1"/>
    <col min="7" max="7" width="10.7109375" bestFit="1" customWidth="1"/>
    <col min="8" max="8" width="10.28515625" bestFit="1" customWidth="1"/>
    <col min="10" max="10" width="10.85546875" bestFit="1" customWidth="1"/>
    <col min="256" max="256" width="70.7109375" customWidth="1"/>
    <col min="257" max="257" width="9.7109375" customWidth="1"/>
    <col min="258" max="258" width="9.85546875" customWidth="1"/>
    <col min="259" max="259" width="9.5703125" customWidth="1"/>
    <col min="260" max="260" width="10.42578125" customWidth="1"/>
    <col min="512" max="512" width="70.7109375" customWidth="1"/>
    <col min="513" max="513" width="9.7109375" customWidth="1"/>
    <col min="514" max="514" width="9.85546875" customWidth="1"/>
    <col min="515" max="515" width="9.5703125" customWidth="1"/>
    <col min="516" max="516" width="10.42578125" customWidth="1"/>
    <col min="768" max="768" width="70.7109375" customWidth="1"/>
    <col min="769" max="769" width="9.7109375" customWidth="1"/>
    <col min="770" max="770" width="9.85546875" customWidth="1"/>
    <col min="771" max="771" width="9.5703125" customWidth="1"/>
    <col min="772" max="772" width="10.42578125" customWidth="1"/>
    <col min="1024" max="1024" width="70.7109375" customWidth="1"/>
    <col min="1025" max="1025" width="9.7109375" customWidth="1"/>
    <col min="1026" max="1026" width="9.85546875" customWidth="1"/>
    <col min="1027" max="1027" width="9.5703125" customWidth="1"/>
    <col min="1028" max="1028" width="10.42578125" customWidth="1"/>
    <col min="1280" max="1280" width="70.7109375" customWidth="1"/>
    <col min="1281" max="1281" width="9.7109375" customWidth="1"/>
    <col min="1282" max="1282" width="9.85546875" customWidth="1"/>
    <col min="1283" max="1283" width="9.5703125" customWidth="1"/>
    <col min="1284" max="1284" width="10.42578125" customWidth="1"/>
    <col min="1536" max="1536" width="70.7109375" customWidth="1"/>
    <col min="1537" max="1537" width="9.7109375" customWidth="1"/>
    <col min="1538" max="1538" width="9.85546875" customWidth="1"/>
    <col min="1539" max="1539" width="9.5703125" customWidth="1"/>
    <col min="1540" max="1540" width="10.42578125" customWidth="1"/>
    <col min="1792" max="1792" width="70.7109375" customWidth="1"/>
    <col min="1793" max="1793" width="9.7109375" customWidth="1"/>
    <col min="1794" max="1794" width="9.85546875" customWidth="1"/>
    <col min="1795" max="1795" width="9.5703125" customWidth="1"/>
    <col min="1796" max="1796" width="10.42578125" customWidth="1"/>
    <col min="2048" max="2048" width="70.7109375" customWidth="1"/>
    <col min="2049" max="2049" width="9.7109375" customWidth="1"/>
    <col min="2050" max="2050" width="9.85546875" customWidth="1"/>
    <col min="2051" max="2051" width="9.5703125" customWidth="1"/>
    <col min="2052" max="2052" width="10.42578125" customWidth="1"/>
    <col min="2304" max="2304" width="70.7109375" customWidth="1"/>
    <col min="2305" max="2305" width="9.7109375" customWidth="1"/>
    <col min="2306" max="2306" width="9.85546875" customWidth="1"/>
    <col min="2307" max="2307" width="9.5703125" customWidth="1"/>
    <col min="2308" max="2308" width="10.42578125" customWidth="1"/>
    <col min="2560" max="2560" width="70.7109375" customWidth="1"/>
    <col min="2561" max="2561" width="9.7109375" customWidth="1"/>
    <col min="2562" max="2562" width="9.85546875" customWidth="1"/>
    <col min="2563" max="2563" width="9.5703125" customWidth="1"/>
    <col min="2564" max="2564" width="10.42578125" customWidth="1"/>
    <col min="2816" max="2816" width="70.7109375" customWidth="1"/>
    <col min="2817" max="2817" width="9.7109375" customWidth="1"/>
    <col min="2818" max="2818" width="9.85546875" customWidth="1"/>
    <col min="2819" max="2819" width="9.5703125" customWidth="1"/>
    <col min="2820" max="2820" width="10.42578125" customWidth="1"/>
    <col min="3072" max="3072" width="70.7109375" customWidth="1"/>
    <col min="3073" max="3073" width="9.7109375" customWidth="1"/>
    <col min="3074" max="3074" width="9.85546875" customWidth="1"/>
    <col min="3075" max="3075" width="9.5703125" customWidth="1"/>
    <col min="3076" max="3076" width="10.42578125" customWidth="1"/>
    <col min="3328" max="3328" width="70.7109375" customWidth="1"/>
    <col min="3329" max="3329" width="9.7109375" customWidth="1"/>
    <col min="3330" max="3330" width="9.85546875" customWidth="1"/>
    <col min="3331" max="3331" width="9.5703125" customWidth="1"/>
    <col min="3332" max="3332" width="10.42578125" customWidth="1"/>
    <col min="3584" max="3584" width="70.7109375" customWidth="1"/>
    <col min="3585" max="3585" width="9.7109375" customWidth="1"/>
    <col min="3586" max="3586" width="9.85546875" customWidth="1"/>
    <col min="3587" max="3587" width="9.5703125" customWidth="1"/>
    <col min="3588" max="3588" width="10.42578125" customWidth="1"/>
    <col min="3840" max="3840" width="70.7109375" customWidth="1"/>
    <col min="3841" max="3841" width="9.7109375" customWidth="1"/>
    <col min="3842" max="3842" width="9.85546875" customWidth="1"/>
    <col min="3843" max="3843" width="9.5703125" customWidth="1"/>
    <col min="3844" max="3844" width="10.42578125" customWidth="1"/>
    <col min="4096" max="4096" width="70.7109375" customWidth="1"/>
    <col min="4097" max="4097" width="9.7109375" customWidth="1"/>
    <col min="4098" max="4098" width="9.85546875" customWidth="1"/>
    <col min="4099" max="4099" width="9.5703125" customWidth="1"/>
    <col min="4100" max="4100" width="10.42578125" customWidth="1"/>
    <col min="4352" max="4352" width="70.7109375" customWidth="1"/>
    <col min="4353" max="4353" width="9.7109375" customWidth="1"/>
    <col min="4354" max="4354" width="9.85546875" customWidth="1"/>
    <col min="4355" max="4355" width="9.5703125" customWidth="1"/>
    <col min="4356" max="4356" width="10.42578125" customWidth="1"/>
    <col min="4608" max="4608" width="70.7109375" customWidth="1"/>
    <col min="4609" max="4609" width="9.7109375" customWidth="1"/>
    <col min="4610" max="4610" width="9.85546875" customWidth="1"/>
    <col min="4611" max="4611" width="9.5703125" customWidth="1"/>
    <col min="4612" max="4612" width="10.42578125" customWidth="1"/>
    <col min="4864" max="4864" width="70.7109375" customWidth="1"/>
    <col min="4865" max="4865" width="9.7109375" customWidth="1"/>
    <col min="4866" max="4866" width="9.85546875" customWidth="1"/>
    <col min="4867" max="4867" width="9.5703125" customWidth="1"/>
    <col min="4868" max="4868" width="10.42578125" customWidth="1"/>
    <col min="5120" max="5120" width="70.7109375" customWidth="1"/>
    <col min="5121" max="5121" width="9.7109375" customWidth="1"/>
    <col min="5122" max="5122" width="9.85546875" customWidth="1"/>
    <col min="5123" max="5123" width="9.5703125" customWidth="1"/>
    <col min="5124" max="5124" width="10.42578125" customWidth="1"/>
    <col min="5376" max="5376" width="70.7109375" customWidth="1"/>
    <col min="5377" max="5377" width="9.7109375" customWidth="1"/>
    <col min="5378" max="5378" width="9.85546875" customWidth="1"/>
    <col min="5379" max="5379" width="9.5703125" customWidth="1"/>
    <col min="5380" max="5380" width="10.42578125" customWidth="1"/>
    <col min="5632" max="5632" width="70.7109375" customWidth="1"/>
    <col min="5633" max="5633" width="9.7109375" customWidth="1"/>
    <col min="5634" max="5634" width="9.85546875" customWidth="1"/>
    <col min="5635" max="5635" width="9.5703125" customWidth="1"/>
    <col min="5636" max="5636" width="10.42578125" customWidth="1"/>
    <col min="5888" max="5888" width="70.7109375" customWidth="1"/>
    <col min="5889" max="5889" width="9.7109375" customWidth="1"/>
    <col min="5890" max="5890" width="9.85546875" customWidth="1"/>
    <col min="5891" max="5891" width="9.5703125" customWidth="1"/>
    <col min="5892" max="5892" width="10.42578125" customWidth="1"/>
    <col min="6144" max="6144" width="70.7109375" customWidth="1"/>
    <col min="6145" max="6145" width="9.7109375" customWidth="1"/>
    <col min="6146" max="6146" width="9.85546875" customWidth="1"/>
    <col min="6147" max="6147" width="9.5703125" customWidth="1"/>
    <col min="6148" max="6148" width="10.42578125" customWidth="1"/>
    <col min="6400" max="6400" width="70.7109375" customWidth="1"/>
    <col min="6401" max="6401" width="9.7109375" customWidth="1"/>
    <col min="6402" max="6402" width="9.85546875" customWidth="1"/>
    <col min="6403" max="6403" width="9.5703125" customWidth="1"/>
    <col min="6404" max="6404" width="10.42578125" customWidth="1"/>
    <col min="6656" max="6656" width="70.7109375" customWidth="1"/>
    <col min="6657" max="6657" width="9.7109375" customWidth="1"/>
    <col min="6658" max="6658" width="9.85546875" customWidth="1"/>
    <col min="6659" max="6659" width="9.5703125" customWidth="1"/>
    <col min="6660" max="6660" width="10.42578125" customWidth="1"/>
    <col min="6912" max="6912" width="70.7109375" customWidth="1"/>
    <col min="6913" max="6913" width="9.7109375" customWidth="1"/>
    <col min="6914" max="6914" width="9.85546875" customWidth="1"/>
    <col min="6915" max="6915" width="9.5703125" customWidth="1"/>
    <col min="6916" max="6916" width="10.42578125" customWidth="1"/>
    <col min="7168" max="7168" width="70.7109375" customWidth="1"/>
    <col min="7169" max="7169" width="9.7109375" customWidth="1"/>
    <col min="7170" max="7170" width="9.85546875" customWidth="1"/>
    <col min="7171" max="7171" width="9.5703125" customWidth="1"/>
    <col min="7172" max="7172" width="10.42578125" customWidth="1"/>
    <col min="7424" max="7424" width="70.7109375" customWidth="1"/>
    <col min="7425" max="7425" width="9.7109375" customWidth="1"/>
    <col min="7426" max="7426" width="9.85546875" customWidth="1"/>
    <col min="7427" max="7427" width="9.5703125" customWidth="1"/>
    <col min="7428" max="7428" width="10.42578125" customWidth="1"/>
    <col min="7680" max="7680" width="70.7109375" customWidth="1"/>
    <col min="7681" max="7681" width="9.7109375" customWidth="1"/>
    <col min="7682" max="7682" width="9.85546875" customWidth="1"/>
    <col min="7683" max="7683" width="9.5703125" customWidth="1"/>
    <col min="7684" max="7684" width="10.42578125" customWidth="1"/>
    <col min="7936" max="7936" width="70.7109375" customWidth="1"/>
    <col min="7937" max="7937" width="9.7109375" customWidth="1"/>
    <col min="7938" max="7938" width="9.85546875" customWidth="1"/>
    <col min="7939" max="7939" width="9.5703125" customWidth="1"/>
    <col min="7940" max="7940" width="10.42578125" customWidth="1"/>
    <col min="8192" max="8192" width="70.7109375" customWidth="1"/>
    <col min="8193" max="8193" width="9.7109375" customWidth="1"/>
    <col min="8194" max="8194" width="9.85546875" customWidth="1"/>
    <col min="8195" max="8195" width="9.5703125" customWidth="1"/>
    <col min="8196" max="8196" width="10.42578125" customWidth="1"/>
    <col min="8448" max="8448" width="70.7109375" customWidth="1"/>
    <col min="8449" max="8449" width="9.7109375" customWidth="1"/>
    <col min="8450" max="8450" width="9.85546875" customWidth="1"/>
    <col min="8451" max="8451" width="9.5703125" customWidth="1"/>
    <col min="8452" max="8452" width="10.42578125" customWidth="1"/>
    <col min="8704" max="8704" width="70.7109375" customWidth="1"/>
    <col min="8705" max="8705" width="9.7109375" customWidth="1"/>
    <col min="8706" max="8706" width="9.85546875" customWidth="1"/>
    <col min="8707" max="8707" width="9.5703125" customWidth="1"/>
    <col min="8708" max="8708" width="10.42578125" customWidth="1"/>
    <col min="8960" max="8960" width="70.7109375" customWidth="1"/>
    <col min="8961" max="8961" width="9.7109375" customWidth="1"/>
    <col min="8962" max="8962" width="9.85546875" customWidth="1"/>
    <col min="8963" max="8963" width="9.5703125" customWidth="1"/>
    <col min="8964" max="8964" width="10.42578125" customWidth="1"/>
    <col min="9216" max="9216" width="70.7109375" customWidth="1"/>
    <col min="9217" max="9217" width="9.7109375" customWidth="1"/>
    <col min="9218" max="9218" width="9.85546875" customWidth="1"/>
    <col min="9219" max="9219" width="9.5703125" customWidth="1"/>
    <col min="9220" max="9220" width="10.42578125" customWidth="1"/>
    <col min="9472" max="9472" width="70.7109375" customWidth="1"/>
    <col min="9473" max="9473" width="9.7109375" customWidth="1"/>
    <col min="9474" max="9474" width="9.85546875" customWidth="1"/>
    <col min="9475" max="9475" width="9.5703125" customWidth="1"/>
    <col min="9476" max="9476" width="10.42578125" customWidth="1"/>
    <col min="9728" max="9728" width="70.7109375" customWidth="1"/>
    <col min="9729" max="9729" width="9.7109375" customWidth="1"/>
    <col min="9730" max="9730" width="9.85546875" customWidth="1"/>
    <col min="9731" max="9731" width="9.5703125" customWidth="1"/>
    <col min="9732" max="9732" width="10.42578125" customWidth="1"/>
    <col min="9984" max="9984" width="70.7109375" customWidth="1"/>
    <col min="9985" max="9985" width="9.7109375" customWidth="1"/>
    <col min="9986" max="9986" width="9.85546875" customWidth="1"/>
    <col min="9987" max="9987" width="9.5703125" customWidth="1"/>
    <col min="9988" max="9988" width="10.42578125" customWidth="1"/>
    <col min="10240" max="10240" width="70.7109375" customWidth="1"/>
    <col min="10241" max="10241" width="9.7109375" customWidth="1"/>
    <col min="10242" max="10242" width="9.85546875" customWidth="1"/>
    <col min="10243" max="10243" width="9.5703125" customWidth="1"/>
    <col min="10244" max="10244" width="10.42578125" customWidth="1"/>
    <col min="10496" max="10496" width="70.7109375" customWidth="1"/>
    <col min="10497" max="10497" width="9.7109375" customWidth="1"/>
    <col min="10498" max="10498" width="9.85546875" customWidth="1"/>
    <col min="10499" max="10499" width="9.5703125" customWidth="1"/>
    <col min="10500" max="10500" width="10.42578125" customWidth="1"/>
    <col min="10752" max="10752" width="70.7109375" customWidth="1"/>
    <col min="10753" max="10753" width="9.7109375" customWidth="1"/>
    <col min="10754" max="10754" width="9.85546875" customWidth="1"/>
    <col min="10755" max="10755" width="9.5703125" customWidth="1"/>
    <col min="10756" max="10756" width="10.42578125" customWidth="1"/>
    <col min="11008" max="11008" width="70.7109375" customWidth="1"/>
    <col min="11009" max="11009" width="9.7109375" customWidth="1"/>
    <col min="11010" max="11010" width="9.85546875" customWidth="1"/>
    <col min="11011" max="11011" width="9.5703125" customWidth="1"/>
    <col min="11012" max="11012" width="10.42578125" customWidth="1"/>
    <col min="11264" max="11264" width="70.7109375" customWidth="1"/>
    <col min="11265" max="11265" width="9.7109375" customWidth="1"/>
    <col min="11266" max="11266" width="9.85546875" customWidth="1"/>
    <col min="11267" max="11267" width="9.5703125" customWidth="1"/>
    <col min="11268" max="11268" width="10.42578125" customWidth="1"/>
    <col min="11520" max="11520" width="70.7109375" customWidth="1"/>
    <col min="11521" max="11521" width="9.7109375" customWidth="1"/>
    <col min="11522" max="11522" width="9.85546875" customWidth="1"/>
    <col min="11523" max="11523" width="9.5703125" customWidth="1"/>
    <col min="11524" max="11524" width="10.42578125" customWidth="1"/>
    <col min="11776" max="11776" width="70.7109375" customWidth="1"/>
    <col min="11777" max="11777" width="9.7109375" customWidth="1"/>
    <col min="11778" max="11778" width="9.85546875" customWidth="1"/>
    <col min="11779" max="11779" width="9.5703125" customWidth="1"/>
    <col min="11780" max="11780" width="10.42578125" customWidth="1"/>
    <col min="12032" max="12032" width="70.7109375" customWidth="1"/>
    <col min="12033" max="12033" width="9.7109375" customWidth="1"/>
    <col min="12034" max="12034" width="9.85546875" customWidth="1"/>
    <col min="12035" max="12035" width="9.5703125" customWidth="1"/>
    <col min="12036" max="12036" width="10.42578125" customWidth="1"/>
    <col min="12288" max="12288" width="70.7109375" customWidth="1"/>
    <col min="12289" max="12289" width="9.7109375" customWidth="1"/>
    <col min="12290" max="12290" width="9.85546875" customWidth="1"/>
    <col min="12291" max="12291" width="9.5703125" customWidth="1"/>
    <col min="12292" max="12292" width="10.42578125" customWidth="1"/>
    <col min="12544" max="12544" width="70.7109375" customWidth="1"/>
    <col min="12545" max="12545" width="9.7109375" customWidth="1"/>
    <col min="12546" max="12546" width="9.85546875" customWidth="1"/>
    <col min="12547" max="12547" width="9.5703125" customWidth="1"/>
    <col min="12548" max="12548" width="10.42578125" customWidth="1"/>
    <col min="12800" max="12800" width="70.7109375" customWidth="1"/>
    <col min="12801" max="12801" width="9.7109375" customWidth="1"/>
    <col min="12802" max="12802" width="9.85546875" customWidth="1"/>
    <col min="12803" max="12803" width="9.5703125" customWidth="1"/>
    <col min="12804" max="12804" width="10.42578125" customWidth="1"/>
    <col min="13056" max="13056" width="70.7109375" customWidth="1"/>
    <col min="13057" max="13057" width="9.7109375" customWidth="1"/>
    <col min="13058" max="13058" width="9.85546875" customWidth="1"/>
    <col min="13059" max="13059" width="9.5703125" customWidth="1"/>
    <col min="13060" max="13060" width="10.42578125" customWidth="1"/>
    <col min="13312" max="13312" width="70.7109375" customWidth="1"/>
    <col min="13313" max="13313" width="9.7109375" customWidth="1"/>
    <col min="13314" max="13314" width="9.85546875" customWidth="1"/>
    <col min="13315" max="13315" width="9.5703125" customWidth="1"/>
    <col min="13316" max="13316" width="10.42578125" customWidth="1"/>
    <col min="13568" max="13568" width="70.7109375" customWidth="1"/>
    <col min="13569" max="13569" width="9.7109375" customWidth="1"/>
    <col min="13570" max="13570" width="9.85546875" customWidth="1"/>
    <col min="13571" max="13571" width="9.5703125" customWidth="1"/>
    <col min="13572" max="13572" width="10.42578125" customWidth="1"/>
    <col min="13824" max="13824" width="70.7109375" customWidth="1"/>
    <col min="13825" max="13825" width="9.7109375" customWidth="1"/>
    <col min="13826" max="13826" width="9.85546875" customWidth="1"/>
    <col min="13827" max="13827" width="9.5703125" customWidth="1"/>
    <col min="13828" max="13828" width="10.42578125" customWidth="1"/>
    <col min="14080" max="14080" width="70.7109375" customWidth="1"/>
    <col min="14081" max="14081" width="9.7109375" customWidth="1"/>
    <col min="14082" max="14082" width="9.85546875" customWidth="1"/>
    <col min="14083" max="14083" width="9.5703125" customWidth="1"/>
    <col min="14084" max="14084" width="10.42578125" customWidth="1"/>
    <col min="14336" max="14336" width="70.7109375" customWidth="1"/>
    <col min="14337" max="14337" width="9.7109375" customWidth="1"/>
    <col min="14338" max="14338" width="9.85546875" customWidth="1"/>
    <col min="14339" max="14339" width="9.5703125" customWidth="1"/>
    <col min="14340" max="14340" width="10.42578125" customWidth="1"/>
    <col min="14592" max="14592" width="70.7109375" customWidth="1"/>
    <col min="14593" max="14593" width="9.7109375" customWidth="1"/>
    <col min="14594" max="14594" width="9.85546875" customWidth="1"/>
    <col min="14595" max="14595" width="9.5703125" customWidth="1"/>
    <col min="14596" max="14596" width="10.42578125" customWidth="1"/>
    <col min="14848" max="14848" width="70.7109375" customWidth="1"/>
    <col min="14849" max="14849" width="9.7109375" customWidth="1"/>
    <col min="14850" max="14850" width="9.85546875" customWidth="1"/>
    <col min="14851" max="14851" width="9.5703125" customWidth="1"/>
    <col min="14852" max="14852" width="10.42578125" customWidth="1"/>
    <col min="15104" max="15104" width="70.7109375" customWidth="1"/>
    <col min="15105" max="15105" width="9.7109375" customWidth="1"/>
    <col min="15106" max="15106" width="9.85546875" customWidth="1"/>
    <col min="15107" max="15107" width="9.5703125" customWidth="1"/>
    <col min="15108" max="15108" width="10.42578125" customWidth="1"/>
    <col min="15360" max="15360" width="70.7109375" customWidth="1"/>
    <col min="15361" max="15361" width="9.7109375" customWidth="1"/>
    <col min="15362" max="15362" width="9.85546875" customWidth="1"/>
    <col min="15363" max="15363" width="9.5703125" customWidth="1"/>
    <col min="15364" max="15364" width="10.42578125" customWidth="1"/>
    <col min="15616" max="15616" width="70.7109375" customWidth="1"/>
    <col min="15617" max="15617" width="9.7109375" customWidth="1"/>
    <col min="15618" max="15618" width="9.85546875" customWidth="1"/>
    <col min="15619" max="15619" width="9.5703125" customWidth="1"/>
    <col min="15620" max="15620" width="10.42578125" customWidth="1"/>
    <col min="15872" max="15872" width="70.7109375" customWidth="1"/>
    <col min="15873" max="15873" width="9.7109375" customWidth="1"/>
    <col min="15874" max="15874" width="9.85546875" customWidth="1"/>
    <col min="15875" max="15875" width="9.5703125" customWidth="1"/>
    <col min="15876" max="15876" width="10.42578125" customWidth="1"/>
    <col min="16128" max="16128" width="70.7109375" customWidth="1"/>
    <col min="16129" max="16129" width="9.7109375" customWidth="1"/>
    <col min="16130" max="16130" width="9.85546875" customWidth="1"/>
    <col min="16131" max="16131" width="9.5703125" customWidth="1"/>
    <col min="16132" max="16132" width="10.42578125" customWidth="1"/>
  </cols>
  <sheetData>
    <row r="1" spans="1:9" ht="20.25">
      <c r="A1" s="38" t="str">
        <f>HLOOKUP(INDICE!$F$2,Nombres!$C$3:$E$853,25)</f>
        <v>Centro Corporativo</v>
      </c>
    </row>
    <row r="2" spans="1:9" ht="12.75" hidden="1" customHeight="1">
      <c r="A2" s="174"/>
    </row>
    <row r="3" spans="1:9" hidden="1"/>
    <row r="4" spans="1:9" ht="18">
      <c r="A4" s="144" t="str">
        <f>HLOOKUP(INDICE!$F$2,Nombres!$C$3:$E$853,93)</f>
        <v xml:space="preserve">Cuentas de resultados  </v>
      </c>
      <c r="C4" s="145"/>
      <c r="D4" s="145"/>
      <c r="E4" s="145"/>
    </row>
    <row r="5" spans="1:9">
      <c r="A5" s="41" t="str">
        <f>HLOOKUP(INDICE!$F$2,Nombres!$C$3:$E$853,30)</f>
        <v>(Millones de euros)</v>
      </c>
      <c r="C5" s="145"/>
      <c r="D5" s="145"/>
      <c r="E5" s="145"/>
    </row>
    <row r="6" spans="1:9" ht="6" customHeight="1">
      <c r="A6" s="175"/>
      <c r="C6" s="152"/>
      <c r="D6" s="152"/>
      <c r="E6" s="152"/>
    </row>
    <row r="7" spans="1:9">
      <c r="A7" s="146"/>
      <c r="B7" s="252">
        <v>2014</v>
      </c>
      <c r="C7" s="252"/>
      <c r="D7" s="252"/>
      <c r="E7" s="252"/>
      <c r="F7" s="253">
        <v>2015</v>
      </c>
      <c r="G7" s="254"/>
      <c r="H7" s="254"/>
    </row>
    <row r="8" spans="1:9">
      <c r="A8" s="146"/>
      <c r="B8" s="146" t="str">
        <f>HLOOKUP(INDICE!$F$2,Nombres!$C$3:$E$857,34)</f>
        <v>1er Trim.</v>
      </c>
      <c r="C8" s="146" t="str">
        <f>HLOOKUP(INDICE!$F$2,Nombres!$C$3:$E$857,35)</f>
        <v>2º Trim.</v>
      </c>
      <c r="D8" s="146" t="str">
        <f>HLOOKUP(INDICE!$F$2,Nombres!$C$3:$E$857,36)</f>
        <v>3er Trim.</v>
      </c>
      <c r="E8" s="146" t="str">
        <f>HLOOKUP(INDICE!$F$2,Nombres!$C$3:$E$857,37)</f>
        <v>4º Trim.</v>
      </c>
      <c r="F8" s="146" t="str">
        <f>HLOOKUP(INDICE!$F$2,Nombres!$C$3:$E$857,34)</f>
        <v>1er Trim.</v>
      </c>
      <c r="G8" s="146" t="str">
        <f>HLOOKUP(INDICE!$F$2,Nombres!$C$3:$E$857,35)</f>
        <v>2º Trim.</v>
      </c>
      <c r="H8" s="146" t="str">
        <f>HLOOKUP(INDICE!$F$2,Nombres!$C$3:$E$857,36)</f>
        <v>3er Trim.</v>
      </c>
    </row>
    <row r="9" spans="1:9">
      <c r="A9" s="54" t="str">
        <f>HLOOKUP(INDICE!$F$2,Nombres!$C$3:$E$853,38)</f>
        <v>Margen de intereses</v>
      </c>
      <c r="B9" s="147">
        <v>-178.53060038000001</v>
      </c>
      <c r="C9" s="83">
        <v>-146.54695535000002</v>
      </c>
      <c r="D9" s="83">
        <v>-171.46910520999998</v>
      </c>
      <c r="E9" s="148">
        <v>-154.23129729999999</v>
      </c>
      <c r="F9" s="147">
        <v>-129.24370175999999</v>
      </c>
      <c r="G9" s="83">
        <v>-96.014879399999984</v>
      </c>
      <c r="H9" s="83">
        <v>-98.733415860000008</v>
      </c>
      <c r="I9" s="74"/>
    </row>
    <row r="10" spans="1:9">
      <c r="A10" s="49" t="str">
        <f>HLOOKUP(INDICE!$F$2,Nombres!$C$3:$E$853,39)</f>
        <v>Comisiones</v>
      </c>
      <c r="B10" s="149">
        <v>-19.759840509999997</v>
      </c>
      <c r="C10" s="84">
        <v>-37.701751659999999</v>
      </c>
      <c r="D10" s="84">
        <v>-13.84207198</v>
      </c>
      <c r="E10" s="150">
        <v>-19.896386189999998</v>
      </c>
      <c r="F10" s="158">
        <v>-22.579257210000002</v>
      </c>
      <c r="G10" s="84">
        <v>-42.493593430000004</v>
      </c>
      <c r="H10" s="84">
        <v>-16.143373759999999</v>
      </c>
      <c r="I10" s="74"/>
    </row>
    <row r="11" spans="1:9">
      <c r="A11" s="49" t="str">
        <f>HLOOKUP(INDICE!$F$2,Nombres!$C$3:$E$853,40)</f>
        <v>Resultados de operaciones financieras</v>
      </c>
      <c r="B11" s="149">
        <v>15.5886897</v>
      </c>
      <c r="C11" s="84">
        <v>-30.214924920000001</v>
      </c>
      <c r="D11" s="84">
        <v>46.828281409999995</v>
      </c>
      <c r="E11" s="150">
        <v>-18.022585209999995</v>
      </c>
      <c r="F11" s="158">
        <v>91.220100589999987</v>
      </c>
      <c r="G11" s="84">
        <v>56.621240569999998</v>
      </c>
      <c r="H11" s="84">
        <v>-32.482068499999997</v>
      </c>
      <c r="I11" s="74"/>
    </row>
    <row r="12" spans="1:9">
      <c r="A12" s="49" t="str">
        <f>HLOOKUP(INDICE!$F$2,Nombres!$C$3:$E$853,95)</f>
        <v>Otros ingresos netos</v>
      </c>
      <c r="B12" s="149">
        <v>-41.855871580000006</v>
      </c>
      <c r="C12" s="84">
        <v>103.82855429000001</v>
      </c>
      <c r="D12" s="84">
        <v>-10.342771859999999</v>
      </c>
      <c r="E12" s="150">
        <v>101.38951544</v>
      </c>
      <c r="F12" s="158">
        <v>-25.096317299999999</v>
      </c>
      <c r="G12" s="84">
        <v>104.86593852999999</v>
      </c>
      <c r="H12" s="84">
        <v>12.06079437</v>
      </c>
      <c r="I12" s="74"/>
    </row>
    <row r="13" spans="1:9">
      <c r="A13" s="54" t="str">
        <f>HLOOKUP(INDICE!$F$2,Nombres!$C$3:$E$853,44)</f>
        <v>Margen bruto</v>
      </c>
      <c r="B13" s="147">
        <v>-224.55762277000002</v>
      </c>
      <c r="C13" s="83">
        <v>-110.63507763999999</v>
      </c>
      <c r="D13" s="83">
        <v>-148.82566764000001</v>
      </c>
      <c r="E13" s="148">
        <v>-90.760753260000001</v>
      </c>
      <c r="F13" s="147">
        <v>-85.699175679999996</v>
      </c>
      <c r="G13" s="83">
        <v>22.978706270000011</v>
      </c>
      <c r="H13" s="83">
        <v>-135.29806374999998</v>
      </c>
      <c r="I13" s="74"/>
    </row>
    <row r="14" spans="1:9">
      <c r="A14" s="49" t="str">
        <f>HLOOKUP(INDICE!$F$2,Nombres!$C$3:$E$853,45)</f>
        <v>Gastos de explotación</v>
      </c>
      <c r="B14" s="149">
        <v>-278.98027497999999</v>
      </c>
      <c r="C14" s="84">
        <v>-238.15247854</v>
      </c>
      <c r="D14" s="84">
        <v>-235.29783666259999</v>
      </c>
      <c r="E14" s="150">
        <v>-241.84087209739999</v>
      </c>
      <c r="F14" s="158">
        <v>-257.20358044</v>
      </c>
      <c r="G14" s="84">
        <v>-285.05830545999999</v>
      </c>
      <c r="H14" s="84">
        <v>-266.47882143000004</v>
      </c>
      <c r="I14" s="74"/>
    </row>
    <row r="15" spans="1:9">
      <c r="A15" s="49" t="str">
        <f>HLOOKUP(INDICE!$F$2,Nombres!$C$3:$E$853,46)</f>
        <v xml:space="preserve">  Gastos de administración</v>
      </c>
      <c r="B15" s="149">
        <v>-163.76134747999998</v>
      </c>
      <c r="C15" s="84">
        <v>-122.33356688999999</v>
      </c>
      <c r="D15" s="84">
        <v>-120.01620503260001</v>
      </c>
      <c r="E15" s="150">
        <v>-128.9030206374</v>
      </c>
      <c r="F15" s="158">
        <v>-142.73703222</v>
      </c>
      <c r="G15" s="84">
        <v>-168.38087695000002</v>
      </c>
      <c r="H15" s="84">
        <v>-136.86832304000001</v>
      </c>
      <c r="I15" s="74"/>
    </row>
    <row r="16" spans="1:9">
      <c r="A16" s="88" t="str">
        <f>HLOOKUP(INDICE!$F$2,Nombres!$C$3:$E$853,47)</f>
        <v xml:space="preserve">  Gastos de personal</v>
      </c>
      <c r="B16" s="149">
        <v>-123.77644533</v>
      </c>
      <c r="C16" s="84">
        <v>-96.117205079999991</v>
      </c>
      <c r="D16" s="84">
        <v>-122.2153127</v>
      </c>
      <c r="E16" s="150">
        <v>-111.96895255</v>
      </c>
      <c r="F16" s="158">
        <v>-122.8090991</v>
      </c>
      <c r="G16" s="84">
        <v>-142.52385165999999</v>
      </c>
      <c r="H16" s="84">
        <v>-114.74574772</v>
      </c>
      <c r="I16" s="74"/>
    </row>
    <row r="17" spans="1:9">
      <c r="A17" s="88" t="str">
        <f>HLOOKUP(INDICE!$F$2,Nombres!$C$3:$E$853,48)</f>
        <v xml:space="preserve">  Otros gastos generales de administración</v>
      </c>
      <c r="B17" s="149">
        <v>-39.984902150000003</v>
      </c>
      <c r="C17" s="84">
        <v>-26.216361809999999</v>
      </c>
      <c r="D17" s="84">
        <v>2.1991076674000016</v>
      </c>
      <c r="E17" s="150">
        <v>-16.9340680874</v>
      </c>
      <c r="F17" s="158">
        <v>-19.927933119999999</v>
      </c>
      <c r="G17" s="84">
        <v>-25.857025289999996</v>
      </c>
      <c r="H17" s="84">
        <v>-22.122575320000003</v>
      </c>
      <c r="I17" s="74"/>
    </row>
    <row r="18" spans="1:9">
      <c r="A18" s="49" t="str">
        <f>HLOOKUP(INDICE!$F$2,Nombres!$C$3:$E$853,49)</f>
        <v xml:space="preserve">  Amortizaciones</v>
      </c>
      <c r="B18" s="149">
        <v>-115.21892749999999</v>
      </c>
      <c r="C18" s="84">
        <v>-115.81891164999999</v>
      </c>
      <c r="D18" s="84">
        <v>-115.28163163000001</v>
      </c>
      <c r="E18" s="150">
        <v>-112.93785145999999</v>
      </c>
      <c r="F18" s="158">
        <v>-114.46654821999999</v>
      </c>
      <c r="G18" s="84">
        <v>-116.67742851</v>
      </c>
      <c r="H18" s="84">
        <v>-129.61049839</v>
      </c>
      <c r="I18" s="74"/>
    </row>
    <row r="19" spans="1:9">
      <c r="A19" s="54" t="str">
        <f>HLOOKUP(INDICE!$F$2,Nombres!$C$3:$E$853,50)</f>
        <v>Margen neto</v>
      </c>
      <c r="B19" s="147">
        <v>-503.53789774999996</v>
      </c>
      <c r="C19" s="83">
        <v>-348.78755617999997</v>
      </c>
      <c r="D19" s="83">
        <v>-384.1235043026</v>
      </c>
      <c r="E19" s="148">
        <v>-332.6016253574</v>
      </c>
      <c r="F19" s="147">
        <v>-342.90275611999999</v>
      </c>
      <c r="G19" s="83">
        <v>-262.07959919000001</v>
      </c>
      <c r="H19" s="83">
        <v>-401.77688518000002</v>
      </c>
      <c r="I19" s="74"/>
    </row>
    <row r="20" spans="1:9">
      <c r="A20" s="49" t="str">
        <f>HLOOKUP(INDICE!$F$2,Nombres!$C$3:$E$853,51)</f>
        <v>Pérdidas por deterioro de activos financieros</v>
      </c>
      <c r="B20" s="149">
        <v>-4.083755</v>
      </c>
      <c r="C20" s="84">
        <v>2.9230524000000004</v>
      </c>
      <c r="D20" s="84">
        <v>8.1314938099999985</v>
      </c>
      <c r="E20" s="150">
        <v>-11.416512640000001</v>
      </c>
      <c r="F20" s="158">
        <v>2.1005363799999999</v>
      </c>
      <c r="G20" s="84">
        <v>3.3484841699999994</v>
      </c>
      <c r="H20" s="84">
        <v>-4.3467300800000004</v>
      </c>
      <c r="I20" s="74"/>
    </row>
    <row r="21" spans="1:9">
      <c r="A21" s="49" t="str">
        <f>HLOOKUP(INDICE!$F$2,Nombres!$C$3:$E$853,160)</f>
        <v>Dotaciones a provisiones y otros resultados</v>
      </c>
      <c r="B21" s="149">
        <v>-51.344273149999999</v>
      </c>
      <c r="C21" s="84">
        <v>-51.812159979999997</v>
      </c>
      <c r="D21" s="84">
        <v>-48.187874060000006</v>
      </c>
      <c r="E21" s="150">
        <v>-130.90945019</v>
      </c>
      <c r="F21" s="158">
        <v>-7.8579545300000007</v>
      </c>
      <c r="G21" s="84">
        <v>-44.993172470000005</v>
      </c>
      <c r="H21" s="84">
        <v>-71.250198640000008</v>
      </c>
      <c r="I21" s="74"/>
    </row>
    <row r="22" spans="1:9">
      <c r="A22" s="54" t="str">
        <f>HLOOKUP(INDICE!$F$2,Nombres!$C$3:$E$853,54)</f>
        <v>Beneficio antes de impuestos</v>
      </c>
      <c r="B22" s="147">
        <v>-558.9659259</v>
      </c>
      <c r="C22" s="83">
        <v>-397.67666376</v>
      </c>
      <c r="D22" s="83">
        <v>-424.17988455259996</v>
      </c>
      <c r="E22" s="148">
        <v>-474.92758818740003</v>
      </c>
      <c r="F22" s="147">
        <v>-348.66017426999997</v>
      </c>
      <c r="G22" s="83">
        <v>-303.72428749000005</v>
      </c>
      <c r="H22" s="83">
        <v>-477.37381389999996</v>
      </c>
      <c r="I22" s="74"/>
    </row>
    <row r="23" spans="1:9">
      <c r="A23" s="49" t="str">
        <f>HLOOKUP(INDICE!$F$2,Nombres!$C$3:$E$853,55)</f>
        <v>Impuesto sobre beneficios</v>
      </c>
      <c r="B23" s="149">
        <v>137.42534271</v>
      </c>
      <c r="C23" s="84">
        <v>67.160177019999992</v>
      </c>
      <c r="D23" s="84">
        <v>34.347857300000001</v>
      </c>
      <c r="E23" s="150">
        <v>201.92602886</v>
      </c>
      <c r="F23" s="158">
        <v>103.80614325000001</v>
      </c>
      <c r="G23" s="84">
        <v>68.23462563999999</v>
      </c>
      <c r="H23" s="84">
        <v>170.12732853</v>
      </c>
      <c r="I23" s="74"/>
    </row>
    <row r="24" spans="1:9">
      <c r="A24" s="167" t="str">
        <f>HLOOKUP(INDICE!$F$2,Nombres!$C$3:$E$853,269)</f>
        <v>Beneficio después de impuestos de operaciones continuadas</v>
      </c>
      <c r="B24" s="147">
        <v>-421.54058319000001</v>
      </c>
      <c r="C24" s="83">
        <v>-330.51648674</v>
      </c>
      <c r="D24" s="83">
        <v>-389.83202725260003</v>
      </c>
      <c r="E24" s="148">
        <v>-273.00155932739995</v>
      </c>
      <c r="F24" s="147">
        <v>-244.85403102000001</v>
      </c>
      <c r="G24" s="83">
        <v>-235.48966185</v>
      </c>
      <c r="H24" s="83">
        <v>-307.24648536999996</v>
      </c>
      <c r="I24" s="74"/>
    </row>
    <row r="25" spans="1:9">
      <c r="A25" s="168" t="str">
        <f>HLOOKUP(INDICE!$F$2,Nombres!$C$3:$E$853,270)</f>
        <v>Resultado de operaciones corporativas</v>
      </c>
      <c r="B25" s="249" t="s">
        <v>500</v>
      </c>
      <c r="C25" s="182" t="s">
        <v>500</v>
      </c>
      <c r="D25" s="182" t="s">
        <v>500</v>
      </c>
      <c r="E25" s="183" t="s">
        <v>500</v>
      </c>
      <c r="F25" s="158">
        <v>582.94200000000001</v>
      </c>
      <c r="G25" s="84">
        <v>144.274</v>
      </c>
      <c r="H25" s="84">
        <v>-1840.306</v>
      </c>
      <c r="I25" s="74"/>
    </row>
    <row r="26" spans="1:9">
      <c r="A26" s="54" t="str">
        <f>HLOOKUP(INDICE!$F$2,Nombres!$C$3:$E$853,56)</f>
        <v>Beneficio después de impuestos</v>
      </c>
      <c r="B26" s="147">
        <v>-421.54058319000001</v>
      </c>
      <c r="C26" s="83">
        <v>-330.51648674</v>
      </c>
      <c r="D26" s="83">
        <v>-389.83202725260003</v>
      </c>
      <c r="E26" s="148">
        <v>-273.0015593274</v>
      </c>
      <c r="F26" s="147">
        <v>338.08796897999997</v>
      </c>
      <c r="G26" s="83">
        <v>-91.215661850000004</v>
      </c>
      <c r="H26" s="83">
        <v>-2147.5524853700003</v>
      </c>
      <c r="I26" s="74"/>
    </row>
    <row r="27" spans="1:9">
      <c r="A27" s="49" t="str">
        <f>HLOOKUP(INDICE!$F$2,Nombres!$C$3:$E$853,57)</f>
        <v>Resultado atribuido a la minoría</v>
      </c>
      <c r="B27" s="149">
        <v>-3.4371464299999999</v>
      </c>
      <c r="C27" s="84">
        <v>0.87788345000000001</v>
      </c>
      <c r="D27" s="84">
        <v>0.64892165000000002</v>
      </c>
      <c r="E27" s="150">
        <v>-0.75891909999999996</v>
      </c>
      <c r="F27" s="158">
        <v>-5.0725457500000006</v>
      </c>
      <c r="G27" s="84">
        <v>-11.62562544</v>
      </c>
      <c r="H27" s="84">
        <v>-6.3234695399999996</v>
      </c>
      <c r="I27" s="74"/>
    </row>
    <row r="28" spans="1:9">
      <c r="A28" s="54" t="str">
        <f>HLOOKUP(INDICE!$F$2,Nombres!$C$3:$E$853,58)</f>
        <v>Beneficio atribuido al Grupo</v>
      </c>
      <c r="B28" s="147">
        <v>-424.97772961999999</v>
      </c>
      <c r="C28" s="83">
        <v>-329.63860328999999</v>
      </c>
      <c r="D28" s="83">
        <v>-389.18310560259999</v>
      </c>
      <c r="E28" s="148">
        <v>-273.76047842740002</v>
      </c>
      <c r="F28" s="147">
        <v>333.01542322999995</v>
      </c>
      <c r="G28" s="83">
        <v>-102.84128729</v>
      </c>
      <c r="H28" s="83">
        <v>-2153.87595491</v>
      </c>
      <c r="I28" s="74"/>
    </row>
    <row r="29" spans="1:9" ht="25.5">
      <c r="A29" s="234" t="str">
        <f>HLOOKUP(INDICE!$F$2,Nombres!$C$3:$E$853,317)</f>
        <v>Beneficio atribuido al Grupo (sin el resultado de operaciones corporativas) (*)</v>
      </c>
      <c r="B29" s="147">
        <v>-424.97772961999999</v>
      </c>
      <c r="C29" s="83">
        <v>-329.63860328999999</v>
      </c>
      <c r="D29" s="83">
        <v>-389.18310560259999</v>
      </c>
      <c r="E29" s="148">
        <v>-273.76047842740002</v>
      </c>
      <c r="F29" s="147">
        <v>-249.92657677</v>
      </c>
      <c r="G29" s="83">
        <v>-247.11528729000003</v>
      </c>
      <c r="H29" s="83">
        <v>-313.56995490999998</v>
      </c>
      <c r="I29" s="74"/>
    </row>
    <row r="30" spans="1:9" ht="49.5" customHeight="1">
      <c r="A30" s="257" t="str">
        <f>HLOOKUP(INDICE!$F$2,Nombres!$C$3:$E$853,318)</f>
        <v>(*) 2015 incorpora las plusvalías procedentes de las distintas operaciones de venta equivalentes a un 6,34% de la participación del Grupo BBVA en CNCB, el badwill generado por la operación de CX, el efecto de la puesta a valor razonable de la participación inicial del 25,01% en Garanti y el impacto procedente de la venta de la participación del 29,68% en CIFH.</v>
      </c>
      <c r="B30" s="257"/>
      <c r="C30" s="257"/>
      <c r="D30" s="257"/>
      <c r="E30" s="257"/>
      <c r="F30" s="257"/>
      <c r="G30" s="257"/>
      <c r="H30" s="257"/>
      <c r="I30" s="74"/>
    </row>
    <row r="31" spans="1:9" ht="15" customHeight="1">
      <c r="A31" s="144" t="str">
        <f>HLOOKUP(INDICE!$F$2,Nombres!$C$3:$E$853,94)</f>
        <v>Balances</v>
      </c>
      <c r="F31" s="176"/>
      <c r="G31" s="74"/>
      <c r="H31" s="74"/>
      <c r="I31" s="74"/>
    </row>
    <row r="32" spans="1:9">
      <c r="A32" s="41" t="str">
        <f>HLOOKUP(INDICE!$F$2,Nombres!$C$3:$E$853,30)</f>
        <v>(Millones de euros)</v>
      </c>
      <c r="C32" s="152"/>
      <c r="D32" s="152"/>
      <c r="E32" s="152"/>
      <c r="F32" s="175"/>
      <c r="G32" s="175"/>
      <c r="H32" s="74"/>
      <c r="I32" s="74"/>
    </row>
    <row r="33" spans="1:14">
      <c r="A33" s="175"/>
      <c r="F33" s="175"/>
      <c r="G33" s="175"/>
      <c r="H33" s="74"/>
      <c r="I33" s="74"/>
    </row>
    <row r="34" spans="1:14">
      <c r="A34" s="153"/>
      <c r="B34" s="81">
        <v>41729</v>
      </c>
      <c r="C34" s="82">
        <v>41820</v>
      </c>
      <c r="D34" s="82">
        <v>41912</v>
      </c>
      <c r="E34" s="82">
        <v>42004</v>
      </c>
      <c r="F34" s="81">
        <v>42094</v>
      </c>
      <c r="G34" s="82">
        <v>42185</v>
      </c>
      <c r="H34" s="82">
        <v>42277</v>
      </c>
      <c r="I34" s="139"/>
    </row>
    <row r="35" spans="1:14">
      <c r="A35" s="49" t="str">
        <f>HLOOKUP(INDICE!$F$2,Nombres!$C$3:$E$853,100)</f>
        <v>Caja y depósitos en bancos centrales</v>
      </c>
      <c r="B35" s="177">
        <v>21.287647400000424</v>
      </c>
      <c r="C35" s="178">
        <v>19.573243329999968</v>
      </c>
      <c r="D35" s="178">
        <v>15.560878889999003</v>
      </c>
      <c r="E35" s="179">
        <v>14.308299539996369</v>
      </c>
      <c r="F35" s="177">
        <v>14.589213470000686</v>
      </c>
      <c r="G35" s="178">
        <v>12.633830269995087</v>
      </c>
      <c r="H35" s="178">
        <v>12.774795999997878</v>
      </c>
      <c r="I35" s="119"/>
      <c r="J35" s="74"/>
      <c r="K35" s="180"/>
      <c r="L35" s="119"/>
      <c r="M35" s="119"/>
      <c r="N35" s="74"/>
    </row>
    <row r="36" spans="1:14">
      <c r="A36" s="49" t="str">
        <f>HLOOKUP(INDICE!$F$2,Nombres!$C$3:$E$853,101)</f>
        <v>Cartera de títulos</v>
      </c>
      <c r="B36" s="177">
        <v>3164.2284130600165</v>
      </c>
      <c r="C36" s="178">
        <v>3452.507219830004</v>
      </c>
      <c r="D36" s="178">
        <v>3400.530036990036</v>
      </c>
      <c r="E36" s="179">
        <v>3194.1613666700141</v>
      </c>
      <c r="F36" s="177">
        <v>3504.0437455700012</v>
      </c>
      <c r="G36" s="178">
        <v>3491.3380760799919</v>
      </c>
      <c r="H36" s="178">
        <v>3059.6511503999354</v>
      </c>
      <c r="I36" s="119"/>
      <c r="J36" s="74"/>
      <c r="K36" s="180"/>
      <c r="L36" s="119"/>
      <c r="M36" s="119"/>
    </row>
    <row r="37" spans="1:14">
      <c r="A37" s="49" t="str">
        <f>HLOOKUP(INDICE!$F$2,Nombres!$C$3:$E$853,102)</f>
        <v>Inversiones crediticias</v>
      </c>
      <c r="B37" s="177">
        <v>80.580725539941341</v>
      </c>
      <c r="C37" s="178">
        <v>35.713179450016469</v>
      </c>
      <c r="D37" s="178">
        <v>38.998439630086068</v>
      </c>
      <c r="E37" s="179">
        <v>23.981713810004294</v>
      </c>
      <c r="F37" s="177">
        <v>30.237140950048342</v>
      </c>
      <c r="G37" s="178">
        <v>89.617912760004401</v>
      </c>
      <c r="H37" s="178">
        <v>130.01889606006444</v>
      </c>
      <c r="I37" s="119"/>
      <c r="J37" s="74"/>
      <c r="K37" s="180"/>
      <c r="L37" s="119"/>
      <c r="M37" s="119"/>
    </row>
    <row r="38" spans="1:14">
      <c r="A38" s="49" t="str">
        <f>HLOOKUP(INDICE!$F$2,Nombres!$C$3:$E$853,103)</f>
        <v xml:space="preserve">  . Crédito a la clientela neto</v>
      </c>
      <c r="B38" s="177">
        <v>80.580725539941341</v>
      </c>
      <c r="C38" s="178">
        <v>35.711179449979682</v>
      </c>
      <c r="D38" s="178">
        <v>38.994439630070701</v>
      </c>
      <c r="E38" s="179">
        <v>23.982713810051791</v>
      </c>
      <c r="F38" s="177">
        <v>30.237140950048342</v>
      </c>
      <c r="G38" s="178">
        <v>89.613912759989034</v>
      </c>
      <c r="H38" s="178">
        <v>130.01889606000623</v>
      </c>
      <c r="I38" s="119"/>
      <c r="J38" s="74"/>
      <c r="K38" s="180"/>
      <c r="L38" s="119"/>
      <c r="M38" s="119"/>
    </row>
    <row r="39" spans="1:14">
      <c r="A39" s="49" t="str">
        <f>HLOOKUP(INDICE!$F$2,Nombres!$C$3:$E$853,104)</f>
        <v xml:space="preserve">  . Depósitos en entidades de crédito y otros</v>
      </c>
      <c r="B39" s="181" t="s">
        <v>500</v>
      </c>
      <c r="C39" s="182" t="s">
        <v>500</v>
      </c>
      <c r="D39" s="182" t="s">
        <v>500</v>
      </c>
      <c r="E39" s="183" t="s">
        <v>500</v>
      </c>
      <c r="F39" s="181" t="s">
        <v>500</v>
      </c>
      <c r="G39" s="182" t="s">
        <v>500</v>
      </c>
      <c r="H39" s="182" t="s">
        <v>500</v>
      </c>
      <c r="I39" s="119"/>
      <c r="J39" s="74"/>
      <c r="K39" s="180"/>
      <c r="L39" s="119"/>
      <c r="M39" s="119"/>
    </row>
    <row r="40" spans="1:14">
      <c r="A40" s="49" t="str">
        <f>HLOOKUP(INDICE!$F$2,Nombres!$C$3:$E$853,105)</f>
        <v>Posiciones inter-áreas activo</v>
      </c>
      <c r="B40" s="181" t="s">
        <v>500</v>
      </c>
      <c r="C40" s="182" t="s">
        <v>500</v>
      </c>
      <c r="D40" s="182" t="s">
        <v>500</v>
      </c>
      <c r="E40" s="183" t="s">
        <v>500</v>
      </c>
      <c r="F40" s="181" t="s">
        <v>500</v>
      </c>
      <c r="G40" s="182" t="s">
        <v>500</v>
      </c>
      <c r="H40" s="182" t="s">
        <v>500</v>
      </c>
      <c r="I40" s="119"/>
      <c r="J40" s="74"/>
      <c r="K40" s="180"/>
      <c r="L40" s="119"/>
      <c r="M40" s="119"/>
    </row>
    <row r="41" spans="1:14">
      <c r="A41" s="49" t="str">
        <f>HLOOKUP(INDICE!$F$2,Nombres!$C$3:$E$853,106)</f>
        <v>Activo material</v>
      </c>
      <c r="B41" s="177">
        <v>2084.6270264900004</v>
      </c>
      <c r="C41" s="178">
        <v>2097.4803506299995</v>
      </c>
      <c r="D41" s="178">
        <v>2159.9725032300003</v>
      </c>
      <c r="E41" s="179">
        <v>2245.2186300900003</v>
      </c>
      <c r="F41" s="177">
        <v>2309.9276883200009</v>
      </c>
      <c r="G41" s="178">
        <v>2775.2969609299989</v>
      </c>
      <c r="H41" s="178">
        <v>2834.3139269999992</v>
      </c>
      <c r="I41" s="119"/>
      <c r="J41" s="74"/>
      <c r="K41" s="180"/>
      <c r="L41" s="119"/>
      <c r="M41" s="119"/>
    </row>
    <row r="42" spans="1:14">
      <c r="A42" s="49" t="str">
        <f>HLOOKUP(INDICE!$F$2,Nombres!$C$3:$E$853,107)</f>
        <v>Otros activos</v>
      </c>
      <c r="B42" s="177">
        <v>16540.284117280153</v>
      </c>
      <c r="C42" s="178">
        <v>16721.340416190178</v>
      </c>
      <c r="D42" s="178">
        <v>17755.20712688041</v>
      </c>
      <c r="E42" s="179">
        <v>18198.653918090084</v>
      </c>
      <c r="F42" s="177">
        <v>18081.781695450001</v>
      </c>
      <c r="G42" s="178">
        <v>22645.207368279964</v>
      </c>
      <c r="H42" s="178">
        <v>21075.058388550056</v>
      </c>
      <c r="I42" s="119"/>
      <c r="J42" s="74"/>
      <c r="K42" s="180"/>
      <c r="L42" s="119"/>
      <c r="M42" s="119"/>
    </row>
    <row r="43" spans="1:14">
      <c r="A43" s="54" t="str">
        <f>HLOOKUP(INDICE!$F$2,Nombres!$C$3:$E$853,108)</f>
        <v>Total activo / pasivo</v>
      </c>
      <c r="B43" s="184">
        <v>21891.007929770152</v>
      </c>
      <c r="C43" s="185">
        <v>22326.6144094302</v>
      </c>
      <c r="D43" s="185">
        <v>23370.268985620532</v>
      </c>
      <c r="E43" s="186">
        <v>23676.323928200098</v>
      </c>
      <c r="F43" s="184">
        <v>23939.655483760107</v>
      </c>
      <c r="G43" s="185">
        <v>29014.094148319953</v>
      </c>
      <c r="H43" s="185">
        <v>27111.817158010053</v>
      </c>
      <c r="I43" s="119"/>
      <c r="J43" s="74"/>
      <c r="K43" s="180"/>
      <c r="L43" s="119"/>
      <c r="M43" s="119"/>
    </row>
    <row r="44" spans="1:14">
      <c r="A44" s="49" t="str">
        <f>HLOOKUP(INDICE!$F$2,Nombres!$C$3:$E$853,109)</f>
        <v>Depósitos de bancos centrales y entidades de crédito</v>
      </c>
      <c r="B44" s="181" t="s">
        <v>500</v>
      </c>
      <c r="C44" s="182" t="s">
        <v>500</v>
      </c>
      <c r="D44" s="182" t="s">
        <v>500</v>
      </c>
      <c r="E44" s="183" t="s">
        <v>500</v>
      </c>
      <c r="F44" s="181" t="s">
        <v>500</v>
      </c>
      <c r="G44" s="182" t="s">
        <v>500</v>
      </c>
      <c r="H44" s="182" t="s">
        <v>500</v>
      </c>
      <c r="I44" s="119"/>
      <c r="J44" s="247"/>
      <c r="K44" s="180"/>
      <c r="L44" s="119"/>
      <c r="M44" s="119"/>
    </row>
    <row r="45" spans="1:14">
      <c r="A45" s="49" t="str">
        <f>HLOOKUP(INDICE!$F$2,Nombres!$C$3:$E$853,110)</f>
        <v>Depósitos de la clientela</v>
      </c>
      <c r="B45" s="181" t="s">
        <v>500</v>
      </c>
      <c r="C45" s="182" t="s">
        <v>500</v>
      </c>
      <c r="D45" s="182" t="s">
        <v>500</v>
      </c>
      <c r="E45" s="183" t="s">
        <v>500</v>
      </c>
      <c r="F45" s="181" t="s">
        <v>500</v>
      </c>
      <c r="G45" s="182" t="s">
        <v>500</v>
      </c>
      <c r="H45" s="182" t="s">
        <v>500</v>
      </c>
      <c r="I45" s="119"/>
      <c r="J45" s="247"/>
      <c r="K45" s="180"/>
      <c r="L45" s="119"/>
      <c r="M45" s="119"/>
    </row>
    <row r="46" spans="1:14">
      <c r="A46" s="49" t="str">
        <f>HLOOKUP(INDICE!$F$2,Nombres!$C$3:$E$853,111)</f>
        <v>Débitos representados por valores negociables</v>
      </c>
      <c r="B46" s="177">
        <v>6048.6081015449017</v>
      </c>
      <c r="C46" s="178">
        <v>4618.5612359864972</v>
      </c>
      <c r="D46" s="178">
        <v>4874.926940949299</v>
      </c>
      <c r="E46" s="179">
        <v>5875.247323211297</v>
      </c>
      <c r="F46" s="177">
        <v>5339.4794575617925</v>
      </c>
      <c r="G46" s="250">
        <v>5900.3280144804085</v>
      </c>
      <c r="H46" s="178">
        <v>5395.1270395666943</v>
      </c>
      <c r="I46" s="119"/>
      <c r="J46" s="247"/>
      <c r="K46" s="180"/>
      <c r="L46" s="119"/>
      <c r="M46" s="119"/>
    </row>
    <row r="47" spans="1:14">
      <c r="A47" s="49" t="str">
        <f>HLOOKUP(INDICE!$F$2,Nombres!$C$3:$E$853,112)</f>
        <v>Pasivos subordinados</v>
      </c>
      <c r="B47" s="177">
        <v>2965.4490099085997</v>
      </c>
      <c r="C47" s="178">
        <v>4504.1601596026994</v>
      </c>
      <c r="D47" s="178">
        <v>4691.2705622658013</v>
      </c>
      <c r="E47" s="179">
        <v>3958.1019628445993</v>
      </c>
      <c r="F47" s="177">
        <v>5197.7291840970975</v>
      </c>
      <c r="G47" s="250">
        <v>4780.2359464654</v>
      </c>
      <c r="H47" s="178">
        <v>4901.0608873910005</v>
      </c>
      <c r="I47" s="119"/>
      <c r="J47" s="247"/>
      <c r="K47" s="180"/>
      <c r="L47" s="119"/>
      <c r="M47" s="119"/>
    </row>
    <row r="48" spans="1:14">
      <c r="A48" s="49" t="str">
        <f>HLOOKUP(INDICE!$F$2,Nombres!$C$3:$E$853,113)</f>
        <v>Posiciones inter-áreas pasivo</v>
      </c>
      <c r="B48" s="177">
        <v>-13335.367325782252</v>
      </c>
      <c r="C48" s="178">
        <v>-13938.797135782414</v>
      </c>
      <c r="D48" s="178">
        <v>-14383.335851380216</v>
      </c>
      <c r="E48" s="179">
        <v>-14624.84750330208</v>
      </c>
      <c r="F48" s="177">
        <v>-19565.157027901707</v>
      </c>
      <c r="G48" s="250">
        <v>-12168.982613910659</v>
      </c>
      <c r="H48" s="178">
        <v>-12398.825122519454</v>
      </c>
      <c r="I48" s="119"/>
      <c r="J48" s="247"/>
      <c r="K48" s="180"/>
      <c r="L48" s="119"/>
      <c r="M48" s="119"/>
    </row>
    <row r="49" spans="1:13">
      <c r="A49" s="49" t="str">
        <f>HLOOKUP(INDICE!$F$2,Nombres!$C$3:$E$853,114)</f>
        <v>Cartera de negociación</v>
      </c>
      <c r="B49" s="181" t="s">
        <v>500</v>
      </c>
      <c r="C49" s="182" t="s">
        <v>500</v>
      </c>
      <c r="D49" s="182" t="s">
        <v>500</v>
      </c>
      <c r="E49" s="183" t="s">
        <v>500</v>
      </c>
      <c r="F49" s="181" t="s">
        <v>500</v>
      </c>
      <c r="G49" s="245" t="s">
        <v>500</v>
      </c>
      <c r="H49" s="182" t="s">
        <v>500</v>
      </c>
      <c r="I49" s="119"/>
      <c r="J49" s="247"/>
      <c r="K49" s="180"/>
      <c r="L49" s="119"/>
      <c r="M49" s="119"/>
    </row>
    <row r="50" spans="1:13">
      <c r="A50" s="49" t="str">
        <f>HLOOKUP(INDICE!$F$2,Nombres!$C$3:$E$853,115)</f>
        <v>Otros pasivos</v>
      </c>
      <c r="B50" s="177">
        <v>4610.6767441188731</v>
      </c>
      <c r="C50" s="178">
        <v>5846.1967795533974</v>
      </c>
      <c r="D50" s="243">
        <v>7066.8248635156197</v>
      </c>
      <c r="E50" s="179">
        <v>6800.6741172761267</v>
      </c>
      <c r="F50" s="177">
        <v>7181.0542019506156</v>
      </c>
      <c r="G50" s="250">
        <v>6183.0251163590256</v>
      </c>
      <c r="H50" s="178">
        <v>4598.6425628087027</v>
      </c>
      <c r="I50" s="119"/>
      <c r="J50" s="247"/>
      <c r="K50" s="180"/>
      <c r="L50" s="119"/>
      <c r="M50" s="119"/>
    </row>
    <row r="51" spans="1:13">
      <c r="A51" s="49" t="str">
        <f>HLOOKUP(INDICE!$F$2,Nombres!$C$3:$E$853,135)</f>
        <v>Capital y reservas</v>
      </c>
      <c r="B51" s="177">
        <v>46165.426999999996</v>
      </c>
      <c r="C51" s="178">
        <v>46226.447</v>
      </c>
      <c r="D51" s="243">
        <v>46164.701000000008</v>
      </c>
      <c r="E51" s="179">
        <v>47602.516999999993</v>
      </c>
      <c r="F51" s="177">
        <v>49632.822998020005</v>
      </c>
      <c r="G51" s="250">
        <v>49567.364999989994</v>
      </c>
      <c r="H51" s="178">
        <v>49339.657999990006</v>
      </c>
      <c r="I51" s="119"/>
      <c r="J51" s="247"/>
      <c r="K51" s="180"/>
      <c r="L51" s="119"/>
      <c r="M51" s="119"/>
    </row>
    <row r="52" spans="1:13">
      <c r="A52" s="49" t="str">
        <f>HLOOKUP(INDICE!$F$2,Nombres!$C$3:$E$853,116)</f>
        <v>Dotación de capital económico</v>
      </c>
      <c r="B52" s="177">
        <v>-24563.796600019996</v>
      </c>
      <c r="C52" s="178">
        <v>-24929.958629929999</v>
      </c>
      <c r="D52" s="178">
        <v>-25044.118529729996</v>
      </c>
      <c r="E52" s="179">
        <v>-25936.273971829996</v>
      </c>
      <c r="F52" s="177">
        <v>-23845.355329970003</v>
      </c>
      <c r="G52" s="250">
        <v>-25247.881070029998</v>
      </c>
      <c r="H52" s="178">
        <v>-24723.846209210002</v>
      </c>
      <c r="I52" s="119"/>
      <c r="J52" s="247"/>
      <c r="K52" s="180"/>
      <c r="L52" s="119"/>
      <c r="M52" s="119"/>
    </row>
    <row r="53" spans="1:13">
      <c r="A53" s="180"/>
      <c r="B53" s="180"/>
      <c r="C53" s="180"/>
      <c r="D53" s="180"/>
      <c r="E53" s="180"/>
      <c r="F53" s="180"/>
      <c r="G53" s="180"/>
      <c r="H53" s="180"/>
      <c r="I53" s="180"/>
      <c r="J53" s="180"/>
      <c r="K53" s="180"/>
    </row>
    <row r="54" spans="1:13" ht="0.75" customHeight="1">
      <c r="A54" s="180"/>
      <c r="B54" s="180"/>
      <c r="C54" s="180"/>
      <c r="D54" s="180"/>
      <c r="E54" s="180"/>
      <c r="F54" s="180"/>
      <c r="G54" s="180"/>
      <c r="H54" s="180"/>
      <c r="I54" s="180"/>
      <c r="J54" s="180"/>
      <c r="K54" s="180"/>
    </row>
    <row r="55" spans="1:13">
      <c r="A55" s="180"/>
      <c r="B55" s="180"/>
      <c r="C55" s="180"/>
      <c r="D55" s="180"/>
      <c r="E55" s="180"/>
      <c r="F55" s="180"/>
      <c r="G55" s="180"/>
      <c r="H55" s="180"/>
      <c r="I55" s="180"/>
      <c r="J55" s="180"/>
      <c r="K55" s="180"/>
    </row>
    <row r="56" spans="1:13">
      <c r="A56" s="180"/>
      <c r="B56" s="180"/>
      <c r="C56" s="180"/>
      <c r="D56" s="180"/>
      <c r="E56" s="180"/>
      <c r="F56" s="180"/>
      <c r="G56" s="180"/>
      <c r="H56" s="180"/>
      <c r="I56" s="180"/>
      <c r="J56" s="180"/>
      <c r="K56" s="180"/>
    </row>
    <row r="57" spans="1:13" ht="6" customHeight="1">
      <c r="A57" s="180"/>
      <c r="B57" s="180"/>
      <c r="C57" s="180"/>
      <c r="D57" s="180"/>
      <c r="E57" s="180"/>
      <c r="F57" s="180"/>
      <c r="G57" s="180"/>
      <c r="H57" s="180"/>
      <c r="I57" s="180"/>
      <c r="J57" s="180"/>
      <c r="K57" s="180"/>
    </row>
    <row r="58" spans="1:13">
      <c r="A58" s="180"/>
      <c r="B58" s="180"/>
      <c r="C58" s="180"/>
      <c r="D58" s="180"/>
      <c r="E58" s="180"/>
      <c r="F58" s="180"/>
      <c r="G58" s="180"/>
      <c r="H58" s="180"/>
      <c r="I58" s="180"/>
      <c r="J58" s="180"/>
      <c r="K58" s="180"/>
    </row>
    <row r="59" spans="1:13">
      <c r="A59" s="180"/>
      <c r="B59" s="180"/>
      <c r="C59" s="180"/>
      <c r="D59" s="180"/>
      <c r="E59" s="180"/>
      <c r="F59" s="180"/>
      <c r="G59" s="180"/>
      <c r="H59" s="180"/>
      <c r="I59" s="180"/>
      <c r="J59" s="180"/>
      <c r="K59" s="180"/>
    </row>
    <row r="60" spans="1:13">
      <c r="A60" s="180"/>
      <c r="B60" s="180"/>
      <c r="C60" s="180"/>
      <c r="D60" s="180"/>
      <c r="E60" s="180"/>
      <c r="F60" s="180"/>
      <c r="G60" s="180"/>
      <c r="H60" s="180"/>
      <c r="I60" s="180"/>
      <c r="J60" s="180"/>
      <c r="K60" s="180"/>
    </row>
    <row r="61" spans="1:13">
      <c r="A61" s="180"/>
      <c r="B61" s="180"/>
      <c r="C61" s="180"/>
      <c r="D61" s="180"/>
      <c r="E61" s="180"/>
      <c r="F61" s="180"/>
      <c r="G61" s="180"/>
      <c r="H61" s="180"/>
      <c r="I61" s="180"/>
      <c r="J61" s="180"/>
      <c r="K61" s="180"/>
    </row>
    <row r="62" spans="1:13">
      <c r="A62" s="180"/>
      <c r="B62" s="180"/>
      <c r="C62" s="180"/>
      <c r="D62" s="180"/>
      <c r="E62" s="180"/>
      <c r="F62" s="180"/>
      <c r="G62" s="180"/>
      <c r="H62" s="180"/>
      <c r="I62" s="180"/>
      <c r="J62" s="180"/>
      <c r="K62" s="180"/>
    </row>
    <row r="63" spans="1:13">
      <c r="A63" s="180"/>
      <c r="B63" s="180"/>
      <c r="C63" s="180"/>
      <c r="D63" s="180"/>
      <c r="E63" s="180"/>
      <c r="F63" s="180"/>
      <c r="G63" s="180"/>
      <c r="H63" s="180"/>
      <c r="I63" s="180"/>
      <c r="J63" s="180"/>
      <c r="K63" s="180"/>
    </row>
    <row r="64" spans="1:13" ht="6" customHeight="1">
      <c r="A64" s="180"/>
      <c r="B64" s="180"/>
      <c r="C64" s="180"/>
      <c r="D64" s="180"/>
      <c r="E64" s="180"/>
      <c r="F64" s="180"/>
      <c r="G64" s="180"/>
      <c r="H64" s="180"/>
      <c r="I64" s="180"/>
      <c r="J64" s="180"/>
      <c r="K64" s="180"/>
    </row>
    <row r="65" spans="1:11">
      <c r="A65" s="180"/>
      <c r="B65" s="180"/>
      <c r="C65" s="180"/>
      <c r="D65" s="180"/>
      <c r="E65" s="180"/>
      <c r="F65" s="180"/>
      <c r="G65" s="180"/>
      <c r="H65" s="180"/>
      <c r="I65" s="180"/>
      <c r="J65" s="180"/>
      <c r="K65" s="180"/>
    </row>
    <row r="66" spans="1:11">
      <c r="A66" s="180"/>
      <c r="B66" s="180"/>
      <c r="C66" s="180"/>
      <c r="D66" s="180"/>
      <c r="E66" s="180"/>
      <c r="F66" s="180"/>
      <c r="G66" s="180"/>
      <c r="H66" s="180"/>
      <c r="I66" s="180"/>
      <c r="J66" s="180"/>
      <c r="K66" s="180"/>
    </row>
    <row r="67" spans="1:11" ht="6" customHeight="1">
      <c r="A67" s="180"/>
      <c r="B67" s="180"/>
      <c r="C67" s="180"/>
      <c r="D67" s="180"/>
      <c r="E67" s="180"/>
      <c r="F67" s="180"/>
      <c r="G67" s="180"/>
      <c r="H67" s="180"/>
      <c r="I67" s="180"/>
      <c r="J67" s="180"/>
      <c r="K67" s="180"/>
    </row>
    <row r="68" spans="1:11">
      <c r="A68" s="180"/>
      <c r="B68" s="180"/>
      <c r="C68" s="180"/>
      <c r="D68" s="180"/>
      <c r="E68" s="180"/>
      <c r="F68" s="180"/>
      <c r="G68" s="180"/>
      <c r="H68" s="180"/>
      <c r="I68" s="180"/>
      <c r="J68" s="180"/>
      <c r="K68" s="180"/>
    </row>
    <row r="69" spans="1:11">
      <c r="A69" s="180"/>
      <c r="B69" s="180"/>
      <c r="C69" s="180"/>
      <c r="D69" s="180"/>
      <c r="E69" s="180"/>
      <c r="F69" s="180"/>
      <c r="G69" s="180"/>
      <c r="H69" s="180"/>
      <c r="I69" s="180"/>
      <c r="J69" s="180"/>
      <c r="K69" s="180"/>
    </row>
    <row r="70" spans="1:11">
      <c r="A70" s="180"/>
      <c r="B70" s="180"/>
      <c r="C70" s="180"/>
      <c r="D70" s="180"/>
      <c r="E70" s="180"/>
      <c r="F70" s="180"/>
      <c r="G70" s="180"/>
      <c r="H70" s="180"/>
      <c r="I70" s="180"/>
      <c r="J70" s="180"/>
      <c r="K70" s="180"/>
    </row>
    <row r="71" spans="1:11">
      <c r="A71" s="180"/>
      <c r="B71" s="180"/>
      <c r="C71" s="180"/>
      <c r="D71" s="180"/>
      <c r="E71" s="180"/>
      <c r="F71" s="180"/>
      <c r="G71" s="180"/>
      <c r="H71" s="180"/>
      <c r="I71" s="180"/>
      <c r="J71" s="180"/>
      <c r="K71" s="180"/>
    </row>
    <row r="72" spans="1:11">
      <c r="A72" s="180"/>
      <c r="B72" s="180"/>
      <c r="C72" s="180"/>
      <c r="D72" s="180"/>
      <c r="E72" s="180"/>
      <c r="F72" s="180"/>
      <c r="G72" s="180"/>
      <c r="H72" s="180"/>
      <c r="I72" s="180"/>
      <c r="J72" s="180"/>
      <c r="K72" s="180"/>
    </row>
    <row r="73" spans="1:11">
      <c r="A73" s="180"/>
      <c r="B73" s="180"/>
      <c r="C73" s="180"/>
      <c r="D73" s="180"/>
      <c r="E73" s="180"/>
      <c r="F73" s="180"/>
      <c r="G73" s="180"/>
      <c r="H73" s="180"/>
      <c r="I73" s="180"/>
      <c r="J73" s="180"/>
      <c r="K73" s="180"/>
    </row>
    <row r="74" spans="1:11">
      <c r="A74" s="180"/>
      <c r="B74" s="180"/>
      <c r="C74" s="180"/>
      <c r="D74" s="180"/>
      <c r="E74" s="180"/>
      <c r="F74" s="180"/>
      <c r="G74" s="180"/>
      <c r="H74" s="180"/>
      <c r="I74" s="180"/>
      <c r="J74" s="180"/>
      <c r="K74" s="180"/>
    </row>
    <row r="75" spans="1:11">
      <c r="A75" s="187"/>
      <c r="H75" s="74"/>
      <c r="I75" s="74"/>
    </row>
    <row r="76" spans="1:11">
      <c r="A76" s="188"/>
      <c r="B76" s="74"/>
      <c r="C76" s="74"/>
      <c r="D76" s="74"/>
      <c r="E76" s="74"/>
      <c r="F76" s="74"/>
      <c r="G76" s="74"/>
      <c r="H76" s="74"/>
      <c r="I76" s="74"/>
    </row>
    <row r="77" spans="1:11">
      <c r="A77" s="188"/>
      <c r="B77" s="74"/>
      <c r="C77" s="74"/>
      <c r="D77" s="74"/>
      <c r="E77" s="74"/>
      <c r="F77" s="74"/>
      <c r="G77" s="74"/>
      <c r="H77" s="74"/>
      <c r="I77" s="74"/>
    </row>
    <row r="78" spans="1:11">
      <c r="B78" s="74"/>
      <c r="C78" s="74"/>
      <c r="D78" s="74"/>
      <c r="E78" s="74"/>
      <c r="F78" s="74"/>
      <c r="G78" s="74"/>
      <c r="H78" s="74"/>
      <c r="I78" s="74"/>
    </row>
    <row r="79" spans="1:11">
      <c r="B79" s="74"/>
      <c r="C79" s="74"/>
      <c r="D79" s="74"/>
      <c r="E79" s="74"/>
      <c r="F79" s="74"/>
      <c r="G79" s="74"/>
      <c r="H79" s="74"/>
      <c r="I79" s="74"/>
    </row>
    <row r="80" spans="1:11">
      <c r="B80" s="74"/>
      <c r="C80" s="74"/>
      <c r="D80" s="74"/>
      <c r="E80" s="74"/>
      <c r="F80" s="74"/>
      <c r="G80" s="74"/>
      <c r="H80" s="74"/>
      <c r="I80" s="74"/>
    </row>
    <row r="81" spans="2:9">
      <c r="B81" s="74"/>
      <c r="C81" s="74"/>
      <c r="D81" s="74"/>
      <c r="E81" s="74"/>
      <c r="F81" s="74"/>
      <c r="G81" s="74"/>
      <c r="H81" s="74"/>
      <c r="I81" s="74"/>
    </row>
    <row r="82" spans="2:9">
      <c r="B82" s="74"/>
      <c r="C82" s="74"/>
      <c r="D82" s="74"/>
      <c r="E82" s="74"/>
      <c r="F82" s="74"/>
      <c r="G82" s="74"/>
    </row>
    <row r="83" spans="2:9">
      <c r="B83" s="74"/>
      <c r="C83" s="74"/>
      <c r="D83" s="74"/>
      <c r="E83" s="74"/>
      <c r="F83" s="74"/>
      <c r="G83" s="74"/>
    </row>
    <row r="84" spans="2:9">
      <c r="B84" s="74"/>
      <c r="C84" s="74"/>
      <c r="D84" s="74"/>
      <c r="E84" s="74"/>
      <c r="F84" s="74"/>
      <c r="G84" s="74"/>
    </row>
    <row r="85" spans="2:9">
      <c r="B85" s="74"/>
      <c r="C85" s="74"/>
      <c r="D85" s="74"/>
      <c r="E85" s="74"/>
      <c r="F85" s="74"/>
      <c r="G85" s="74"/>
    </row>
    <row r="86" spans="2:9">
      <c r="B86" s="74"/>
      <c r="C86" s="74"/>
      <c r="D86" s="74"/>
      <c r="E86" s="74"/>
      <c r="F86" s="74"/>
      <c r="G86" s="74"/>
    </row>
    <row r="87" spans="2:9">
      <c r="B87" s="74"/>
      <c r="C87" s="74"/>
      <c r="D87" s="74"/>
      <c r="E87" s="74"/>
      <c r="F87" s="74"/>
      <c r="G87" s="74"/>
    </row>
    <row r="88" spans="2:9">
      <c r="B88" s="74"/>
      <c r="C88" s="74"/>
      <c r="D88" s="74"/>
      <c r="E88" s="74"/>
      <c r="F88" s="74"/>
      <c r="G88" s="74"/>
    </row>
    <row r="89" spans="2:9">
      <c r="B89" s="74"/>
      <c r="C89" s="74"/>
      <c r="D89" s="74"/>
      <c r="E89" s="74"/>
      <c r="F89" s="74"/>
      <c r="G89" s="74"/>
    </row>
    <row r="90" spans="2:9">
      <c r="B90" s="74"/>
      <c r="C90" s="74"/>
      <c r="D90" s="74"/>
      <c r="E90" s="74"/>
      <c r="F90" s="74"/>
      <c r="G90" s="74"/>
    </row>
    <row r="91" spans="2:9">
      <c r="B91" s="74"/>
      <c r="C91" s="74"/>
      <c r="D91" s="74"/>
      <c r="E91" s="74"/>
      <c r="F91" s="74"/>
      <c r="G91" s="74"/>
    </row>
    <row r="92" spans="2:9">
      <c r="B92" s="74"/>
      <c r="C92" s="74"/>
      <c r="D92" s="74"/>
      <c r="E92" s="74"/>
      <c r="F92" s="74"/>
      <c r="G92" s="74"/>
    </row>
    <row r="93" spans="2:9">
      <c r="B93" s="74"/>
      <c r="C93" s="74"/>
      <c r="D93" s="74"/>
      <c r="E93" s="74"/>
      <c r="F93" s="74"/>
      <c r="G93" s="74"/>
    </row>
    <row r="94" spans="2:9">
      <c r="B94" s="74"/>
    </row>
    <row r="95" spans="2:9">
      <c r="B95" s="74"/>
    </row>
    <row r="96" spans="2:9">
      <c r="B96" s="74"/>
    </row>
    <row r="97" spans="2:2">
      <c r="B97" s="74"/>
    </row>
    <row r="98" spans="2:2">
      <c r="B98" s="74"/>
    </row>
    <row r="99" spans="2:2">
      <c r="B99" s="74"/>
    </row>
    <row r="100" spans="2:2">
      <c r="B100" s="74"/>
    </row>
    <row r="101" spans="2:2">
      <c r="B101" s="74"/>
    </row>
    <row r="102" spans="2:2">
      <c r="B102" s="74"/>
    </row>
  </sheetData>
  <mergeCells count="3">
    <mergeCell ref="B7:E7"/>
    <mergeCell ref="F7:H7"/>
    <mergeCell ref="A30:H30"/>
  </mergeCells>
  <pageMargins left="0.7" right="0.7" top="0.75" bottom="0.75" header="0.3" footer="0.3"/>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H61"/>
  <sheetViews>
    <sheetView showGridLines="0" workbookViewId="0">
      <selection activeCell="B54" sqref="B54:E54"/>
    </sheetView>
  </sheetViews>
  <sheetFormatPr baseColWidth="10" defaultColWidth="9.140625" defaultRowHeight="15"/>
  <cols>
    <col min="1" max="1" width="74.42578125" style="159" customWidth="1"/>
    <col min="2" max="2" width="9.7109375" customWidth="1"/>
    <col min="3" max="3" width="9.85546875" style="143" customWidth="1"/>
    <col min="4" max="4" width="9.42578125" style="143" customWidth="1"/>
    <col min="5" max="5" width="9.140625" style="143" customWidth="1"/>
    <col min="256" max="256" width="74.42578125" customWidth="1"/>
    <col min="257" max="257" width="9.7109375" customWidth="1"/>
    <col min="258" max="258" width="9.85546875" customWidth="1"/>
    <col min="259" max="259" width="9.42578125" customWidth="1"/>
    <col min="260" max="260" width="9.140625" customWidth="1"/>
    <col min="512" max="512" width="74.42578125" customWidth="1"/>
    <col min="513" max="513" width="9.7109375" customWidth="1"/>
    <col min="514" max="514" width="9.85546875" customWidth="1"/>
    <col min="515" max="515" width="9.42578125" customWidth="1"/>
    <col min="516" max="516" width="9.140625" customWidth="1"/>
    <col min="768" max="768" width="74.42578125" customWidth="1"/>
    <col min="769" max="769" width="9.7109375" customWidth="1"/>
    <col min="770" max="770" width="9.85546875" customWidth="1"/>
    <col min="771" max="771" width="9.42578125" customWidth="1"/>
    <col min="772" max="772" width="9.140625" customWidth="1"/>
    <col min="1024" max="1024" width="74.42578125" customWidth="1"/>
    <col min="1025" max="1025" width="9.7109375" customWidth="1"/>
    <col min="1026" max="1026" width="9.85546875" customWidth="1"/>
    <col min="1027" max="1027" width="9.42578125" customWidth="1"/>
    <col min="1028" max="1028" width="9.140625" customWidth="1"/>
    <col min="1280" max="1280" width="74.42578125" customWidth="1"/>
    <col min="1281" max="1281" width="9.7109375" customWidth="1"/>
    <col min="1282" max="1282" width="9.85546875" customWidth="1"/>
    <col min="1283" max="1283" width="9.42578125" customWidth="1"/>
    <col min="1284" max="1284" width="9.140625" customWidth="1"/>
    <col min="1536" max="1536" width="74.42578125" customWidth="1"/>
    <col min="1537" max="1537" width="9.7109375" customWidth="1"/>
    <col min="1538" max="1538" width="9.85546875" customWidth="1"/>
    <col min="1539" max="1539" width="9.42578125" customWidth="1"/>
    <col min="1540" max="1540" width="9.140625" customWidth="1"/>
    <col min="1792" max="1792" width="74.42578125" customWidth="1"/>
    <col min="1793" max="1793" width="9.7109375" customWidth="1"/>
    <col min="1794" max="1794" width="9.85546875" customWidth="1"/>
    <col min="1795" max="1795" width="9.42578125" customWidth="1"/>
    <col min="1796" max="1796" width="9.140625" customWidth="1"/>
    <col min="2048" max="2048" width="74.42578125" customWidth="1"/>
    <col min="2049" max="2049" width="9.7109375" customWidth="1"/>
    <col min="2050" max="2050" width="9.85546875" customWidth="1"/>
    <col min="2051" max="2051" width="9.42578125" customWidth="1"/>
    <col min="2052" max="2052" width="9.140625" customWidth="1"/>
    <col min="2304" max="2304" width="74.42578125" customWidth="1"/>
    <col min="2305" max="2305" width="9.7109375" customWidth="1"/>
    <col min="2306" max="2306" width="9.85546875" customWidth="1"/>
    <col min="2307" max="2307" width="9.42578125" customWidth="1"/>
    <col min="2308" max="2308" width="9.140625" customWidth="1"/>
    <col min="2560" max="2560" width="74.42578125" customWidth="1"/>
    <col min="2561" max="2561" width="9.7109375" customWidth="1"/>
    <col min="2562" max="2562" width="9.85546875" customWidth="1"/>
    <col min="2563" max="2563" width="9.42578125" customWidth="1"/>
    <col min="2564" max="2564" width="9.140625" customWidth="1"/>
    <col min="2816" max="2816" width="74.42578125" customWidth="1"/>
    <col min="2817" max="2817" width="9.7109375" customWidth="1"/>
    <col min="2818" max="2818" width="9.85546875" customWidth="1"/>
    <col min="2819" max="2819" width="9.42578125" customWidth="1"/>
    <col min="2820" max="2820" width="9.140625" customWidth="1"/>
    <col min="3072" max="3072" width="74.42578125" customWidth="1"/>
    <col min="3073" max="3073" width="9.7109375" customWidth="1"/>
    <col min="3074" max="3074" width="9.85546875" customWidth="1"/>
    <col min="3075" max="3075" width="9.42578125" customWidth="1"/>
    <col min="3076" max="3076" width="9.140625" customWidth="1"/>
    <col min="3328" max="3328" width="74.42578125" customWidth="1"/>
    <col min="3329" max="3329" width="9.7109375" customWidth="1"/>
    <col min="3330" max="3330" width="9.85546875" customWidth="1"/>
    <col min="3331" max="3331" width="9.42578125" customWidth="1"/>
    <col min="3332" max="3332" width="9.140625" customWidth="1"/>
    <col min="3584" max="3584" width="74.42578125" customWidth="1"/>
    <col min="3585" max="3585" width="9.7109375" customWidth="1"/>
    <col min="3586" max="3586" width="9.85546875" customWidth="1"/>
    <col min="3587" max="3587" width="9.42578125" customWidth="1"/>
    <col min="3588" max="3588" width="9.140625" customWidth="1"/>
    <col min="3840" max="3840" width="74.42578125" customWidth="1"/>
    <col min="3841" max="3841" width="9.7109375" customWidth="1"/>
    <col min="3842" max="3842" width="9.85546875" customWidth="1"/>
    <col min="3843" max="3843" width="9.42578125" customWidth="1"/>
    <col min="3844" max="3844" width="9.140625" customWidth="1"/>
    <col min="4096" max="4096" width="74.42578125" customWidth="1"/>
    <col min="4097" max="4097" width="9.7109375" customWidth="1"/>
    <col min="4098" max="4098" width="9.85546875" customWidth="1"/>
    <col min="4099" max="4099" width="9.42578125" customWidth="1"/>
    <col min="4100" max="4100" width="9.140625" customWidth="1"/>
    <col min="4352" max="4352" width="74.42578125" customWidth="1"/>
    <col min="4353" max="4353" width="9.7109375" customWidth="1"/>
    <col min="4354" max="4354" width="9.85546875" customWidth="1"/>
    <col min="4355" max="4355" width="9.42578125" customWidth="1"/>
    <col min="4356" max="4356" width="9.140625" customWidth="1"/>
    <col min="4608" max="4608" width="74.42578125" customWidth="1"/>
    <col min="4609" max="4609" width="9.7109375" customWidth="1"/>
    <col min="4610" max="4610" width="9.85546875" customWidth="1"/>
    <col min="4611" max="4611" width="9.42578125" customWidth="1"/>
    <col min="4612" max="4612" width="9.140625" customWidth="1"/>
    <col min="4864" max="4864" width="74.42578125" customWidth="1"/>
    <col min="4865" max="4865" width="9.7109375" customWidth="1"/>
    <col min="4866" max="4866" width="9.85546875" customWidth="1"/>
    <col min="4867" max="4867" width="9.42578125" customWidth="1"/>
    <col min="4868" max="4868" width="9.140625" customWidth="1"/>
    <col min="5120" max="5120" width="74.42578125" customWidth="1"/>
    <col min="5121" max="5121" width="9.7109375" customWidth="1"/>
    <col min="5122" max="5122" width="9.85546875" customWidth="1"/>
    <col min="5123" max="5123" width="9.42578125" customWidth="1"/>
    <col min="5124" max="5124" width="9.140625" customWidth="1"/>
    <col min="5376" max="5376" width="74.42578125" customWidth="1"/>
    <col min="5377" max="5377" width="9.7109375" customWidth="1"/>
    <col min="5378" max="5378" width="9.85546875" customWidth="1"/>
    <col min="5379" max="5379" width="9.42578125" customWidth="1"/>
    <col min="5380" max="5380" width="9.140625" customWidth="1"/>
    <col min="5632" max="5632" width="74.42578125" customWidth="1"/>
    <col min="5633" max="5633" width="9.7109375" customWidth="1"/>
    <col min="5634" max="5634" width="9.85546875" customWidth="1"/>
    <col min="5635" max="5635" width="9.42578125" customWidth="1"/>
    <col min="5636" max="5636" width="9.140625" customWidth="1"/>
    <col min="5888" max="5888" width="74.42578125" customWidth="1"/>
    <col min="5889" max="5889" width="9.7109375" customWidth="1"/>
    <col min="5890" max="5890" width="9.85546875" customWidth="1"/>
    <col min="5891" max="5891" width="9.42578125" customWidth="1"/>
    <col min="5892" max="5892" width="9.140625" customWidth="1"/>
    <col min="6144" max="6144" width="74.42578125" customWidth="1"/>
    <col min="6145" max="6145" width="9.7109375" customWidth="1"/>
    <col min="6146" max="6146" width="9.85546875" customWidth="1"/>
    <col min="6147" max="6147" width="9.42578125" customWidth="1"/>
    <col min="6148" max="6148" width="9.140625" customWidth="1"/>
    <col min="6400" max="6400" width="74.42578125" customWidth="1"/>
    <col min="6401" max="6401" width="9.7109375" customWidth="1"/>
    <col min="6402" max="6402" width="9.85546875" customWidth="1"/>
    <col min="6403" max="6403" width="9.42578125" customWidth="1"/>
    <col min="6404" max="6404" width="9.140625" customWidth="1"/>
    <col min="6656" max="6656" width="74.42578125" customWidth="1"/>
    <col min="6657" max="6657" width="9.7109375" customWidth="1"/>
    <col min="6658" max="6658" width="9.85546875" customWidth="1"/>
    <col min="6659" max="6659" width="9.42578125" customWidth="1"/>
    <col min="6660" max="6660" width="9.140625" customWidth="1"/>
    <col min="6912" max="6912" width="74.42578125" customWidth="1"/>
    <col min="6913" max="6913" width="9.7109375" customWidth="1"/>
    <col min="6914" max="6914" width="9.85546875" customWidth="1"/>
    <col min="6915" max="6915" width="9.42578125" customWidth="1"/>
    <col min="6916" max="6916" width="9.140625" customWidth="1"/>
    <col min="7168" max="7168" width="74.42578125" customWidth="1"/>
    <col min="7169" max="7169" width="9.7109375" customWidth="1"/>
    <col min="7170" max="7170" width="9.85546875" customWidth="1"/>
    <col min="7171" max="7171" width="9.42578125" customWidth="1"/>
    <col min="7172" max="7172" width="9.140625" customWidth="1"/>
    <col min="7424" max="7424" width="74.42578125" customWidth="1"/>
    <col min="7425" max="7425" width="9.7109375" customWidth="1"/>
    <col min="7426" max="7426" width="9.85546875" customWidth="1"/>
    <col min="7427" max="7427" width="9.42578125" customWidth="1"/>
    <col min="7428" max="7428" width="9.140625" customWidth="1"/>
    <col min="7680" max="7680" width="74.42578125" customWidth="1"/>
    <col min="7681" max="7681" width="9.7109375" customWidth="1"/>
    <col min="7682" max="7682" width="9.85546875" customWidth="1"/>
    <col min="7683" max="7683" width="9.42578125" customWidth="1"/>
    <col min="7684" max="7684" width="9.140625" customWidth="1"/>
    <col min="7936" max="7936" width="74.42578125" customWidth="1"/>
    <col min="7937" max="7937" width="9.7109375" customWidth="1"/>
    <col min="7938" max="7938" width="9.85546875" customWidth="1"/>
    <col min="7939" max="7939" width="9.42578125" customWidth="1"/>
    <col min="7940" max="7940" width="9.140625" customWidth="1"/>
    <col min="8192" max="8192" width="74.42578125" customWidth="1"/>
    <col min="8193" max="8193" width="9.7109375" customWidth="1"/>
    <col min="8194" max="8194" width="9.85546875" customWidth="1"/>
    <col min="8195" max="8195" width="9.42578125" customWidth="1"/>
    <col min="8196" max="8196" width="9.140625" customWidth="1"/>
    <col min="8448" max="8448" width="74.42578125" customWidth="1"/>
    <col min="8449" max="8449" width="9.7109375" customWidth="1"/>
    <col min="8450" max="8450" width="9.85546875" customWidth="1"/>
    <col min="8451" max="8451" width="9.42578125" customWidth="1"/>
    <col min="8452" max="8452" width="9.140625" customWidth="1"/>
    <col min="8704" max="8704" width="74.42578125" customWidth="1"/>
    <col min="8705" max="8705" width="9.7109375" customWidth="1"/>
    <col min="8706" max="8706" width="9.85546875" customWidth="1"/>
    <col min="8707" max="8707" width="9.42578125" customWidth="1"/>
    <col min="8708" max="8708" width="9.140625" customWidth="1"/>
    <col min="8960" max="8960" width="74.42578125" customWidth="1"/>
    <col min="8961" max="8961" width="9.7109375" customWidth="1"/>
    <col min="8962" max="8962" width="9.85546875" customWidth="1"/>
    <col min="8963" max="8963" width="9.42578125" customWidth="1"/>
    <col min="8964" max="8964" width="9.140625" customWidth="1"/>
    <col min="9216" max="9216" width="74.42578125" customWidth="1"/>
    <col min="9217" max="9217" width="9.7109375" customWidth="1"/>
    <col min="9218" max="9218" width="9.85546875" customWidth="1"/>
    <col min="9219" max="9219" width="9.42578125" customWidth="1"/>
    <col min="9220" max="9220" width="9.140625" customWidth="1"/>
    <col min="9472" max="9472" width="74.42578125" customWidth="1"/>
    <col min="9473" max="9473" width="9.7109375" customWidth="1"/>
    <col min="9474" max="9474" width="9.85546875" customWidth="1"/>
    <col min="9475" max="9475" width="9.42578125" customWidth="1"/>
    <col min="9476" max="9476" width="9.140625" customWidth="1"/>
    <col min="9728" max="9728" width="74.42578125" customWidth="1"/>
    <col min="9729" max="9729" width="9.7109375" customWidth="1"/>
    <col min="9730" max="9730" width="9.85546875" customWidth="1"/>
    <col min="9731" max="9731" width="9.42578125" customWidth="1"/>
    <col min="9732" max="9732" width="9.140625" customWidth="1"/>
    <col min="9984" max="9984" width="74.42578125" customWidth="1"/>
    <col min="9985" max="9985" width="9.7109375" customWidth="1"/>
    <col min="9986" max="9986" width="9.85546875" customWidth="1"/>
    <col min="9987" max="9987" width="9.42578125" customWidth="1"/>
    <col min="9988" max="9988" width="9.140625" customWidth="1"/>
    <col min="10240" max="10240" width="74.42578125" customWidth="1"/>
    <col min="10241" max="10241" width="9.7109375" customWidth="1"/>
    <col min="10242" max="10242" width="9.85546875" customWidth="1"/>
    <col min="10243" max="10243" width="9.42578125" customWidth="1"/>
    <col min="10244" max="10244" width="9.140625" customWidth="1"/>
    <col min="10496" max="10496" width="74.42578125" customWidth="1"/>
    <col min="10497" max="10497" width="9.7109375" customWidth="1"/>
    <col min="10498" max="10498" width="9.85546875" customWidth="1"/>
    <col min="10499" max="10499" width="9.42578125" customWidth="1"/>
    <col min="10500" max="10500" width="9.140625" customWidth="1"/>
    <col min="10752" max="10752" width="74.42578125" customWidth="1"/>
    <col min="10753" max="10753" width="9.7109375" customWidth="1"/>
    <col min="10754" max="10754" width="9.85546875" customWidth="1"/>
    <col min="10755" max="10755" width="9.42578125" customWidth="1"/>
    <col min="10756" max="10756" width="9.140625" customWidth="1"/>
    <col min="11008" max="11008" width="74.42578125" customWidth="1"/>
    <col min="11009" max="11009" width="9.7109375" customWidth="1"/>
    <col min="11010" max="11010" width="9.85546875" customWidth="1"/>
    <col min="11011" max="11011" width="9.42578125" customWidth="1"/>
    <col min="11012" max="11012" width="9.140625" customWidth="1"/>
    <col min="11264" max="11264" width="74.42578125" customWidth="1"/>
    <col min="11265" max="11265" width="9.7109375" customWidth="1"/>
    <col min="11266" max="11266" width="9.85546875" customWidth="1"/>
    <col min="11267" max="11267" width="9.42578125" customWidth="1"/>
    <col min="11268" max="11268" width="9.140625" customWidth="1"/>
    <col min="11520" max="11520" width="74.42578125" customWidth="1"/>
    <col min="11521" max="11521" width="9.7109375" customWidth="1"/>
    <col min="11522" max="11522" width="9.85546875" customWidth="1"/>
    <col min="11523" max="11523" width="9.42578125" customWidth="1"/>
    <col min="11524" max="11524" width="9.140625" customWidth="1"/>
    <col min="11776" max="11776" width="74.42578125" customWidth="1"/>
    <col min="11777" max="11777" width="9.7109375" customWidth="1"/>
    <col min="11778" max="11778" width="9.85546875" customWidth="1"/>
    <col min="11779" max="11779" width="9.42578125" customWidth="1"/>
    <col min="11780" max="11780" width="9.140625" customWidth="1"/>
    <col min="12032" max="12032" width="74.42578125" customWidth="1"/>
    <col min="12033" max="12033" width="9.7109375" customWidth="1"/>
    <col min="12034" max="12034" width="9.85546875" customWidth="1"/>
    <col min="12035" max="12035" width="9.42578125" customWidth="1"/>
    <col min="12036" max="12036" width="9.140625" customWidth="1"/>
    <col min="12288" max="12288" width="74.42578125" customWidth="1"/>
    <col min="12289" max="12289" width="9.7109375" customWidth="1"/>
    <col min="12290" max="12290" width="9.85546875" customWidth="1"/>
    <col min="12291" max="12291" width="9.42578125" customWidth="1"/>
    <col min="12292" max="12292" width="9.140625" customWidth="1"/>
    <col min="12544" max="12544" width="74.42578125" customWidth="1"/>
    <col min="12545" max="12545" width="9.7109375" customWidth="1"/>
    <col min="12546" max="12546" width="9.85546875" customWidth="1"/>
    <col min="12547" max="12547" width="9.42578125" customWidth="1"/>
    <col min="12548" max="12548" width="9.140625" customWidth="1"/>
    <col min="12800" max="12800" width="74.42578125" customWidth="1"/>
    <col min="12801" max="12801" width="9.7109375" customWidth="1"/>
    <col min="12802" max="12802" width="9.85546875" customWidth="1"/>
    <col min="12803" max="12803" width="9.42578125" customWidth="1"/>
    <col min="12804" max="12804" width="9.140625" customWidth="1"/>
    <col min="13056" max="13056" width="74.42578125" customWidth="1"/>
    <col min="13057" max="13057" width="9.7109375" customWidth="1"/>
    <col min="13058" max="13058" width="9.85546875" customWidth="1"/>
    <col min="13059" max="13059" width="9.42578125" customWidth="1"/>
    <col min="13060" max="13060" width="9.140625" customWidth="1"/>
    <col min="13312" max="13312" width="74.42578125" customWidth="1"/>
    <col min="13313" max="13313" width="9.7109375" customWidth="1"/>
    <col min="13314" max="13314" width="9.85546875" customWidth="1"/>
    <col min="13315" max="13315" width="9.42578125" customWidth="1"/>
    <col min="13316" max="13316" width="9.140625" customWidth="1"/>
    <col min="13568" max="13568" width="74.42578125" customWidth="1"/>
    <col min="13569" max="13569" width="9.7109375" customWidth="1"/>
    <col min="13570" max="13570" width="9.85546875" customWidth="1"/>
    <col min="13571" max="13571" width="9.42578125" customWidth="1"/>
    <col min="13572" max="13572" width="9.140625" customWidth="1"/>
    <col min="13824" max="13824" width="74.42578125" customWidth="1"/>
    <col min="13825" max="13825" width="9.7109375" customWidth="1"/>
    <col min="13826" max="13826" width="9.85546875" customWidth="1"/>
    <col min="13827" max="13827" width="9.42578125" customWidth="1"/>
    <col min="13828" max="13828" width="9.140625" customWidth="1"/>
    <col min="14080" max="14080" width="74.42578125" customWidth="1"/>
    <col min="14081" max="14081" width="9.7109375" customWidth="1"/>
    <col min="14082" max="14082" width="9.85546875" customWidth="1"/>
    <col min="14083" max="14083" width="9.42578125" customWidth="1"/>
    <col min="14084" max="14084" width="9.140625" customWidth="1"/>
    <col min="14336" max="14336" width="74.42578125" customWidth="1"/>
    <col min="14337" max="14337" width="9.7109375" customWidth="1"/>
    <col min="14338" max="14338" width="9.85546875" customWidth="1"/>
    <col min="14339" max="14339" width="9.42578125" customWidth="1"/>
    <col min="14340" max="14340" width="9.140625" customWidth="1"/>
    <col min="14592" max="14592" width="74.42578125" customWidth="1"/>
    <col min="14593" max="14593" width="9.7109375" customWidth="1"/>
    <col min="14594" max="14594" width="9.85546875" customWidth="1"/>
    <col min="14595" max="14595" width="9.42578125" customWidth="1"/>
    <col min="14596" max="14596" width="9.140625" customWidth="1"/>
    <col min="14848" max="14848" width="74.42578125" customWidth="1"/>
    <col min="14849" max="14849" width="9.7109375" customWidth="1"/>
    <col min="14850" max="14850" width="9.85546875" customWidth="1"/>
    <col min="14851" max="14851" width="9.42578125" customWidth="1"/>
    <col min="14852" max="14852" width="9.140625" customWidth="1"/>
    <col min="15104" max="15104" width="74.42578125" customWidth="1"/>
    <col min="15105" max="15105" width="9.7109375" customWidth="1"/>
    <col min="15106" max="15106" width="9.85546875" customWidth="1"/>
    <col min="15107" max="15107" width="9.42578125" customWidth="1"/>
    <col min="15108" max="15108" width="9.140625" customWidth="1"/>
    <col min="15360" max="15360" width="74.42578125" customWidth="1"/>
    <col min="15361" max="15361" width="9.7109375" customWidth="1"/>
    <col min="15362" max="15362" width="9.85546875" customWidth="1"/>
    <col min="15363" max="15363" width="9.42578125" customWidth="1"/>
    <col min="15364" max="15364" width="9.140625" customWidth="1"/>
    <col min="15616" max="15616" width="74.42578125" customWidth="1"/>
    <col min="15617" max="15617" width="9.7109375" customWidth="1"/>
    <col min="15618" max="15618" width="9.85546875" customWidth="1"/>
    <col min="15619" max="15619" width="9.42578125" customWidth="1"/>
    <col min="15620" max="15620" width="9.140625" customWidth="1"/>
    <col min="15872" max="15872" width="74.42578125" customWidth="1"/>
    <col min="15873" max="15873" width="9.7109375" customWidth="1"/>
    <col min="15874" max="15874" width="9.85546875" customWidth="1"/>
    <col min="15875" max="15875" width="9.42578125" customWidth="1"/>
    <col min="15876" max="15876" width="9.140625" customWidth="1"/>
    <col min="16128" max="16128" width="74.42578125" customWidth="1"/>
    <col min="16129" max="16129" width="9.7109375" customWidth="1"/>
    <col min="16130" max="16130" width="9.85546875" customWidth="1"/>
    <col min="16131" max="16131" width="9.42578125" customWidth="1"/>
    <col min="16132" max="16132" width="9.140625" customWidth="1"/>
  </cols>
  <sheetData>
    <row r="1" spans="1:8" ht="18" customHeight="1">
      <c r="A1" s="38" t="str">
        <f>HLOOKUP(INDICE!$F$2,Nombres!$C$3:$E$853,290)</f>
        <v>Cuentas de resultados consolidadas (*)</v>
      </c>
      <c r="B1" s="160"/>
    </row>
    <row r="2" spans="1:8">
      <c r="A2" s="41" t="str">
        <f>HLOOKUP(INDICE!$F$2,Nombres!$C$3:$E$853,30)</f>
        <v>(Millones de euros)</v>
      </c>
      <c r="C2"/>
      <c r="D2" s="145"/>
      <c r="E2" s="145"/>
    </row>
    <row r="3" spans="1:8" ht="11.25" customHeight="1">
      <c r="A3" s="146"/>
      <c r="B3" s="252">
        <v>2014</v>
      </c>
      <c r="C3" s="252"/>
      <c r="D3" s="252"/>
      <c r="E3" s="252"/>
      <c r="F3" s="253">
        <v>2015</v>
      </c>
      <c r="G3" s="254"/>
      <c r="H3" s="254"/>
    </row>
    <row r="4" spans="1:8" ht="11.25" customHeight="1">
      <c r="A4" s="146"/>
      <c r="B4" s="146" t="str">
        <f>HLOOKUP(INDICE!$F$2,Nombres!$C$3:$E$857,34)</f>
        <v>1er Trim.</v>
      </c>
      <c r="C4" s="146" t="str">
        <f>HLOOKUP(INDICE!$F$2,Nombres!$C$3:$E$857,35)</f>
        <v>2º Trim.</v>
      </c>
      <c r="D4" s="146" t="str">
        <f>HLOOKUP(INDICE!$F$2,Nombres!$C$3:$E$857,36)</f>
        <v>3er Trim.</v>
      </c>
      <c r="E4" s="146" t="str">
        <f>HLOOKUP(INDICE!$F$2,Nombres!$C$3:$E$857,37)</f>
        <v>4º Trim.</v>
      </c>
      <c r="F4" s="146" t="str">
        <f>HLOOKUP(INDICE!$F$2,Nombres!$C$3:$E$857,34)</f>
        <v>1er Trim.</v>
      </c>
      <c r="G4" s="146" t="str">
        <f>HLOOKUP(INDICE!$F$2,Nombres!$C$3:$E$857,35)</f>
        <v>2º Trim.</v>
      </c>
      <c r="H4" s="146" t="str">
        <f>HLOOKUP(INDICE!$F$2,Nombres!$C$3:$E$857,36)</f>
        <v>3er Trim.</v>
      </c>
    </row>
    <row r="5" spans="1:8">
      <c r="A5" s="54" t="str">
        <f>HLOOKUP(INDICE!$F$2,Nombres!$C$3:$E$853,38)</f>
        <v>Margen de intereses</v>
      </c>
      <c r="B5" s="161">
        <v>3390.5869999999995</v>
      </c>
      <c r="C5" s="162">
        <v>3647.451</v>
      </c>
      <c r="D5" s="162">
        <v>3829.9220000000005</v>
      </c>
      <c r="E5" s="163">
        <v>4248.2979999999998</v>
      </c>
      <c r="F5" s="164">
        <v>3662.9660000000003</v>
      </c>
      <c r="G5" s="162">
        <v>3857.7450000099998</v>
      </c>
      <c r="H5" s="165">
        <v>4489.8749999900001</v>
      </c>
    </row>
    <row r="6" spans="1:8">
      <c r="A6" s="49" t="str">
        <f>HLOOKUP(INDICE!$F$2,Nombres!$C$3:$E$853,39)</f>
        <v>Comisiones</v>
      </c>
      <c r="B6" s="149">
        <v>985.17599999999993</v>
      </c>
      <c r="C6" s="84">
        <v>1101.174</v>
      </c>
      <c r="D6" s="84">
        <v>1111.2639999999999</v>
      </c>
      <c r="E6" s="150">
        <v>1167.566</v>
      </c>
      <c r="F6" s="73">
        <v>1076.7649999999999</v>
      </c>
      <c r="G6" s="84">
        <v>1139.6320000000001</v>
      </c>
      <c r="H6" s="157">
        <v>1225.4310000099999</v>
      </c>
    </row>
    <row r="7" spans="1:8">
      <c r="A7" s="49" t="str">
        <f>HLOOKUP(INDICE!$F$2,Nombres!$C$3:$E$853,40)</f>
        <v>Resultados de operaciones financieras</v>
      </c>
      <c r="B7" s="149">
        <v>750.65899999999999</v>
      </c>
      <c r="C7" s="84">
        <v>425.81500000000005</v>
      </c>
      <c r="D7" s="84">
        <v>444.11200000000002</v>
      </c>
      <c r="E7" s="150">
        <v>514.39100000000008</v>
      </c>
      <c r="F7" s="73">
        <v>775.27100000000007</v>
      </c>
      <c r="G7" s="84">
        <v>649.78300000000002</v>
      </c>
      <c r="H7" s="157">
        <v>133.12700000999999</v>
      </c>
    </row>
    <row r="8" spans="1:8">
      <c r="A8" s="49" t="str">
        <f>HLOOKUP(INDICE!$F$2,Nombres!$C$3:$E$853,41)</f>
        <v>Dividendos</v>
      </c>
      <c r="B8" s="149">
        <v>28.536999999999999</v>
      </c>
      <c r="C8" s="84">
        <v>342.07100000000003</v>
      </c>
      <c r="D8" s="84">
        <v>41.59</v>
      </c>
      <c r="E8" s="150">
        <v>118.78</v>
      </c>
      <c r="F8" s="73">
        <v>41.867000000000004</v>
      </c>
      <c r="G8" s="84">
        <v>194.232</v>
      </c>
      <c r="H8" s="157">
        <v>52.248999999999995</v>
      </c>
    </row>
    <row r="9" spans="1:8">
      <c r="A9" s="49" t="str">
        <f>HLOOKUP(INDICE!$F$2,Nombres!$C$3:$E$853,42)</f>
        <v>Resultados por puesta en equivalencia</v>
      </c>
      <c r="B9" s="149">
        <v>-14.395</v>
      </c>
      <c r="C9" s="84">
        <v>15.876999999999999</v>
      </c>
      <c r="D9" s="84">
        <v>30.523</v>
      </c>
      <c r="E9" s="150">
        <v>2.8410000000000011</v>
      </c>
      <c r="F9" s="73">
        <v>2.79</v>
      </c>
      <c r="G9" s="84">
        <v>17.981000000000002</v>
      </c>
      <c r="H9" s="157">
        <v>3.140000000000001</v>
      </c>
    </row>
    <row r="10" spans="1:8">
      <c r="A10" s="49" t="str">
        <f>HLOOKUP(INDICE!$F$2,Nombres!$C$3:$E$853,43)</f>
        <v>Otros productos y cargas de explotación</v>
      </c>
      <c r="B10" s="149">
        <v>-89.657000000000011</v>
      </c>
      <c r="C10" s="84">
        <v>-215.06800000000001</v>
      </c>
      <c r="D10" s="84">
        <v>-234.096</v>
      </c>
      <c r="E10" s="150">
        <v>-286.76099999999997</v>
      </c>
      <c r="F10" s="73">
        <v>72.520999999999958</v>
      </c>
      <c r="G10" s="84">
        <v>62.38</v>
      </c>
      <c r="H10" s="157">
        <v>76.397999999999996</v>
      </c>
    </row>
    <row r="11" spans="1:8">
      <c r="A11" s="54" t="str">
        <f>HLOOKUP(INDICE!$F$2,Nombres!$C$3:$E$853,44)</f>
        <v>Margen bruto</v>
      </c>
      <c r="B11" s="161">
        <v>5050.9069999999992</v>
      </c>
      <c r="C11" s="162">
        <v>5317.32</v>
      </c>
      <c r="D11" s="162">
        <v>5223.3150000000005</v>
      </c>
      <c r="E11" s="163">
        <v>5765.1149999999998</v>
      </c>
      <c r="F11" s="164">
        <v>5632.18</v>
      </c>
      <c r="G11" s="162">
        <v>5921.7530000099996</v>
      </c>
      <c r="H11" s="165">
        <v>5980.2200000100001</v>
      </c>
    </row>
    <row r="12" spans="1:8">
      <c r="A12" s="49" t="str">
        <f>HLOOKUP(INDICE!$F$2,Nombres!$C$3:$E$853,45)</f>
        <v>Gastos de explotación</v>
      </c>
      <c r="B12" s="149">
        <v>-2612.9459999999999</v>
      </c>
      <c r="C12" s="84">
        <v>-2662.2150000000001</v>
      </c>
      <c r="D12" s="84">
        <v>-2770.3760000000002</v>
      </c>
      <c r="E12" s="150">
        <v>-2905.3959999999997</v>
      </c>
      <c r="F12" s="73">
        <v>-2775.518</v>
      </c>
      <c r="G12" s="84">
        <v>-2942.0259999999998</v>
      </c>
      <c r="H12" s="157">
        <v>-3306.8830000400003</v>
      </c>
    </row>
    <row r="13" spans="1:8">
      <c r="A13" s="49" t="str">
        <f>HLOOKUP(INDICE!$F$2,Nombres!$C$3:$E$853,46)</f>
        <v xml:space="preserve">  Gastos de administración</v>
      </c>
      <c r="B13" s="149">
        <v>-2334.0650002100001</v>
      </c>
      <c r="C13" s="84">
        <v>-2376.3830008300001</v>
      </c>
      <c r="D13" s="84">
        <v>-2474.8439990299998</v>
      </c>
      <c r="E13" s="150">
        <v>-2585.2950008899998</v>
      </c>
      <c r="F13" s="73">
        <v>-2484.1629986500002</v>
      </c>
      <c r="G13" s="84">
        <v>-2643.3100002800002</v>
      </c>
      <c r="H13" s="157">
        <v>-2946.8440033400002</v>
      </c>
    </row>
    <row r="14" spans="1:8" ht="13.5" customHeight="1">
      <c r="A14" s="88" t="str">
        <f>HLOOKUP(INDICE!$F$2,Nombres!$C$3:$E$853,47)</f>
        <v xml:space="preserve">  Gastos de personal</v>
      </c>
      <c r="B14" s="149">
        <v>-1374.9050011700001</v>
      </c>
      <c r="C14" s="84">
        <v>-1359.04499889</v>
      </c>
      <c r="D14" s="84">
        <v>-1437.54400014</v>
      </c>
      <c r="E14" s="150">
        <v>-1437.9170019799999</v>
      </c>
      <c r="F14" s="73">
        <v>-1459.9489994600001</v>
      </c>
      <c r="G14" s="84">
        <v>-1537.6440055399999</v>
      </c>
      <c r="H14" s="157">
        <v>-1695.03099505</v>
      </c>
    </row>
    <row r="15" spans="1:8" ht="12.75" customHeight="1">
      <c r="A15" s="88" t="str">
        <f>HLOOKUP(INDICE!$F$2,Nombres!$C$3:$E$853,48)</f>
        <v xml:space="preserve">  Otros gastos generales de administración</v>
      </c>
      <c r="B15" s="149">
        <v>-959.15999904</v>
      </c>
      <c r="C15" s="84">
        <v>-1017.33800194</v>
      </c>
      <c r="D15" s="84">
        <v>-1037.2999988900001</v>
      </c>
      <c r="E15" s="150">
        <v>-1147.3779989100001</v>
      </c>
      <c r="F15" s="73">
        <v>-1024.2139991899999</v>
      </c>
      <c r="G15" s="84">
        <v>-1105.6659947399999</v>
      </c>
      <c r="H15" s="157">
        <v>-1251.8130082900002</v>
      </c>
    </row>
    <row r="16" spans="1:8" ht="13.5" customHeight="1">
      <c r="A16" s="49" t="str">
        <f>HLOOKUP(INDICE!$F$2,Nombres!$C$3:$E$853,49)</f>
        <v xml:space="preserve">  Amortizaciones</v>
      </c>
      <c r="B16" s="149">
        <v>-278.88099979000003</v>
      </c>
      <c r="C16" s="84">
        <v>-285.83199917000002</v>
      </c>
      <c r="D16" s="84">
        <v>-295.53200097000001</v>
      </c>
      <c r="E16" s="150">
        <v>-320.10099910999998</v>
      </c>
      <c r="F16" s="73">
        <v>-291.35500135000001</v>
      </c>
      <c r="G16" s="84">
        <v>-298.71599972000001</v>
      </c>
      <c r="H16" s="157">
        <v>-360.03899669999998</v>
      </c>
    </row>
    <row r="17" spans="1:8" ht="13.5" customHeight="1">
      <c r="A17" s="54" t="str">
        <f>HLOOKUP(INDICE!$F$2,Nombres!$C$3:$E$853,50)</f>
        <v>Margen neto</v>
      </c>
      <c r="B17" s="161">
        <v>2437.9610000000002</v>
      </c>
      <c r="C17" s="162">
        <v>2655.105</v>
      </c>
      <c r="D17" s="162">
        <v>2452.9390000000003</v>
      </c>
      <c r="E17" s="163">
        <v>2859.7190000000001</v>
      </c>
      <c r="F17" s="164">
        <v>2856.6619999999998</v>
      </c>
      <c r="G17" s="162">
        <v>2979.7270000099998</v>
      </c>
      <c r="H17" s="165">
        <v>2673.3369999699999</v>
      </c>
    </row>
    <row r="18" spans="1:8" ht="12.75" customHeight="1">
      <c r="A18" s="49" t="str">
        <f>HLOOKUP(INDICE!$F$2,Nombres!$C$3:$E$853,51)</f>
        <v>Pérdidas por deterioro de activos financieros</v>
      </c>
      <c r="B18" s="149">
        <v>-1103.3720000000001</v>
      </c>
      <c r="C18" s="84">
        <v>-1073.1480000000001</v>
      </c>
      <c r="D18" s="84">
        <v>-1141.693</v>
      </c>
      <c r="E18" s="150">
        <v>-1167.9880000000001</v>
      </c>
      <c r="F18" s="73">
        <v>-1119.431</v>
      </c>
      <c r="G18" s="84">
        <v>-1088.875</v>
      </c>
      <c r="H18" s="157">
        <v>-1074.47</v>
      </c>
    </row>
    <row r="19" spans="1:8" ht="13.5" customHeight="1">
      <c r="A19" s="49" t="str">
        <f>HLOOKUP(INDICE!$F$2,Nombres!$C$3:$E$853,52)</f>
        <v>Dotaciones a provisiones</v>
      </c>
      <c r="B19" s="149">
        <v>-144.441</v>
      </c>
      <c r="C19" s="84">
        <v>-298.20799999999997</v>
      </c>
      <c r="D19" s="84">
        <v>-199.27199999999999</v>
      </c>
      <c r="E19" s="150">
        <v>-513.33899999999994</v>
      </c>
      <c r="F19" s="73">
        <v>-229.57</v>
      </c>
      <c r="G19" s="84">
        <v>-164.02</v>
      </c>
      <c r="H19" s="157">
        <v>-182.42000000000002</v>
      </c>
    </row>
    <row r="20" spans="1:8" ht="13.5" customHeight="1">
      <c r="A20" s="166" t="str">
        <f>HLOOKUP(INDICE!$F$2,Nombres!$C$3:$E$853,53)</f>
        <v>Otros resultados</v>
      </c>
      <c r="B20" s="149">
        <v>-173.28100000000001</v>
      </c>
      <c r="C20" s="84">
        <v>-191.44399999999999</v>
      </c>
      <c r="D20" s="84">
        <v>-136.00799999999998</v>
      </c>
      <c r="E20" s="150">
        <v>-200.58600000000001</v>
      </c>
      <c r="F20" s="73">
        <v>-65.801999999999992</v>
      </c>
      <c r="G20" s="84">
        <v>-122.63499999999999</v>
      </c>
      <c r="H20" s="157">
        <v>-127.15899999999999</v>
      </c>
    </row>
    <row r="21" spans="1:8" ht="12" customHeight="1">
      <c r="A21" s="54" t="str">
        <f>HLOOKUP(INDICE!$F$2,Nombres!$C$3:$E$853,54)</f>
        <v>Beneficio antes de impuestos</v>
      </c>
      <c r="B21" s="161">
        <v>1016.867</v>
      </c>
      <c r="C21" s="162">
        <v>1092.3050000000001</v>
      </c>
      <c r="D21" s="162">
        <v>975.96600000000012</v>
      </c>
      <c r="E21" s="163">
        <v>977.80600000000004</v>
      </c>
      <c r="F21" s="164">
        <v>1441.8590000000002</v>
      </c>
      <c r="G21" s="162">
        <v>1604.19700001</v>
      </c>
      <c r="H21" s="165">
        <v>1289.2879999699999</v>
      </c>
    </row>
    <row r="22" spans="1:8" ht="14.25" customHeight="1">
      <c r="A22" s="49" t="str">
        <f>HLOOKUP(INDICE!$F$2,Nombres!$C$3:$E$853,55)</f>
        <v>Impuesto sobre beneficios</v>
      </c>
      <c r="B22" s="149">
        <v>-273.24099999999999</v>
      </c>
      <c r="C22" s="84">
        <v>-292.33499999999998</v>
      </c>
      <c r="D22" s="84">
        <v>-242.66199999999998</v>
      </c>
      <c r="E22" s="150">
        <v>-172.93899999999999</v>
      </c>
      <c r="F22" s="73">
        <v>-386.13</v>
      </c>
      <c r="G22" s="84">
        <v>-429.00199998999994</v>
      </c>
      <c r="H22" s="157">
        <v>-293.84999997999995</v>
      </c>
    </row>
    <row r="23" spans="1:8" ht="14.25" customHeight="1">
      <c r="A23" s="167" t="str">
        <f>HLOOKUP(INDICE!$F$2,Nombres!$C$3:$E$853,269)</f>
        <v>Beneficio después de impuestos de operaciones continuadas</v>
      </c>
      <c r="B23" s="161">
        <v>743.62599999999998</v>
      </c>
      <c r="C23" s="162">
        <v>799.97</v>
      </c>
      <c r="D23" s="162">
        <v>733.30399999999997</v>
      </c>
      <c r="E23" s="163">
        <v>804.86699999999996</v>
      </c>
      <c r="F23" s="164">
        <v>1055.729</v>
      </c>
      <c r="G23" s="162">
        <v>1175.19500002</v>
      </c>
      <c r="H23" s="165">
        <v>995.43799998999998</v>
      </c>
    </row>
    <row r="24" spans="1:8" ht="14.25" customHeight="1">
      <c r="A24" s="168" t="str">
        <f>HLOOKUP(INDICE!$F$2,Nombres!$C$3:$E$853,270)</f>
        <v>Resultado de operaciones corporativas</v>
      </c>
      <c r="B24" s="158" t="s">
        <v>500</v>
      </c>
      <c r="C24" s="84" t="s">
        <v>500</v>
      </c>
      <c r="D24" s="84" t="s">
        <v>500</v>
      </c>
      <c r="E24" s="150" t="s">
        <v>500</v>
      </c>
      <c r="F24" s="73">
        <v>582.94200000000001</v>
      </c>
      <c r="G24" s="84">
        <v>144.274</v>
      </c>
      <c r="H24" s="157">
        <v>-1840.306</v>
      </c>
    </row>
    <row r="25" spans="1:8" ht="14.25" customHeight="1">
      <c r="A25" s="54" t="str">
        <f>HLOOKUP(INDICE!$F$2,Nombres!$C$3:$E$853,56)</f>
        <v>Beneficio después de impuestos</v>
      </c>
      <c r="B25" s="161">
        <v>743.62599999999998</v>
      </c>
      <c r="C25" s="162">
        <v>799.97</v>
      </c>
      <c r="D25" s="162">
        <v>733.30399999999997</v>
      </c>
      <c r="E25" s="163">
        <v>804.86699999999996</v>
      </c>
      <c r="F25" s="164">
        <v>1638.671</v>
      </c>
      <c r="G25" s="162">
        <v>1319.4690000200001</v>
      </c>
      <c r="H25" s="165">
        <v>-844.86800001000006</v>
      </c>
    </row>
    <row r="26" spans="1:8" ht="14.25" customHeight="1">
      <c r="A26" s="49" t="str">
        <f>HLOOKUP(INDICE!$F$2,Nombres!$C$3:$E$853,57)</f>
        <v>Resultado atribuido a la minoría</v>
      </c>
      <c r="B26" s="149">
        <v>-119.714</v>
      </c>
      <c r="C26" s="84">
        <v>-95.489000000000004</v>
      </c>
      <c r="D26" s="84">
        <v>-132.31200000000001</v>
      </c>
      <c r="E26" s="150">
        <v>-116.233</v>
      </c>
      <c r="F26" s="73">
        <v>-102.67699999999999</v>
      </c>
      <c r="G26" s="84">
        <v>-96.896999999999991</v>
      </c>
      <c r="H26" s="157">
        <v>-211.66399999999999</v>
      </c>
    </row>
    <row r="27" spans="1:8" ht="14.25" customHeight="1">
      <c r="A27" s="54" t="str">
        <f>HLOOKUP(INDICE!$F$2,Nombres!$C$3:$E$853,58)</f>
        <v>Beneficio atribuido al Grupo</v>
      </c>
      <c r="B27" s="161">
        <v>623.91200000000003</v>
      </c>
      <c r="C27" s="162">
        <v>704.48099999999999</v>
      </c>
      <c r="D27" s="162">
        <v>600.99199999999996</v>
      </c>
      <c r="E27" s="163">
        <v>688.63400000000001</v>
      </c>
      <c r="F27" s="164">
        <v>1535.9940000000001</v>
      </c>
      <c r="G27" s="162">
        <v>1222.5720000199999</v>
      </c>
      <c r="H27" s="165">
        <v>-1056.53200001</v>
      </c>
    </row>
    <row r="28" spans="1:8" ht="14.25" customHeight="1">
      <c r="A28" s="54" t="str">
        <f>HLOOKUP(INDICE!$F$2,Nombres!$C$3:$E$853,242)</f>
        <v>Beneficio atribuido al Grupo (sin el resultado de operaciones corporativas) (**)</v>
      </c>
      <c r="B28" s="161">
        <v>623.91200000000003</v>
      </c>
      <c r="C28" s="162">
        <v>704.48099999999999</v>
      </c>
      <c r="D28" s="162">
        <v>600.99199999999996</v>
      </c>
      <c r="E28" s="163">
        <v>688.63400000000001</v>
      </c>
      <c r="F28" s="164">
        <v>953.05200000000002</v>
      </c>
      <c r="G28" s="162">
        <v>1078.29800002</v>
      </c>
      <c r="H28" s="165">
        <v>783.77399998999999</v>
      </c>
    </row>
    <row r="29" spans="1:8" s="169" customFormat="1" ht="33.75" customHeight="1">
      <c r="A29" s="251" t="str">
        <f>HLOOKUP(INDICE!$F$2,Nombres!$C$3:$E$853,289)</f>
        <v>(*) Desde el tercer trimestre de 2015, la participación total de BBVA en Garanti se consolida por el método de integración global. Para periodos anteriores, los ingresos y gastos de Garanti se integran en la proporción correspondiente al porcentaje de participación del Grupo (25,01%).</v>
      </c>
      <c r="B29" s="251"/>
      <c r="C29" s="251"/>
      <c r="D29" s="251"/>
      <c r="E29" s="251"/>
      <c r="F29" s="251"/>
      <c r="G29" s="251"/>
      <c r="H29" s="251"/>
    </row>
    <row r="30" spans="1:8" ht="45.75" customHeight="1">
      <c r="A30" s="251" t="str">
        <f>HLOOKUP(INDICE!$F$2,Nombres!$C$3:$E$853,29)</f>
        <v>(**) 2015 incorpora las plusvalías procedentes de las distintas operaciones de venta equivalentes a un 6,34% de la participación del Grupo BBVA en CNCB, el badwill generado por la operación de CX, el efecto de la puesta a valor razonable de la participación inicial del 25,01% en Garanti y el impacto procedente de la venta de la participación del 29,68% en CIFH.</v>
      </c>
      <c r="B30" s="251"/>
      <c r="C30" s="251"/>
      <c r="D30" s="251"/>
      <c r="E30" s="251"/>
      <c r="F30" s="251"/>
      <c r="G30" s="251"/>
      <c r="H30" s="251"/>
    </row>
    <row r="31" spans="1:8" s="171" customFormat="1" ht="17.25" customHeight="1">
      <c r="A31" s="144" t="str">
        <f>HLOOKUP(INDICE!$F$2,Nombres!$C$3:$E$853,290)</f>
        <v>Cuentas de resultados consolidadas (*)</v>
      </c>
      <c r="B31" s="160"/>
      <c r="C31" s="170"/>
      <c r="D31" s="170"/>
      <c r="E31" s="170"/>
      <c r="F31" s="170"/>
      <c r="G31" s="170"/>
      <c r="H31" s="170"/>
    </row>
    <row r="32" spans="1:8" ht="13.5" customHeight="1">
      <c r="A32" s="41" t="str">
        <f>HLOOKUP(INDICE!$F$2,Nombres!$C$3:$E$853,31)</f>
        <v>(Millones de euros constantes)</v>
      </c>
      <c r="B32" s="170"/>
      <c r="C32" s="170"/>
      <c r="D32" s="170"/>
      <c r="E32" s="170"/>
      <c r="F32" s="170"/>
      <c r="G32" s="170"/>
      <c r="H32" s="170"/>
    </row>
    <row r="33" spans="1:8" ht="12.75" customHeight="1">
      <c r="A33" s="146"/>
      <c r="B33" s="252">
        <v>2014</v>
      </c>
      <c r="C33" s="252"/>
      <c r="D33" s="252"/>
      <c r="E33" s="252"/>
      <c r="F33" s="253">
        <v>2015</v>
      </c>
      <c r="G33" s="254"/>
      <c r="H33" s="254"/>
    </row>
    <row r="34" spans="1:8" ht="13.5" customHeight="1">
      <c r="A34" s="146"/>
      <c r="B34" s="146" t="str">
        <f>HLOOKUP(INDICE!$F$2,Nombres!$C$3:$E$857,34)</f>
        <v>1er Trim.</v>
      </c>
      <c r="C34" s="146" t="str">
        <f>HLOOKUP(INDICE!$F$2,Nombres!$C$3:$E$857,35)</f>
        <v>2º Trim.</v>
      </c>
      <c r="D34" s="146" t="str">
        <f>HLOOKUP(INDICE!$F$2,Nombres!$C$3:$E$857,36)</f>
        <v>3er Trim.</v>
      </c>
      <c r="E34" s="146" t="str">
        <f>HLOOKUP(INDICE!$F$2,Nombres!$C$3:$E$857,37)</f>
        <v>4º Trim.</v>
      </c>
      <c r="F34" s="146" t="str">
        <f>HLOOKUP(INDICE!$F$2,Nombres!$C$3:$E$857,34)</f>
        <v>1er Trim.</v>
      </c>
      <c r="G34" s="146" t="str">
        <f>HLOOKUP(INDICE!$F$2,Nombres!$C$3:$E$857,35)</f>
        <v>2º Trim.</v>
      </c>
      <c r="H34" s="146" t="str">
        <f>HLOOKUP(INDICE!$F$2,Nombres!$C$3:$E$857,36)</f>
        <v>3er Trim.</v>
      </c>
    </row>
    <row r="35" spans="1:8">
      <c r="A35" s="54" t="str">
        <f>HLOOKUP(INDICE!$F$2,Nombres!$C$3:$E$853,38)</f>
        <v>Margen de intereses</v>
      </c>
      <c r="B35" s="161">
        <v>3271.8757839131999</v>
      </c>
      <c r="C35" s="162">
        <v>3357.8395578874006</v>
      </c>
      <c r="D35" s="162">
        <v>3428.5690278520001</v>
      </c>
      <c r="E35" s="163">
        <v>3669.2089219581003</v>
      </c>
      <c r="F35" s="164">
        <v>3587.2016936497002</v>
      </c>
      <c r="G35" s="162">
        <v>3799.0168880395995</v>
      </c>
      <c r="H35" s="165">
        <v>4624.3674183106996</v>
      </c>
    </row>
    <row r="36" spans="1:8">
      <c r="A36" s="49" t="str">
        <f>HLOOKUP(INDICE!$F$2,Nombres!$C$3:$E$853,39)</f>
        <v>Comisiones</v>
      </c>
      <c r="B36" s="149">
        <v>1002.0487264814</v>
      </c>
      <c r="C36" s="84">
        <v>1087.7283991917998</v>
      </c>
      <c r="D36" s="84">
        <v>1065.8250025747</v>
      </c>
      <c r="E36" s="150">
        <v>1082.7235334409002</v>
      </c>
      <c r="F36" s="73">
        <v>1061.5798236963999</v>
      </c>
      <c r="G36" s="84">
        <v>1127.5158457432001</v>
      </c>
      <c r="H36" s="157">
        <v>1252.7323305704999</v>
      </c>
    </row>
    <row r="37" spans="1:8">
      <c r="A37" s="49" t="str">
        <f>HLOOKUP(INDICE!$F$2,Nombres!$C$3:$E$853,40)</f>
        <v>Resultados de operaciones financieras</v>
      </c>
      <c r="B37" s="149">
        <v>699.45756424500007</v>
      </c>
      <c r="C37" s="84">
        <v>430.76008908789998</v>
      </c>
      <c r="D37" s="84">
        <v>436.13166623590001</v>
      </c>
      <c r="E37" s="150">
        <v>510.32530250339994</v>
      </c>
      <c r="F37" s="73">
        <v>767.38803424240007</v>
      </c>
      <c r="G37" s="84">
        <v>649.6484537632</v>
      </c>
      <c r="H37" s="157">
        <v>141.14451200440001</v>
      </c>
    </row>
    <row r="38" spans="1:8">
      <c r="A38" s="49" t="str">
        <f>HLOOKUP(INDICE!$F$2,Nombres!$C$3:$E$853,41)</f>
        <v>Dividendos</v>
      </c>
      <c r="B38" s="149">
        <v>29.445948789200003</v>
      </c>
      <c r="C38" s="84">
        <v>343.60656114290003</v>
      </c>
      <c r="D38" s="84">
        <v>42.762775109100005</v>
      </c>
      <c r="E38" s="150">
        <v>119.40469054020001</v>
      </c>
      <c r="F38" s="73">
        <v>41.809926087900003</v>
      </c>
      <c r="G38" s="84">
        <v>193.86842851719996</v>
      </c>
      <c r="H38" s="157">
        <v>52.669645394900002</v>
      </c>
    </row>
    <row r="39" spans="1:8">
      <c r="A39" s="49" t="str">
        <f>HLOOKUP(INDICE!$F$2,Nombres!$C$3:$E$853,42)</f>
        <v>Resultados por puesta en equivalencia</v>
      </c>
      <c r="B39" s="149">
        <v>-13.307359739300001</v>
      </c>
      <c r="C39" s="84">
        <v>16.6947711744</v>
      </c>
      <c r="D39" s="84">
        <v>31.404725311100002</v>
      </c>
      <c r="E39" s="150">
        <v>3.4686905704999997</v>
      </c>
      <c r="F39" s="73">
        <v>2.5789822899999999</v>
      </c>
      <c r="G39" s="84">
        <v>17.868305700400001</v>
      </c>
      <c r="H39" s="157">
        <v>3.4637120096000005</v>
      </c>
    </row>
    <row r="40" spans="1:8">
      <c r="A40" s="49" t="str">
        <f>HLOOKUP(INDICE!$F$2,Nombres!$C$3:$E$853,43)</f>
        <v>Otros productos y cargas de explotación</v>
      </c>
      <c r="B40" s="149">
        <v>22.824954444800003</v>
      </c>
      <c r="C40" s="84">
        <v>30.241538627200001</v>
      </c>
      <c r="D40" s="84">
        <v>-7.304512364999999</v>
      </c>
      <c r="E40" s="150">
        <v>42.488640711999999</v>
      </c>
      <c r="F40" s="73">
        <v>69.8895629254</v>
      </c>
      <c r="G40" s="84">
        <v>59.355083226100007</v>
      </c>
      <c r="H40" s="157">
        <v>82.054353848600002</v>
      </c>
    </row>
    <row r="41" spans="1:8">
      <c r="A41" s="54" t="str">
        <f>HLOOKUP(INDICE!$F$2,Nombres!$C$3:$E$853,44)</f>
        <v>Margen bruto</v>
      </c>
      <c r="B41" s="161">
        <v>5012.3456181342999</v>
      </c>
      <c r="C41" s="162">
        <v>5266.8709171118999</v>
      </c>
      <c r="D41" s="162">
        <v>4997.3886847178001</v>
      </c>
      <c r="E41" s="163">
        <v>5427.6197797250998</v>
      </c>
      <c r="F41" s="164">
        <v>5530.4480228918001</v>
      </c>
      <c r="G41" s="162">
        <v>5847.2730049897</v>
      </c>
      <c r="H41" s="165">
        <v>6156.4319721385</v>
      </c>
    </row>
    <row r="42" spans="1:8">
      <c r="A42" s="49" t="str">
        <f>HLOOKUP(INDICE!$F$2,Nombres!$C$3:$E$853,45)</f>
        <v>Gastos de explotación</v>
      </c>
      <c r="B42" s="149">
        <v>-2649.7611233485004</v>
      </c>
      <c r="C42" s="84">
        <v>-2648.5338585714999</v>
      </c>
      <c r="D42" s="84">
        <v>-2701.9981923487003</v>
      </c>
      <c r="E42" s="150">
        <v>-2734.8428622780998</v>
      </c>
      <c r="F42" s="73">
        <v>-2736.9363791379001</v>
      </c>
      <c r="G42" s="84">
        <v>-2909.8654692276</v>
      </c>
      <c r="H42" s="157">
        <v>-3377.6251516744996</v>
      </c>
    </row>
    <row r="43" spans="1:8">
      <c r="A43" s="49" t="str">
        <f>HLOOKUP(INDICE!$F$2,Nombres!$C$3:$E$853,46)</f>
        <v xml:space="preserve">  Gastos de administración</v>
      </c>
      <c r="B43" s="149">
        <v>-2368.4875674113</v>
      </c>
      <c r="C43" s="84">
        <v>-2367.2438078951</v>
      </c>
      <c r="D43" s="84">
        <v>-2416.4080541543999</v>
      </c>
      <c r="E43" s="150">
        <v>-2450.2105738230002</v>
      </c>
      <c r="F43" s="73">
        <v>-2448.4872937957998</v>
      </c>
      <c r="G43" s="84">
        <v>-2613.4941509297</v>
      </c>
      <c r="H43" s="157">
        <v>-3012.3355575445003</v>
      </c>
    </row>
    <row r="44" spans="1:8">
      <c r="A44" s="88" t="str">
        <f>HLOOKUP(INDICE!$F$2,Nombres!$C$3:$E$853,47)</f>
        <v xml:space="preserve">  Gastos de personal</v>
      </c>
      <c r="B44" s="149">
        <v>-1409.0009864521001</v>
      </c>
      <c r="C44" s="84">
        <v>-1372.7824832544002</v>
      </c>
      <c r="D44" s="84">
        <v>-1428.9062016258001</v>
      </c>
      <c r="E44" s="150">
        <v>-1392.5494086454999</v>
      </c>
      <c r="F44" s="73">
        <v>-1442.1436645747001</v>
      </c>
      <c r="G44" s="84">
        <v>-1522.5955005600999</v>
      </c>
      <c r="H44" s="157">
        <v>-1727.8848349153002</v>
      </c>
    </row>
    <row r="45" spans="1:8">
      <c r="A45" s="88" t="str">
        <f>HLOOKUP(INDICE!$F$2,Nombres!$C$3:$E$853,48)</f>
        <v xml:space="preserve">  Otros gastos generales de administración</v>
      </c>
      <c r="B45" s="149">
        <v>-959.48658095920007</v>
      </c>
      <c r="C45" s="84">
        <v>-994.46132464070001</v>
      </c>
      <c r="D45" s="84">
        <v>-987.50185252860001</v>
      </c>
      <c r="E45" s="150">
        <v>-1057.6611651776</v>
      </c>
      <c r="F45" s="73">
        <v>-1006.3436292210999</v>
      </c>
      <c r="G45" s="84">
        <v>-1090.8986503696001</v>
      </c>
      <c r="H45" s="157">
        <v>-1284.4507226292999</v>
      </c>
    </row>
    <row r="46" spans="1:8" ht="13.5" customHeight="1">
      <c r="A46" s="49" t="str">
        <f>HLOOKUP(INDICE!$F$2,Nombres!$C$3:$E$853,49)</f>
        <v xml:space="preserve">  Amortizaciones</v>
      </c>
      <c r="B46" s="149">
        <v>-281.27355593710001</v>
      </c>
      <c r="C46" s="84">
        <v>-281.29005067650002</v>
      </c>
      <c r="D46" s="84">
        <v>-285.59013819430004</v>
      </c>
      <c r="E46" s="150">
        <v>-284.6322884553</v>
      </c>
      <c r="F46" s="73">
        <v>-288.44908534209998</v>
      </c>
      <c r="G46" s="84">
        <v>-296.37131829790002</v>
      </c>
      <c r="H46" s="157">
        <v>-365.28959413000001</v>
      </c>
    </row>
    <row r="47" spans="1:8">
      <c r="A47" s="54" t="str">
        <f>HLOOKUP(INDICE!$F$2,Nombres!$C$3:$E$853,50)</f>
        <v>Margen neto</v>
      </c>
      <c r="B47" s="161">
        <v>2362.5844947859</v>
      </c>
      <c r="C47" s="162">
        <v>2618.3370585404</v>
      </c>
      <c r="D47" s="162">
        <v>2295.3904923690998</v>
      </c>
      <c r="E47" s="163">
        <v>2692.7769174469004</v>
      </c>
      <c r="F47" s="164">
        <v>2793.5116437538004</v>
      </c>
      <c r="G47" s="162">
        <v>2937.407535762</v>
      </c>
      <c r="H47" s="165">
        <v>2778.8068204640003</v>
      </c>
    </row>
    <row r="48" spans="1:8">
      <c r="A48" s="49" t="str">
        <f>HLOOKUP(INDICE!$F$2,Nombres!$C$3:$E$853,51)</f>
        <v>Pérdidas por deterioro de activos financieros</v>
      </c>
      <c r="B48" s="149">
        <v>-1107.9193594962001</v>
      </c>
      <c r="C48" s="84">
        <v>-1044.0236277946001</v>
      </c>
      <c r="D48" s="84">
        <v>-1076.7901196217999</v>
      </c>
      <c r="E48" s="150">
        <v>-1086.6552242087998</v>
      </c>
      <c r="F48" s="73">
        <v>-1100.3810964065001</v>
      </c>
      <c r="G48" s="84">
        <v>-1073.0289324308999</v>
      </c>
      <c r="H48" s="157">
        <v>-1109.3659711625</v>
      </c>
    </row>
    <row r="49" spans="1:8" ht="12.75" customHeight="1">
      <c r="A49" s="49" t="str">
        <f>HLOOKUP(INDICE!$F$2,Nombres!$C$3:$E$853,52)</f>
        <v>Dotaciones a provisiones</v>
      </c>
      <c r="B49" s="149">
        <v>-130.64812005810001</v>
      </c>
      <c r="C49" s="84">
        <v>-285.9889557866</v>
      </c>
      <c r="D49" s="84">
        <v>-179.15663277709999</v>
      </c>
      <c r="E49" s="150">
        <v>-471.83670352590002</v>
      </c>
      <c r="F49" s="73">
        <v>-226.61736442649999</v>
      </c>
      <c r="G49" s="84">
        <v>-165.54167454510002</v>
      </c>
      <c r="H49" s="157">
        <v>-183.85096102840001</v>
      </c>
    </row>
    <row r="50" spans="1:8" ht="15" customHeight="1">
      <c r="A50" s="166" t="str">
        <f>HLOOKUP(INDICE!$F$2,Nombres!$C$3:$E$853,53)</f>
        <v>Otros resultados</v>
      </c>
      <c r="B50" s="149">
        <v>-173.7739769261</v>
      </c>
      <c r="C50" s="84">
        <v>-190.38386771489999</v>
      </c>
      <c r="D50" s="84">
        <v>-134.86541875410001</v>
      </c>
      <c r="E50" s="150">
        <v>-203.22205087309999</v>
      </c>
      <c r="F50" s="73">
        <v>-66.496152670599997</v>
      </c>
      <c r="G50" s="84">
        <v>-122.8226887877</v>
      </c>
      <c r="H50" s="157">
        <v>-126.27715854159999</v>
      </c>
    </row>
    <row r="51" spans="1:8" ht="13.5" customHeight="1">
      <c r="A51" s="54" t="str">
        <f>HLOOKUP(INDICE!$F$2,Nombres!$C$3:$E$853,54)</f>
        <v>Beneficio antes de impuestos</v>
      </c>
      <c r="B51" s="161">
        <v>950.24303830539998</v>
      </c>
      <c r="C51" s="162">
        <v>1097.9406072444001</v>
      </c>
      <c r="D51" s="162">
        <v>904.57832121620015</v>
      </c>
      <c r="E51" s="163">
        <v>931.06293883909984</v>
      </c>
      <c r="F51" s="164">
        <v>1400.0170302500001</v>
      </c>
      <c r="G51" s="162">
        <v>1576.0142399983001</v>
      </c>
      <c r="H51" s="165">
        <v>1359.3127297315</v>
      </c>
    </row>
    <row r="52" spans="1:8" ht="12.75" customHeight="1">
      <c r="A52" s="49" t="str">
        <f>HLOOKUP(INDICE!$F$2,Nombres!$C$3:$E$853,55)</f>
        <v>Impuesto sobre beneficios</v>
      </c>
      <c r="B52" s="149">
        <v>-246.18649288179998</v>
      </c>
      <c r="C52" s="84">
        <v>-284.19539807419994</v>
      </c>
      <c r="D52" s="84">
        <v>-226.77670959099999</v>
      </c>
      <c r="E52" s="150">
        <v>-174.47584215379999</v>
      </c>
      <c r="F52" s="73">
        <v>-374.8478962433</v>
      </c>
      <c r="G52" s="84">
        <v>-423.05614628820001</v>
      </c>
      <c r="H52" s="157">
        <v>-311.07795743849999</v>
      </c>
    </row>
    <row r="53" spans="1:8" ht="12.75" customHeight="1">
      <c r="A53" s="172" t="str">
        <f>HLOOKUP(INDICE!$F$2,Nombres!$C$3:$E$853,269)</f>
        <v>Beneficio después de impuestos de operaciones continuadas</v>
      </c>
      <c r="B53" s="173">
        <v>704.05654542370007</v>
      </c>
      <c r="C53" s="162">
        <v>813.7452091701</v>
      </c>
      <c r="D53" s="162">
        <v>677.80161162520005</v>
      </c>
      <c r="E53" s="163">
        <v>756.5870966855</v>
      </c>
      <c r="F53" s="164">
        <v>1025.1691340067</v>
      </c>
      <c r="G53" s="162">
        <v>1152.9580937102</v>
      </c>
      <c r="H53" s="165">
        <v>1048.2347722929999</v>
      </c>
    </row>
    <row r="54" spans="1:8" ht="12.75" customHeight="1">
      <c r="A54" s="168" t="str">
        <f>HLOOKUP(INDICE!$F$2,Nombres!$C$3:$E$853,270)</f>
        <v>Resultado de operaciones corporativas</v>
      </c>
      <c r="B54" s="158" t="s">
        <v>500</v>
      </c>
      <c r="C54" s="248" t="s">
        <v>500</v>
      </c>
      <c r="D54" s="248" t="s">
        <v>500</v>
      </c>
      <c r="E54" s="150" t="s">
        <v>500</v>
      </c>
      <c r="F54" s="73">
        <v>582.94200000000001</v>
      </c>
      <c r="G54" s="84">
        <v>144.274</v>
      </c>
      <c r="H54" s="157">
        <v>-1840.306</v>
      </c>
    </row>
    <row r="55" spans="1:8" ht="12" customHeight="1">
      <c r="A55" s="54" t="str">
        <f>HLOOKUP(INDICE!$F$2,Nombres!$C$3:$E$853,56)</f>
        <v>Beneficio después de impuestos</v>
      </c>
      <c r="B55" s="161">
        <v>704.05654542370007</v>
      </c>
      <c r="C55" s="162">
        <v>813.7452091701</v>
      </c>
      <c r="D55" s="162">
        <v>677.80161162520005</v>
      </c>
      <c r="E55" s="163">
        <v>756.5870966855</v>
      </c>
      <c r="F55" s="164">
        <v>1608.1111340067</v>
      </c>
      <c r="G55" s="162">
        <v>1297.2320937101999</v>
      </c>
      <c r="H55" s="165">
        <v>-792.07122770699993</v>
      </c>
    </row>
    <row r="56" spans="1:8">
      <c r="A56" s="49" t="str">
        <f>HLOOKUP(INDICE!$F$2,Nombres!$C$3:$E$853,57)</f>
        <v>Resultado atribuido a la minoría</v>
      </c>
      <c r="B56" s="149">
        <v>-82.4829088348</v>
      </c>
      <c r="C56" s="84">
        <v>-89.3446646413</v>
      </c>
      <c r="D56" s="84">
        <v>-101.9066724802</v>
      </c>
      <c r="E56" s="150">
        <v>-90.096450503</v>
      </c>
      <c r="F56" s="73">
        <v>-100.38806018650001</v>
      </c>
      <c r="G56" s="84">
        <v>-96.287120436099997</v>
      </c>
      <c r="H56" s="157">
        <v>-214.56281937739999</v>
      </c>
    </row>
    <row r="57" spans="1:8">
      <c r="A57" s="54" t="str">
        <f>HLOOKUP(INDICE!$F$2,Nombres!$C$3:$E$853,58)</f>
        <v>Beneficio atribuido al Grupo</v>
      </c>
      <c r="B57" s="161">
        <v>621.57363658899999</v>
      </c>
      <c r="C57" s="162">
        <v>724.40054452880008</v>
      </c>
      <c r="D57" s="162">
        <v>575.89493914490004</v>
      </c>
      <c r="E57" s="163">
        <v>666.4906461823</v>
      </c>
      <c r="F57" s="164">
        <v>1507.7230738203002</v>
      </c>
      <c r="G57" s="162">
        <v>1200.9449732741</v>
      </c>
      <c r="H57" s="165">
        <v>-1006.6340470844001</v>
      </c>
    </row>
    <row r="58" spans="1:8">
      <c r="A58" s="54" t="str">
        <f>HLOOKUP(INDICE!$F$2,Nombres!$C$3:$E$853,242)</f>
        <v>Beneficio atribuido al Grupo (sin el resultado de operaciones corporativas) (**)</v>
      </c>
      <c r="B58" s="161">
        <v>621.57363658899999</v>
      </c>
      <c r="C58" s="162">
        <v>724.40054452880008</v>
      </c>
      <c r="D58" s="162">
        <v>575.89493914490004</v>
      </c>
      <c r="E58" s="163">
        <v>666.4906461823</v>
      </c>
      <c r="F58" s="164">
        <v>924.78107382029998</v>
      </c>
      <c r="G58" s="162">
        <v>1056.6709732741001</v>
      </c>
      <c r="H58" s="165">
        <v>833.67195291559995</v>
      </c>
    </row>
    <row r="59" spans="1:8">
      <c r="A59"/>
      <c r="C59"/>
      <c r="D59"/>
      <c r="E59"/>
    </row>
    <row r="60" spans="1:8" ht="32.25" customHeight="1">
      <c r="A60" s="251" t="str">
        <f>HLOOKUP(INDICE!$F$2,Nombres!$C$3:$E$853,289)</f>
        <v>(*) Desde el tercer trimestre de 2015, la participación total de BBVA en Garanti se consolida por el método de integración global. Para periodos anteriores, los ingresos y gastos de Garanti se integran en la proporción correspondiente al porcentaje de participación del Grupo (25,01%).</v>
      </c>
      <c r="B60" s="251"/>
      <c r="C60" s="251"/>
      <c r="D60" s="251"/>
      <c r="E60" s="251"/>
      <c r="F60" s="251"/>
      <c r="G60" s="251"/>
      <c r="H60" s="251"/>
    </row>
    <row r="61" spans="1:8" ht="54.75" customHeight="1">
      <c r="A61" s="251" t="str">
        <f>HLOOKUP(INDICE!$F$2,Nombres!$C$3:$E$853,29)</f>
        <v>(**) 2015 incorpora las plusvalías procedentes de las distintas operaciones de venta equivalentes a un 6,34% de la participación del Grupo BBVA en CNCB, el badwill generado por la operación de CX, el efecto de la puesta a valor razonable de la participación inicial del 25,01% en Garanti y el impacto procedente de la venta de la participación del 29,68% en CIFH.</v>
      </c>
      <c r="B61" s="251"/>
      <c r="C61" s="251"/>
      <c r="D61" s="251"/>
      <c r="E61" s="251"/>
      <c r="F61" s="251"/>
      <c r="G61" s="251"/>
      <c r="H61" s="251"/>
    </row>
  </sheetData>
  <mergeCells count="8">
    <mergeCell ref="A60:H60"/>
    <mergeCell ref="A61:H61"/>
    <mergeCell ref="B3:E3"/>
    <mergeCell ref="F3:H3"/>
    <mergeCell ref="B33:E33"/>
    <mergeCell ref="F33:H33"/>
    <mergeCell ref="A29:H29"/>
    <mergeCell ref="A30:H30"/>
  </mergeCells>
  <pageMargins left="0.7" right="0.7" top="0.75" bottom="0.75" header="0.3" footer="0.3"/>
  <pageSetup paperSize="9" scale="4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H61"/>
  <sheetViews>
    <sheetView showGridLines="0" workbookViewId="0"/>
  </sheetViews>
  <sheetFormatPr baseColWidth="10" defaultColWidth="9.140625" defaultRowHeight="15"/>
  <cols>
    <col min="1" max="1" width="57.42578125" style="159" customWidth="1"/>
    <col min="2" max="2" width="9.7109375" customWidth="1"/>
    <col min="3" max="3" width="9.85546875" style="143" customWidth="1"/>
    <col min="4" max="4" width="9.42578125" style="143" customWidth="1"/>
    <col min="5" max="5" width="9.140625" style="143" customWidth="1"/>
    <col min="256" max="256" width="74.42578125" customWidth="1"/>
    <col min="257" max="257" width="9.7109375" customWidth="1"/>
    <col min="258" max="258" width="9.85546875" customWidth="1"/>
    <col min="259" max="259" width="9.42578125" customWidth="1"/>
    <col min="260" max="260" width="9.140625" customWidth="1"/>
    <col min="512" max="512" width="74.42578125" customWidth="1"/>
    <col min="513" max="513" width="9.7109375" customWidth="1"/>
    <col min="514" max="514" width="9.85546875" customWidth="1"/>
    <col min="515" max="515" width="9.42578125" customWidth="1"/>
    <col min="516" max="516" width="9.140625" customWidth="1"/>
    <col min="768" max="768" width="74.42578125" customWidth="1"/>
    <col min="769" max="769" width="9.7109375" customWidth="1"/>
    <col min="770" max="770" width="9.85546875" customWidth="1"/>
    <col min="771" max="771" width="9.42578125" customWidth="1"/>
    <col min="772" max="772" width="9.140625" customWidth="1"/>
    <col min="1024" max="1024" width="74.42578125" customWidth="1"/>
    <col min="1025" max="1025" width="9.7109375" customWidth="1"/>
    <col min="1026" max="1026" width="9.85546875" customWidth="1"/>
    <col min="1027" max="1027" width="9.42578125" customWidth="1"/>
    <col min="1028" max="1028" width="9.140625" customWidth="1"/>
    <col min="1280" max="1280" width="74.42578125" customWidth="1"/>
    <col min="1281" max="1281" width="9.7109375" customWidth="1"/>
    <col min="1282" max="1282" width="9.85546875" customWidth="1"/>
    <col min="1283" max="1283" width="9.42578125" customWidth="1"/>
    <col min="1284" max="1284" width="9.140625" customWidth="1"/>
    <col min="1536" max="1536" width="74.42578125" customWidth="1"/>
    <col min="1537" max="1537" width="9.7109375" customWidth="1"/>
    <col min="1538" max="1538" width="9.85546875" customWidth="1"/>
    <col min="1539" max="1539" width="9.42578125" customWidth="1"/>
    <col min="1540" max="1540" width="9.140625" customWidth="1"/>
    <col min="1792" max="1792" width="74.42578125" customWidth="1"/>
    <col min="1793" max="1793" width="9.7109375" customWidth="1"/>
    <col min="1794" max="1794" width="9.85546875" customWidth="1"/>
    <col min="1795" max="1795" width="9.42578125" customWidth="1"/>
    <col min="1796" max="1796" width="9.140625" customWidth="1"/>
    <col min="2048" max="2048" width="74.42578125" customWidth="1"/>
    <col min="2049" max="2049" width="9.7109375" customWidth="1"/>
    <col min="2050" max="2050" width="9.85546875" customWidth="1"/>
    <col min="2051" max="2051" width="9.42578125" customWidth="1"/>
    <col min="2052" max="2052" width="9.140625" customWidth="1"/>
    <col min="2304" max="2304" width="74.42578125" customWidth="1"/>
    <col min="2305" max="2305" width="9.7109375" customWidth="1"/>
    <col min="2306" max="2306" width="9.85546875" customWidth="1"/>
    <col min="2307" max="2307" width="9.42578125" customWidth="1"/>
    <col min="2308" max="2308" width="9.140625" customWidth="1"/>
    <col min="2560" max="2560" width="74.42578125" customWidth="1"/>
    <col min="2561" max="2561" width="9.7109375" customWidth="1"/>
    <col min="2562" max="2562" width="9.85546875" customWidth="1"/>
    <col min="2563" max="2563" width="9.42578125" customWidth="1"/>
    <col min="2564" max="2564" width="9.140625" customWidth="1"/>
    <col min="2816" max="2816" width="74.42578125" customWidth="1"/>
    <col min="2817" max="2817" width="9.7109375" customWidth="1"/>
    <col min="2818" max="2818" width="9.85546875" customWidth="1"/>
    <col min="2819" max="2819" width="9.42578125" customWidth="1"/>
    <col min="2820" max="2820" width="9.140625" customWidth="1"/>
    <col min="3072" max="3072" width="74.42578125" customWidth="1"/>
    <col min="3073" max="3073" width="9.7109375" customWidth="1"/>
    <col min="3074" max="3074" width="9.85546875" customWidth="1"/>
    <col min="3075" max="3075" width="9.42578125" customWidth="1"/>
    <col min="3076" max="3076" width="9.140625" customWidth="1"/>
    <col min="3328" max="3328" width="74.42578125" customWidth="1"/>
    <col min="3329" max="3329" width="9.7109375" customWidth="1"/>
    <col min="3330" max="3330" width="9.85546875" customWidth="1"/>
    <col min="3331" max="3331" width="9.42578125" customWidth="1"/>
    <col min="3332" max="3332" width="9.140625" customWidth="1"/>
    <col min="3584" max="3584" width="74.42578125" customWidth="1"/>
    <col min="3585" max="3585" width="9.7109375" customWidth="1"/>
    <col min="3586" max="3586" width="9.85546875" customWidth="1"/>
    <col min="3587" max="3587" width="9.42578125" customWidth="1"/>
    <col min="3588" max="3588" width="9.140625" customWidth="1"/>
    <col min="3840" max="3840" width="74.42578125" customWidth="1"/>
    <col min="3841" max="3841" width="9.7109375" customWidth="1"/>
    <col min="3842" max="3842" width="9.85546875" customWidth="1"/>
    <col min="3843" max="3843" width="9.42578125" customWidth="1"/>
    <col min="3844" max="3844" width="9.140625" customWidth="1"/>
    <col min="4096" max="4096" width="74.42578125" customWidth="1"/>
    <col min="4097" max="4097" width="9.7109375" customWidth="1"/>
    <col min="4098" max="4098" width="9.85546875" customWidth="1"/>
    <col min="4099" max="4099" width="9.42578125" customWidth="1"/>
    <col min="4100" max="4100" width="9.140625" customWidth="1"/>
    <col min="4352" max="4352" width="74.42578125" customWidth="1"/>
    <col min="4353" max="4353" width="9.7109375" customWidth="1"/>
    <col min="4354" max="4354" width="9.85546875" customWidth="1"/>
    <col min="4355" max="4355" width="9.42578125" customWidth="1"/>
    <col min="4356" max="4356" width="9.140625" customWidth="1"/>
    <col min="4608" max="4608" width="74.42578125" customWidth="1"/>
    <col min="4609" max="4609" width="9.7109375" customWidth="1"/>
    <col min="4610" max="4610" width="9.85546875" customWidth="1"/>
    <col min="4611" max="4611" width="9.42578125" customWidth="1"/>
    <col min="4612" max="4612" width="9.140625" customWidth="1"/>
    <col min="4864" max="4864" width="74.42578125" customWidth="1"/>
    <col min="4865" max="4865" width="9.7109375" customWidth="1"/>
    <col min="4866" max="4866" width="9.85546875" customWidth="1"/>
    <col min="4867" max="4867" width="9.42578125" customWidth="1"/>
    <col min="4868" max="4868" width="9.140625" customWidth="1"/>
    <col min="5120" max="5120" width="74.42578125" customWidth="1"/>
    <col min="5121" max="5121" width="9.7109375" customWidth="1"/>
    <col min="5122" max="5122" width="9.85546875" customWidth="1"/>
    <col min="5123" max="5123" width="9.42578125" customWidth="1"/>
    <col min="5124" max="5124" width="9.140625" customWidth="1"/>
    <col min="5376" max="5376" width="74.42578125" customWidth="1"/>
    <col min="5377" max="5377" width="9.7109375" customWidth="1"/>
    <col min="5378" max="5378" width="9.85546875" customWidth="1"/>
    <col min="5379" max="5379" width="9.42578125" customWidth="1"/>
    <col min="5380" max="5380" width="9.140625" customWidth="1"/>
    <col min="5632" max="5632" width="74.42578125" customWidth="1"/>
    <col min="5633" max="5633" width="9.7109375" customWidth="1"/>
    <col min="5634" max="5634" width="9.85546875" customWidth="1"/>
    <col min="5635" max="5635" width="9.42578125" customWidth="1"/>
    <col min="5636" max="5636" width="9.140625" customWidth="1"/>
    <col min="5888" max="5888" width="74.42578125" customWidth="1"/>
    <col min="5889" max="5889" width="9.7109375" customWidth="1"/>
    <col min="5890" max="5890" width="9.85546875" customWidth="1"/>
    <col min="5891" max="5891" width="9.42578125" customWidth="1"/>
    <col min="5892" max="5892" width="9.140625" customWidth="1"/>
    <col min="6144" max="6144" width="74.42578125" customWidth="1"/>
    <col min="6145" max="6145" width="9.7109375" customWidth="1"/>
    <col min="6146" max="6146" width="9.85546875" customWidth="1"/>
    <col min="6147" max="6147" width="9.42578125" customWidth="1"/>
    <col min="6148" max="6148" width="9.140625" customWidth="1"/>
    <col min="6400" max="6400" width="74.42578125" customWidth="1"/>
    <col min="6401" max="6401" width="9.7109375" customWidth="1"/>
    <col min="6402" max="6402" width="9.85546875" customWidth="1"/>
    <col min="6403" max="6403" width="9.42578125" customWidth="1"/>
    <col min="6404" max="6404" width="9.140625" customWidth="1"/>
    <col min="6656" max="6656" width="74.42578125" customWidth="1"/>
    <col min="6657" max="6657" width="9.7109375" customWidth="1"/>
    <col min="6658" max="6658" width="9.85546875" customWidth="1"/>
    <col min="6659" max="6659" width="9.42578125" customWidth="1"/>
    <col min="6660" max="6660" width="9.140625" customWidth="1"/>
    <col min="6912" max="6912" width="74.42578125" customWidth="1"/>
    <col min="6913" max="6913" width="9.7109375" customWidth="1"/>
    <col min="6914" max="6914" width="9.85546875" customWidth="1"/>
    <col min="6915" max="6915" width="9.42578125" customWidth="1"/>
    <col min="6916" max="6916" width="9.140625" customWidth="1"/>
    <col min="7168" max="7168" width="74.42578125" customWidth="1"/>
    <col min="7169" max="7169" width="9.7109375" customWidth="1"/>
    <col min="7170" max="7170" width="9.85546875" customWidth="1"/>
    <col min="7171" max="7171" width="9.42578125" customWidth="1"/>
    <col min="7172" max="7172" width="9.140625" customWidth="1"/>
    <col min="7424" max="7424" width="74.42578125" customWidth="1"/>
    <col min="7425" max="7425" width="9.7109375" customWidth="1"/>
    <col min="7426" max="7426" width="9.85546875" customWidth="1"/>
    <col min="7427" max="7427" width="9.42578125" customWidth="1"/>
    <col min="7428" max="7428" width="9.140625" customWidth="1"/>
    <col min="7680" max="7680" width="74.42578125" customWidth="1"/>
    <col min="7681" max="7681" width="9.7109375" customWidth="1"/>
    <col min="7682" max="7682" width="9.85546875" customWidth="1"/>
    <col min="7683" max="7683" width="9.42578125" customWidth="1"/>
    <col min="7684" max="7684" width="9.140625" customWidth="1"/>
    <col min="7936" max="7936" width="74.42578125" customWidth="1"/>
    <col min="7937" max="7937" width="9.7109375" customWidth="1"/>
    <col min="7938" max="7938" width="9.85546875" customWidth="1"/>
    <col min="7939" max="7939" width="9.42578125" customWidth="1"/>
    <col min="7940" max="7940" width="9.140625" customWidth="1"/>
    <col min="8192" max="8192" width="74.42578125" customWidth="1"/>
    <col min="8193" max="8193" width="9.7109375" customWidth="1"/>
    <col min="8194" max="8194" width="9.85546875" customWidth="1"/>
    <col min="8195" max="8195" width="9.42578125" customWidth="1"/>
    <col min="8196" max="8196" width="9.140625" customWidth="1"/>
    <col min="8448" max="8448" width="74.42578125" customWidth="1"/>
    <col min="8449" max="8449" width="9.7109375" customWidth="1"/>
    <col min="8450" max="8450" width="9.85546875" customWidth="1"/>
    <col min="8451" max="8451" width="9.42578125" customWidth="1"/>
    <col min="8452" max="8452" width="9.140625" customWidth="1"/>
    <col min="8704" max="8704" width="74.42578125" customWidth="1"/>
    <col min="8705" max="8705" width="9.7109375" customWidth="1"/>
    <col min="8706" max="8706" width="9.85546875" customWidth="1"/>
    <col min="8707" max="8707" width="9.42578125" customWidth="1"/>
    <col min="8708" max="8708" width="9.140625" customWidth="1"/>
    <col min="8960" max="8960" width="74.42578125" customWidth="1"/>
    <col min="8961" max="8961" width="9.7109375" customWidth="1"/>
    <col min="8962" max="8962" width="9.85546875" customWidth="1"/>
    <col min="8963" max="8963" width="9.42578125" customWidth="1"/>
    <col min="8964" max="8964" width="9.140625" customWidth="1"/>
    <col min="9216" max="9216" width="74.42578125" customWidth="1"/>
    <col min="9217" max="9217" width="9.7109375" customWidth="1"/>
    <col min="9218" max="9218" width="9.85546875" customWidth="1"/>
    <col min="9219" max="9219" width="9.42578125" customWidth="1"/>
    <col min="9220" max="9220" width="9.140625" customWidth="1"/>
    <col min="9472" max="9472" width="74.42578125" customWidth="1"/>
    <col min="9473" max="9473" width="9.7109375" customWidth="1"/>
    <col min="9474" max="9474" width="9.85546875" customWidth="1"/>
    <col min="9475" max="9475" width="9.42578125" customWidth="1"/>
    <col min="9476" max="9476" width="9.140625" customWidth="1"/>
    <col min="9728" max="9728" width="74.42578125" customWidth="1"/>
    <col min="9729" max="9729" width="9.7109375" customWidth="1"/>
    <col min="9730" max="9730" width="9.85546875" customWidth="1"/>
    <col min="9731" max="9731" width="9.42578125" customWidth="1"/>
    <col min="9732" max="9732" width="9.140625" customWidth="1"/>
    <col min="9984" max="9984" width="74.42578125" customWidth="1"/>
    <col min="9985" max="9985" width="9.7109375" customWidth="1"/>
    <col min="9986" max="9986" width="9.85546875" customWidth="1"/>
    <col min="9987" max="9987" width="9.42578125" customWidth="1"/>
    <col min="9988" max="9988" width="9.140625" customWidth="1"/>
    <col min="10240" max="10240" width="74.42578125" customWidth="1"/>
    <col min="10241" max="10241" width="9.7109375" customWidth="1"/>
    <col min="10242" max="10242" width="9.85546875" customWidth="1"/>
    <col min="10243" max="10243" width="9.42578125" customWidth="1"/>
    <col min="10244" max="10244" width="9.140625" customWidth="1"/>
    <col min="10496" max="10496" width="74.42578125" customWidth="1"/>
    <col min="10497" max="10497" width="9.7109375" customWidth="1"/>
    <col min="10498" max="10498" width="9.85546875" customWidth="1"/>
    <col min="10499" max="10499" width="9.42578125" customWidth="1"/>
    <col min="10500" max="10500" width="9.140625" customWidth="1"/>
    <col min="10752" max="10752" width="74.42578125" customWidth="1"/>
    <col min="10753" max="10753" width="9.7109375" customWidth="1"/>
    <col min="10754" max="10754" width="9.85546875" customWidth="1"/>
    <col min="10755" max="10755" width="9.42578125" customWidth="1"/>
    <col min="10756" max="10756" width="9.140625" customWidth="1"/>
    <col min="11008" max="11008" width="74.42578125" customWidth="1"/>
    <col min="11009" max="11009" width="9.7109375" customWidth="1"/>
    <col min="11010" max="11010" width="9.85546875" customWidth="1"/>
    <col min="11011" max="11011" width="9.42578125" customWidth="1"/>
    <col min="11012" max="11012" width="9.140625" customWidth="1"/>
    <col min="11264" max="11264" width="74.42578125" customWidth="1"/>
    <col min="11265" max="11265" width="9.7109375" customWidth="1"/>
    <col min="11266" max="11266" width="9.85546875" customWidth="1"/>
    <col min="11267" max="11267" width="9.42578125" customWidth="1"/>
    <col min="11268" max="11268" width="9.140625" customWidth="1"/>
    <col min="11520" max="11520" width="74.42578125" customWidth="1"/>
    <col min="11521" max="11521" width="9.7109375" customWidth="1"/>
    <col min="11522" max="11522" width="9.85546875" customWidth="1"/>
    <col min="11523" max="11523" width="9.42578125" customWidth="1"/>
    <col min="11524" max="11524" width="9.140625" customWidth="1"/>
    <col min="11776" max="11776" width="74.42578125" customWidth="1"/>
    <col min="11777" max="11777" width="9.7109375" customWidth="1"/>
    <col min="11778" max="11778" width="9.85546875" customWidth="1"/>
    <col min="11779" max="11779" width="9.42578125" customWidth="1"/>
    <col min="11780" max="11780" width="9.140625" customWidth="1"/>
    <col min="12032" max="12032" width="74.42578125" customWidth="1"/>
    <col min="12033" max="12033" width="9.7109375" customWidth="1"/>
    <col min="12034" max="12034" width="9.85546875" customWidth="1"/>
    <col min="12035" max="12035" width="9.42578125" customWidth="1"/>
    <col min="12036" max="12036" width="9.140625" customWidth="1"/>
    <col min="12288" max="12288" width="74.42578125" customWidth="1"/>
    <col min="12289" max="12289" width="9.7109375" customWidth="1"/>
    <col min="12290" max="12290" width="9.85546875" customWidth="1"/>
    <col min="12291" max="12291" width="9.42578125" customWidth="1"/>
    <col min="12292" max="12292" width="9.140625" customWidth="1"/>
    <col min="12544" max="12544" width="74.42578125" customWidth="1"/>
    <col min="12545" max="12545" width="9.7109375" customWidth="1"/>
    <col min="12546" max="12546" width="9.85546875" customWidth="1"/>
    <col min="12547" max="12547" width="9.42578125" customWidth="1"/>
    <col min="12548" max="12548" width="9.140625" customWidth="1"/>
    <col min="12800" max="12800" width="74.42578125" customWidth="1"/>
    <col min="12801" max="12801" width="9.7109375" customWidth="1"/>
    <col min="12802" max="12802" width="9.85546875" customWidth="1"/>
    <col min="12803" max="12803" width="9.42578125" customWidth="1"/>
    <col min="12804" max="12804" width="9.140625" customWidth="1"/>
    <col min="13056" max="13056" width="74.42578125" customWidth="1"/>
    <col min="13057" max="13057" width="9.7109375" customWidth="1"/>
    <col min="13058" max="13058" width="9.85546875" customWidth="1"/>
    <col min="13059" max="13059" width="9.42578125" customWidth="1"/>
    <col min="13060" max="13060" width="9.140625" customWidth="1"/>
    <col min="13312" max="13312" width="74.42578125" customWidth="1"/>
    <col min="13313" max="13313" width="9.7109375" customWidth="1"/>
    <col min="13314" max="13314" width="9.85546875" customWidth="1"/>
    <col min="13315" max="13315" width="9.42578125" customWidth="1"/>
    <col min="13316" max="13316" width="9.140625" customWidth="1"/>
    <col min="13568" max="13568" width="74.42578125" customWidth="1"/>
    <col min="13569" max="13569" width="9.7109375" customWidth="1"/>
    <col min="13570" max="13570" width="9.85546875" customWidth="1"/>
    <col min="13571" max="13571" width="9.42578125" customWidth="1"/>
    <col min="13572" max="13572" width="9.140625" customWidth="1"/>
    <col min="13824" max="13824" width="74.42578125" customWidth="1"/>
    <col min="13825" max="13825" width="9.7109375" customWidth="1"/>
    <col min="13826" max="13826" width="9.85546875" customWidth="1"/>
    <col min="13827" max="13827" width="9.42578125" customWidth="1"/>
    <col min="13828" max="13828" width="9.140625" customWidth="1"/>
    <col min="14080" max="14080" width="74.42578125" customWidth="1"/>
    <col min="14081" max="14081" width="9.7109375" customWidth="1"/>
    <col min="14082" max="14082" width="9.85546875" customWidth="1"/>
    <col min="14083" max="14083" width="9.42578125" customWidth="1"/>
    <col min="14084" max="14084" width="9.140625" customWidth="1"/>
    <col min="14336" max="14336" width="74.42578125" customWidth="1"/>
    <col min="14337" max="14337" width="9.7109375" customWidth="1"/>
    <col min="14338" max="14338" width="9.85546875" customWidth="1"/>
    <col min="14339" max="14339" width="9.42578125" customWidth="1"/>
    <col min="14340" max="14340" width="9.140625" customWidth="1"/>
    <col min="14592" max="14592" width="74.42578125" customWidth="1"/>
    <col min="14593" max="14593" width="9.7109375" customWidth="1"/>
    <col min="14594" max="14594" width="9.85546875" customWidth="1"/>
    <col min="14595" max="14595" width="9.42578125" customWidth="1"/>
    <col min="14596" max="14596" width="9.140625" customWidth="1"/>
    <col min="14848" max="14848" width="74.42578125" customWidth="1"/>
    <col min="14849" max="14849" width="9.7109375" customWidth="1"/>
    <col min="14850" max="14850" width="9.85546875" customWidth="1"/>
    <col min="14851" max="14851" width="9.42578125" customWidth="1"/>
    <col min="14852" max="14852" width="9.140625" customWidth="1"/>
    <col min="15104" max="15104" width="74.42578125" customWidth="1"/>
    <col min="15105" max="15105" width="9.7109375" customWidth="1"/>
    <col min="15106" max="15106" width="9.85546875" customWidth="1"/>
    <col min="15107" max="15107" width="9.42578125" customWidth="1"/>
    <col min="15108" max="15108" width="9.140625" customWidth="1"/>
    <col min="15360" max="15360" width="74.42578125" customWidth="1"/>
    <col min="15361" max="15361" width="9.7109375" customWidth="1"/>
    <col min="15362" max="15362" width="9.85546875" customWidth="1"/>
    <col min="15363" max="15363" width="9.42578125" customWidth="1"/>
    <col min="15364" max="15364" width="9.140625" customWidth="1"/>
    <col min="15616" max="15616" width="74.42578125" customWidth="1"/>
    <col min="15617" max="15617" width="9.7109375" customWidth="1"/>
    <col min="15618" max="15618" width="9.85546875" customWidth="1"/>
    <col min="15619" max="15619" width="9.42578125" customWidth="1"/>
    <col min="15620" max="15620" width="9.140625" customWidth="1"/>
    <col min="15872" max="15872" width="74.42578125" customWidth="1"/>
    <col min="15873" max="15873" width="9.7109375" customWidth="1"/>
    <col min="15874" max="15874" width="9.85546875" customWidth="1"/>
    <col min="15875" max="15875" width="9.42578125" customWidth="1"/>
    <col min="15876" max="15876" width="9.140625" customWidth="1"/>
    <col min="16128" max="16128" width="74.42578125" customWidth="1"/>
    <col min="16129" max="16129" width="9.7109375" customWidth="1"/>
    <col min="16130" max="16130" width="9.85546875" customWidth="1"/>
    <col min="16131" max="16131" width="9.42578125" customWidth="1"/>
    <col min="16132" max="16132" width="9.140625" customWidth="1"/>
  </cols>
  <sheetData>
    <row r="1" spans="1:8" ht="18" customHeight="1">
      <c r="A1" s="38" t="str">
        <f>HLOOKUP(INDICE!$F$2,Nombres!$C$3:$E$853,303)</f>
        <v>Grupo BBVA sin Venezuela y con Turquía en continuidad</v>
      </c>
      <c r="B1" s="160"/>
    </row>
    <row r="2" spans="1:8">
      <c r="A2" s="41" t="str">
        <f>HLOOKUP(INDICE!$F$2,Nombres!$C$3:$E$853,30)</f>
        <v>(Millones de euros)</v>
      </c>
      <c r="C2"/>
      <c r="D2" s="145"/>
      <c r="E2" s="145"/>
    </row>
    <row r="3" spans="1:8" ht="11.25" customHeight="1">
      <c r="A3" s="146"/>
      <c r="B3" s="252">
        <v>2014</v>
      </c>
      <c r="C3" s="252"/>
      <c r="D3" s="252"/>
      <c r="E3" s="252"/>
      <c r="F3" s="253">
        <v>2015</v>
      </c>
      <c r="G3" s="254"/>
      <c r="H3" s="254"/>
    </row>
    <row r="4" spans="1:8" ht="11.25" customHeight="1">
      <c r="A4" s="146"/>
      <c r="B4" s="146" t="str">
        <f>HLOOKUP(INDICE!$F$2,Nombres!$C$3:$E$857,34)</f>
        <v>1er Trim.</v>
      </c>
      <c r="C4" s="146" t="str">
        <f>HLOOKUP(INDICE!$F$2,Nombres!$C$3:$E$857,35)</f>
        <v>2º Trim.</v>
      </c>
      <c r="D4" s="146" t="str">
        <f>HLOOKUP(INDICE!$F$2,Nombres!$C$3:$E$857,36)</f>
        <v>3er Trim.</v>
      </c>
      <c r="E4" s="146" t="str">
        <f>HLOOKUP(INDICE!$F$2,Nombres!$C$3:$E$857,37)</f>
        <v>4º Trim.</v>
      </c>
      <c r="F4" s="146" t="str">
        <f>HLOOKUP(INDICE!$F$2,Nombres!$C$3:$E$857,34)</f>
        <v>1er Trim.</v>
      </c>
      <c r="G4" s="146" t="str">
        <f>HLOOKUP(INDICE!$F$2,Nombres!$C$3:$E$857,35)</f>
        <v>2º Trim.</v>
      </c>
      <c r="H4" s="146" t="str">
        <f>HLOOKUP(INDICE!$F$2,Nombres!$C$3:$E$857,36)</f>
        <v>3er Trim.</v>
      </c>
    </row>
    <row r="5" spans="1:8">
      <c r="A5" s="54" t="str">
        <f>HLOOKUP(INDICE!$F$2,Nombres!$C$3:$E$853,38)</f>
        <v>Margen de intereses</v>
      </c>
      <c r="B5" s="161">
        <v>3097.4350007200001</v>
      </c>
      <c r="C5" s="162">
        <v>3200.2219997699999</v>
      </c>
      <c r="D5" s="162">
        <v>3321.5990001600003</v>
      </c>
      <c r="E5" s="163">
        <v>3572.0249996000002</v>
      </c>
      <c r="F5" s="164">
        <v>3624.0030005999997</v>
      </c>
      <c r="G5" s="162">
        <v>3802.7989987299998</v>
      </c>
      <c r="H5" s="165">
        <v>3735.6180008199999</v>
      </c>
    </row>
    <row r="6" spans="1:8">
      <c r="A6" s="49" t="str">
        <f>HLOOKUP(INDICE!$F$2,Nombres!$C$3:$E$853,39)</f>
        <v>Comisiones</v>
      </c>
      <c r="B6" s="149">
        <v>948.19599996000011</v>
      </c>
      <c r="C6" s="84">
        <v>1033.99240887</v>
      </c>
      <c r="D6" s="84">
        <v>1027.89817625</v>
      </c>
      <c r="E6" s="150">
        <v>1051.93403999</v>
      </c>
      <c r="F6" s="73">
        <v>1070.5990007099999</v>
      </c>
      <c r="G6" s="84">
        <v>1131.35400164</v>
      </c>
      <c r="H6" s="157">
        <v>1087.2147485374999</v>
      </c>
    </row>
    <row r="7" spans="1:8">
      <c r="A7" s="49" t="str">
        <f>HLOOKUP(INDICE!$F$2,Nombres!$C$3:$E$853,40)</f>
        <v>Resultados de operaciones financieras</v>
      </c>
      <c r="B7" s="149">
        <v>679.99101506</v>
      </c>
      <c r="C7" s="84">
        <v>415.28201520999994</v>
      </c>
      <c r="D7" s="84">
        <v>424.98055623000005</v>
      </c>
      <c r="E7" s="150">
        <v>504.07061483000007</v>
      </c>
      <c r="F7" s="73">
        <v>703.35000562000005</v>
      </c>
      <c r="G7" s="84">
        <v>632.17104844000005</v>
      </c>
      <c r="H7" s="157">
        <v>267.85051752000004</v>
      </c>
    </row>
    <row r="8" spans="1:8">
      <c r="A8" s="49" t="str">
        <f>HLOOKUP(INDICE!$F$2,Nombres!$C$3:$E$853,41)</f>
        <v>Dividendos</v>
      </c>
      <c r="B8" s="149">
        <v>28.536000000000001</v>
      </c>
      <c r="C8" s="84">
        <v>342.07100000000003</v>
      </c>
      <c r="D8" s="84">
        <v>41.576999999999998</v>
      </c>
      <c r="E8" s="150">
        <v>118.765</v>
      </c>
      <c r="F8" s="73">
        <v>41.867000000000004</v>
      </c>
      <c r="G8" s="84">
        <v>194.23000041999998</v>
      </c>
      <c r="H8" s="157">
        <v>52.260999959999992</v>
      </c>
    </row>
    <row r="9" spans="1:8">
      <c r="A9" s="49" t="str">
        <f>HLOOKUP(INDICE!$F$2,Nombres!$C$3:$E$853,42)</f>
        <v>Resultados por puesta en equivalencia</v>
      </c>
      <c r="B9" s="149">
        <v>-13.683000000000002</v>
      </c>
      <c r="C9" s="84">
        <v>16.359000000000002</v>
      </c>
      <c r="D9" s="84">
        <v>31.064999999999998</v>
      </c>
      <c r="E9" s="150">
        <v>3.2230000000000008</v>
      </c>
      <c r="F9" s="73">
        <v>2.8900000000000006</v>
      </c>
      <c r="G9" s="84">
        <v>18.099999999999998</v>
      </c>
      <c r="H9" s="157">
        <v>3.7809999999999997</v>
      </c>
    </row>
    <row r="10" spans="1:8">
      <c r="A10" s="49" t="str">
        <f>HLOOKUP(INDICE!$F$2,Nombres!$C$3:$E$853,43)</f>
        <v>Otros productos y cargas de explotación</v>
      </c>
      <c r="B10" s="149">
        <v>27.660998890000002</v>
      </c>
      <c r="C10" s="84">
        <v>44.662001050000001</v>
      </c>
      <c r="D10" s="84">
        <v>9.7600012599999992</v>
      </c>
      <c r="E10" s="150">
        <v>64.85699984</v>
      </c>
      <c r="F10" s="73">
        <v>95.667000220000006</v>
      </c>
      <c r="G10" s="84">
        <v>109.42700078999999</v>
      </c>
      <c r="H10" s="157">
        <v>129.72224924</v>
      </c>
    </row>
    <row r="11" spans="1:8">
      <c r="A11" s="54" t="str">
        <f>HLOOKUP(INDICE!$F$2,Nombres!$C$3:$E$853,44)</f>
        <v>Margen bruto</v>
      </c>
      <c r="B11" s="161">
        <v>4768.1360146299994</v>
      </c>
      <c r="C11" s="162">
        <v>5052.5884249000001</v>
      </c>
      <c r="D11" s="162">
        <v>4856.8797339000002</v>
      </c>
      <c r="E11" s="163">
        <v>5314.8746542600002</v>
      </c>
      <c r="F11" s="164">
        <v>5538.3760071500001</v>
      </c>
      <c r="G11" s="162">
        <v>5888.0810500200005</v>
      </c>
      <c r="H11" s="165">
        <v>5276.4475160775</v>
      </c>
    </row>
    <row r="12" spans="1:8">
      <c r="A12" s="49" t="str">
        <f>HLOOKUP(INDICE!$F$2,Nombres!$C$3:$E$853,45)</f>
        <v>Gastos de explotación</v>
      </c>
      <c r="B12" s="149">
        <v>-2519.3859971299999</v>
      </c>
      <c r="C12" s="84">
        <v>-2522.8050068699999</v>
      </c>
      <c r="D12" s="84">
        <v>-2610.8970005299998</v>
      </c>
      <c r="E12" s="150">
        <v>-2664.6319980200001</v>
      </c>
      <c r="F12" s="73">
        <v>-2760.7979949</v>
      </c>
      <c r="G12" s="84">
        <v>-2923.2730083799997</v>
      </c>
      <c r="H12" s="157">
        <v>-2928.3695084749997</v>
      </c>
    </row>
    <row r="13" spans="1:8">
      <c r="A13" s="49" t="str">
        <f>HLOOKUP(INDICE!$F$2,Nombres!$C$3:$E$853,46)</f>
        <v xml:space="preserve">  Gastos de administración</v>
      </c>
      <c r="B13" s="149">
        <v>-2252.0739983899998</v>
      </c>
      <c r="C13" s="84">
        <v>-2254.32000578</v>
      </c>
      <c r="D13" s="84">
        <v>-2334.9809995300002</v>
      </c>
      <c r="E13" s="150">
        <v>-2389.26500102</v>
      </c>
      <c r="F13" s="73">
        <v>-2471.2819953899998</v>
      </c>
      <c r="G13" s="84">
        <v>-2626.9020056999998</v>
      </c>
      <c r="H13" s="157">
        <v>-2618.4695129649999</v>
      </c>
    </row>
    <row r="14" spans="1:8" ht="13.5" customHeight="1">
      <c r="A14" s="88" t="str">
        <f>HLOOKUP(INDICE!$F$2,Nombres!$C$3:$E$853,47)</f>
        <v xml:space="preserve">  Gastos de personal</v>
      </c>
      <c r="B14" s="149">
        <v>-1338.49500023</v>
      </c>
      <c r="C14" s="84">
        <v>-1304.3329984000002</v>
      </c>
      <c r="D14" s="84">
        <v>-1379.43600227</v>
      </c>
      <c r="E14" s="150">
        <v>-1355.3930035599999</v>
      </c>
      <c r="F14" s="73">
        <v>-1454.5230002000001</v>
      </c>
      <c r="G14" s="84">
        <v>-1530.8140045200003</v>
      </c>
      <c r="H14" s="157">
        <v>-1506.3982470350002</v>
      </c>
    </row>
    <row r="15" spans="1:8" ht="12.75" customHeight="1">
      <c r="A15" s="88" t="str">
        <f>HLOOKUP(INDICE!$F$2,Nombres!$C$3:$E$853,48)</f>
        <v xml:space="preserve">  Otros gastos generales de administración</v>
      </c>
      <c r="B15" s="149">
        <v>-913.57899815999997</v>
      </c>
      <c r="C15" s="84">
        <v>-949.98700738000002</v>
      </c>
      <c r="D15" s="84">
        <v>-955.54499726000006</v>
      </c>
      <c r="E15" s="150">
        <v>-1033.8719974600001</v>
      </c>
      <c r="F15" s="73">
        <v>-1016.7589951900001</v>
      </c>
      <c r="G15" s="84">
        <v>-1096.08800118</v>
      </c>
      <c r="H15" s="157">
        <v>-1112.07126593</v>
      </c>
    </row>
    <row r="16" spans="1:8" ht="13.5" customHeight="1">
      <c r="A16" s="49" t="str">
        <f>HLOOKUP(INDICE!$F$2,Nombres!$C$3:$E$853,49)</f>
        <v xml:space="preserve">  Amortizaciones</v>
      </c>
      <c r="B16" s="149">
        <v>-267.31199873999998</v>
      </c>
      <c r="C16" s="84">
        <v>-268.48500108999997</v>
      </c>
      <c r="D16" s="84">
        <v>-275.91600099999999</v>
      </c>
      <c r="E16" s="150">
        <v>-275.36699699999997</v>
      </c>
      <c r="F16" s="73">
        <v>-289.51599950999997</v>
      </c>
      <c r="G16" s="84">
        <v>-296.37100268</v>
      </c>
      <c r="H16" s="157">
        <v>-309.89999551000005</v>
      </c>
    </row>
    <row r="17" spans="1:8" ht="13.5" customHeight="1">
      <c r="A17" s="54" t="str">
        <f>HLOOKUP(INDICE!$F$2,Nombres!$C$3:$E$853,50)</f>
        <v>Margen neto</v>
      </c>
      <c r="B17" s="161">
        <v>2248.7500175</v>
      </c>
      <c r="C17" s="162">
        <v>2529.7834180299997</v>
      </c>
      <c r="D17" s="162">
        <v>2245.98273337</v>
      </c>
      <c r="E17" s="163">
        <v>2650.2426562400001</v>
      </c>
      <c r="F17" s="164">
        <v>2777.57801225</v>
      </c>
      <c r="G17" s="162">
        <v>2964.8080416399998</v>
      </c>
      <c r="H17" s="165">
        <v>2348.0780076025003</v>
      </c>
    </row>
    <row r="18" spans="1:8" ht="12.75" customHeight="1">
      <c r="A18" s="49" t="str">
        <f>HLOOKUP(INDICE!$F$2,Nombres!$C$3:$E$853,51)</f>
        <v>Pérdidas por deterioro de activos financieros</v>
      </c>
      <c r="B18" s="149">
        <v>-1082.1789994400001</v>
      </c>
      <c r="C18" s="84">
        <v>-1022.7280007999999</v>
      </c>
      <c r="D18" s="84">
        <v>-1072.2119994499999</v>
      </c>
      <c r="E18" s="150">
        <v>-1079.6220002099999</v>
      </c>
      <c r="F18" s="73">
        <v>-1116.0319998299999</v>
      </c>
      <c r="G18" s="84">
        <v>-1082.4989999200002</v>
      </c>
      <c r="H18" s="157">
        <v>-952.14975076000007</v>
      </c>
    </row>
    <row r="19" spans="1:8" ht="13.5" customHeight="1">
      <c r="A19" s="49" t="str">
        <f>HLOOKUP(INDICE!$F$2,Nombres!$C$3:$E$853,52)</f>
        <v>Dotaciones a provisiones</v>
      </c>
      <c r="B19" s="149">
        <v>-127.94300002</v>
      </c>
      <c r="C19" s="84">
        <v>-280.32499967000001</v>
      </c>
      <c r="D19" s="84">
        <v>-174.40800037</v>
      </c>
      <c r="E19" s="150">
        <v>-467.88299997999991</v>
      </c>
      <c r="F19" s="73">
        <v>-200.79200040000001</v>
      </c>
      <c r="G19" s="84">
        <v>-161.66699973999999</v>
      </c>
      <c r="H19" s="157">
        <v>-174.93299984999999</v>
      </c>
    </row>
    <row r="20" spans="1:8" ht="13.5" customHeight="1">
      <c r="A20" s="166" t="str">
        <f>HLOOKUP(INDICE!$F$2,Nombres!$C$3:$E$853,53)</f>
        <v>Otros resultados</v>
      </c>
      <c r="B20" s="149">
        <v>-173.13899953000001</v>
      </c>
      <c r="C20" s="84">
        <v>-189.99900081000001</v>
      </c>
      <c r="D20" s="84">
        <v>-134.185</v>
      </c>
      <c r="E20" s="150">
        <v>-203.73599917000001</v>
      </c>
      <c r="F20" s="73">
        <v>-65.866000310000004</v>
      </c>
      <c r="G20" s="84">
        <v>-123.13199965999999</v>
      </c>
      <c r="H20" s="157">
        <v>-129.69050059</v>
      </c>
    </row>
    <row r="21" spans="1:8" ht="12" customHeight="1">
      <c r="A21" s="54" t="str">
        <f>HLOOKUP(INDICE!$F$2,Nombres!$C$3:$E$853,54)</f>
        <v>Beneficio antes de impuestos</v>
      </c>
      <c r="B21" s="161">
        <v>865.48901851000005</v>
      </c>
      <c r="C21" s="162">
        <v>1036.7314167499999</v>
      </c>
      <c r="D21" s="162">
        <v>865.17773354999997</v>
      </c>
      <c r="E21" s="163">
        <v>899.00165688000004</v>
      </c>
      <c r="F21" s="164">
        <v>1394.88801171</v>
      </c>
      <c r="G21" s="162">
        <v>1597.5100423200001</v>
      </c>
      <c r="H21" s="165">
        <v>1091.3047564025001</v>
      </c>
    </row>
    <row r="22" spans="1:8" ht="14.25" customHeight="1">
      <c r="A22" s="49" t="str">
        <f>HLOOKUP(INDICE!$F$2,Nombres!$C$3:$E$853,55)</f>
        <v>Impuesto sobre beneficios</v>
      </c>
      <c r="B22" s="149">
        <v>-224.15394581999999</v>
      </c>
      <c r="C22" s="84">
        <v>-267.97344676</v>
      </c>
      <c r="D22" s="84">
        <v>-219.88680231000001</v>
      </c>
      <c r="E22" s="150">
        <v>-166.41702185999998</v>
      </c>
      <c r="F22" s="73">
        <v>-365.25100197000006</v>
      </c>
      <c r="G22" s="84">
        <v>-412.63101625000002</v>
      </c>
      <c r="H22" s="157">
        <v>-237.52825528999995</v>
      </c>
    </row>
    <row r="23" spans="1:8" ht="14.25" customHeight="1">
      <c r="A23" s="167" t="str">
        <f>HLOOKUP(INDICE!$F$2,Nombres!$C$3:$E$853,269)</f>
        <v>Beneficio después de impuestos de operaciones continuadas</v>
      </c>
      <c r="B23" s="161">
        <v>641.33507268999995</v>
      </c>
      <c r="C23" s="162">
        <v>768.75796998999999</v>
      </c>
      <c r="D23" s="162">
        <v>645.29093124000008</v>
      </c>
      <c r="E23" s="163">
        <v>732.58463501999995</v>
      </c>
      <c r="F23" s="164">
        <v>1029.6370097399999</v>
      </c>
      <c r="G23" s="162">
        <v>1184.87902607</v>
      </c>
      <c r="H23" s="165">
        <v>853.77650111250023</v>
      </c>
    </row>
    <row r="24" spans="1:8" ht="14.25" customHeight="1">
      <c r="A24" s="168" t="str">
        <f>HLOOKUP(INDICE!$F$2,Nombres!$C$3:$E$853,270)</f>
        <v>Resultado de operaciones corporativas</v>
      </c>
      <c r="B24" s="158">
        <v>0</v>
      </c>
      <c r="C24" s="84">
        <v>0</v>
      </c>
      <c r="D24" s="84">
        <v>0</v>
      </c>
      <c r="E24" s="150">
        <v>0</v>
      </c>
      <c r="F24" s="73">
        <v>582.94200000000001</v>
      </c>
      <c r="G24" s="84">
        <v>144.274</v>
      </c>
      <c r="H24" s="157">
        <v>-1840.306</v>
      </c>
    </row>
    <row r="25" spans="1:8" ht="14.25" customHeight="1">
      <c r="A25" s="54" t="str">
        <f>HLOOKUP(INDICE!$F$2,Nombres!$C$3:$E$853,56)</f>
        <v>Beneficio después de impuestos</v>
      </c>
      <c r="B25" s="161">
        <v>641.33507269000006</v>
      </c>
      <c r="C25" s="162">
        <v>768.75796998999999</v>
      </c>
      <c r="D25" s="162">
        <v>645.29093124000008</v>
      </c>
      <c r="E25" s="163">
        <v>732.58463501999995</v>
      </c>
      <c r="F25" s="164">
        <v>1612.5790097399999</v>
      </c>
      <c r="G25" s="162">
        <v>1329.1530260700001</v>
      </c>
      <c r="H25" s="165">
        <v>-986.52949888749981</v>
      </c>
    </row>
    <row r="26" spans="1:8" ht="14.25" customHeight="1">
      <c r="A26" s="49" t="str">
        <f>HLOOKUP(INDICE!$F$2,Nombres!$C$3:$E$853,57)</f>
        <v>Resultado atribuido a la minoría</v>
      </c>
      <c r="B26" s="149">
        <v>-73.961018999999993</v>
      </c>
      <c r="C26" s="84">
        <v>-81.845348000000001</v>
      </c>
      <c r="D26" s="84">
        <v>-92.824336000000002</v>
      </c>
      <c r="E26" s="150">
        <v>-83.791179</v>
      </c>
      <c r="F26" s="73">
        <v>-91.169002000000006</v>
      </c>
      <c r="G26" s="84">
        <v>-101.19601400000001</v>
      </c>
      <c r="H26" s="157">
        <v>-90.370004999999992</v>
      </c>
    </row>
    <row r="27" spans="1:8" ht="14.25" customHeight="1">
      <c r="A27" s="54" t="str">
        <f>HLOOKUP(INDICE!$F$2,Nombres!$C$3:$E$853,58)</f>
        <v>Beneficio atribuido al Grupo</v>
      </c>
      <c r="B27" s="161">
        <v>567.37405368999998</v>
      </c>
      <c r="C27" s="162">
        <v>686.91262198999993</v>
      </c>
      <c r="D27" s="162">
        <v>552.46659524000006</v>
      </c>
      <c r="E27" s="163">
        <v>648.79345601999989</v>
      </c>
      <c r="F27" s="164">
        <v>1521.4100077400001</v>
      </c>
      <c r="G27" s="162">
        <v>1227.95701207</v>
      </c>
      <c r="H27" s="165">
        <v>-1076.8995038874998</v>
      </c>
    </row>
    <row r="28" spans="1:8" ht="28.5" customHeight="1">
      <c r="A28" s="234" t="str">
        <f>HLOOKUP(INDICE!$F$2,Nombres!$C$3:$E$853,242)</f>
        <v>Beneficio atribuido al Grupo (sin el resultado de operaciones corporativas) (**)</v>
      </c>
      <c r="B28" s="161">
        <v>567.37405368999998</v>
      </c>
      <c r="C28" s="162">
        <v>686.91262198999993</v>
      </c>
      <c r="D28" s="162">
        <v>552.46659524000006</v>
      </c>
      <c r="E28" s="163">
        <v>648.79345601999989</v>
      </c>
      <c r="F28" s="164">
        <v>938.46800774000008</v>
      </c>
      <c r="G28" s="162">
        <v>1083.6830120700001</v>
      </c>
      <c r="H28" s="165">
        <v>763.40649611250001</v>
      </c>
    </row>
    <row r="29" spans="1:8" s="169" customFormat="1" ht="32.25" customHeight="1">
      <c r="A29" s="251" t="str">
        <f>HLOOKUP(INDICE!$F$2,Nombres!$C$3:$E$853,289)</f>
        <v>(*) Desde el tercer trimestre de 2015, la participación total de BBVA en Garanti se consolida por el método de integración global. Para periodos anteriores, los ingresos y gastos de Garanti se integran en la proporción correspondiente al porcentaje de participación del Grupo (25,01%).</v>
      </c>
      <c r="B29" s="251"/>
      <c r="C29" s="251"/>
      <c r="D29" s="251"/>
      <c r="E29" s="251"/>
      <c r="F29" s="251"/>
      <c r="G29" s="251"/>
      <c r="H29" s="251"/>
    </row>
    <row r="30" spans="1:8" ht="48.75" customHeight="1">
      <c r="A30" s="251" t="str">
        <f>HLOOKUP(INDICE!$F$2,Nombres!$C$3:$E$853,29)</f>
        <v>(**) 2015 incorpora las plusvalías procedentes de las distintas operaciones de venta equivalentes a un 6,34% de la participación del Grupo BBVA en CNCB, el badwill generado por la operación de CX, el efecto de la puesta a valor razonable de la participación inicial del 25,01% en Garanti y el impacto procedente de la venta de la participación del 29,68% en CIFH.</v>
      </c>
      <c r="B30" s="251"/>
      <c r="C30" s="251"/>
      <c r="D30" s="251"/>
      <c r="E30" s="251"/>
      <c r="F30" s="251"/>
      <c r="G30" s="251"/>
      <c r="H30" s="251"/>
    </row>
    <row r="31" spans="1:8" s="171" customFormat="1" ht="17.25" customHeight="1">
      <c r="A31" s="144" t="str">
        <f>HLOOKUP(INDICE!$F$2,Nombres!$C$3:$E$853,290)</f>
        <v>Cuentas de resultados consolidadas (*)</v>
      </c>
      <c r="B31" s="160"/>
      <c r="C31" s="170"/>
      <c r="D31" s="170"/>
      <c r="E31" s="170"/>
      <c r="F31" s="170"/>
      <c r="G31" s="170"/>
      <c r="H31" s="170"/>
    </row>
    <row r="32" spans="1:8" ht="13.5" customHeight="1">
      <c r="A32" s="41" t="str">
        <f>HLOOKUP(INDICE!$F$2,Nombres!$C$3:$E$853,31)</f>
        <v>(Millones de euros constantes)</v>
      </c>
      <c r="B32" s="170"/>
      <c r="C32" s="170"/>
      <c r="D32" s="170"/>
      <c r="E32" s="170"/>
      <c r="F32" s="170"/>
      <c r="G32" s="170"/>
      <c r="H32" s="170"/>
    </row>
    <row r="33" spans="1:8" ht="12.75" customHeight="1">
      <c r="A33" s="146"/>
      <c r="B33" s="252">
        <v>2014</v>
      </c>
      <c r="C33" s="252"/>
      <c r="D33" s="252"/>
      <c r="E33" s="252"/>
      <c r="F33" s="253">
        <v>2015</v>
      </c>
      <c r="G33" s="254"/>
      <c r="H33" s="254"/>
    </row>
    <row r="34" spans="1:8" ht="13.5" customHeight="1">
      <c r="A34" s="146"/>
      <c r="B34" s="146" t="str">
        <f>HLOOKUP(INDICE!$F$2,Nombres!$C$3:$E$857,34)</f>
        <v>1er Trim.</v>
      </c>
      <c r="C34" s="146" t="str">
        <f>HLOOKUP(INDICE!$F$2,Nombres!$C$3:$E$857,35)</f>
        <v>2º Trim.</v>
      </c>
      <c r="D34" s="146" t="str">
        <f>HLOOKUP(INDICE!$F$2,Nombres!$C$3:$E$857,36)</f>
        <v>3er Trim.</v>
      </c>
      <c r="E34" s="146" t="str">
        <f>HLOOKUP(INDICE!$F$2,Nombres!$C$3:$E$857,37)</f>
        <v>4º Trim.</v>
      </c>
      <c r="F34" s="146" t="str">
        <f>HLOOKUP(INDICE!$F$2,Nombres!$C$3:$E$857,34)</f>
        <v>1er Trim.</v>
      </c>
      <c r="G34" s="146" t="str">
        <f>HLOOKUP(INDICE!$F$2,Nombres!$C$3:$E$857,35)</f>
        <v>2º Trim.</v>
      </c>
      <c r="H34" s="146" t="str">
        <f>HLOOKUP(INDICE!$F$2,Nombres!$C$3:$E$857,36)</f>
        <v>3er Trim.</v>
      </c>
    </row>
    <row r="35" spans="1:8">
      <c r="A35" s="54" t="str">
        <f>HLOOKUP(INDICE!$F$2,Nombres!$C$3:$E$853,38)</f>
        <v>Margen de intereses</v>
      </c>
      <c r="B35" s="161">
        <v>3251.5774012765996</v>
      </c>
      <c r="C35" s="162">
        <v>3329.6416523834005</v>
      </c>
      <c r="D35" s="162">
        <v>3394.8639585037999</v>
      </c>
      <c r="E35" s="163">
        <v>3624.0760635795</v>
      </c>
      <c r="F35" s="164">
        <v>3550.9969219424001</v>
      </c>
      <c r="G35" s="162">
        <v>3742.4321041081998</v>
      </c>
      <c r="H35" s="165">
        <v>3868.9909740996004</v>
      </c>
    </row>
    <row r="36" spans="1:8">
      <c r="A36" s="49" t="str">
        <f>HLOOKUP(INDICE!$F$2,Nombres!$C$3:$E$853,39)</f>
        <v>Comisiones</v>
      </c>
      <c r="B36" s="149">
        <v>999.48816338589995</v>
      </c>
      <c r="C36" s="84">
        <v>1083.4661905767</v>
      </c>
      <c r="D36" s="84">
        <v>1060.3029687263002</v>
      </c>
      <c r="E36" s="150">
        <v>1075.0148208047999</v>
      </c>
      <c r="F36" s="73">
        <v>1055.8503213459999</v>
      </c>
      <c r="G36" s="84">
        <v>1118.9735305480999</v>
      </c>
      <c r="H36" s="157">
        <v>1114.3438989937999</v>
      </c>
    </row>
    <row r="37" spans="1:8">
      <c r="A37" s="49" t="str">
        <f>HLOOKUP(INDICE!$F$2,Nombres!$C$3:$E$853,40)</f>
        <v>Resultados de operaciones financieras</v>
      </c>
      <c r="B37" s="149">
        <v>694.56438322629992</v>
      </c>
      <c r="C37" s="84">
        <v>430.33446042900005</v>
      </c>
      <c r="D37" s="84">
        <v>434.84565956469999</v>
      </c>
      <c r="E37" s="150">
        <v>509.61060939639998</v>
      </c>
      <c r="F37" s="73">
        <v>700.55839528770002</v>
      </c>
      <c r="G37" s="84">
        <v>628.01242692820006</v>
      </c>
      <c r="H37" s="157">
        <v>274.80074936409994</v>
      </c>
    </row>
    <row r="38" spans="1:8">
      <c r="A38" s="49" t="str">
        <f>HLOOKUP(INDICE!$F$2,Nombres!$C$3:$E$853,41)</f>
        <v>Dividendos</v>
      </c>
      <c r="B38" s="149">
        <v>29.445879547500006</v>
      </c>
      <c r="C38" s="84">
        <v>343.60656488310002</v>
      </c>
      <c r="D38" s="84">
        <v>42.761919000199995</v>
      </c>
      <c r="E38" s="150">
        <v>119.40369384629999</v>
      </c>
      <c r="F38" s="73">
        <v>41.809926087900003</v>
      </c>
      <c r="G38" s="84">
        <v>193.8664527732</v>
      </c>
      <c r="H38" s="157">
        <v>52.681621518900002</v>
      </c>
    </row>
    <row r="39" spans="1:8">
      <c r="A39" s="49" t="str">
        <f>HLOOKUP(INDICE!$F$2,Nombres!$C$3:$E$853,42)</f>
        <v>Resultados por puesta en equivalencia</v>
      </c>
      <c r="B39" s="149">
        <v>-13.258059552000002</v>
      </c>
      <c r="C39" s="84">
        <v>16.723680136500001</v>
      </c>
      <c r="D39" s="84">
        <v>31.440795892499999</v>
      </c>
      <c r="E39" s="150">
        <v>3.4945132251000004</v>
      </c>
      <c r="F39" s="73">
        <v>2.6719031951000005</v>
      </c>
      <c r="G39" s="84">
        <v>17.991774199200002</v>
      </c>
      <c r="H39" s="157">
        <v>4.1073226056000003</v>
      </c>
    </row>
    <row r="40" spans="1:8">
      <c r="A40" s="49" t="str">
        <f>HLOOKUP(INDICE!$F$2,Nombres!$C$3:$E$853,43)</f>
        <v>Otros productos y cargas de explotación</v>
      </c>
      <c r="B40" s="149">
        <v>30.948268075600001</v>
      </c>
      <c r="C40" s="84">
        <v>46.815547672400001</v>
      </c>
      <c r="D40" s="84">
        <v>8.8718642468999995</v>
      </c>
      <c r="E40" s="150">
        <v>65.945749757100003</v>
      </c>
      <c r="F40" s="73">
        <v>91.397035830600004</v>
      </c>
      <c r="G40" s="84">
        <v>107.20387357039999</v>
      </c>
      <c r="H40" s="157">
        <v>136.21534084890001</v>
      </c>
    </row>
    <row r="41" spans="1:8">
      <c r="A41" s="54" t="str">
        <f>HLOOKUP(INDICE!$F$2,Nombres!$C$3:$E$853,44)</f>
        <v>Margen bruto</v>
      </c>
      <c r="B41" s="161">
        <v>4992.7660359597003</v>
      </c>
      <c r="C41" s="162">
        <v>5250.5880960809009</v>
      </c>
      <c r="D41" s="162">
        <v>4973.0871659345003</v>
      </c>
      <c r="E41" s="163">
        <v>5397.5454506092992</v>
      </c>
      <c r="F41" s="164">
        <v>5443.2845036895997</v>
      </c>
      <c r="G41" s="162">
        <v>5808.4801621273</v>
      </c>
      <c r="H41" s="165">
        <v>5451.1399074306</v>
      </c>
    </row>
    <row r="42" spans="1:8">
      <c r="A42" s="49" t="str">
        <f>HLOOKUP(INDICE!$F$2,Nombres!$C$3:$E$853,45)</f>
        <v>Gastos de explotación</v>
      </c>
      <c r="B42" s="149">
        <v>-2643.2828569801</v>
      </c>
      <c r="C42" s="84">
        <v>-2639.7521708599998</v>
      </c>
      <c r="D42" s="84">
        <v>-2691.4234889039999</v>
      </c>
      <c r="E42" s="150">
        <v>-2718.7914710251002</v>
      </c>
      <c r="F42" s="73">
        <v>-2723.2584171643002</v>
      </c>
      <c r="G42" s="84">
        <v>-2890.4694503362998</v>
      </c>
      <c r="H42" s="157">
        <v>-2998.7126442545996</v>
      </c>
    </row>
    <row r="43" spans="1:8">
      <c r="A43" s="49" t="str">
        <f>HLOOKUP(INDICE!$F$2,Nombres!$C$3:$E$853,46)</f>
        <v xml:space="preserve">  Gastos de administración</v>
      </c>
      <c r="B43" s="149">
        <v>-2362.8103599156002</v>
      </c>
      <c r="C43" s="84">
        <v>-2359.5551113021997</v>
      </c>
      <c r="D43" s="84">
        <v>-2407.1341300854001</v>
      </c>
      <c r="E43" s="150">
        <v>-2437.1337532179996</v>
      </c>
      <c r="F43" s="73">
        <v>-2436.5181489769998</v>
      </c>
      <c r="G43" s="84">
        <v>-2596.5234382801</v>
      </c>
      <c r="H43" s="157">
        <v>-2683.6119267980002</v>
      </c>
    </row>
    <row r="44" spans="1:8">
      <c r="A44" s="88" t="str">
        <f>HLOOKUP(INDICE!$F$2,Nombres!$C$3:$E$853,47)</f>
        <v xml:space="preserve">  Gastos de personal</v>
      </c>
      <c r="B44" s="149">
        <v>-1406.4798911409</v>
      </c>
      <c r="C44" s="84">
        <v>-1369.3349234540001</v>
      </c>
      <c r="D44" s="84">
        <v>-1425.0511446912999</v>
      </c>
      <c r="E44" s="150">
        <v>-1387.0429564468</v>
      </c>
      <c r="F44" s="73">
        <v>-1437.1017769501</v>
      </c>
      <c r="G44" s="84">
        <v>-1515.5274859215001</v>
      </c>
      <c r="H44" s="157">
        <v>-1539.1059888835998</v>
      </c>
    </row>
    <row r="45" spans="1:8">
      <c r="A45" s="88" t="str">
        <f>HLOOKUP(INDICE!$F$2,Nombres!$C$3:$E$853,48)</f>
        <v xml:space="preserve">  Otros gastos generales de administración</v>
      </c>
      <c r="B45" s="149">
        <v>-956.33046877469997</v>
      </c>
      <c r="C45" s="84">
        <v>-990.22018784829993</v>
      </c>
      <c r="D45" s="84">
        <v>-982.08298539409998</v>
      </c>
      <c r="E45" s="150">
        <v>-1050.0907967713001</v>
      </c>
      <c r="F45" s="73">
        <v>-999.41637202710001</v>
      </c>
      <c r="G45" s="84">
        <v>-1080.9959523586999</v>
      </c>
      <c r="H45" s="157">
        <v>-1144.5059379142999</v>
      </c>
    </row>
    <row r="46" spans="1:8" ht="13.5" customHeight="1">
      <c r="A46" s="49" t="str">
        <f>HLOOKUP(INDICE!$F$2,Nombres!$C$3:$E$853,49)</f>
        <v xml:space="preserve">  Amortizaciones</v>
      </c>
      <c r="B46" s="149">
        <v>-280.47249706449998</v>
      </c>
      <c r="C46" s="84">
        <v>-280.19705955770002</v>
      </c>
      <c r="D46" s="84">
        <v>-284.28935881860002</v>
      </c>
      <c r="E46" s="150">
        <v>-281.65771780699998</v>
      </c>
      <c r="F46" s="73">
        <v>-286.74026818710001</v>
      </c>
      <c r="G46" s="84">
        <v>-293.94601205629999</v>
      </c>
      <c r="H46" s="157">
        <v>-315.10071745660002</v>
      </c>
    </row>
    <row r="47" spans="1:8">
      <c r="A47" s="54" t="str">
        <f>HLOOKUP(INDICE!$F$2,Nombres!$C$3:$E$853,50)</f>
        <v>Margen neto</v>
      </c>
      <c r="B47" s="161">
        <v>2349.4831789795003</v>
      </c>
      <c r="C47" s="162">
        <v>2610.8359252208002</v>
      </c>
      <c r="D47" s="162">
        <v>2281.6636770303999</v>
      </c>
      <c r="E47" s="163">
        <v>2678.7539795842999</v>
      </c>
      <c r="F47" s="164">
        <v>2720.0260865255004</v>
      </c>
      <c r="G47" s="162">
        <v>2918.0107117911002</v>
      </c>
      <c r="H47" s="165">
        <v>2452.4272631761</v>
      </c>
    </row>
    <row r="48" spans="1:8">
      <c r="A48" s="49" t="str">
        <f>HLOOKUP(INDICE!$F$2,Nombres!$C$3:$E$853,51)</f>
        <v>Pérdidas por deterioro de activos financieros</v>
      </c>
      <c r="B48" s="149">
        <v>-1106.4519172286</v>
      </c>
      <c r="C48" s="84">
        <v>-1040.8002896758001</v>
      </c>
      <c r="D48" s="84">
        <v>-1072.1927753885</v>
      </c>
      <c r="E48" s="150">
        <v>-1080.7649289358999</v>
      </c>
      <c r="F48" s="73">
        <v>-1097.2227146833998</v>
      </c>
      <c r="G48" s="84">
        <v>-1066.5288370860001</v>
      </c>
      <c r="H48" s="157">
        <v>-986.92919874070003</v>
      </c>
    </row>
    <row r="49" spans="1:8" ht="12.75" customHeight="1">
      <c r="A49" s="49" t="str">
        <f>HLOOKUP(INDICE!$F$2,Nombres!$C$3:$E$853,52)</f>
        <v>Dotaciones a provisiones</v>
      </c>
      <c r="B49" s="149">
        <v>-129.5057682504</v>
      </c>
      <c r="C49" s="84">
        <v>-284.87929018889997</v>
      </c>
      <c r="D49" s="84">
        <v>-177.50859106360002</v>
      </c>
      <c r="E49" s="150">
        <v>-468.81095535869997</v>
      </c>
      <c r="F49" s="73">
        <v>-199.8765867205</v>
      </c>
      <c r="G49" s="84">
        <v>-161.52255040260002</v>
      </c>
      <c r="H49" s="157">
        <v>-175.99286286680001</v>
      </c>
    </row>
    <row r="50" spans="1:8" ht="15" customHeight="1">
      <c r="A50" s="166" t="str">
        <f>HLOOKUP(INDICE!$F$2,Nombres!$C$3:$E$853,53)</f>
        <v>Otros resultados</v>
      </c>
      <c r="B50" s="149">
        <v>-173.76414455279999</v>
      </c>
      <c r="C50" s="84">
        <v>-190.28974875380001</v>
      </c>
      <c r="D50" s="84">
        <v>-134.74489206850001</v>
      </c>
      <c r="E50" s="150">
        <v>-203.42933026739999</v>
      </c>
      <c r="F50" s="73">
        <v>-66.555622338000006</v>
      </c>
      <c r="G50" s="84">
        <v>-123.3175316735</v>
      </c>
      <c r="H50" s="157">
        <v>-128.8153465485</v>
      </c>
    </row>
    <row r="51" spans="1:8" ht="13.5" customHeight="1">
      <c r="A51" s="54" t="str">
        <f>HLOOKUP(INDICE!$F$2,Nombres!$C$3:$E$853,54)</f>
        <v>Beneficio antes de impuestos</v>
      </c>
      <c r="B51" s="161">
        <v>939.76134894779989</v>
      </c>
      <c r="C51" s="162">
        <v>1094.8665966024</v>
      </c>
      <c r="D51" s="162">
        <v>897.21741850960007</v>
      </c>
      <c r="E51" s="163">
        <v>925.74876502229995</v>
      </c>
      <c r="F51" s="164">
        <v>1356.3711627836001</v>
      </c>
      <c r="G51" s="162">
        <v>1566.6417926290001</v>
      </c>
      <c r="H51" s="165">
        <v>1160.6898550198</v>
      </c>
    </row>
    <row r="52" spans="1:8" ht="12.75" customHeight="1">
      <c r="A52" s="49" t="str">
        <f>HLOOKUP(INDICE!$F$2,Nombres!$C$3:$E$853,55)</f>
        <v>Impuesto sobre beneficios</v>
      </c>
      <c r="B52" s="149">
        <v>-242.78761512999998</v>
      </c>
      <c r="C52" s="84">
        <v>-282.78325983389999</v>
      </c>
      <c r="D52" s="84">
        <v>-225.25337620419998</v>
      </c>
      <c r="E52" s="150">
        <v>-174.01371877189999</v>
      </c>
      <c r="F52" s="73">
        <v>-355.44694229219999</v>
      </c>
      <c r="G52" s="84">
        <v>-405.65115798709996</v>
      </c>
      <c r="H52" s="157">
        <v>-254.3121732306</v>
      </c>
    </row>
    <row r="53" spans="1:8" ht="12.75" customHeight="1">
      <c r="A53" s="172" t="str">
        <f>HLOOKUP(INDICE!$F$2,Nombres!$C$3:$E$853,269)</f>
        <v>Beneficio después de impuestos de operaciones continuadas</v>
      </c>
      <c r="B53" s="173">
        <v>696.97373381780005</v>
      </c>
      <c r="C53" s="162">
        <v>812.08333676849998</v>
      </c>
      <c r="D53" s="162">
        <v>671.96404230539997</v>
      </c>
      <c r="E53" s="163">
        <v>751.73504625030012</v>
      </c>
      <c r="F53" s="164">
        <v>1000.9242204913999</v>
      </c>
      <c r="G53" s="162">
        <v>1160.9906346419</v>
      </c>
      <c r="H53" s="165">
        <v>906.37768178930003</v>
      </c>
    </row>
    <row r="54" spans="1:8" ht="12.75" customHeight="1">
      <c r="A54" s="168" t="str">
        <f>HLOOKUP(INDICE!$F$2,Nombres!$C$3:$E$853,270)</f>
        <v>Resultado de operaciones corporativas</v>
      </c>
      <c r="B54" s="158">
        <v>0</v>
      </c>
      <c r="C54" s="84">
        <v>0</v>
      </c>
      <c r="D54" s="84">
        <v>0</v>
      </c>
      <c r="E54" s="150">
        <v>0</v>
      </c>
      <c r="F54" s="73">
        <v>582.94200000000001</v>
      </c>
      <c r="G54" s="84">
        <v>144.274</v>
      </c>
      <c r="H54" s="157">
        <v>-1840.306</v>
      </c>
    </row>
    <row r="55" spans="1:8" ht="12" customHeight="1">
      <c r="A55" s="54" t="str">
        <f>HLOOKUP(INDICE!$F$2,Nombres!$C$3:$E$853,56)</f>
        <v>Beneficio después de impuestos</v>
      </c>
      <c r="B55" s="161">
        <v>696.97373381780005</v>
      </c>
      <c r="C55" s="162">
        <v>812.08333676849998</v>
      </c>
      <c r="D55" s="162">
        <v>671.96404230539997</v>
      </c>
      <c r="E55" s="163">
        <v>751.7350462503</v>
      </c>
      <c r="F55" s="164">
        <v>1583.8662204913999</v>
      </c>
      <c r="G55" s="162">
        <v>1305.2646346418999</v>
      </c>
      <c r="H55" s="165">
        <v>-933.92831821069979</v>
      </c>
    </row>
    <row r="56" spans="1:8">
      <c r="A56" s="49" t="str">
        <f>HLOOKUP(INDICE!$F$2,Nombres!$C$3:$E$853,57)</f>
        <v>Resultado atribuido a la minoría</v>
      </c>
      <c r="B56" s="149">
        <v>-79.314888431</v>
      </c>
      <c r="C56" s="84">
        <v>-88.622098670599996</v>
      </c>
      <c r="D56" s="84">
        <v>-99.2877710562</v>
      </c>
      <c r="E56" s="150">
        <v>-87.918921126499995</v>
      </c>
      <c r="F56" s="73">
        <v>-89.694724282899998</v>
      </c>
      <c r="G56" s="84">
        <v>-99.857407248499982</v>
      </c>
      <c r="H56" s="157">
        <v>-93.182889468600024</v>
      </c>
    </row>
    <row r="57" spans="1:8">
      <c r="A57" s="54" t="str">
        <f>HLOOKUP(INDICE!$F$2,Nombres!$C$3:$E$853,58)</f>
        <v>Beneficio atribuido al Grupo</v>
      </c>
      <c r="B57" s="161">
        <v>617.65884538680007</v>
      </c>
      <c r="C57" s="162">
        <v>723.46123809789992</v>
      </c>
      <c r="D57" s="162">
        <v>572.6762712492</v>
      </c>
      <c r="E57" s="163">
        <v>663.81612512380002</v>
      </c>
      <c r="F57" s="164">
        <v>1494.1714962085</v>
      </c>
      <c r="G57" s="162">
        <v>1205.4072273934999</v>
      </c>
      <c r="H57" s="165">
        <v>-1027.1112076795</v>
      </c>
    </row>
    <row r="58" spans="1:8">
      <c r="A58" s="54" t="str">
        <f>HLOOKUP(INDICE!$F$2,Nombres!$C$3:$E$853,242)</f>
        <v>Beneficio atribuido al Grupo (sin el resultado de operaciones corporativas) (**)</v>
      </c>
      <c r="B58" s="161">
        <v>617.65884538680007</v>
      </c>
      <c r="C58" s="162">
        <v>723.46123809789992</v>
      </c>
      <c r="D58" s="162">
        <v>572.6762712492</v>
      </c>
      <c r="E58" s="163">
        <v>663.81612512380002</v>
      </c>
      <c r="F58" s="164">
        <v>911.2294962085</v>
      </c>
      <c r="G58" s="162">
        <v>1061.1332273935</v>
      </c>
      <c r="H58" s="165">
        <v>813.19479232050003</v>
      </c>
    </row>
    <row r="59" spans="1:8">
      <c r="A59"/>
      <c r="C59"/>
      <c r="D59"/>
      <c r="E59"/>
    </row>
    <row r="60" spans="1:8" ht="30.75" customHeight="1">
      <c r="A60" s="251" t="str">
        <f>HLOOKUP(INDICE!$F$2,Nombres!$C$3:$E$853,289)</f>
        <v>(*) Desde el tercer trimestre de 2015, la participación total de BBVA en Garanti se consolida por el método de integración global. Para periodos anteriores, los ingresos y gastos de Garanti se integran en la proporción correspondiente al porcentaje de participación del Grupo (25,01%).</v>
      </c>
      <c r="B60" s="251"/>
      <c r="C60" s="251"/>
      <c r="D60" s="251"/>
      <c r="E60" s="251"/>
      <c r="F60" s="251"/>
      <c r="G60" s="251"/>
      <c r="H60" s="251"/>
    </row>
    <row r="61" spans="1:8" ht="46.5" customHeight="1">
      <c r="A61" s="251" t="str">
        <f>HLOOKUP(INDICE!$F$2,Nombres!$C$3:$E$853,29)</f>
        <v>(**) 2015 incorpora las plusvalías procedentes de las distintas operaciones de venta equivalentes a un 6,34% de la participación del Grupo BBVA en CNCB, el badwill generado por la operación de CX, el efecto de la puesta a valor razonable de la participación inicial del 25,01% en Garanti y el impacto procedente de la venta de la participación del 29,68% en CIFH.</v>
      </c>
      <c r="B61" s="251"/>
      <c r="C61" s="251"/>
      <c r="D61" s="251"/>
      <c r="E61" s="251"/>
      <c r="F61" s="251"/>
      <c r="G61" s="251"/>
      <c r="H61" s="251"/>
    </row>
  </sheetData>
  <mergeCells count="8">
    <mergeCell ref="A60:H60"/>
    <mergeCell ref="A61:H61"/>
    <mergeCell ref="B3:E3"/>
    <mergeCell ref="F3:H3"/>
    <mergeCell ref="B33:E33"/>
    <mergeCell ref="F33:H33"/>
    <mergeCell ref="A29:H29"/>
    <mergeCell ref="A30:H30"/>
  </mergeCells>
  <pageMargins left="0.7" right="0.7" top="0.75" bottom="0.75" header="0.3" footer="0.3"/>
  <pageSetup paperSize="9" scale="4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H106"/>
  <sheetViews>
    <sheetView showGridLines="0" topLeftCell="A76"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HLOOKUP(INDICE!$F$2,Nombres!$C$3:$E$853,186)</f>
        <v>Corporate &amp; Investment Banking</v>
      </c>
    </row>
    <row r="2" spans="1:8" ht="18">
      <c r="A2" s="144" t="str">
        <f>HLOOKUP(INDICE!$F$2,Nombres!$C$3:$E$853,93)</f>
        <v xml:space="preserve">Cuentas de resultados  </v>
      </c>
      <c r="C2" s="145"/>
      <c r="D2" s="145"/>
      <c r="E2" s="145"/>
    </row>
    <row r="3" spans="1:8">
      <c r="A3" s="41" t="str">
        <f>HLOOKUP(INDICE!$F$2,Nombres!$C$3:$E$853,30)</f>
        <v>(Millones de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369.56927440999999</v>
      </c>
      <c r="C6" s="83">
        <v>381.63450563999999</v>
      </c>
      <c r="D6" s="83">
        <v>381.67995410000003</v>
      </c>
      <c r="E6" s="148">
        <v>381.89151240000001</v>
      </c>
      <c r="F6" s="83">
        <v>341.74580070000002</v>
      </c>
      <c r="G6" s="83">
        <v>361.24870156999998</v>
      </c>
      <c r="H6" s="83">
        <v>395.66419058000002</v>
      </c>
    </row>
    <row r="7" spans="1:8">
      <c r="A7" s="49" t="str">
        <f>HLOOKUP(INDICE!$F$2,Nombres!$C$3:$E$853,39)</f>
        <v>Comisiones</v>
      </c>
      <c r="B7" s="149">
        <v>174.65282094150001</v>
      </c>
      <c r="C7" s="84">
        <v>197.30057568149999</v>
      </c>
      <c r="D7" s="84">
        <v>173.08709782150001</v>
      </c>
      <c r="E7" s="150">
        <v>182.3461059915</v>
      </c>
      <c r="F7" s="84">
        <v>186.45298887999999</v>
      </c>
      <c r="G7" s="84">
        <v>176.31341171</v>
      </c>
      <c r="H7" s="84">
        <v>160.52543505</v>
      </c>
    </row>
    <row r="8" spans="1:8">
      <c r="A8" s="49" t="str">
        <f>HLOOKUP(INDICE!$F$2,Nombres!$C$3:$E$853,40)</f>
        <v>Resultados de operaciones financieras</v>
      </c>
      <c r="B8" s="149">
        <v>251.4399071</v>
      </c>
      <c r="C8" s="84">
        <v>20.58793137</v>
      </c>
      <c r="D8" s="84">
        <v>98.331603739999991</v>
      </c>
      <c r="E8" s="150">
        <v>164.18251967</v>
      </c>
      <c r="F8" s="84">
        <v>232.68302783999999</v>
      </c>
      <c r="G8" s="84">
        <v>213.86374702000001</v>
      </c>
      <c r="H8" s="84">
        <v>76.798729810000012</v>
      </c>
    </row>
    <row r="9" spans="1:8">
      <c r="A9" s="49" t="str">
        <f>HLOOKUP(INDICE!$F$2,Nombres!$C$3:$E$853,95)</f>
        <v>Otros ingresos netos</v>
      </c>
      <c r="B9" s="149">
        <v>-5.5777410900000008</v>
      </c>
      <c r="C9" s="84">
        <v>54.309765110000001</v>
      </c>
      <c r="D9" s="84">
        <v>-1.1465682299999989</v>
      </c>
      <c r="E9" s="150">
        <v>6.3484415099999998</v>
      </c>
      <c r="F9" s="84">
        <v>15.543038119999999</v>
      </c>
      <c r="G9" s="84">
        <v>50.857175119999994</v>
      </c>
      <c r="H9" s="84">
        <v>20.029094799999999</v>
      </c>
    </row>
    <row r="10" spans="1:8">
      <c r="A10" s="54" t="str">
        <f>HLOOKUP(INDICE!$F$2,Nombres!$C$3:$E$853,44)</f>
        <v>Margen bruto</v>
      </c>
      <c r="B10" s="147">
        <v>790.08426136150001</v>
      </c>
      <c r="C10" s="83">
        <v>653.83277780150001</v>
      </c>
      <c r="D10" s="83">
        <v>651.95208743149999</v>
      </c>
      <c r="E10" s="148">
        <v>734.76857957149991</v>
      </c>
      <c r="F10" s="83">
        <v>776.42485553999995</v>
      </c>
      <c r="G10" s="83">
        <v>802.28303542000003</v>
      </c>
      <c r="H10" s="83">
        <v>653.01745024000002</v>
      </c>
    </row>
    <row r="11" spans="1:8">
      <c r="A11" s="49" t="str">
        <f>HLOOKUP(INDICE!$F$2,Nombres!$C$3:$E$853,45)</f>
        <v>Gastos de explotación</v>
      </c>
      <c r="B11" s="149">
        <v>-214.97365633999999</v>
      </c>
      <c r="C11" s="84">
        <v>-234.1146932899</v>
      </c>
      <c r="D11" s="84">
        <v>-235.96397912010002</v>
      </c>
      <c r="E11" s="150">
        <v>-234.70622934999997</v>
      </c>
      <c r="F11" s="84">
        <v>-243.00441287000001</v>
      </c>
      <c r="G11" s="84">
        <v>-247.63462511</v>
      </c>
      <c r="H11" s="84">
        <v>-246.82148120000002</v>
      </c>
    </row>
    <row r="12" spans="1:8">
      <c r="A12" s="49" t="str">
        <f>HLOOKUP(INDICE!$F$2,Nombres!$C$3:$E$853,46)</f>
        <v xml:space="preserve">  Gastos de administración</v>
      </c>
      <c r="B12" s="149">
        <v>-210.46341941000003</v>
      </c>
      <c r="C12" s="84">
        <v>-229.43908079169998</v>
      </c>
      <c r="D12" s="84">
        <v>-231.36209160829998</v>
      </c>
      <c r="E12" s="150">
        <v>-229.26306362999998</v>
      </c>
      <c r="F12" s="84">
        <v>-237.41367602999998</v>
      </c>
      <c r="G12" s="84">
        <v>-241.93516273</v>
      </c>
      <c r="H12" s="84">
        <v>-241.25439182999997</v>
      </c>
    </row>
    <row r="13" spans="1:8">
      <c r="A13" s="88" t="str">
        <f>HLOOKUP(INDICE!$F$2,Nombres!$C$3:$E$853,47)</f>
        <v xml:space="preserve">  Gastos de personal</v>
      </c>
      <c r="B13" s="149">
        <v>-117.52499076000001</v>
      </c>
      <c r="C13" s="84">
        <v>-118.71308141</v>
      </c>
      <c r="D13" s="84">
        <v>-120.56293640999999</v>
      </c>
      <c r="E13" s="150">
        <v>-117.33212075</v>
      </c>
      <c r="F13" s="84">
        <v>-124.00506576999999</v>
      </c>
      <c r="G13" s="84">
        <v>-127.84606314999999</v>
      </c>
      <c r="H13" s="84">
        <v>-123.38086464</v>
      </c>
    </row>
    <row r="14" spans="1:8">
      <c r="A14" s="88" t="str">
        <f>HLOOKUP(INDICE!$F$2,Nombres!$C$3:$E$853,48)</f>
        <v xml:space="preserve">  Otros gastos generales de administración</v>
      </c>
      <c r="B14" s="149">
        <v>-92.938428650000006</v>
      </c>
      <c r="C14" s="84">
        <v>-110.72599938170001</v>
      </c>
      <c r="D14" s="84">
        <v>-110.7991551983</v>
      </c>
      <c r="E14" s="150">
        <v>-111.93094288</v>
      </c>
      <c r="F14" s="84">
        <v>-113.40861026</v>
      </c>
      <c r="G14" s="84">
        <v>-114.08909958</v>
      </c>
      <c r="H14" s="84">
        <v>-117.87352719</v>
      </c>
    </row>
    <row r="15" spans="1:8" ht="13.5" customHeight="1">
      <c r="A15" s="49" t="str">
        <f>HLOOKUP(INDICE!$F$2,Nombres!$C$3:$E$853,49)</f>
        <v xml:space="preserve">  Amortizaciones</v>
      </c>
      <c r="B15" s="149">
        <v>-4.5102369299999996</v>
      </c>
      <c r="C15" s="84">
        <v>-4.6756124981999996</v>
      </c>
      <c r="D15" s="84">
        <v>-4.6018875117999993</v>
      </c>
      <c r="E15" s="150">
        <v>-5.4431657199999997</v>
      </c>
      <c r="F15" s="84">
        <v>-5.5907368399999999</v>
      </c>
      <c r="G15" s="84">
        <v>-5.6994623799999999</v>
      </c>
      <c r="H15" s="84">
        <v>-5.5670893699999997</v>
      </c>
    </row>
    <row r="16" spans="1:8" ht="12.75" customHeight="1">
      <c r="A16" s="54" t="str">
        <f>HLOOKUP(INDICE!$F$2,Nombres!$C$3:$E$853,50)</f>
        <v>Margen neto</v>
      </c>
      <c r="B16" s="147">
        <v>575.11060502149996</v>
      </c>
      <c r="C16" s="83">
        <v>419.71808451159995</v>
      </c>
      <c r="D16" s="83">
        <v>415.98810831140008</v>
      </c>
      <c r="E16" s="148">
        <v>500.06235022149997</v>
      </c>
      <c r="F16" s="83">
        <v>533.42044267000006</v>
      </c>
      <c r="G16" s="83">
        <v>554.64841031000003</v>
      </c>
      <c r="H16" s="83">
        <v>406.19596904000002</v>
      </c>
    </row>
    <row r="17" spans="1:8" ht="13.5" customHeight="1">
      <c r="A17" s="49" t="str">
        <f>HLOOKUP(INDICE!$F$2,Nombres!$C$3:$E$853,51)</f>
        <v>Pérdidas por deterioro de activos financieros</v>
      </c>
      <c r="B17" s="149">
        <v>-43.609875629999998</v>
      </c>
      <c r="C17" s="84">
        <v>-73.288436840000003</v>
      </c>
      <c r="D17" s="84">
        <v>-33.393868339999997</v>
      </c>
      <c r="E17" s="150">
        <v>-49.978840140000003</v>
      </c>
      <c r="F17" s="84">
        <v>-22.74455201</v>
      </c>
      <c r="G17" s="84">
        <v>-23.65797448</v>
      </c>
      <c r="H17" s="84">
        <v>-27.862377019999997</v>
      </c>
    </row>
    <row r="18" spans="1:8" ht="13.5" customHeight="1">
      <c r="A18" s="49" t="str">
        <f>HLOOKUP(INDICE!$F$2,Nombres!$C$3:$E$853,160)</f>
        <v>Dotaciones a provisiones y otros resultados</v>
      </c>
      <c r="B18" s="149">
        <v>3.18211238</v>
      </c>
      <c r="C18" s="84">
        <v>-11.565417679999999</v>
      </c>
      <c r="D18" s="84">
        <v>4.7419194399999993</v>
      </c>
      <c r="E18" s="150">
        <v>-62.008970579999996</v>
      </c>
      <c r="F18" s="84">
        <v>2.3757897699999999</v>
      </c>
      <c r="G18" s="84">
        <v>5.0742932300000003</v>
      </c>
      <c r="H18" s="84">
        <v>-7.2267240299999997</v>
      </c>
    </row>
    <row r="19" spans="1:8" ht="12.75" customHeight="1">
      <c r="A19" s="54" t="str">
        <f>HLOOKUP(INDICE!$F$2,Nombres!$C$3:$E$853,54)</f>
        <v>Beneficio antes de impuestos</v>
      </c>
      <c r="B19" s="147">
        <v>534.68284177149997</v>
      </c>
      <c r="C19" s="83">
        <v>334.86422999159998</v>
      </c>
      <c r="D19" s="83">
        <v>387.33615941139999</v>
      </c>
      <c r="E19" s="148">
        <v>388.0745395015</v>
      </c>
      <c r="F19" s="83">
        <v>513.05168043000003</v>
      </c>
      <c r="G19" s="83">
        <v>536.06472905999999</v>
      </c>
      <c r="H19" s="83">
        <v>371.10686799000001</v>
      </c>
    </row>
    <row r="20" spans="1:8" ht="13.5" customHeight="1">
      <c r="A20" s="49" t="str">
        <f>HLOOKUP(INDICE!$F$2,Nombres!$C$3:$E$853,55)</f>
        <v>Impuesto sobre beneficios</v>
      </c>
      <c r="B20" s="149">
        <v>-162.29440595</v>
      </c>
      <c r="C20" s="84">
        <v>-83.951739668000002</v>
      </c>
      <c r="D20" s="84">
        <v>-102.586090412</v>
      </c>
      <c r="E20" s="150">
        <v>-104.37973022</v>
      </c>
      <c r="F20" s="84">
        <v>-144.49103996999997</v>
      </c>
      <c r="G20" s="84">
        <v>-164.37083339</v>
      </c>
      <c r="H20" s="84">
        <v>-100.66478091</v>
      </c>
    </row>
    <row r="21" spans="1:8" ht="13.5" customHeight="1">
      <c r="A21" s="54" t="str">
        <f>HLOOKUP(INDICE!$F$2,Nombres!$C$3:$E$853,56)</f>
        <v>Beneficio después de impuestos</v>
      </c>
      <c r="B21" s="147">
        <v>372.38843582150002</v>
      </c>
      <c r="C21" s="83">
        <v>250.91249032349998</v>
      </c>
      <c r="D21" s="83">
        <v>284.75006899940001</v>
      </c>
      <c r="E21" s="148">
        <v>283.6948092815</v>
      </c>
      <c r="F21" s="83">
        <v>368.56064046000006</v>
      </c>
      <c r="G21" s="83">
        <v>371.69389566999996</v>
      </c>
      <c r="H21" s="83">
        <v>270.44208707999996</v>
      </c>
    </row>
    <row r="22" spans="1:8" ht="12" customHeight="1">
      <c r="A22" s="49" t="str">
        <f>HLOOKUP(INDICE!$F$2,Nombres!$C$3:$E$853,57)</f>
        <v>Resultado atribuido a la minoría</v>
      </c>
      <c r="B22" s="149">
        <v>-36.181165399999998</v>
      </c>
      <c r="C22" s="84">
        <v>-35.217299560000001</v>
      </c>
      <c r="D22" s="84">
        <v>-37.158635759999996</v>
      </c>
      <c r="E22" s="150">
        <v>-31.581491870000001</v>
      </c>
      <c r="F22" s="84">
        <v>-46.373860989999997</v>
      </c>
      <c r="G22" s="84">
        <v>-27.299921650000002</v>
      </c>
      <c r="H22" s="84">
        <v>-29.064548080000002</v>
      </c>
    </row>
    <row r="23" spans="1:8" ht="14.25" customHeight="1">
      <c r="A23" s="54" t="str">
        <f>HLOOKUP(INDICE!$F$2,Nombres!$C$3:$E$853,58)</f>
        <v>Beneficio atribuido al Grupo</v>
      </c>
      <c r="B23" s="147">
        <v>336.20727042149997</v>
      </c>
      <c r="C23" s="83">
        <v>215.69519076349999</v>
      </c>
      <c r="D23" s="83">
        <v>247.59143323940003</v>
      </c>
      <c r="E23" s="148">
        <v>252.11331741149999</v>
      </c>
      <c r="F23" s="83">
        <v>322.18677947000003</v>
      </c>
      <c r="G23" s="83">
        <v>344.39397402000003</v>
      </c>
      <c r="H23" s="83">
        <v>241.37753900000001</v>
      </c>
    </row>
    <row r="24" spans="1:8" ht="13.5" customHeight="1">
      <c r="A24" s="144" t="str">
        <f>HLOOKUP(INDICE!$F$2,Nombres!$C$3:$E$853,94)</f>
        <v>Balances</v>
      </c>
      <c r="F24" s="151"/>
      <c r="G24" s="74"/>
      <c r="H24" s="74"/>
    </row>
    <row r="25" spans="1:8" ht="12.75" customHeight="1">
      <c r="A25" s="41" t="str">
        <f>HLOOKUP(INDICE!$F$2,Nombres!$C$3:$E$853,30)</f>
        <v>(Millones de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2837.7695193499999</v>
      </c>
      <c r="C27" s="84">
        <v>4014.9193258400001</v>
      </c>
      <c r="D27" s="84">
        <v>4252.6760686099997</v>
      </c>
      <c r="E27" s="150">
        <v>3296.9454660000001</v>
      </c>
      <c r="F27" s="84">
        <v>3423.7565090100002</v>
      </c>
      <c r="G27" s="84">
        <v>2680.9324382700001</v>
      </c>
      <c r="H27" s="84">
        <v>4324.7318471199997</v>
      </c>
    </row>
    <row r="28" spans="1:8">
      <c r="A28" s="49" t="str">
        <f>HLOOKUP(INDICE!$F$2,Nombres!$C$3:$E$853,101)</f>
        <v>Cartera de títulos</v>
      </c>
      <c r="B28" s="149">
        <v>84630.942462909996</v>
      </c>
      <c r="C28" s="84">
        <v>88782.419838119997</v>
      </c>
      <c r="D28" s="84">
        <v>97761.375207370002</v>
      </c>
      <c r="E28" s="150">
        <v>93647.736608360006</v>
      </c>
      <c r="F28" s="84">
        <v>103224.4313574</v>
      </c>
      <c r="G28" s="84">
        <v>93237.025490309999</v>
      </c>
      <c r="H28" s="84">
        <v>94522.142983590005</v>
      </c>
    </row>
    <row r="29" spans="1:8">
      <c r="A29" s="49" t="str">
        <f>HLOOKUP(INDICE!$F$2,Nombres!$C$3:$E$853,102)</f>
        <v>Inversiones crediticias</v>
      </c>
      <c r="B29" s="149">
        <v>65180.630379839997</v>
      </c>
      <c r="C29" s="84">
        <v>72481.897013499998</v>
      </c>
      <c r="D29" s="84">
        <v>73707.270697979999</v>
      </c>
      <c r="E29" s="150">
        <v>76096.009298799996</v>
      </c>
      <c r="F29" s="84">
        <v>89074.659574439997</v>
      </c>
      <c r="G29" s="84">
        <v>81740.925944999995</v>
      </c>
      <c r="H29" s="84">
        <v>82710.239185850005</v>
      </c>
    </row>
    <row r="30" spans="1:8">
      <c r="A30" s="49" t="str">
        <f>HLOOKUP(INDICE!$F$2,Nombres!$C$3:$E$853,103)</f>
        <v xml:space="preserve">  . Crédito a la clientela neto</v>
      </c>
      <c r="B30" s="149">
        <v>48385.208483369999</v>
      </c>
      <c r="C30" s="84">
        <v>50336.296890400001</v>
      </c>
      <c r="D30" s="84">
        <v>50889.082396930004</v>
      </c>
      <c r="E30" s="150">
        <v>51841.481130209999</v>
      </c>
      <c r="F30" s="84">
        <v>57593.071613270004</v>
      </c>
      <c r="G30" s="84">
        <v>55455.48237862</v>
      </c>
      <c r="H30" s="84">
        <v>56019.159715939997</v>
      </c>
    </row>
    <row r="31" spans="1:8">
      <c r="A31" s="49" t="str">
        <f>HLOOKUP(INDICE!$F$2,Nombres!$C$3:$E$853,104)</f>
        <v xml:space="preserve">  . Depósitos en entidades de crédito y otros</v>
      </c>
      <c r="B31" s="154">
        <v>16795.421896470001</v>
      </c>
      <c r="C31" s="84">
        <v>22145.600123100001</v>
      </c>
      <c r="D31" s="84">
        <v>22818.188301049999</v>
      </c>
      <c r="E31" s="150">
        <v>24254.528168589997</v>
      </c>
      <c r="F31" s="84">
        <v>31481.58796117</v>
      </c>
      <c r="G31" s="84">
        <v>26285.44356638</v>
      </c>
      <c r="H31" s="84">
        <v>26691.079469910001</v>
      </c>
    </row>
    <row r="32" spans="1:8">
      <c r="A32" s="49" t="str">
        <f>HLOOKUP(INDICE!$F$2,Nombres!$C$3:$E$853,105)</f>
        <v>Posiciones inter-áreas activo</v>
      </c>
      <c r="B32" s="154">
        <v>0</v>
      </c>
      <c r="C32" s="84">
        <v>0</v>
      </c>
      <c r="D32" s="84">
        <v>0</v>
      </c>
      <c r="E32" s="150">
        <v>3212.2945232699858</v>
      </c>
      <c r="F32" s="84">
        <v>0</v>
      </c>
      <c r="G32" s="84">
        <v>0</v>
      </c>
      <c r="H32" s="84">
        <v>0</v>
      </c>
    </row>
    <row r="33" spans="1:8">
      <c r="A33" s="49" t="str">
        <f>HLOOKUP(INDICE!$F$2,Nombres!$C$3:$E$853,106)</f>
        <v>Activo material</v>
      </c>
      <c r="B33" s="155">
        <v>25.18688848</v>
      </c>
      <c r="C33" s="84">
        <v>24.195250949999998</v>
      </c>
      <c r="D33" s="84">
        <v>24.44187792</v>
      </c>
      <c r="E33" s="150">
        <v>23.486391009999998</v>
      </c>
      <c r="F33" s="84">
        <v>56.207336640000001</v>
      </c>
      <c r="G33" s="84">
        <v>51.412600949999998</v>
      </c>
      <c r="H33" s="84">
        <v>45.837746660000001</v>
      </c>
    </row>
    <row r="34" spans="1:8">
      <c r="A34" s="49" t="str">
        <f>HLOOKUP(INDICE!$F$2,Nombres!$C$3:$E$853,107)</f>
        <v>Otros activos</v>
      </c>
      <c r="B34" s="149">
        <v>3443.8550486099998</v>
      </c>
      <c r="C34" s="84">
        <v>4277.4789705599997</v>
      </c>
      <c r="D34" s="84">
        <v>4859.5907338999996</v>
      </c>
      <c r="E34" s="150">
        <v>3424.0292084100001</v>
      </c>
      <c r="F34" s="84">
        <v>4967.5563592999997</v>
      </c>
      <c r="G34" s="84">
        <v>3045.3015775499998</v>
      </c>
      <c r="H34" s="84">
        <v>3647.4020643700001</v>
      </c>
    </row>
    <row r="35" spans="1:8">
      <c r="A35" s="54" t="str">
        <f>HLOOKUP(INDICE!$F$2,Nombres!$C$3:$E$853,108)</f>
        <v>Total activo / pasivo</v>
      </c>
      <c r="B35" s="147">
        <v>156118.38429919002</v>
      </c>
      <c r="C35" s="83">
        <v>169580.91039897001</v>
      </c>
      <c r="D35" s="83">
        <v>180605.35458578001</v>
      </c>
      <c r="E35" s="148">
        <v>179700.50149585001</v>
      </c>
      <c r="F35" s="83">
        <v>200746.61113679002</v>
      </c>
      <c r="G35" s="83">
        <v>180755.59805207996</v>
      </c>
      <c r="H35" s="83">
        <v>185250.35382759004</v>
      </c>
    </row>
    <row r="36" spans="1:8">
      <c r="A36" s="49" t="str">
        <f>HLOOKUP(INDICE!$F$2,Nombres!$C$3:$E$853,109)</f>
        <v>Depósitos de bancos centrales y entidades de crédito</v>
      </c>
      <c r="B36" s="149">
        <v>53983.139548489999</v>
      </c>
      <c r="C36" s="84">
        <v>56591.791860099998</v>
      </c>
      <c r="D36" s="84">
        <v>48304.274698629997</v>
      </c>
      <c r="E36" s="150">
        <v>59923.349326080002</v>
      </c>
      <c r="F36" s="84">
        <v>51685.629066349997</v>
      </c>
      <c r="G36" s="84">
        <v>55401.781529690001</v>
      </c>
      <c r="H36" s="84">
        <v>58818.451672329997</v>
      </c>
    </row>
    <row r="37" spans="1:8">
      <c r="A37" s="49" t="str">
        <f>HLOOKUP(INDICE!$F$2,Nombres!$C$3:$E$853,110)</f>
        <v>Depósitos de la clientela</v>
      </c>
      <c r="B37" s="149">
        <v>38836.472312049998</v>
      </c>
      <c r="C37" s="84">
        <v>45518.920433270003</v>
      </c>
      <c r="D37" s="84">
        <v>49723.782417859999</v>
      </c>
      <c r="E37" s="150">
        <v>51295.150555840002</v>
      </c>
      <c r="F37" s="84">
        <v>58461.940923609996</v>
      </c>
      <c r="G37" s="84">
        <v>51363.655208750002</v>
      </c>
      <c r="H37" s="84">
        <v>52692.865091890002</v>
      </c>
    </row>
    <row r="38" spans="1:8">
      <c r="A38" s="49" t="str">
        <f>HLOOKUP(INDICE!$F$2,Nombres!$C$3:$E$853,111)</f>
        <v>Débitos representados por valores negociables</v>
      </c>
      <c r="B38" s="149">
        <v>-66.612595119999995</v>
      </c>
      <c r="C38" s="84">
        <v>-69.751269730000004</v>
      </c>
      <c r="D38" s="84">
        <v>17.66093931</v>
      </c>
      <c r="E38" s="150">
        <v>-8.6853063699999993</v>
      </c>
      <c r="F38" s="84">
        <v>-18.770195149999999</v>
      </c>
      <c r="G38" s="84">
        <v>1587.5534669599999</v>
      </c>
      <c r="H38" s="84">
        <v>1608.98233048</v>
      </c>
    </row>
    <row r="39" spans="1:8" ht="13.5" customHeight="1">
      <c r="A39" s="49" t="str">
        <f>HLOOKUP(INDICE!$F$2,Nombres!$C$3:$E$853,112)</f>
        <v>Pasivos subordinados</v>
      </c>
      <c r="B39" s="149">
        <v>1298.20459914</v>
      </c>
      <c r="C39" s="84">
        <v>1258.59857704</v>
      </c>
      <c r="D39" s="84">
        <v>1273.9599268699999</v>
      </c>
      <c r="E39" s="150">
        <v>1513.8720601499999</v>
      </c>
      <c r="F39" s="84">
        <v>1875.35027799</v>
      </c>
      <c r="G39" s="84">
        <v>1663.1377182399999</v>
      </c>
      <c r="H39" s="84">
        <v>1912.90613661</v>
      </c>
    </row>
    <row r="40" spans="1:8" ht="13.5" customHeight="1">
      <c r="A40" s="49" t="str">
        <f>HLOOKUP(INDICE!$F$2,Nombres!$C$3:$E$853,113)</f>
        <v>Posiciones inter-áreas pasivo</v>
      </c>
      <c r="B40" s="149">
        <v>4744.3598391599953</v>
      </c>
      <c r="C40" s="84">
        <v>5679.6358708800108</v>
      </c>
      <c r="D40" s="84">
        <v>12776.315457360004</v>
      </c>
      <c r="E40" s="150">
        <v>0</v>
      </c>
      <c r="F40" s="84">
        <v>12080.533193280047</v>
      </c>
      <c r="G40" s="84">
        <v>5263.891991589946</v>
      </c>
      <c r="H40" s="84">
        <v>4296.1997680000204</v>
      </c>
    </row>
    <row r="41" spans="1:8">
      <c r="A41" s="49" t="str">
        <f>HLOOKUP(INDICE!$F$2,Nombres!$C$3:$E$853,114)</f>
        <v>Cartera de negociación</v>
      </c>
      <c r="B41" s="149">
        <v>49550.279945330003</v>
      </c>
      <c r="C41" s="84">
        <v>52035.12982432</v>
      </c>
      <c r="D41" s="84">
        <v>59215.289155450002</v>
      </c>
      <c r="E41" s="150">
        <v>57331.619962960001</v>
      </c>
      <c r="F41" s="84">
        <v>67361.873540560002</v>
      </c>
      <c r="G41" s="84">
        <v>56571.931987180003</v>
      </c>
      <c r="H41" s="84">
        <v>57503.874029010003</v>
      </c>
    </row>
    <row r="42" spans="1:8">
      <c r="A42" s="49" t="str">
        <f>HLOOKUP(INDICE!$F$2,Nombres!$C$3:$E$853,115)</f>
        <v>Otros pasivos</v>
      </c>
      <c r="B42" s="149">
        <v>3678.1056683900001</v>
      </c>
      <c r="C42" s="84">
        <v>4451.2234913599996</v>
      </c>
      <c r="D42" s="84">
        <v>5289.6487473199995</v>
      </c>
      <c r="E42" s="150">
        <v>5569.6842607300005</v>
      </c>
      <c r="F42" s="84">
        <v>5110.7055001500012</v>
      </c>
      <c r="G42" s="84">
        <v>4744.9668396699999</v>
      </c>
      <c r="H42" s="84">
        <v>4411.7657996300004</v>
      </c>
    </row>
    <row r="43" spans="1:8" ht="12.75" customHeight="1">
      <c r="A43" s="49" t="str">
        <f>HLOOKUP(INDICE!$F$2,Nombres!$C$3:$E$853,116)</f>
        <v>Dotación de capital económico</v>
      </c>
      <c r="B43" s="149">
        <v>4094.4349817500001</v>
      </c>
      <c r="C43" s="84">
        <v>4115.3616117299998</v>
      </c>
      <c r="D43" s="84">
        <v>4004.4232429799999</v>
      </c>
      <c r="E43" s="150">
        <v>4075.5106364600001</v>
      </c>
      <c r="F43" s="84">
        <v>4189.3488299999999</v>
      </c>
      <c r="G43" s="84">
        <v>4158.6793100000004</v>
      </c>
      <c r="H43" s="84">
        <v>4005.3089996399999</v>
      </c>
    </row>
    <row r="44" spans="1:8" ht="15" customHeight="1">
      <c r="A44" s="144" t="str">
        <f>HLOOKUP(INDICE!$F$2,Nombres!$C$3:$E$853,117)</f>
        <v>Indicadores relevantes</v>
      </c>
      <c r="F44" s="151"/>
      <c r="G44" s="74"/>
      <c r="H44" s="74"/>
    </row>
    <row r="45" spans="1:8" ht="13.5" customHeight="1">
      <c r="A45" s="144" t="str">
        <f>HLOOKUP(INDICE!$F$2,Nombres!$C$3:$E$853,201)</f>
        <v>Anexo:</v>
      </c>
      <c r="F45" s="151"/>
      <c r="G45" s="74"/>
      <c r="H45" s="74"/>
    </row>
    <row r="46" spans="1:8" ht="12.75" customHeight="1">
      <c r="A46" s="41" t="str">
        <f>HLOOKUP(INDICE!$F$2,Nombres!$C$3:$E$853,30)</f>
        <v>(Millones de euros)</v>
      </c>
      <c r="B46" s="81">
        <v>41729</v>
      </c>
      <c r="C46" s="82">
        <v>41820</v>
      </c>
      <c r="D46" s="82">
        <v>41912</v>
      </c>
      <c r="E46" s="82">
        <v>42004</v>
      </c>
      <c r="F46" s="81">
        <v>42094</v>
      </c>
      <c r="G46" s="82">
        <v>42185</v>
      </c>
      <c r="H46" s="82">
        <v>42277</v>
      </c>
    </row>
    <row r="47" spans="1:8" ht="12" customHeight="1">
      <c r="A47" s="49" t="str">
        <f>HLOOKUP(INDICE!$F$2,Nombres!$C$3:$E$853,118)</f>
        <v>Crédito a la clientela bruto (*)</v>
      </c>
      <c r="B47" s="149">
        <v>43968.006875389998</v>
      </c>
      <c r="C47" s="84">
        <v>44728.776245799992</v>
      </c>
      <c r="D47" s="84">
        <v>46536.469824109998</v>
      </c>
      <c r="E47" s="150">
        <v>46522.842240179998</v>
      </c>
      <c r="F47" s="84">
        <v>52473.400809680003</v>
      </c>
      <c r="G47" s="84">
        <v>49889.245579370006</v>
      </c>
      <c r="H47" s="84">
        <v>51080.547366769999</v>
      </c>
    </row>
    <row r="48" spans="1:8">
      <c r="A48" s="49" t="str">
        <f>HLOOKUP(INDICE!$F$2,Nombres!$C$3:$E$853,121)</f>
        <v>Depósitos de clientes en gestión (**)</v>
      </c>
      <c r="B48" s="149">
        <v>28436.286860339998</v>
      </c>
      <c r="C48" s="84">
        <v>31260.126133999998</v>
      </c>
      <c r="D48" s="84">
        <v>35035.123289019997</v>
      </c>
      <c r="E48" s="150">
        <v>35875.399541530001</v>
      </c>
      <c r="F48" s="84">
        <v>39205.412798220001</v>
      </c>
      <c r="G48" s="84">
        <v>36204.828920699998</v>
      </c>
      <c r="H48" s="84">
        <v>37629.991478409996</v>
      </c>
    </row>
    <row r="49" spans="1:8">
      <c r="A49" s="49" t="str">
        <f>HLOOKUP(INDICE!$F$2,Nombres!$C$3:$E$853,122)</f>
        <v>Fondos de inversión</v>
      </c>
      <c r="B49" s="149">
        <v>984.15680462</v>
      </c>
      <c r="C49" s="84">
        <v>766.18384184000001</v>
      </c>
      <c r="D49" s="84">
        <v>1050.2220777699999</v>
      </c>
      <c r="E49" s="150">
        <v>1093.05987207</v>
      </c>
      <c r="F49" s="84">
        <v>1313.55450025</v>
      </c>
      <c r="G49" s="84">
        <v>1332.2498067700001</v>
      </c>
      <c r="H49" s="84">
        <v>1245.54572691</v>
      </c>
    </row>
    <row r="50" spans="1:8">
      <c r="A50" s="49" t="str">
        <f>HLOOKUP(INDICE!$F$2,Nombres!$C$3:$E$853,206)</f>
        <v>Fondos de pensiones</v>
      </c>
      <c r="B50" s="149">
        <v>2.9688200000000001E-3</v>
      </c>
      <c r="C50" s="84">
        <v>3.1363799999999998E-3</v>
      </c>
      <c r="D50" s="84">
        <v>3.2584699999999999E-3</v>
      </c>
      <c r="E50" s="150">
        <v>3.45058E-3</v>
      </c>
      <c r="F50" s="84">
        <v>1.87477E-3</v>
      </c>
      <c r="G50" s="84">
        <v>1.9164900000000001E-3</v>
      </c>
      <c r="H50" s="84">
        <v>2.0409999999999998E-3</v>
      </c>
    </row>
    <row r="51" spans="1:8">
      <c r="A51" s="49" t="str">
        <f>HLOOKUP(INDICE!$F$2,Nombres!$C$3:$E$853,308)</f>
        <v>Otros recursos fuera de balance</v>
      </c>
      <c r="B51" s="149">
        <v>147.05311003</v>
      </c>
      <c r="C51" s="84">
        <v>279.57450075000003</v>
      </c>
      <c r="D51" s="84">
        <v>338.93600941</v>
      </c>
      <c r="E51" s="150">
        <v>307.15349709999998</v>
      </c>
      <c r="F51" s="84">
        <v>204.87604551000001</v>
      </c>
      <c r="G51" s="84">
        <v>181.38586973</v>
      </c>
      <c r="H51" s="84">
        <v>102.25150806000001</v>
      </c>
    </row>
    <row r="52" spans="1:8">
      <c r="A52" s="156" t="str">
        <f>HLOOKUP(INDICE!$F$2,Nombres!$C$3:$E$853,307)</f>
        <v>(*) No incluye las adquisiciones temporales de activos.</v>
      </c>
      <c r="B52" s="157"/>
      <c r="C52" s="84"/>
      <c r="D52" s="84"/>
      <c r="E52" s="84"/>
      <c r="F52" s="84"/>
      <c r="G52" s="84"/>
      <c r="H52" s="84"/>
    </row>
    <row r="53" spans="1:8">
      <c r="A53" s="156" t="str">
        <f>HLOOKUP(INDICE!$F$2,Nombres!$C$3:$E$853,285)</f>
        <v>(**) No incluye las cesiones temporales de activos.</v>
      </c>
      <c r="C53"/>
      <c r="D53"/>
      <c r="E53"/>
    </row>
    <row r="54" spans="1:8" ht="18">
      <c r="A54" s="144" t="str">
        <f>HLOOKUP(INDICE!$F$2,Nombres!$C$3:$E$853,93)</f>
        <v xml:space="preserve">Cuentas de resultados  </v>
      </c>
      <c r="C54" s="145"/>
      <c r="D54" s="145"/>
      <c r="E54" s="145"/>
      <c r="G54" s="74"/>
      <c r="H54" s="74"/>
    </row>
    <row r="55" spans="1:8">
      <c r="A55" s="41" t="str">
        <f>HLOOKUP(INDICE!$F$2,Nombres!$C$3:$E$853,31)</f>
        <v>(Millones de euros constantes)</v>
      </c>
      <c r="C55" s="145"/>
      <c r="D55" s="145"/>
      <c r="E55" s="145"/>
      <c r="G55" s="74"/>
      <c r="H55" s="74"/>
    </row>
    <row r="56" spans="1:8">
      <c r="A56" s="146"/>
      <c r="B56" s="252">
        <v>2014</v>
      </c>
      <c r="C56" s="252"/>
      <c r="D56" s="252"/>
      <c r="E56" s="252"/>
      <c r="F56" s="253">
        <v>2015</v>
      </c>
      <c r="G56" s="254"/>
      <c r="H56" s="254"/>
    </row>
    <row r="57" spans="1:8">
      <c r="A57" s="146"/>
      <c r="B57" s="146" t="str">
        <f>HLOOKUP(INDICE!$F$2,Nombres!$C$3:$E$857,34)</f>
        <v>1er Trim.</v>
      </c>
      <c r="C57" s="146" t="str">
        <f>HLOOKUP(INDICE!$F$2,Nombres!$C$3:$E$857,35)</f>
        <v>2º Trim.</v>
      </c>
      <c r="D57" s="146" t="str">
        <f>HLOOKUP(INDICE!$F$2,Nombres!$C$3:$E$857,36)</f>
        <v>3er Trim.</v>
      </c>
      <c r="E57" s="146" t="str">
        <f>HLOOKUP(INDICE!$F$2,Nombres!$C$3:$E$857,37)</f>
        <v>4º Trim.</v>
      </c>
      <c r="F57" s="146" t="str">
        <f>HLOOKUP(INDICE!$F$2,Nombres!$C$3:$E$857,34)</f>
        <v>1er Trim.</v>
      </c>
      <c r="G57" s="146" t="str">
        <f>HLOOKUP(INDICE!$F$2,Nombres!$C$3:$E$857,35)</f>
        <v>2º Trim.</v>
      </c>
      <c r="H57" s="146" t="str">
        <f>HLOOKUP(INDICE!$F$2,Nombres!$C$3:$E$857,36)</f>
        <v>3er Trim.</v>
      </c>
    </row>
    <row r="58" spans="1:8">
      <c r="A58" s="54" t="str">
        <f>HLOOKUP(INDICE!$F$2,Nombres!$C$3:$E$853,38)</f>
        <v>Margen de intereses</v>
      </c>
      <c r="B58" s="147">
        <v>344.88864813949999</v>
      </c>
      <c r="C58" s="83">
        <v>344.49504123179997</v>
      </c>
      <c r="D58" s="83">
        <v>343.25091010860001</v>
      </c>
      <c r="E58" s="148">
        <v>340.99192200639999</v>
      </c>
      <c r="F58" s="54">
        <v>337.68341177830001</v>
      </c>
      <c r="G58" s="54">
        <v>357.31513550609998</v>
      </c>
      <c r="H58" s="54">
        <v>403.66014556549999</v>
      </c>
    </row>
    <row r="59" spans="1:8">
      <c r="A59" s="49" t="str">
        <f>HLOOKUP(INDICE!$F$2,Nombres!$C$3:$E$853,39)</f>
        <v>Comisiones</v>
      </c>
      <c r="B59" s="149">
        <v>180.93952060909999</v>
      </c>
      <c r="C59" s="84">
        <v>201.8572884088</v>
      </c>
      <c r="D59" s="84">
        <v>173.83163341470001</v>
      </c>
      <c r="E59" s="150">
        <v>182.45061376180001</v>
      </c>
      <c r="F59" s="73">
        <v>184.85960941249999</v>
      </c>
      <c r="G59" s="73">
        <v>174.67106644260002</v>
      </c>
      <c r="H59" s="73">
        <v>163.7611597849</v>
      </c>
    </row>
    <row r="60" spans="1:8">
      <c r="A60" s="49" t="str">
        <f>HLOOKUP(INDICE!$F$2,Nombres!$C$3:$E$853,40)</f>
        <v>Resultados de operaciones financieras</v>
      </c>
      <c r="B60" s="149">
        <v>232.5899580949</v>
      </c>
      <c r="C60" s="84">
        <v>28.833161197300001</v>
      </c>
      <c r="D60" s="84">
        <v>93.451206187099984</v>
      </c>
      <c r="E60" s="150">
        <v>167.19570755640001</v>
      </c>
      <c r="F60" s="73">
        <v>229.18009741509999</v>
      </c>
      <c r="G60" s="73">
        <v>213.7803540008</v>
      </c>
      <c r="H60" s="73">
        <v>80.385053253899997</v>
      </c>
    </row>
    <row r="61" spans="1:8" ht="17.25" customHeight="1">
      <c r="A61" s="49" t="str">
        <f>HLOOKUP(INDICE!$F$2,Nombres!$C$3:$E$853,95)</f>
        <v>Otros ingresos netos</v>
      </c>
      <c r="B61" s="149">
        <v>3.8446896901000005</v>
      </c>
      <c r="C61" s="84">
        <v>65.786958780800006</v>
      </c>
      <c r="D61" s="84">
        <v>9.9820251841999994</v>
      </c>
      <c r="E61" s="150">
        <v>19.544216819700001</v>
      </c>
      <c r="F61" s="73">
        <v>15.8456443866</v>
      </c>
      <c r="G61" s="73">
        <v>51.082590347100002</v>
      </c>
      <c r="H61" s="73">
        <v>19.5010733063</v>
      </c>
    </row>
    <row r="62" spans="1:8" ht="15.75" customHeight="1">
      <c r="A62" s="54" t="str">
        <f>HLOOKUP(INDICE!$F$2,Nombres!$C$3:$E$853,44)</f>
        <v>Margen bruto</v>
      </c>
      <c r="B62" s="147">
        <v>762.26281653370006</v>
      </c>
      <c r="C62" s="83">
        <v>640.97244961889999</v>
      </c>
      <c r="D62" s="83">
        <v>620.51577489450005</v>
      </c>
      <c r="E62" s="148">
        <v>710.18246014440001</v>
      </c>
      <c r="F62" s="54">
        <v>767.56876299269993</v>
      </c>
      <c r="G62" s="54">
        <v>796.84914629669993</v>
      </c>
      <c r="H62" s="54">
        <v>667.30743191080001</v>
      </c>
    </row>
    <row r="63" spans="1:8">
      <c r="A63" s="49" t="str">
        <f>HLOOKUP(INDICE!$F$2,Nombres!$C$3:$E$853,45)</f>
        <v>Gastos de explotación</v>
      </c>
      <c r="B63" s="149">
        <v>-218.63532859010002</v>
      </c>
      <c r="C63" s="84">
        <v>-238.28688621660001</v>
      </c>
      <c r="D63" s="84">
        <v>-235.71721089929997</v>
      </c>
      <c r="E63" s="150">
        <v>-230.5687315701</v>
      </c>
      <c r="F63" s="73">
        <v>-241.09557754029998</v>
      </c>
      <c r="G63" s="73">
        <v>-246.06176764999998</v>
      </c>
      <c r="H63" s="73">
        <v>-250.30317398969999</v>
      </c>
    </row>
    <row r="64" spans="1:8">
      <c r="A64" s="49" t="str">
        <f>HLOOKUP(INDICE!$F$2,Nombres!$C$3:$E$853,46)</f>
        <v xml:space="preserve">  Gastos de administración</v>
      </c>
      <c r="B64" s="149">
        <v>-213.80413864709999</v>
      </c>
      <c r="C64" s="84">
        <v>-233.31958588970002</v>
      </c>
      <c r="D64" s="84">
        <v>-231.08244336299998</v>
      </c>
      <c r="E64" s="150">
        <v>-225.12975379469998</v>
      </c>
      <c r="F64" s="73">
        <v>-235.62564780819997</v>
      </c>
      <c r="G64" s="73">
        <v>-240.4441331809</v>
      </c>
      <c r="H64" s="73">
        <v>-244.5334496008</v>
      </c>
    </row>
    <row r="65" spans="1:8">
      <c r="A65" s="88" t="str">
        <f>HLOOKUP(INDICE!$F$2,Nombres!$C$3:$E$853,47)</f>
        <v xml:space="preserve">  Gastos de personal</v>
      </c>
      <c r="B65" s="149">
        <v>-122.20384421080001</v>
      </c>
      <c r="C65" s="84">
        <v>-123.03390314560001</v>
      </c>
      <c r="D65" s="84">
        <v>-122.4697621089</v>
      </c>
      <c r="E65" s="150">
        <v>-117.51891466200001</v>
      </c>
      <c r="F65" s="73">
        <v>-123.14610668890001</v>
      </c>
      <c r="G65" s="73">
        <v>-127.24283329130002</v>
      </c>
      <c r="H65" s="73">
        <v>-124.8430535797</v>
      </c>
    </row>
    <row r="66" spans="1:8">
      <c r="A66" s="88" t="str">
        <f>HLOOKUP(INDICE!$F$2,Nombres!$C$3:$E$853,48)</f>
        <v xml:space="preserve">  Otros gastos generales de administración</v>
      </c>
      <c r="B66" s="149">
        <v>-91.600294436200002</v>
      </c>
      <c r="C66" s="84">
        <v>-110.285682744</v>
      </c>
      <c r="D66" s="84">
        <v>-108.61268125410001</v>
      </c>
      <c r="E66" s="150">
        <v>-107.61083913270001</v>
      </c>
      <c r="F66" s="73">
        <v>-112.47954111940001</v>
      </c>
      <c r="G66" s="73">
        <v>-113.20129988959999</v>
      </c>
      <c r="H66" s="73">
        <v>-119.690396021</v>
      </c>
    </row>
    <row r="67" spans="1:8" ht="13.5" customHeight="1">
      <c r="A67" s="49" t="str">
        <f>HLOOKUP(INDICE!$F$2,Nombres!$C$3:$E$853,49)</f>
        <v xml:space="preserve">  Amortizaciones</v>
      </c>
      <c r="B67" s="149">
        <v>-4.831189943</v>
      </c>
      <c r="C67" s="84">
        <v>-4.9673003268000002</v>
      </c>
      <c r="D67" s="84">
        <v>-4.6347675363</v>
      </c>
      <c r="E67" s="150">
        <v>-5.4389777754999997</v>
      </c>
      <c r="F67" s="73">
        <v>-5.4699297318999998</v>
      </c>
      <c r="G67" s="73">
        <v>-5.6176344691000004</v>
      </c>
      <c r="H67" s="73">
        <v>-5.7697243887999994</v>
      </c>
    </row>
    <row r="68" spans="1:8" ht="14.25" customHeight="1">
      <c r="A68" s="54" t="str">
        <f>HLOOKUP(INDICE!$F$2,Nombres!$C$3:$E$853,50)</f>
        <v>Margen neto</v>
      </c>
      <c r="B68" s="147">
        <v>543.62748794370009</v>
      </c>
      <c r="C68" s="83">
        <v>402.68556340220005</v>
      </c>
      <c r="D68" s="83">
        <v>384.79856399519997</v>
      </c>
      <c r="E68" s="148">
        <v>479.61372857420002</v>
      </c>
      <c r="F68" s="54">
        <v>526.4731854524</v>
      </c>
      <c r="G68" s="54">
        <v>550.78737864649997</v>
      </c>
      <c r="H68" s="54">
        <v>417.00425792110002</v>
      </c>
    </row>
    <row r="69" spans="1:8">
      <c r="A69" s="49" t="str">
        <f>HLOOKUP(INDICE!$F$2,Nombres!$C$3:$E$853,51)</f>
        <v>Pérdidas por deterioro de activos financieros</v>
      </c>
      <c r="B69" s="149">
        <v>-41.658736634199997</v>
      </c>
      <c r="C69" s="84">
        <v>-73.253394693100006</v>
      </c>
      <c r="D69" s="84">
        <v>-30.730595323299998</v>
      </c>
      <c r="E69" s="150">
        <v>-52.888449832099994</v>
      </c>
      <c r="F69" s="73">
        <v>-22.762320916499998</v>
      </c>
      <c r="G69" s="73">
        <v>-23.399016169999999</v>
      </c>
      <c r="H69" s="73">
        <v>-28.103566423299998</v>
      </c>
    </row>
    <row r="70" spans="1:8" ht="16.5" customHeight="1">
      <c r="A70" s="49" t="str">
        <f>HLOOKUP(INDICE!$F$2,Nombres!$C$3:$E$853,160)</f>
        <v>Dotaciones a provisiones y otros resultados</v>
      </c>
      <c r="B70" s="149">
        <v>6.2320382077999996</v>
      </c>
      <c r="C70" s="84">
        <v>-10.3797012471</v>
      </c>
      <c r="D70" s="84">
        <v>6.9357596202999998</v>
      </c>
      <c r="E70" s="150">
        <v>-63.3253192154</v>
      </c>
      <c r="F70" s="73">
        <v>2.4039480075000004</v>
      </c>
      <c r="G70" s="73">
        <v>5.0344433190000011</v>
      </c>
      <c r="H70" s="73">
        <v>-7.2150323566000001</v>
      </c>
    </row>
    <row r="71" spans="1:8" ht="12.75" customHeight="1">
      <c r="A71" s="54" t="str">
        <f>HLOOKUP(INDICE!$F$2,Nombres!$C$3:$E$853,54)</f>
        <v>Beneficio antes de impuestos</v>
      </c>
      <c r="B71" s="147">
        <v>508.20078951710002</v>
      </c>
      <c r="C71" s="83">
        <v>319.05246746190005</v>
      </c>
      <c r="D71" s="83">
        <v>361.00372829230002</v>
      </c>
      <c r="E71" s="148">
        <v>363.3999595267</v>
      </c>
      <c r="F71" s="54">
        <v>506.11481254340003</v>
      </c>
      <c r="G71" s="54">
        <v>532.4228057954</v>
      </c>
      <c r="H71" s="54">
        <v>381.68565914110002</v>
      </c>
    </row>
    <row r="72" spans="1:8" ht="13.5" customHeight="1">
      <c r="A72" s="49" t="str">
        <f>HLOOKUP(INDICE!$F$2,Nombres!$C$3:$E$853,55)</f>
        <v>Impuesto sobre beneficios</v>
      </c>
      <c r="B72" s="149">
        <v>-152.4967298805</v>
      </c>
      <c r="C72" s="84">
        <v>-91.538966121499996</v>
      </c>
      <c r="D72" s="84">
        <v>-97.829882485499994</v>
      </c>
      <c r="E72" s="150">
        <v>-104.5991896023</v>
      </c>
      <c r="F72" s="73">
        <v>-142.7366702464</v>
      </c>
      <c r="G72" s="73">
        <v>-162.90766121760001</v>
      </c>
      <c r="H72" s="73">
        <v>-103.88232280600002</v>
      </c>
    </row>
    <row r="73" spans="1:8" ht="12.75" customHeight="1">
      <c r="A73" s="54" t="str">
        <f>HLOOKUP(INDICE!$F$2,Nombres!$C$3:$E$853,56)</f>
        <v>Beneficio después de impuestos</v>
      </c>
      <c r="B73" s="147">
        <v>355.70405963679997</v>
      </c>
      <c r="C73" s="83">
        <v>227.51350134040001</v>
      </c>
      <c r="D73" s="83">
        <v>263.17384580680005</v>
      </c>
      <c r="E73" s="148">
        <v>258.8007699245</v>
      </c>
      <c r="F73" s="54">
        <v>363.37814229720004</v>
      </c>
      <c r="G73" s="54">
        <v>369.51514457780002</v>
      </c>
      <c r="H73" s="54">
        <v>277.80333633520002</v>
      </c>
    </row>
    <row r="74" spans="1:8" ht="12.75" customHeight="1">
      <c r="A74" s="49" t="str">
        <f>HLOOKUP(INDICE!$F$2,Nombres!$C$3:$E$853,57)</f>
        <v>Resultado atribuido a la minoría</v>
      </c>
      <c r="B74" s="149">
        <v>-24.6795023781</v>
      </c>
      <c r="C74" s="84">
        <v>-22.825605360699999</v>
      </c>
      <c r="D74" s="84">
        <v>-26.6242635264</v>
      </c>
      <c r="E74" s="150">
        <v>-19.477227737</v>
      </c>
      <c r="F74" s="73">
        <v>-45.012839236799998</v>
      </c>
      <c r="G74" s="73">
        <v>-27.582892442599999</v>
      </c>
      <c r="H74" s="73">
        <v>-30.142599040500002</v>
      </c>
    </row>
    <row r="75" spans="1:8" ht="15" customHeight="1">
      <c r="A75" s="54" t="str">
        <f>HLOOKUP(INDICE!$F$2,Nombres!$C$3:$E$853,58)</f>
        <v>Beneficio atribuido al Grupo</v>
      </c>
      <c r="B75" s="147">
        <v>331.0245572586</v>
      </c>
      <c r="C75" s="83">
        <v>204.68789597969999</v>
      </c>
      <c r="D75" s="83">
        <v>236.54958228040002</v>
      </c>
      <c r="E75" s="148">
        <v>239.32354218739999</v>
      </c>
      <c r="F75" s="54">
        <v>318.36530306029999</v>
      </c>
      <c r="G75" s="54">
        <v>341.93225213530002</v>
      </c>
      <c r="H75" s="54">
        <v>247.66073729459998</v>
      </c>
    </row>
    <row r="76" spans="1:8" ht="15.75" customHeight="1">
      <c r="A76" s="144" t="str">
        <f>HLOOKUP(INDICE!$F$2,Nombres!$C$3:$E$853,94)</f>
        <v>Balances</v>
      </c>
      <c r="G76" s="74"/>
      <c r="H76" s="74"/>
    </row>
    <row r="77" spans="1:8">
      <c r="A77" s="41" t="str">
        <f>HLOOKUP(INDICE!$F$2,Nombres!$C$3:$E$853,31)</f>
        <v>(Millones de euros constantes)</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Caja y depósitos en bancos centrales</v>
      </c>
      <c r="B79" s="149">
        <v>2433.5483957701999</v>
      </c>
      <c r="C79" s="84">
        <v>3485.1192175656001</v>
      </c>
      <c r="D79" s="84">
        <v>3510.4674798359001</v>
      </c>
      <c r="E79" s="150">
        <v>2394.7058044189998</v>
      </c>
      <c r="F79" s="158">
        <v>3039.7762123277998</v>
      </c>
      <c r="G79" s="84">
        <v>2652.8632113139001</v>
      </c>
      <c r="H79" s="84">
        <v>4324.7318471199997</v>
      </c>
    </row>
    <row r="80" spans="1:8">
      <c r="A80" s="49" t="str">
        <f>HLOOKUP(INDICE!$F$2,Nombres!$C$3:$E$853,101)</f>
        <v>Cartera de títulos</v>
      </c>
      <c r="B80" s="149">
        <v>83436.809274910396</v>
      </c>
      <c r="C80" s="84">
        <v>87168.059711672002</v>
      </c>
      <c r="D80" s="84">
        <v>95510.446261577803</v>
      </c>
      <c r="E80" s="150">
        <v>92428.503372429695</v>
      </c>
      <c r="F80" s="158">
        <v>100533.7098054385</v>
      </c>
      <c r="G80" s="84">
        <v>91561.338082005197</v>
      </c>
      <c r="H80" s="84">
        <v>94522.142983590005</v>
      </c>
    </row>
    <row r="81" spans="1:8">
      <c r="A81" s="49" t="str">
        <f>HLOOKUP(INDICE!$F$2,Nombres!$C$3:$E$853,102)</f>
        <v>Inversiones crediticias</v>
      </c>
      <c r="B81" s="149">
        <v>66014.745307703502</v>
      </c>
      <c r="C81" s="84">
        <v>72949.301321220293</v>
      </c>
      <c r="D81" s="84">
        <v>73043.502684729698</v>
      </c>
      <c r="E81" s="150">
        <v>75669.776439346606</v>
      </c>
      <c r="F81" s="158">
        <v>85776.355736920799</v>
      </c>
      <c r="G81" s="84">
        <v>80261.844386965298</v>
      </c>
      <c r="H81" s="84">
        <v>82710.239185850005</v>
      </c>
    </row>
    <row r="82" spans="1:8">
      <c r="A82" s="49" t="str">
        <f>HLOOKUP(INDICE!$F$2,Nombres!$C$3:$E$853,103)</f>
        <v xml:space="preserve">  . Crédito a la clientela neto</v>
      </c>
      <c r="B82" s="149">
        <v>48907.276114625798</v>
      </c>
      <c r="C82" s="84">
        <v>50521.977563806002</v>
      </c>
      <c r="D82" s="84">
        <v>50167.8920632437</v>
      </c>
      <c r="E82" s="150">
        <v>51349.959387937299</v>
      </c>
      <c r="F82" s="158">
        <v>54937.113419668</v>
      </c>
      <c r="G82" s="84">
        <v>54167.047476346401</v>
      </c>
      <c r="H82" s="84">
        <v>56019.159715939997</v>
      </c>
    </row>
    <row r="83" spans="1:8">
      <c r="A83" s="49" t="str">
        <f>HLOOKUP(INDICE!$F$2,Nombres!$C$3:$E$853,104)</f>
        <v xml:space="preserve">  . Depósitos en entidades de crédito y otros</v>
      </c>
      <c r="B83" s="149">
        <v>17107.469193077701</v>
      </c>
      <c r="C83" s="84">
        <v>22427.323757414299</v>
      </c>
      <c r="D83" s="84">
        <v>22875.610621486001</v>
      </c>
      <c r="E83" s="150">
        <v>24319.8170514093</v>
      </c>
      <c r="F83" s="158">
        <v>30839.2423172528</v>
      </c>
      <c r="G83" s="84">
        <v>26094.796910618799</v>
      </c>
      <c r="H83" s="84">
        <v>26691.079469910001</v>
      </c>
    </row>
    <row r="84" spans="1:8">
      <c r="A84" s="49" t="str">
        <f>HLOOKUP(INDICE!$F$2,Nombres!$C$3:$E$853,105)</f>
        <v>Posiciones inter-áreas activo</v>
      </c>
      <c r="B84" s="149">
        <v>0</v>
      </c>
      <c r="C84" s="84">
        <v>0</v>
      </c>
      <c r="D84" s="84">
        <v>0</v>
      </c>
      <c r="E84" s="150">
        <v>226.53218050842406</v>
      </c>
      <c r="F84" s="158">
        <v>0</v>
      </c>
      <c r="G84" s="84">
        <v>0</v>
      </c>
      <c r="H84" s="84">
        <v>0</v>
      </c>
    </row>
    <row r="85" spans="1:8">
      <c r="A85" s="49" t="str">
        <f>HLOOKUP(INDICE!$F$2,Nombres!$C$3:$E$853,106)</f>
        <v>Activo material</v>
      </c>
      <c r="B85" s="149">
        <v>26.770901613300001</v>
      </c>
      <c r="C85" s="84">
        <v>25.5080933337</v>
      </c>
      <c r="D85" s="84">
        <v>24.7880249426</v>
      </c>
      <c r="E85" s="150">
        <v>23.787662330100002</v>
      </c>
      <c r="F85" s="158">
        <v>50.958125953100001</v>
      </c>
      <c r="G85" s="84">
        <v>48.840825504599998</v>
      </c>
      <c r="H85" s="84">
        <v>45.837746660000001</v>
      </c>
    </row>
    <row r="86" spans="1:8">
      <c r="A86" s="49" t="str">
        <f>HLOOKUP(INDICE!$F$2,Nombres!$C$3:$E$853,107)</f>
        <v>Otros activos</v>
      </c>
      <c r="B86" s="149">
        <v>3452.4854173895001</v>
      </c>
      <c r="C86" s="84">
        <v>4236.0660374764002</v>
      </c>
      <c r="D86" s="84">
        <v>4821.6434020101997</v>
      </c>
      <c r="E86" s="150">
        <v>3356.7874963286999</v>
      </c>
      <c r="F86" s="158">
        <v>4759.3192385913999</v>
      </c>
      <c r="G86" s="84">
        <v>2942.7725524963998</v>
      </c>
      <c r="H86" s="84">
        <v>3647.4020643700001</v>
      </c>
    </row>
    <row r="87" spans="1:8">
      <c r="A87" s="54" t="str">
        <f>HLOOKUP(INDICE!$F$2,Nombres!$C$3:$E$853,108)</f>
        <v>Total activo / pasivo</v>
      </c>
      <c r="B87" s="147">
        <v>155364.35929738698</v>
      </c>
      <c r="C87" s="83">
        <v>167864.05438126801</v>
      </c>
      <c r="D87" s="83">
        <v>176910.8478530962</v>
      </c>
      <c r="E87" s="148">
        <v>174100.09295536243</v>
      </c>
      <c r="F87" s="147">
        <v>194160.11911923159</v>
      </c>
      <c r="G87" s="83">
        <v>177467.6590582853</v>
      </c>
      <c r="H87" s="83">
        <v>185250.35382759004</v>
      </c>
    </row>
    <row r="88" spans="1:8">
      <c r="A88" s="49" t="str">
        <f>HLOOKUP(INDICE!$F$2,Nombres!$C$3:$E$853,109)</f>
        <v>Depósitos de bancos centrales y entidades de crédito</v>
      </c>
      <c r="B88" s="149">
        <v>53585.788946169501</v>
      </c>
      <c r="C88" s="84">
        <v>55668.318019743398</v>
      </c>
      <c r="D88" s="84">
        <v>46987.302334522203</v>
      </c>
      <c r="E88" s="150">
        <v>59073.7269425337</v>
      </c>
      <c r="F88" s="158">
        <v>50133.400643415298</v>
      </c>
      <c r="G88" s="84">
        <v>54283.022639026502</v>
      </c>
      <c r="H88" s="84">
        <v>58818.451672329997</v>
      </c>
    </row>
    <row r="89" spans="1:8">
      <c r="A89" s="49" t="str">
        <f>HLOOKUP(INDICE!$F$2,Nombres!$C$3:$E$853,110)</f>
        <v>Depósitos de la clientela</v>
      </c>
      <c r="B89" s="149">
        <v>35843.940655094797</v>
      </c>
      <c r="C89" s="84">
        <v>42447.591671353097</v>
      </c>
      <c r="D89" s="84">
        <v>45531.276757122701</v>
      </c>
      <c r="E89" s="150">
        <v>46927.878575977702</v>
      </c>
      <c r="F89" s="158">
        <v>56740.524343688099</v>
      </c>
      <c r="G89" s="84">
        <v>50618.808222699503</v>
      </c>
      <c r="H89" s="84">
        <v>52692.865091890002</v>
      </c>
    </row>
    <row r="90" spans="1:8">
      <c r="A90" s="49" t="str">
        <f>HLOOKUP(INDICE!$F$2,Nombres!$C$3:$E$853,111)</f>
        <v>Débitos representados por valores negociables</v>
      </c>
      <c r="B90" s="149">
        <v>-65.441983905900003</v>
      </c>
      <c r="C90" s="84">
        <v>-67.8017652188</v>
      </c>
      <c r="D90" s="84">
        <v>17.692093770300001</v>
      </c>
      <c r="E90" s="150">
        <v>-9.4807505060999997</v>
      </c>
      <c r="F90" s="158">
        <v>-23.585513885000001</v>
      </c>
      <c r="G90" s="84">
        <v>1585.6255429365999</v>
      </c>
      <c r="H90" s="84">
        <v>1608.98233048</v>
      </c>
    </row>
    <row r="91" spans="1:8">
      <c r="A91" s="49" t="str">
        <f>HLOOKUP(INDICE!$F$2,Nombres!$C$3:$E$853,112)</f>
        <v>Pasivos subordinados</v>
      </c>
      <c r="B91" s="149">
        <v>1268.8072176839</v>
      </c>
      <c r="C91" s="84">
        <v>1221.0199278028001</v>
      </c>
      <c r="D91" s="84">
        <v>1208.6383366753</v>
      </c>
      <c r="E91" s="150">
        <v>1466.3326742715001</v>
      </c>
      <c r="F91" s="158">
        <v>1704.907488391</v>
      </c>
      <c r="G91" s="84">
        <v>1579.6799162308</v>
      </c>
      <c r="H91" s="84">
        <v>1912.90613661</v>
      </c>
    </row>
    <row r="92" spans="1:8">
      <c r="A92" s="49" t="str">
        <f>HLOOKUP(INDICE!$F$2,Nombres!$C$3:$E$853,113)</f>
        <v>Posiciones inter-áreas pasivo</v>
      </c>
      <c r="B92" s="149">
        <v>7656.3706803790701</v>
      </c>
      <c r="C92" s="84">
        <v>8341.6609353536041</v>
      </c>
      <c r="D92" s="84">
        <v>15185.739161937294</v>
      </c>
      <c r="E92" s="150">
        <v>0</v>
      </c>
      <c r="F92" s="158">
        <v>10110.800527804007</v>
      </c>
      <c r="G92" s="84">
        <v>4540.7815970761876</v>
      </c>
      <c r="H92" s="84">
        <v>4296.1997680000204</v>
      </c>
    </row>
    <row r="93" spans="1:8">
      <c r="A93" s="49" t="str">
        <f>HLOOKUP(INDICE!$F$2,Nombres!$C$3:$E$853,114)</f>
        <v>Cartera de negociación</v>
      </c>
      <c r="B93" s="149">
        <v>49368.932207799597</v>
      </c>
      <c r="C93" s="84">
        <v>51824.833924177699</v>
      </c>
      <c r="D93" s="84">
        <v>58923.080948214403</v>
      </c>
      <c r="E93" s="150">
        <v>57229.565349791803</v>
      </c>
      <c r="F93" s="158">
        <v>66629.5145378218</v>
      </c>
      <c r="G93" s="84">
        <v>56174.572750000603</v>
      </c>
      <c r="H93" s="84">
        <v>57503.874029010003</v>
      </c>
    </row>
    <row r="94" spans="1:8">
      <c r="A94" s="49" t="str">
        <f>HLOOKUP(INDICE!$F$2,Nombres!$C$3:$E$853,115)</f>
        <v>Otros pasivos</v>
      </c>
      <c r="B94" s="149">
        <v>3652.8647838806</v>
      </c>
      <c r="C94" s="84">
        <v>4379.6481481023002</v>
      </c>
      <c r="D94" s="84">
        <v>5189.7959509481007</v>
      </c>
      <c r="E94" s="150">
        <v>5455.4555437247991</v>
      </c>
      <c r="F94" s="158">
        <v>4890.4409118625999</v>
      </c>
      <c r="G94" s="84">
        <v>4638.6152627138999</v>
      </c>
      <c r="H94" s="84">
        <v>4411.7657996300004</v>
      </c>
    </row>
    <row r="95" spans="1:8" ht="12" customHeight="1">
      <c r="A95" s="49" t="str">
        <f>HLOOKUP(INDICE!$F$2,Nombres!$C$3:$E$853,116)</f>
        <v>Dotación de capital económico</v>
      </c>
      <c r="B95" s="149">
        <v>4053.0967902852999</v>
      </c>
      <c r="C95" s="84">
        <v>4048.7835199537999</v>
      </c>
      <c r="D95" s="84">
        <v>3867.3222699059002</v>
      </c>
      <c r="E95" s="150">
        <v>3956.6146195690999</v>
      </c>
      <c r="F95" s="158">
        <v>3974.1161801338999</v>
      </c>
      <c r="G95" s="84">
        <v>4046.5531276011998</v>
      </c>
      <c r="H95" s="84">
        <v>4005.3089996399999</v>
      </c>
    </row>
    <row r="96" spans="1:8" ht="12" customHeight="1">
      <c r="A96" s="144" t="str">
        <f>HLOOKUP(INDICE!$F$2,Nombres!$C$3:$E$853,117)</f>
        <v>Indicadores relevantes</v>
      </c>
      <c r="G96" s="74"/>
      <c r="H96" s="74"/>
    </row>
    <row r="97" spans="1:8" ht="18">
      <c r="A97" s="144" t="str">
        <f>HLOOKUP(INDICE!$F$2,Nombres!$C$3:$E$853,201)</f>
        <v>Anexo:</v>
      </c>
      <c r="G97" s="74"/>
      <c r="H97" s="74"/>
    </row>
    <row r="98" spans="1:8" ht="12" customHeight="1">
      <c r="A98" s="41" t="str">
        <f>HLOOKUP(INDICE!$F$2,Nombres!$C$3:$E$853,31)</f>
        <v>(Millones de euros constantes)</v>
      </c>
      <c r="G98" s="74"/>
      <c r="H98" s="74"/>
    </row>
    <row r="99" spans="1:8" ht="11.25" customHeight="1">
      <c r="A99" s="153"/>
      <c r="B99" s="81">
        <v>41729</v>
      </c>
      <c r="C99" s="82">
        <v>41820</v>
      </c>
      <c r="D99" s="82">
        <v>41912</v>
      </c>
      <c r="E99" s="82">
        <v>42004</v>
      </c>
      <c r="F99" s="81">
        <v>42094</v>
      </c>
      <c r="G99" s="82">
        <v>42185</v>
      </c>
      <c r="H99" s="82">
        <v>42277</v>
      </c>
    </row>
    <row r="100" spans="1:8">
      <c r="A100" s="49" t="str">
        <f>HLOOKUP(INDICE!$F$2,Nombres!$C$3:$E$853,118)</f>
        <v>Crédito a la clientela bruto (*)</v>
      </c>
      <c r="B100" s="155">
        <v>44523.067397717903</v>
      </c>
      <c r="C100" s="157">
        <v>44914.212428452302</v>
      </c>
      <c r="D100" s="157">
        <v>45804.5467367983</v>
      </c>
      <c r="E100" s="157">
        <v>46030.723111863597</v>
      </c>
      <c r="F100" s="155">
        <v>49819.711713511002</v>
      </c>
      <c r="G100" s="157">
        <v>48620.855117187697</v>
      </c>
      <c r="H100" s="157">
        <v>51080.547366769999</v>
      </c>
    </row>
    <row r="101" spans="1:8">
      <c r="A101" s="49" t="str">
        <f>HLOOKUP(INDICE!$F$2,Nombres!$C$3:$E$853,121)</f>
        <v>Depósitos de clientes en gestión (**)</v>
      </c>
      <c r="B101" s="155">
        <v>25483.772748629501</v>
      </c>
      <c r="C101" s="157">
        <v>28253.9646609831</v>
      </c>
      <c r="D101" s="157">
        <v>30931.3657671951</v>
      </c>
      <c r="E101" s="157">
        <v>31562.258625578899</v>
      </c>
      <c r="F101" s="155">
        <v>37602.081619756398</v>
      </c>
      <c r="G101" s="157">
        <v>35552.869043680803</v>
      </c>
      <c r="H101" s="157">
        <v>37629.991478409996</v>
      </c>
    </row>
    <row r="102" spans="1:8">
      <c r="A102" s="49" t="str">
        <f>HLOOKUP(INDICE!$F$2,Nombres!$C$3:$E$853,122)</f>
        <v>Fondos de inversión</v>
      </c>
      <c r="B102" s="155">
        <v>950.43308877059997</v>
      </c>
      <c r="C102" s="157">
        <v>739.861624484</v>
      </c>
      <c r="D102" s="157">
        <v>1008.7997283788</v>
      </c>
      <c r="E102" s="157">
        <v>1045.4795377841999</v>
      </c>
      <c r="F102" s="155">
        <v>1166.0290452807001</v>
      </c>
      <c r="G102" s="157">
        <v>1248.5188260381001</v>
      </c>
      <c r="H102" s="157">
        <v>1245.54572691</v>
      </c>
    </row>
    <row r="103" spans="1:8">
      <c r="A103" s="49" t="str">
        <f>HLOOKUP(INDICE!$F$2,Nombres!$C$3:$E$853,206)</f>
        <v>Fondos de pensiones</v>
      </c>
      <c r="B103" s="154">
        <v>2.9688200000000001E-3</v>
      </c>
      <c r="C103" s="84">
        <v>3.1363799999999998E-3</v>
      </c>
      <c r="D103" s="84">
        <v>3.2584699999999999E-3</v>
      </c>
      <c r="E103" s="84">
        <v>3.45058E-3</v>
      </c>
      <c r="F103" s="154">
        <v>1.87477E-3</v>
      </c>
      <c r="G103" s="84">
        <v>1.9164900000000001E-3</v>
      </c>
      <c r="H103" s="84">
        <v>2.0409999999999998E-3</v>
      </c>
    </row>
    <row r="104" spans="1:8">
      <c r="A104" s="49" t="str">
        <f>HLOOKUP(INDICE!$F$2,Nombres!$C$3:$E$853,308)</f>
        <v>Otros recursos fuera de balance</v>
      </c>
      <c r="B104" s="154">
        <v>139.6791750788</v>
      </c>
      <c r="C104" s="84">
        <v>261.02923945399999</v>
      </c>
      <c r="D104" s="84">
        <v>303.93197147799998</v>
      </c>
      <c r="E104" s="84">
        <v>289.27972744239997</v>
      </c>
      <c r="F104" s="154">
        <v>178.73675648369999</v>
      </c>
      <c r="G104" s="84">
        <v>167.85180185870001</v>
      </c>
      <c r="H104" s="84">
        <v>102.25150806000001</v>
      </c>
    </row>
    <row r="105" spans="1:8">
      <c r="A105" s="156" t="str">
        <f>HLOOKUP(INDICE!$F$2,Nombres!$C$3:$E$853,307)</f>
        <v>(*) No incluye las adquisiciones temporales de activos.</v>
      </c>
      <c r="B105" s="72"/>
      <c r="C105" s="73"/>
      <c r="D105" s="73"/>
      <c r="E105" s="73"/>
      <c r="F105" s="73"/>
    </row>
    <row r="106" spans="1:8">
      <c r="A106" s="156" t="str">
        <f>HLOOKUP(INDICE!$F$2,Nombres!$C$3:$E$853,285)</f>
        <v>(**) No incluye las cesiones temporales de activos.</v>
      </c>
      <c r="B106" s="72"/>
      <c r="C106" s="73"/>
      <c r="D106" s="73"/>
      <c r="E106" s="73"/>
      <c r="F106" s="73"/>
    </row>
  </sheetData>
  <mergeCells count="4">
    <mergeCell ref="B4:E4"/>
    <mergeCell ref="F4:H4"/>
    <mergeCell ref="B56:E56"/>
    <mergeCell ref="F56:H56"/>
  </mergeCells>
  <pageMargins left="0.7" right="0.7" top="0.75" bottom="0.75" header="0.3" footer="0.3"/>
  <pageSetup paperSize="9" scale="5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K21"/>
  <sheetViews>
    <sheetView showGridLines="0" workbookViewId="0">
      <selection activeCell="A20" sqref="A20"/>
    </sheetView>
  </sheetViews>
  <sheetFormatPr baseColWidth="10" defaultColWidth="12.5703125" defaultRowHeight="12.75"/>
  <cols>
    <col min="1" max="1" width="39.42578125" style="39" customWidth="1"/>
    <col min="2" max="7" width="10.5703125" style="39" customWidth="1"/>
    <col min="8" max="255" width="12.5703125" style="39"/>
    <col min="256" max="256" width="39.42578125" style="39" customWidth="1"/>
    <col min="257" max="262" width="10.5703125" style="39" customWidth="1"/>
    <col min="263" max="263" width="12.5703125" style="39"/>
    <col min="264" max="264" width="10.7109375" style="39" customWidth="1"/>
    <col min="265" max="511" width="12.5703125" style="39"/>
    <col min="512" max="512" width="39.42578125" style="39" customWidth="1"/>
    <col min="513" max="518" width="10.5703125" style="39" customWidth="1"/>
    <col min="519" max="519" width="12.5703125" style="39"/>
    <col min="520" max="520" width="10.7109375" style="39" customWidth="1"/>
    <col min="521" max="767" width="12.5703125" style="39"/>
    <col min="768" max="768" width="39.42578125" style="39" customWidth="1"/>
    <col min="769" max="774" width="10.5703125" style="39" customWidth="1"/>
    <col min="775" max="775" width="12.5703125" style="39"/>
    <col min="776" max="776" width="10.7109375" style="39" customWidth="1"/>
    <col min="777" max="1023" width="12.5703125" style="39"/>
    <col min="1024" max="1024" width="39.42578125" style="39" customWidth="1"/>
    <col min="1025" max="1030" width="10.5703125" style="39" customWidth="1"/>
    <col min="1031" max="1031" width="12.5703125" style="39"/>
    <col min="1032" max="1032" width="10.7109375" style="39" customWidth="1"/>
    <col min="1033" max="1279" width="12.5703125" style="39"/>
    <col min="1280" max="1280" width="39.42578125" style="39" customWidth="1"/>
    <col min="1281" max="1286" width="10.5703125" style="39" customWidth="1"/>
    <col min="1287" max="1287" width="12.5703125" style="39"/>
    <col min="1288" max="1288" width="10.7109375" style="39" customWidth="1"/>
    <col min="1289" max="1535" width="12.5703125" style="39"/>
    <col min="1536" max="1536" width="39.42578125" style="39" customWidth="1"/>
    <col min="1537" max="1542" width="10.5703125" style="39" customWidth="1"/>
    <col min="1543" max="1543" width="12.5703125" style="39"/>
    <col min="1544" max="1544" width="10.7109375" style="39" customWidth="1"/>
    <col min="1545" max="1791" width="12.5703125" style="39"/>
    <col min="1792" max="1792" width="39.42578125" style="39" customWidth="1"/>
    <col min="1793" max="1798" width="10.5703125" style="39" customWidth="1"/>
    <col min="1799" max="1799" width="12.5703125" style="39"/>
    <col min="1800" max="1800" width="10.7109375" style="39" customWidth="1"/>
    <col min="1801" max="2047" width="12.5703125" style="39"/>
    <col min="2048" max="2048" width="39.42578125" style="39" customWidth="1"/>
    <col min="2049" max="2054" width="10.5703125" style="39" customWidth="1"/>
    <col min="2055" max="2055" width="12.5703125" style="39"/>
    <col min="2056" max="2056" width="10.7109375" style="39" customWidth="1"/>
    <col min="2057" max="2303" width="12.5703125" style="39"/>
    <col min="2304" max="2304" width="39.42578125" style="39" customWidth="1"/>
    <col min="2305" max="2310" width="10.5703125" style="39" customWidth="1"/>
    <col min="2311" max="2311" width="12.5703125" style="39"/>
    <col min="2312" max="2312" width="10.7109375" style="39" customWidth="1"/>
    <col min="2313" max="2559" width="12.5703125" style="39"/>
    <col min="2560" max="2560" width="39.42578125" style="39" customWidth="1"/>
    <col min="2561" max="2566" width="10.5703125" style="39" customWidth="1"/>
    <col min="2567" max="2567" width="12.5703125" style="39"/>
    <col min="2568" max="2568" width="10.7109375" style="39" customWidth="1"/>
    <col min="2569" max="2815" width="12.5703125" style="39"/>
    <col min="2816" max="2816" width="39.42578125" style="39" customWidth="1"/>
    <col min="2817" max="2822" width="10.5703125" style="39" customWidth="1"/>
    <col min="2823" max="2823" width="12.5703125" style="39"/>
    <col min="2824" max="2824" width="10.7109375" style="39" customWidth="1"/>
    <col min="2825" max="3071" width="12.5703125" style="39"/>
    <col min="3072" max="3072" width="39.42578125" style="39" customWidth="1"/>
    <col min="3073" max="3078" width="10.5703125" style="39" customWidth="1"/>
    <col min="3079" max="3079" width="12.5703125" style="39"/>
    <col min="3080" max="3080" width="10.7109375" style="39" customWidth="1"/>
    <col min="3081" max="3327" width="12.5703125" style="39"/>
    <col min="3328" max="3328" width="39.42578125" style="39" customWidth="1"/>
    <col min="3329" max="3334" width="10.5703125" style="39" customWidth="1"/>
    <col min="3335" max="3335" width="12.5703125" style="39"/>
    <col min="3336" max="3336" width="10.7109375" style="39" customWidth="1"/>
    <col min="3337" max="3583" width="12.5703125" style="39"/>
    <col min="3584" max="3584" width="39.42578125" style="39" customWidth="1"/>
    <col min="3585" max="3590" width="10.5703125" style="39" customWidth="1"/>
    <col min="3591" max="3591" width="12.5703125" style="39"/>
    <col min="3592" max="3592" width="10.7109375" style="39" customWidth="1"/>
    <col min="3593" max="3839" width="12.5703125" style="39"/>
    <col min="3840" max="3840" width="39.42578125" style="39" customWidth="1"/>
    <col min="3841" max="3846" width="10.5703125" style="39" customWidth="1"/>
    <col min="3847" max="3847" width="12.5703125" style="39"/>
    <col min="3848" max="3848" width="10.7109375" style="39" customWidth="1"/>
    <col min="3849" max="4095" width="12.5703125" style="39"/>
    <col min="4096" max="4096" width="39.42578125" style="39" customWidth="1"/>
    <col min="4097" max="4102" width="10.5703125" style="39" customWidth="1"/>
    <col min="4103" max="4103" width="12.5703125" style="39"/>
    <col min="4104" max="4104" width="10.7109375" style="39" customWidth="1"/>
    <col min="4105" max="4351" width="12.5703125" style="39"/>
    <col min="4352" max="4352" width="39.42578125" style="39" customWidth="1"/>
    <col min="4353" max="4358" width="10.5703125" style="39" customWidth="1"/>
    <col min="4359" max="4359" width="12.5703125" style="39"/>
    <col min="4360" max="4360" width="10.7109375" style="39" customWidth="1"/>
    <col min="4361" max="4607" width="12.5703125" style="39"/>
    <col min="4608" max="4608" width="39.42578125" style="39" customWidth="1"/>
    <col min="4609" max="4614" width="10.5703125" style="39" customWidth="1"/>
    <col min="4615" max="4615" width="12.5703125" style="39"/>
    <col min="4616" max="4616" width="10.7109375" style="39" customWidth="1"/>
    <col min="4617" max="4863" width="12.5703125" style="39"/>
    <col min="4864" max="4864" width="39.42578125" style="39" customWidth="1"/>
    <col min="4865" max="4870" width="10.5703125" style="39" customWidth="1"/>
    <col min="4871" max="4871" width="12.5703125" style="39"/>
    <col min="4872" max="4872" width="10.7109375" style="39" customWidth="1"/>
    <col min="4873" max="5119" width="12.5703125" style="39"/>
    <col min="5120" max="5120" width="39.42578125" style="39" customWidth="1"/>
    <col min="5121" max="5126" width="10.5703125" style="39" customWidth="1"/>
    <col min="5127" max="5127" width="12.5703125" style="39"/>
    <col min="5128" max="5128" width="10.7109375" style="39" customWidth="1"/>
    <col min="5129" max="5375" width="12.5703125" style="39"/>
    <col min="5376" max="5376" width="39.42578125" style="39" customWidth="1"/>
    <col min="5377" max="5382" width="10.5703125" style="39" customWidth="1"/>
    <col min="5383" max="5383" width="12.5703125" style="39"/>
    <col min="5384" max="5384" width="10.7109375" style="39" customWidth="1"/>
    <col min="5385" max="5631" width="12.5703125" style="39"/>
    <col min="5632" max="5632" width="39.42578125" style="39" customWidth="1"/>
    <col min="5633" max="5638" width="10.5703125" style="39" customWidth="1"/>
    <col min="5639" max="5639" width="12.5703125" style="39"/>
    <col min="5640" max="5640" width="10.7109375" style="39" customWidth="1"/>
    <col min="5641" max="5887" width="12.5703125" style="39"/>
    <col min="5888" max="5888" width="39.42578125" style="39" customWidth="1"/>
    <col min="5889" max="5894" width="10.5703125" style="39" customWidth="1"/>
    <col min="5895" max="5895" width="12.5703125" style="39"/>
    <col min="5896" max="5896" width="10.7109375" style="39" customWidth="1"/>
    <col min="5897" max="6143" width="12.5703125" style="39"/>
    <col min="6144" max="6144" width="39.42578125" style="39" customWidth="1"/>
    <col min="6145" max="6150" width="10.5703125" style="39" customWidth="1"/>
    <col min="6151" max="6151" width="12.5703125" style="39"/>
    <col min="6152" max="6152" width="10.7109375" style="39" customWidth="1"/>
    <col min="6153" max="6399" width="12.5703125" style="39"/>
    <col min="6400" max="6400" width="39.42578125" style="39" customWidth="1"/>
    <col min="6401" max="6406" width="10.5703125" style="39" customWidth="1"/>
    <col min="6407" max="6407" width="12.5703125" style="39"/>
    <col min="6408" max="6408" width="10.7109375" style="39" customWidth="1"/>
    <col min="6409" max="6655" width="12.5703125" style="39"/>
    <col min="6656" max="6656" width="39.42578125" style="39" customWidth="1"/>
    <col min="6657" max="6662" width="10.5703125" style="39" customWidth="1"/>
    <col min="6663" max="6663" width="12.5703125" style="39"/>
    <col min="6664" max="6664" width="10.7109375" style="39" customWidth="1"/>
    <col min="6665" max="6911" width="12.5703125" style="39"/>
    <col min="6912" max="6912" width="39.42578125" style="39" customWidth="1"/>
    <col min="6913" max="6918" width="10.5703125" style="39" customWidth="1"/>
    <col min="6919" max="6919" width="12.5703125" style="39"/>
    <col min="6920" max="6920" width="10.7109375" style="39" customWidth="1"/>
    <col min="6921" max="7167" width="12.5703125" style="39"/>
    <col min="7168" max="7168" width="39.42578125" style="39" customWidth="1"/>
    <col min="7169" max="7174" width="10.5703125" style="39" customWidth="1"/>
    <col min="7175" max="7175" width="12.5703125" style="39"/>
    <col min="7176" max="7176" width="10.7109375" style="39" customWidth="1"/>
    <col min="7177" max="7423" width="12.5703125" style="39"/>
    <col min="7424" max="7424" width="39.42578125" style="39" customWidth="1"/>
    <col min="7425" max="7430" width="10.5703125" style="39" customWidth="1"/>
    <col min="7431" max="7431" width="12.5703125" style="39"/>
    <col min="7432" max="7432" width="10.7109375" style="39" customWidth="1"/>
    <col min="7433" max="7679" width="12.5703125" style="39"/>
    <col min="7680" max="7680" width="39.42578125" style="39" customWidth="1"/>
    <col min="7681" max="7686" width="10.5703125" style="39" customWidth="1"/>
    <col min="7687" max="7687" width="12.5703125" style="39"/>
    <col min="7688" max="7688" width="10.7109375" style="39" customWidth="1"/>
    <col min="7689" max="7935" width="12.5703125" style="39"/>
    <col min="7936" max="7936" width="39.42578125" style="39" customWidth="1"/>
    <col min="7937" max="7942" width="10.5703125" style="39" customWidth="1"/>
    <col min="7943" max="7943" width="12.5703125" style="39"/>
    <col min="7944" max="7944" width="10.7109375" style="39" customWidth="1"/>
    <col min="7945" max="8191" width="12.5703125" style="39"/>
    <col min="8192" max="8192" width="39.42578125" style="39" customWidth="1"/>
    <col min="8193" max="8198" width="10.5703125" style="39" customWidth="1"/>
    <col min="8199" max="8199" width="12.5703125" style="39"/>
    <col min="8200" max="8200" width="10.7109375" style="39" customWidth="1"/>
    <col min="8201" max="8447" width="12.5703125" style="39"/>
    <col min="8448" max="8448" width="39.42578125" style="39" customWidth="1"/>
    <col min="8449" max="8454" width="10.5703125" style="39" customWidth="1"/>
    <col min="8455" max="8455" width="12.5703125" style="39"/>
    <col min="8456" max="8456" width="10.7109375" style="39" customWidth="1"/>
    <col min="8457" max="8703" width="12.5703125" style="39"/>
    <col min="8704" max="8704" width="39.42578125" style="39" customWidth="1"/>
    <col min="8705" max="8710" width="10.5703125" style="39" customWidth="1"/>
    <col min="8711" max="8711" width="12.5703125" style="39"/>
    <col min="8712" max="8712" width="10.7109375" style="39" customWidth="1"/>
    <col min="8713" max="8959" width="12.5703125" style="39"/>
    <col min="8960" max="8960" width="39.42578125" style="39" customWidth="1"/>
    <col min="8961" max="8966" width="10.5703125" style="39" customWidth="1"/>
    <col min="8967" max="8967" width="12.5703125" style="39"/>
    <col min="8968" max="8968" width="10.7109375" style="39" customWidth="1"/>
    <col min="8969" max="9215" width="12.5703125" style="39"/>
    <col min="9216" max="9216" width="39.42578125" style="39" customWidth="1"/>
    <col min="9217" max="9222" width="10.5703125" style="39" customWidth="1"/>
    <col min="9223" max="9223" width="12.5703125" style="39"/>
    <col min="9224" max="9224" width="10.7109375" style="39" customWidth="1"/>
    <col min="9225" max="9471" width="12.5703125" style="39"/>
    <col min="9472" max="9472" width="39.42578125" style="39" customWidth="1"/>
    <col min="9473" max="9478" width="10.5703125" style="39" customWidth="1"/>
    <col min="9479" max="9479" width="12.5703125" style="39"/>
    <col min="9480" max="9480" width="10.7109375" style="39" customWidth="1"/>
    <col min="9481" max="9727" width="12.5703125" style="39"/>
    <col min="9728" max="9728" width="39.42578125" style="39" customWidth="1"/>
    <col min="9729" max="9734" width="10.5703125" style="39" customWidth="1"/>
    <col min="9735" max="9735" width="12.5703125" style="39"/>
    <col min="9736" max="9736" width="10.7109375" style="39" customWidth="1"/>
    <col min="9737" max="9983" width="12.5703125" style="39"/>
    <col min="9984" max="9984" width="39.42578125" style="39" customWidth="1"/>
    <col min="9985" max="9990" width="10.5703125" style="39" customWidth="1"/>
    <col min="9991" max="9991" width="12.5703125" style="39"/>
    <col min="9992" max="9992" width="10.7109375" style="39" customWidth="1"/>
    <col min="9993" max="10239" width="12.5703125" style="39"/>
    <col min="10240" max="10240" width="39.42578125" style="39" customWidth="1"/>
    <col min="10241" max="10246" width="10.5703125" style="39" customWidth="1"/>
    <col min="10247" max="10247" width="12.5703125" style="39"/>
    <col min="10248" max="10248" width="10.7109375" style="39" customWidth="1"/>
    <col min="10249" max="10495" width="12.5703125" style="39"/>
    <col min="10496" max="10496" width="39.42578125" style="39" customWidth="1"/>
    <col min="10497" max="10502" width="10.5703125" style="39" customWidth="1"/>
    <col min="10503" max="10503" width="12.5703125" style="39"/>
    <col min="10504" max="10504" width="10.7109375" style="39" customWidth="1"/>
    <col min="10505" max="10751" width="12.5703125" style="39"/>
    <col min="10752" max="10752" width="39.42578125" style="39" customWidth="1"/>
    <col min="10753" max="10758" width="10.5703125" style="39" customWidth="1"/>
    <col min="10759" max="10759" width="12.5703125" style="39"/>
    <col min="10760" max="10760" width="10.7109375" style="39" customWidth="1"/>
    <col min="10761" max="11007" width="12.5703125" style="39"/>
    <col min="11008" max="11008" width="39.42578125" style="39" customWidth="1"/>
    <col min="11009" max="11014" width="10.5703125" style="39" customWidth="1"/>
    <col min="11015" max="11015" width="12.5703125" style="39"/>
    <col min="11016" max="11016" width="10.7109375" style="39" customWidth="1"/>
    <col min="11017" max="11263" width="12.5703125" style="39"/>
    <col min="11264" max="11264" width="39.42578125" style="39" customWidth="1"/>
    <col min="11265" max="11270" width="10.5703125" style="39" customWidth="1"/>
    <col min="11271" max="11271" width="12.5703125" style="39"/>
    <col min="11272" max="11272" width="10.7109375" style="39" customWidth="1"/>
    <col min="11273" max="11519" width="12.5703125" style="39"/>
    <col min="11520" max="11520" width="39.42578125" style="39" customWidth="1"/>
    <col min="11521" max="11526" width="10.5703125" style="39" customWidth="1"/>
    <col min="11527" max="11527" width="12.5703125" style="39"/>
    <col min="11528" max="11528" width="10.7109375" style="39" customWidth="1"/>
    <col min="11529" max="11775" width="12.5703125" style="39"/>
    <col min="11776" max="11776" width="39.42578125" style="39" customWidth="1"/>
    <col min="11777" max="11782" width="10.5703125" style="39" customWidth="1"/>
    <col min="11783" max="11783" width="12.5703125" style="39"/>
    <col min="11784" max="11784" width="10.7109375" style="39" customWidth="1"/>
    <col min="11785" max="12031" width="12.5703125" style="39"/>
    <col min="12032" max="12032" width="39.42578125" style="39" customWidth="1"/>
    <col min="12033" max="12038" width="10.5703125" style="39" customWidth="1"/>
    <col min="12039" max="12039" width="12.5703125" style="39"/>
    <col min="12040" max="12040" width="10.7109375" style="39" customWidth="1"/>
    <col min="12041" max="12287" width="12.5703125" style="39"/>
    <col min="12288" max="12288" width="39.42578125" style="39" customWidth="1"/>
    <col min="12289" max="12294" width="10.5703125" style="39" customWidth="1"/>
    <col min="12295" max="12295" width="12.5703125" style="39"/>
    <col min="12296" max="12296" width="10.7109375" style="39" customWidth="1"/>
    <col min="12297" max="12543" width="12.5703125" style="39"/>
    <col min="12544" max="12544" width="39.42578125" style="39" customWidth="1"/>
    <col min="12545" max="12550" width="10.5703125" style="39" customWidth="1"/>
    <col min="12551" max="12551" width="12.5703125" style="39"/>
    <col min="12552" max="12552" width="10.7109375" style="39" customWidth="1"/>
    <col min="12553" max="12799" width="12.5703125" style="39"/>
    <col min="12800" max="12800" width="39.42578125" style="39" customWidth="1"/>
    <col min="12801" max="12806" width="10.5703125" style="39" customWidth="1"/>
    <col min="12807" max="12807" width="12.5703125" style="39"/>
    <col min="12808" max="12808" width="10.7109375" style="39" customWidth="1"/>
    <col min="12809" max="13055" width="12.5703125" style="39"/>
    <col min="13056" max="13056" width="39.42578125" style="39" customWidth="1"/>
    <col min="13057" max="13062" width="10.5703125" style="39" customWidth="1"/>
    <col min="13063" max="13063" width="12.5703125" style="39"/>
    <col min="13064" max="13064" width="10.7109375" style="39" customWidth="1"/>
    <col min="13065" max="13311" width="12.5703125" style="39"/>
    <col min="13312" max="13312" width="39.42578125" style="39" customWidth="1"/>
    <col min="13313" max="13318" width="10.5703125" style="39" customWidth="1"/>
    <col min="13319" max="13319" width="12.5703125" style="39"/>
    <col min="13320" max="13320" width="10.7109375" style="39" customWidth="1"/>
    <col min="13321" max="13567" width="12.5703125" style="39"/>
    <col min="13568" max="13568" width="39.42578125" style="39" customWidth="1"/>
    <col min="13569" max="13574" width="10.5703125" style="39" customWidth="1"/>
    <col min="13575" max="13575" width="12.5703125" style="39"/>
    <col min="13576" max="13576" width="10.7109375" style="39" customWidth="1"/>
    <col min="13577" max="13823" width="12.5703125" style="39"/>
    <col min="13824" max="13824" width="39.42578125" style="39" customWidth="1"/>
    <col min="13825" max="13830" width="10.5703125" style="39" customWidth="1"/>
    <col min="13831" max="13831" width="12.5703125" style="39"/>
    <col min="13832" max="13832" width="10.7109375" style="39" customWidth="1"/>
    <col min="13833" max="14079" width="12.5703125" style="39"/>
    <col min="14080" max="14080" width="39.42578125" style="39" customWidth="1"/>
    <col min="14081" max="14086" width="10.5703125" style="39" customWidth="1"/>
    <col min="14087" max="14087" width="12.5703125" style="39"/>
    <col min="14088" max="14088" width="10.7109375" style="39" customWidth="1"/>
    <col min="14089" max="14335" width="12.5703125" style="39"/>
    <col min="14336" max="14336" width="39.42578125" style="39" customWidth="1"/>
    <col min="14337" max="14342" width="10.5703125" style="39" customWidth="1"/>
    <col min="14343" max="14343" width="12.5703125" style="39"/>
    <col min="14344" max="14344" width="10.7109375" style="39" customWidth="1"/>
    <col min="14345" max="14591" width="12.5703125" style="39"/>
    <col min="14592" max="14592" width="39.42578125" style="39" customWidth="1"/>
    <col min="14593" max="14598" width="10.5703125" style="39" customWidth="1"/>
    <col min="14599" max="14599" width="12.5703125" style="39"/>
    <col min="14600" max="14600" width="10.7109375" style="39" customWidth="1"/>
    <col min="14601" max="14847" width="12.5703125" style="39"/>
    <col min="14848" max="14848" width="39.42578125" style="39" customWidth="1"/>
    <col min="14849" max="14854" width="10.5703125" style="39" customWidth="1"/>
    <col min="14855" max="14855" width="12.5703125" style="39"/>
    <col min="14856" max="14856" width="10.7109375" style="39" customWidth="1"/>
    <col min="14857" max="15103" width="12.5703125" style="39"/>
    <col min="15104" max="15104" width="39.42578125" style="39" customWidth="1"/>
    <col min="15105" max="15110" width="10.5703125" style="39" customWidth="1"/>
    <col min="15111" max="15111" width="12.5703125" style="39"/>
    <col min="15112" max="15112" width="10.7109375" style="39" customWidth="1"/>
    <col min="15113" max="15359" width="12.5703125" style="39"/>
    <col min="15360" max="15360" width="39.42578125" style="39" customWidth="1"/>
    <col min="15361" max="15366" width="10.5703125" style="39" customWidth="1"/>
    <col min="15367" max="15367" width="12.5703125" style="39"/>
    <col min="15368" max="15368" width="10.7109375" style="39" customWidth="1"/>
    <col min="15369" max="15615" width="12.5703125" style="39"/>
    <col min="15616" max="15616" width="39.42578125" style="39" customWidth="1"/>
    <col min="15617" max="15622" width="10.5703125" style="39" customWidth="1"/>
    <col min="15623" max="15623" width="12.5703125" style="39"/>
    <col min="15624" max="15624" width="10.7109375" style="39" customWidth="1"/>
    <col min="15625" max="15871" width="12.5703125" style="39"/>
    <col min="15872" max="15872" width="39.42578125" style="39" customWidth="1"/>
    <col min="15873" max="15878" width="10.5703125" style="39" customWidth="1"/>
    <col min="15879" max="15879" width="12.5703125" style="39"/>
    <col min="15880" max="15880" width="10.7109375" style="39" customWidth="1"/>
    <col min="15881" max="16127" width="12.5703125" style="39"/>
    <col min="16128" max="16128" width="39.42578125" style="39" customWidth="1"/>
    <col min="16129" max="16134" width="10.5703125" style="39" customWidth="1"/>
    <col min="16135" max="16135" width="12.5703125" style="39"/>
    <col min="16136" max="16136" width="10.7109375" style="39" customWidth="1"/>
    <col min="16137" max="16384" width="12.5703125" style="39"/>
  </cols>
  <sheetData>
    <row r="1" spans="1:11" ht="20.25">
      <c r="A1" s="38" t="str">
        <f>HLOOKUP(INDICE!$F$2,Nombres!$C$3:$E$853,138)</f>
        <v>Eficiencia (%) (*)</v>
      </c>
    </row>
    <row r="2" spans="1:11" ht="19.5">
      <c r="A2" s="42"/>
    </row>
    <row r="3" spans="1:11">
      <c r="A3" s="45"/>
      <c r="B3" s="81">
        <v>41729</v>
      </c>
      <c r="C3" s="82">
        <v>41820</v>
      </c>
      <c r="D3" s="82">
        <v>41912</v>
      </c>
      <c r="E3" s="82">
        <v>42004</v>
      </c>
      <c r="F3" s="81">
        <v>42094</v>
      </c>
      <c r="G3" s="82">
        <v>42185</v>
      </c>
      <c r="H3" s="82">
        <v>42277</v>
      </c>
    </row>
    <row r="4" spans="1:11">
      <c r="A4" s="133"/>
      <c r="B4" s="93"/>
      <c r="C4" s="93"/>
      <c r="D4" s="93"/>
      <c r="E4" s="93"/>
      <c r="F4" s="93"/>
      <c r="G4" s="93"/>
    </row>
    <row r="5" spans="1:11" customFormat="1" ht="15">
      <c r="A5" s="94" t="str">
        <f>HLOOKUP(INDICE!$F$2,Nombres!$C$3:$E$853,164)</f>
        <v>Grupo BBVA</v>
      </c>
      <c r="B5" s="134">
        <v>51.732213640045245</v>
      </c>
      <c r="C5" s="134">
        <v>50.878139531474375</v>
      </c>
      <c r="D5" s="134">
        <v>51.601932637580042</v>
      </c>
      <c r="E5" s="134">
        <v>51.276438067999116</v>
      </c>
      <c r="F5" s="134">
        <v>49.279639500158012</v>
      </c>
      <c r="G5" s="135">
        <v>49.485694611480362</v>
      </c>
      <c r="H5" s="135">
        <v>51.467709903236894</v>
      </c>
      <c r="I5" s="74"/>
      <c r="J5" s="74"/>
    </row>
    <row r="6" spans="1:11">
      <c r="A6" s="133"/>
      <c r="B6" s="136"/>
      <c r="C6" s="100"/>
      <c r="D6" s="100"/>
      <c r="E6" s="100"/>
      <c r="F6" s="136"/>
      <c r="G6" s="100"/>
      <c r="H6" s="100"/>
      <c r="I6" s="78"/>
      <c r="J6" s="78"/>
      <c r="K6" s="78"/>
    </row>
    <row r="7" spans="1:11" customFormat="1" ht="15">
      <c r="A7" s="54" t="str">
        <f>HLOOKUP(INDICE!$F$2,Nombres!$C$3:$E$853,301)</f>
        <v>Actividad bancaria en España</v>
      </c>
      <c r="B7" s="137">
        <v>40.254900809416299</v>
      </c>
      <c r="C7" s="138">
        <v>41.941477260566728</v>
      </c>
      <c r="D7" s="138">
        <v>43.817844847515744</v>
      </c>
      <c r="E7" s="138">
        <v>42.987095108104079</v>
      </c>
      <c r="F7" s="137">
        <v>39.466380408722515</v>
      </c>
      <c r="G7" s="138">
        <v>40.509446765214555</v>
      </c>
      <c r="H7" s="138">
        <v>44.105434067303875</v>
      </c>
      <c r="I7" s="74"/>
      <c r="J7" s="74"/>
    </row>
    <row r="8" spans="1:11">
      <c r="A8" s="133"/>
      <c r="B8" s="136"/>
      <c r="C8" s="100"/>
      <c r="D8" s="100"/>
      <c r="E8" s="100"/>
      <c r="F8" s="136"/>
      <c r="G8" s="100"/>
      <c r="H8" s="100"/>
      <c r="I8" s="139"/>
      <c r="J8" s="78"/>
      <c r="K8" s="78"/>
    </row>
    <row r="9" spans="1:11" customFormat="1" ht="15">
      <c r="A9" s="54" t="str">
        <f>HLOOKUP(INDICE!$F$2,Nombres!$C$3:$E$853,20)</f>
        <v>Estados Unidos</v>
      </c>
      <c r="B9" s="137">
        <v>67.904933271603696</v>
      </c>
      <c r="C9" s="138">
        <v>68.751024116769798</v>
      </c>
      <c r="D9" s="138">
        <v>69.900466718957404</v>
      </c>
      <c r="E9" s="138">
        <v>70.058646735730676</v>
      </c>
      <c r="F9" s="137">
        <v>65.890806398661923</v>
      </c>
      <c r="G9" s="138">
        <v>66.257552937339753</v>
      </c>
      <c r="H9" s="138">
        <v>67.405289622062043</v>
      </c>
      <c r="I9" s="74"/>
      <c r="J9" s="74"/>
    </row>
    <row r="10" spans="1:11">
      <c r="A10" s="133"/>
      <c r="B10" s="136"/>
      <c r="C10" s="100"/>
      <c r="D10" s="100"/>
      <c r="E10" s="100"/>
      <c r="F10" s="136"/>
      <c r="G10" s="100"/>
      <c r="H10" s="100"/>
      <c r="I10" s="139"/>
      <c r="J10" s="78"/>
      <c r="K10" s="78"/>
    </row>
    <row r="11" spans="1:11" customFormat="1" ht="15">
      <c r="A11" s="54" t="str">
        <f>HLOOKUP(INDICE!$F$2,Nombres!$C$3:$E$853,295)</f>
        <v xml:space="preserve">Turquía </v>
      </c>
      <c r="B11" s="137">
        <v>43.766056846054973</v>
      </c>
      <c r="C11" s="138">
        <v>42.160904284408304</v>
      </c>
      <c r="D11" s="138">
        <v>41.893173172262173</v>
      </c>
      <c r="E11" s="138">
        <v>41.79041299986028</v>
      </c>
      <c r="F11" s="137">
        <v>43.952459524236126</v>
      </c>
      <c r="G11" s="138">
        <v>43.365088846940438</v>
      </c>
      <c r="H11" s="138">
        <v>50.04886066329837</v>
      </c>
      <c r="I11" s="74"/>
      <c r="J11" s="74"/>
    </row>
    <row r="12" spans="1:11">
      <c r="A12" s="133"/>
      <c r="B12" s="136"/>
      <c r="C12" s="100"/>
      <c r="D12" s="100"/>
      <c r="E12" s="100"/>
      <c r="F12" s="136"/>
      <c r="G12" s="100"/>
      <c r="H12" s="100"/>
      <c r="I12" s="78"/>
      <c r="J12" s="78"/>
      <c r="K12" s="78"/>
    </row>
    <row r="13" spans="1:11" customFormat="1" ht="15">
      <c r="A13" s="54" t="str">
        <f>HLOOKUP(INDICE!$F$2,Nombres!$C$3:$E$853,9)</f>
        <v>México</v>
      </c>
      <c r="B13" s="137">
        <v>36.934499703470181</v>
      </c>
      <c r="C13" s="138">
        <v>36.836088504084749</v>
      </c>
      <c r="D13" s="138">
        <v>37.065003532758325</v>
      </c>
      <c r="E13" s="138">
        <v>36.898162613438068</v>
      </c>
      <c r="F13" s="137">
        <v>36.920772747747293</v>
      </c>
      <c r="G13" s="138">
        <v>36.799228338965911</v>
      </c>
      <c r="H13" s="138">
        <v>37.14890465319111</v>
      </c>
      <c r="I13" s="74"/>
      <c r="J13" s="74"/>
    </row>
    <row r="14" spans="1:11">
      <c r="A14" s="140"/>
      <c r="B14" s="141"/>
      <c r="C14" s="113"/>
      <c r="D14" s="113"/>
      <c r="E14" s="113"/>
      <c r="F14" s="141"/>
      <c r="G14" s="113"/>
      <c r="H14" s="113"/>
      <c r="I14" s="78"/>
      <c r="J14" s="78"/>
      <c r="K14" s="78"/>
    </row>
    <row r="15" spans="1:11" customFormat="1" ht="15">
      <c r="A15" s="54" t="str">
        <f>HLOOKUP(INDICE!$F$2,Nombres!$C$3:$E$853,12)</f>
        <v xml:space="preserve">América del Sur </v>
      </c>
      <c r="B15" s="137">
        <v>42.703752199635538</v>
      </c>
      <c r="C15" s="138">
        <v>44.25621449905109</v>
      </c>
      <c r="D15" s="138">
        <v>43.944048104267111</v>
      </c>
      <c r="E15" s="138">
        <v>44.618542760048527</v>
      </c>
      <c r="F15" s="137">
        <v>43.471782347710267</v>
      </c>
      <c r="G15" s="138">
        <v>44.150811446493307</v>
      </c>
      <c r="H15" s="138">
        <v>44.520148341434421</v>
      </c>
      <c r="I15" s="74"/>
      <c r="J15" s="74"/>
    </row>
    <row r="16" spans="1:11">
      <c r="A16" s="142"/>
      <c r="B16" s="113"/>
      <c r="C16" s="113"/>
      <c r="D16" s="113"/>
      <c r="E16" s="113"/>
      <c r="F16" s="113"/>
      <c r="G16" s="113"/>
      <c r="H16" s="113"/>
      <c r="I16" s="78"/>
      <c r="J16" s="78"/>
      <c r="K16" s="78"/>
    </row>
    <row r="17" spans="1:11">
      <c r="A17" s="54" t="str">
        <f>HLOOKUP(INDICE!$F$2,Nombres!$C$3:$E$853,184)</f>
        <v>Resto de Eurasia</v>
      </c>
      <c r="B17" s="137">
        <v>55.048576579073917</v>
      </c>
      <c r="C17" s="138">
        <v>35.574816583003901</v>
      </c>
      <c r="D17" s="138">
        <v>42.028443178417959</v>
      </c>
      <c r="E17" s="138">
        <v>46.606983903585061</v>
      </c>
      <c r="F17" s="137">
        <v>54.83071307384224</v>
      </c>
      <c r="G17" s="138">
        <v>66.366043259621051</v>
      </c>
      <c r="H17" s="138">
        <v>70.092535308792961</v>
      </c>
    </row>
    <row r="18" spans="1:11" ht="12.75" customHeight="1">
      <c r="A18" s="133"/>
      <c r="B18" s="113"/>
      <c r="C18" s="113"/>
      <c r="D18" s="113"/>
      <c r="E18" s="113"/>
      <c r="F18" s="113"/>
      <c r="G18" s="113"/>
      <c r="I18" s="78"/>
      <c r="J18" s="78"/>
      <c r="K18" s="78"/>
    </row>
    <row r="19" spans="1:11" ht="12.75" customHeight="1">
      <c r="B19" s="77"/>
      <c r="C19" s="77"/>
      <c r="D19" s="77"/>
      <c r="E19" s="77"/>
      <c r="F19" s="77"/>
      <c r="G19" s="77"/>
      <c r="I19" s="78"/>
      <c r="J19" s="78"/>
      <c r="K19" s="78"/>
    </row>
    <row r="20" spans="1:11" ht="12.75" customHeight="1">
      <c r="A20" s="79" t="str">
        <f>HLOOKUP(INDICE!$F$2,Nombres!$C$3:$E$853,137)</f>
        <v>(*) Gastos de explotación / Margen bruto. Incluye amortizaciones</v>
      </c>
      <c r="I20" s="78"/>
      <c r="J20" s="78"/>
      <c r="K20" s="78"/>
    </row>
    <row r="21" spans="1:11">
      <c r="I21" s="78"/>
      <c r="J21" s="78"/>
      <c r="K21" s="78"/>
    </row>
  </sheetData>
  <pageMargins left="0.7" right="0.7" top="0.75" bottom="0.75" header="0.3" footer="0.3"/>
  <pageSetup paperSize="9" scale="7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J56"/>
  <sheetViews>
    <sheetView showGridLines="0" workbookViewId="0"/>
  </sheetViews>
  <sheetFormatPr baseColWidth="10" defaultColWidth="12.5703125" defaultRowHeight="12.75"/>
  <cols>
    <col min="1" max="1" width="52" style="92" customWidth="1"/>
    <col min="2" max="6" width="10.5703125" style="39" customWidth="1" collapsed="1"/>
    <col min="7" max="7" width="10.5703125" style="39" customWidth="1"/>
    <col min="8" max="8" width="11.28515625" style="91" customWidth="1"/>
    <col min="9" max="10" width="9.5703125" style="91" customWidth="1"/>
    <col min="11" max="255" width="12.5703125" style="91"/>
    <col min="256" max="256" width="52" style="91" customWidth="1"/>
    <col min="257" max="262" width="10.5703125" style="91" customWidth="1"/>
    <col min="263" max="263" width="11.28515625" style="91" customWidth="1"/>
    <col min="264" max="266" width="9.5703125" style="91" customWidth="1"/>
    <col min="267" max="511" width="12.5703125" style="91"/>
    <col min="512" max="512" width="52" style="91" customWidth="1"/>
    <col min="513" max="518" width="10.5703125" style="91" customWidth="1"/>
    <col min="519" max="519" width="11.28515625" style="91" customWidth="1"/>
    <col min="520" max="522" width="9.5703125" style="91" customWidth="1"/>
    <col min="523" max="767" width="12.5703125" style="91"/>
    <col min="768" max="768" width="52" style="91" customWidth="1"/>
    <col min="769" max="774" width="10.5703125" style="91" customWidth="1"/>
    <col min="775" max="775" width="11.28515625" style="91" customWidth="1"/>
    <col min="776" max="778" width="9.5703125" style="91" customWidth="1"/>
    <col min="779" max="1023" width="12.5703125" style="91"/>
    <col min="1024" max="1024" width="52" style="91" customWidth="1"/>
    <col min="1025" max="1030" width="10.5703125" style="91" customWidth="1"/>
    <col min="1031" max="1031" width="11.28515625" style="91" customWidth="1"/>
    <col min="1032" max="1034" width="9.5703125" style="91" customWidth="1"/>
    <col min="1035" max="1279" width="12.5703125" style="91"/>
    <col min="1280" max="1280" width="52" style="91" customWidth="1"/>
    <col min="1281" max="1286" width="10.5703125" style="91" customWidth="1"/>
    <col min="1287" max="1287" width="11.28515625" style="91" customWidth="1"/>
    <col min="1288" max="1290" width="9.5703125" style="91" customWidth="1"/>
    <col min="1291" max="1535" width="12.5703125" style="91"/>
    <col min="1536" max="1536" width="52" style="91" customWidth="1"/>
    <col min="1537" max="1542" width="10.5703125" style="91" customWidth="1"/>
    <col min="1543" max="1543" width="11.28515625" style="91" customWidth="1"/>
    <col min="1544" max="1546" width="9.5703125" style="91" customWidth="1"/>
    <col min="1547" max="1791" width="12.5703125" style="91"/>
    <col min="1792" max="1792" width="52" style="91" customWidth="1"/>
    <col min="1793" max="1798" width="10.5703125" style="91" customWidth="1"/>
    <col min="1799" max="1799" width="11.28515625" style="91" customWidth="1"/>
    <col min="1800" max="1802" width="9.5703125" style="91" customWidth="1"/>
    <col min="1803" max="2047" width="12.5703125" style="91"/>
    <col min="2048" max="2048" width="52" style="91" customWidth="1"/>
    <col min="2049" max="2054" width="10.5703125" style="91" customWidth="1"/>
    <col min="2055" max="2055" width="11.28515625" style="91" customWidth="1"/>
    <col min="2056" max="2058" width="9.5703125" style="91" customWidth="1"/>
    <col min="2059" max="2303" width="12.5703125" style="91"/>
    <col min="2304" max="2304" width="52" style="91" customWidth="1"/>
    <col min="2305" max="2310" width="10.5703125" style="91" customWidth="1"/>
    <col min="2311" max="2311" width="11.28515625" style="91" customWidth="1"/>
    <col min="2312" max="2314" width="9.5703125" style="91" customWidth="1"/>
    <col min="2315" max="2559" width="12.5703125" style="91"/>
    <col min="2560" max="2560" width="52" style="91" customWidth="1"/>
    <col min="2561" max="2566" width="10.5703125" style="91" customWidth="1"/>
    <col min="2567" max="2567" width="11.28515625" style="91" customWidth="1"/>
    <col min="2568" max="2570" width="9.5703125" style="91" customWidth="1"/>
    <col min="2571" max="2815" width="12.5703125" style="91"/>
    <col min="2816" max="2816" width="52" style="91" customWidth="1"/>
    <col min="2817" max="2822" width="10.5703125" style="91" customWidth="1"/>
    <col min="2823" max="2823" width="11.28515625" style="91" customWidth="1"/>
    <col min="2824" max="2826" width="9.5703125" style="91" customWidth="1"/>
    <col min="2827" max="3071" width="12.5703125" style="91"/>
    <col min="3072" max="3072" width="52" style="91" customWidth="1"/>
    <col min="3073" max="3078" width="10.5703125" style="91" customWidth="1"/>
    <col min="3079" max="3079" width="11.28515625" style="91" customWidth="1"/>
    <col min="3080" max="3082" width="9.5703125" style="91" customWidth="1"/>
    <col min="3083" max="3327" width="12.5703125" style="91"/>
    <col min="3328" max="3328" width="52" style="91" customWidth="1"/>
    <col min="3329" max="3334" width="10.5703125" style="91" customWidth="1"/>
    <col min="3335" max="3335" width="11.28515625" style="91" customWidth="1"/>
    <col min="3336" max="3338" width="9.5703125" style="91" customWidth="1"/>
    <col min="3339" max="3583" width="12.5703125" style="91"/>
    <col min="3584" max="3584" width="52" style="91" customWidth="1"/>
    <col min="3585" max="3590" width="10.5703125" style="91" customWidth="1"/>
    <col min="3591" max="3591" width="11.28515625" style="91" customWidth="1"/>
    <col min="3592" max="3594" width="9.5703125" style="91" customWidth="1"/>
    <col min="3595" max="3839" width="12.5703125" style="91"/>
    <col min="3840" max="3840" width="52" style="91" customWidth="1"/>
    <col min="3841" max="3846" width="10.5703125" style="91" customWidth="1"/>
    <col min="3847" max="3847" width="11.28515625" style="91" customWidth="1"/>
    <col min="3848" max="3850" width="9.5703125" style="91" customWidth="1"/>
    <col min="3851" max="4095" width="12.5703125" style="91"/>
    <col min="4096" max="4096" width="52" style="91" customWidth="1"/>
    <col min="4097" max="4102" width="10.5703125" style="91" customWidth="1"/>
    <col min="4103" max="4103" width="11.28515625" style="91" customWidth="1"/>
    <col min="4104" max="4106" width="9.5703125" style="91" customWidth="1"/>
    <col min="4107" max="4351" width="12.5703125" style="91"/>
    <col min="4352" max="4352" width="52" style="91" customWidth="1"/>
    <col min="4353" max="4358" width="10.5703125" style="91" customWidth="1"/>
    <col min="4359" max="4359" width="11.28515625" style="91" customWidth="1"/>
    <col min="4360" max="4362" width="9.5703125" style="91" customWidth="1"/>
    <col min="4363" max="4607" width="12.5703125" style="91"/>
    <col min="4608" max="4608" width="52" style="91" customWidth="1"/>
    <col min="4609" max="4614" width="10.5703125" style="91" customWidth="1"/>
    <col min="4615" max="4615" width="11.28515625" style="91" customWidth="1"/>
    <col min="4616" max="4618" width="9.5703125" style="91" customWidth="1"/>
    <col min="4619" max="4863" width="12.5703125" style="91"/>
    <col min="4864" max="4864" width="52" style="91" customWidth="1"/>
    <col min="4865" max="4870" width="10.5703125" style="91" customWidth="1"/>
    <col min="4871" max="4871" width="11.28515625" style="91" customWidth="1"/>
    <col min="4872" max="4874" width="9.5703125" style="91" customWidth="1"/>
    <col min="4875" max="5119" width="12.5703125" style="91"/>
    <col min="5120" max="5120" width="52" style="91" customWidth="1"/>
    <col min="5121" max="5126" width="10.5703125" style="91" customWidth="1"/>
    <col min="5127" max="5127" width="11.28515625" style="91" customWidth="1"/>
    <col min="5128" max="5130" width="9.5703125" style="91" customWidth="1"/>
    <col min="5131" max="5375" width="12.5703125" style="91"/>
    <col min="5376" max="5376" width="52" style="91" customWidth="1"/>
    <col min="5377" max="5382" width="10.5703125" style="91" customWidth="1"/>
    <col min="5383" max="5383" width="11.28515625" style="91" customWidth="1"/>
    <col min="5384" max="5386" width="9.5703125" style="91" customWidth="1"/>
    <col min="5387" max="5631" width="12.5703125" style="91"/>
    <col min="5632" max="5632" width="52" style="91" customWidth="1"/>
    <col min="5633" max="5638" width="10.5703125" style="91" customWidth="1"/>
    <col min="5639" max="5639" width="11.28515625" style="91" customWidth="1"/>
    <col min="5640" max="5642" width="9.5703125" style="91" customWidth="1"/>
    <col min="5643" max="5887" width="12.5703125" style="91"/>
    <col min="5888" max="5888" width="52" style="91" customWidth="1"/>
    <col min="5889" max="5894" width="10.5703125" style="91" customWidth="1"/>
    <col min="5895" max="5895" width="11.28515625" style="91" customWidth="1"/>
    <col min="5896" max="5898" width="9.5703125" style="91" customWidth="1"/>
    <col min="5899" max="6143" width="12.5703125" style="91"/>
    <col min="6144" max="6144" width="52" style="91" customWidth="1"/>
    <col min="6145" max="6150" width="10.5703125" style="91" customWidth="1"/>
    <col min="6151" max="6151" width="11.28515625" style="91" customWidth="1"/>
    <col min="6152" max="6154" width="9.5703125" style="91" customWidth="1"/>
    <col min="6155" max="6399" width="12.5703125" style="91"/>
    <col min="6400" max="6400" width="52" style="91" customWidth="1"/>
    <col min="6401" max="6406" width="10.5703125" style="91" customWidth="1"/>
    <col min="6407" max="6407" width="11.28515625" style="91" customWidth="1"/>
    <col min="6408" max="6410" width="9.5703125" style="91" customWidth="1"/>
    <col min="6411" max="6655" width="12.5703125" style="91"/>
    <col min="6656" max="6656" width="52" style="91" customWidth="1"/>
    <col min="6657" max="6662" width="10.5703125" style="91" customWidth="1"/>
    <col min="6663" max="6663" width="11.28515625" style="91" customWidth="1"/>
    <col min="6664" max="6666" width="9.5703125" style="91" customWidth="1"/>
    <col min="6667" max="6911" width="12.5703125" style="91"/>
    <col min="6912" max="6912" width="52" style="91" customWidth="1"/>
    <col min="6913" max="6918" width="10.5703125" style="91" customWidth="1"/>
    <col min="6919" max="6919" width="11.28515625" style="91" customWidth="1"/>
    <col min="6920" max="6922" width="9.5703125" style="91" customWidth="1"/>
    <col min="6923" max="7167" width="12.5703125" style="91"/>
    <col min="7168" max="7168" width="52" style="91" customWidth="1"/>
    <col min="7169" max="7174" width="10.5703125" style="91" customWidth="1"/>
    <col min="7175" max="7175" width="11.28515625" style="91" customWidth="1"/>
    <col min="7176" max="7178" width="9.5703125" style="91" customWidth="1"/>
    <col min="7179" max="7423" width="12.5703125" style="91"/>
    <col min="7424" max="7424" width="52" style="91" customWidth="1"/>
    <col min="7425" max="7430" width="10.5703125" style="91" customWidth="1"/>
    <col min="7431" max="7431" width="11.28515625" style="91" customWidth="1"/>
    <col min="7432" max="7434" width="9.5703125" style="91" customWidth="1"/>
    <col min="7435" max="7679" width="12.5703125" style="91"/>
    <col min="7680" max="7680" width="52" style="91" customWidth="1"/>
    <col min="7681" max="7686" width="10.5703125" style="91" customWidth="1"/>
    <col min="7687" max="7687" width="11.28515625" style="91" customWidth="1"/>
    <col min="7688" max="7690" width="9.5703125" style="91" customWidth="1"/>
    <col min="7691" max="7935" width="12.5703125" style="91"/>
    <col min="7936" max="7936" width="52" style="91" customWidth="1"/>
    <col min="7937" max="7942" width="10.5703125" style="91" customWidth="1"/>
    <col min="7943" max="7943" width="11.28515625" style="91" customWidth="1"/>
    <col min="7944" max="7946" width="9.5703125" style="91" customWidth="1"/>
    <col min="7947" max="8191" width="12.5703125" style="91"/>
    <col min="8192" max="8192" width="52" style="91" customWidth="1"/>
    <col min="8193" max="8198" width="10.5703125" style="91" customWidth="1"/>
    <col min="8199" max="8199" width="11.28515625" style="91" customWidth="1"/>
    <col min="8200" max="8202" width="9.5703125" style="91" customWidth="1"/>
    <col min="8203" max="8447" width="12.5703125" style="91"/>
    <col min="8448" max="8448" width="52" style="91" customWidth="1"/>
    <col min="8449" max="8454" width="10.5703125" style="91" customWidth="1"/>
    <col min="8455" max="8455" width="11.28515625" style="91" customWidth="1"/>
    <col min="8456" max="8458" width="9.5703125" style="91" customWidth="1"/>
    <col min="8459" max="8703" width="12.5703125" style="91"/>
    <col min="8704" max="8704" width="52" style="91" customWidth="1"/>
    <col min="8705" max="8710" width="10.5703125" style="91" customWidth="1"/>
    <col min="8711" max="8711" width="11.28515625" style="91" customWidth="1"/>
    <col min="8712" max="8714" width="9.5703125" style="91" customWidth="1"/>
    <col min="8715" max="8959" width="12.5703125" style="91"/>
    <col min="8960" max="8960" width="52" style="91" customWidth="1"/>
    <col min="8961" max="8966" width="10.5703125" style="91" customWidth="1"/>
    <col min="8967" max="8967" width="11.28515625" style="91" customWidth="1"/>
    <col min="8968" max="8970" width="9.5703125" style="91" customWidth="1"/>
    <col min="8971" max="9215" width="12.5703125" style="91"/>
    <col min="9216" max="9216" width="52" style="91" customWidth="1"/>
    <col min="9217" max="9222" width="10.5703125" style="91" customWidth="1"/>
    <col min="9223" max="9223" width="11.28515625" style="91" customWidth="1"/>
    <col min="9224" max="9226" width="9.5703125" style="91" customWidth="1"/>
    <col min="9227" max="9471" width="12.5703125" style="91"/>
    <col min="9472" max="9472" width="52" style="91" customWidth="1"/>
    <col min="9473" max="9478" width="10.5703125" style="91" customWidth="1"/>
    <col min="9479" max="9479" width="11.28515625" style="91" customWidth="1"/>
    <col min="9480" max="9482" width="9.5703125" style="91" customWidth="1"/>
    <col min="9483" max="9727" width="12.5703125" style="91"/>
    <col min="9728" max="9728" width="52" style="91" customWidth="1"/>
    <col min="9729" max="9734" width="10.5703125" style="91" customWidth="1"/>
    <col min="9735" max="9735" width="11.28515625" style="91" customWidth="1"/>
    <col min="9736" max="9738" width="9.5703125" style="91" customWidth="1"/>
    <col min="9739" max="9983" width="12.5703125" style="91"/>
    <col min="9984" max="9984" width="52" style="91" customWidth="1"/>
    <col min="9985" max="9990" width="10.5703125" style="91" customWidth="1"/>
    <col min="9991" max="9991" width="11.28515625" style="91" customWidth="1"/>
    <col min="9992" max="9994" width="9.5703125" style="91" customWidth="1"/>
    <col min="9995" max="10239" width="12.5703125" style="91"/>
    <col min="10240" max="10240" width="52" style="91" customWidth="1"/>
    <col min="10241" max="10246" width="10.5703125" style="91" customWidth="1"/>
    <col min="10247" max="10247" width="11.28515625" style="91" customWidth="1"/>
    <col min="10248" max="10250" width="9.5703125" style="91" customWidth="1"/>
    <col min="10251" max="10495" width="12.5703125" style="91"/>
    <col min="10496" max="10496" width="52" style="91" customWidth="1"/>
    <col min="10497" max="10502" width="10.5703125" style="91" customWidth="1"/>
    <col min="10503" max="10503" width="11.28515625" style="91" customWidth="1"/>
    <col min="10504" max="10506" width="9.5703125" style="91" customWidth="1"/>
    <col min="10507" max="10751" width="12.5703125" style="91"/>
    <col min="10752" max="10752" width="52" style="91" customWidth="1"/>
    <col min="10753" max="10758" width="10.5703125" style="91" customWidth="1"/>
    <col min="10759" max="10759" width="11.28515625" style="91" customWidth="1"/>
    <col min="10760" max="10762" width="9.5703125" style="91" customWidth="1"/>
    <col min="10763" max="11007" width="12.5703125" style="91"/>
    <col min="11008" max="11008" width="52" style="91" customWidth="1"/>
    <col min="11009" max="11014" width="10.5703125" style="91" customWidth="1"/>
    <col min="11015" max="11015" width="11.28515625" style="91" customWidth="1"/>
    <col min="11016" max="11018" width="9.5703125" style="91" customWidth="1"/>
    <col min="11019" max="11263" width="12.5703125" style="91"/>
    <col min="11264" max="11264" width="52" style="91" customWidth="1"/>
    <col min="11265" max="11270" width="10.5703125" style="91" customWidth="1"/>
    <col min="11271" max="11271" width="11.28515625" style="91" customWidth="1"/>
    <col min="11272" max="11274" width="9.5703125" style="91" customWidth="1"/>
    <col min="11275" max="11519" width="12.5703125" style="91"/>
    <col min="11520" max="11520" width="52" style="91" customWidth="1"/>
    <col min="11521" max="11526" width="10.5703125" style="91" customWidth="1"/>
    <col min="11527" max="11527" width="11.28515625" style="91" customWidth="1"/>
    <col min="11528" max="11530" width="9.5703125" style="91" customWidth="1"/>
    <col min="11531" max="11775" width="12.5703125" style="91"/>
    <col min="11776" max="11776" width="52" style="91" customWidth="1"/>
    <col min="11777" max="11782" width="10.5703125" style="91" customWidth="1"/>
    <col min="11783" max="11783" width="11.28515625" style="91" customWidth="1"/>
    <col min="11784" max="11786" width="9.5703125" style="91" customWidth="1"/>
    <col min="11787" max="12031" width="12.5703125" style="91"/>
    <col min="12032" max="12032" width="52" style="91" customWidth="1"/>
    <col min="12033" max="12038" width="10.5703125" style="91" customWidth="1"/>
    <col min="12039" max="12039" width="11.28515625" style="91" customWidth="1"/>
    <col min="12040" max="12042" width="9.5703125" style="91" customWidth="1"/>
    <col min="12043" max="12287" width="12.5703125" style="91"/>
    <col min="12288" max="12288" width="52" style="91" customWidth="1"/>
    <col min="12289" max="12294" width="10.5703125" style="91" customWidth="1"/>
    <col min="12295" max="12295" width="11.28515625" style="91" customWidth="1"/>
    <col min="12296" max="12298" width="9.5703125" style="91" customWidth="1"/>
    <col min="12299" max="12543" width="12.5703125" style="91"/>
    <col min="12544" max="12544" width="52" style="91" customWidth="1"/>
    <col min="12545" max="12550" width="10.5703125" style="91" customWidth="1"/>
    <col min="12551" max="12551" width="11.28515625" style="91" customWidth="1"/>
    <col min="12552" max="12554" width="9.5703125" style="91" customWidth="1"/>
    <col min="12555" max="12799" width="12.5703125" style="91"/>
    <col min="12800" max="12800" width="52" style="91" customWidth="1"/>
    <col min="12801" max="12806" width="10.5703125" style="91" customWidth="1"/>
    <col min="12807" max="12807" width="11.28515625" style="91" customWidth="1"/>
    <col min="12808" max="12810" width="9.5703125" style="91" customWidth="1"/>
    <col min="12811" max="13055" width="12.5703125" style="91"/>
    <col min="13056" max="13056" width="52" style="91" customWidth="1"/>
    <col min="13057" max="13062" width="10.5703125" style="91" customWidth="1"/>
    <col min="13063" max="13063" width="11.28515625" style="91" customWidth="1"/>
    <col min="13064" max="13066" width="9.5703125" style="91" customWidth="1"/>
    <col min="13067" max="13311" width="12.5703125" style="91"/>
    <col min="13312" max="13312" width="52" style="91" customWidth="1"/>
    <col min="13313" max="13318" width="10.5703125" style="91" customWidth="1"/>
    <col min="13319" max="13319" width="11.28515625" style="91" customWidth="1"/>
    <col min="13320" max="13322" width="9.5703125" style="91" customWidth="1"/>
    <col min="13323" max="13567" width="12.5703125" style="91"/>
    <col min="13568" max="13568" width="52" style="91" customWidth="1"/>
    <col min="13569" max="13574" width="10.5703125" style="91" customWidth="1"/>
    <col min="13575" max="13575" width="11.28515625" style="91" customWidth="1"/>
    <col min="13576" max="13578" width="9.5703125" style="91" customWidth="1"/>
    <col min="13579" max="13823" width="12.5703125" style="91"/>
    <col min="13824" max="13824" width="52" style="91" customWidth="1"/>
    <col min="13825" max="13830" width="10.5703125" style="91" customWidth="1"/>
    <col min="13831" max="13831" width="11.28515625" style="91" customWidth="1"/>
    <col min="13832" max="13834" width="9.5703125" style="91" customWidth="1"/>
    <col min="13835" max="14079" width="12.5703125" style="91"/>
    <col min="14080" max="14080" width="52" style="91" customWidth="1"/>
    <col min="14081" max="14086" width="10.5703125" style="91" customWidth="1"/>
    <col min="14087" max="14087" width="11.28515625" style="91" customWidth="1"/>
    <col min="14088" max="14090" width="9.5703125" style="91" customWidth="1"/>
    <col min="14091" max="14335" width="12.5703125" style="91"/>
    <col min="14336" max="14336" width="52" style="91" customWidth="1"/>
    <col min="14337" max="14342" width="10.5703125" style="91" customWidth="1"/>
    <col min="14343" max="14343" width="11.28515625" style="91" customWidth="1"/>
    <col min="14344" max="14346" width="9.5703125" style="91" customWidth="1"/>
    <col min="14347" max="14591" width="12.5703125" style="91"/>
    <col min="14592" max="14592" width="52" style="91" customWidth="1"/>
    <col min="14593" max="14598" width="10.5703125" style="91" customWidth="1"/>
    <col min="14599" max="14599" width="11.28515625" style="91" customWidth="1"/>
    <col min="14600" max="14602" width="9.5703125" style="91" customWidth="1"/>
    <col min="14603" max="14847" width="12.5703125" style="91"/>
    <col min="14848" max="14848" width="52" style="91" customWidth="1"/>
    <col min="14849" max="14854" width="10.5703125" style="91" customWidth="1"/>
    <col min="14855" max="14855" width="11.28515625" style="91" customWidth="1"/>
    <col min="14856" max="14858" width="9.5703125" style="91" customWidth="1"/>
    <col min="14859" max="15103" width="12.5703125" style="91"/>
    <col min="15104" max="15104" width="52" style="91" customWidth="1"/>
    <col min="15105" max="15110" width="10.5703125" style="91" customWidth="1"/>
    <col min="15111" max="15111" width="11.28515625" style="91" customWidth="1"/>
    <col min="15112" max="15114" width="9.5703125" style="91" customWidth="1"/>
    <col min="15115" max="15359" width="12.5703125" style="91"/>
    <col min="15360" max="15360" width="52" style="91" customWidth="1"/>
    <col min="15361" max="15366" width="10.5703125" style="91" customWidth="1"/>
    <col min="15367" max="15367" width="11.28515625" style="91" customWidth="1"/>
    <col min="15368" max="15370" width="9.5703125" style="91" customWidth="1"/>
    <col min="15371" max="15615" width="12.5703125" style="91"/>
    <col min="15616" max="15616" width="52" style="91" customWidth="1"/>
    <col min="15617" max="15622" width="10.5703125" style="91" customWidth="1"/>
    <col min="15623" max="15623" width="11.28515625" style="91" customWidth="1"/>
    <col min="15624" max="15626" width="9.5703125" style="91" customWidth="1"/>
    <col min="15627" max="15871" width="12.5703125" style="91"/>
    <col min="15872" max="15872" width="52" style="91" customWidth="1"/>
    <col min="15873" max="15878" width="10.5703125" style="91" customWidth="1"/>
    <col min="15879" max="15879" width="11.28515625" style="91" customWidth="1"/>
    <col min="15880" max="15882" width="9.5703125" style="91" customWidth="1"/>
    <col min="15883" max="16127" width="12.5703125" style="91"/>
    <col min="16128" max="16128" width="52" style="91" customWidth="1"/>
    <col min="16129" max="16134" width="10.5703125" style="91" customWidth="1"/>
    <col min="16135" max="16135" width="11.28515625" style="91" customWidth="1"/>
    <col min="16136" max="16138" width="9.5703125" style="91" customWidth="1"/>
    <col min="16139" max="16384" width="12.5703125" style="91"/>
  </cols>
  <sheetData>
    <row r="1" spans="1:10" ht="21" customHeight="1">
      <c r="A1" s="38" t="str">
        <f>HLOOKUP(INDICE!$F$2,Nombres!$C$3:$E$853,139)</f>
        <v>Tasa de mora (%)</v>
      </c>
      <c r="B1" s="90"/>
      <c r="C1" s="90"/>
      <c r="D1" s="90"/>
      <c r="E1" s="90"/>
      <c r="F1" s="90"/>
    </row>
    <row r="2" spans="1:10" ht="6.75" customHeight="1">
      <c r="A2" s="90"/>
    </row>
    <row r="3" spans="1:10" ht="11.25" customHeight="1">
      <c r="B3" s="81">
        <v>41729</v>
      </c>
      <c r="C3" s="82">
        <v>41820</v>
      </c>
      <c r="D3" s="82">
        <v>41912</v>
      </c>
      <c r="E3" s="82">
        <v>42004</v>
      </c>
      <c r="F3" s="81">
        <v>42094</v>
      </c>
      <c r="G3" s="82">
        <v>42185</v>
      </c>
      <c r="H3" s="82">
        <v>42277</v>
      </c>
    </row>
    <row r="4" spans="1:10" ht="6.75" customHeight="1">
      <c r="B4" s="93"/>
      <c r="C4" s="93"/>
      <c r="D4" s="93"/>
      <c r="E4" s="93"/>
      <c r="F4" s="93"/>
      <c r="G4" s="93"/>
    </row>
    <row r="5" spans="1:10" customFormat="1" ht="15">
      <c r="A5" s="94" t="str">
        <f>HLOOKUP(INDICE!$F$2,Nombres!$C$3:$E$853,164)</f>
        <v>Grupo BBVA</v>
      </c>
      <c r="B5" s="95">
        <v>6.6000000000000003E-2</v>
      </c>
      <c r="C5" s="96">
        <v>6.4000000000000001E-2</v>
      </c>
      <c r="D5" s="96">
        <v>6.0999999999999999E-2</v>
      </c>
      <c r="E5" s="96">
        <v>5.8000000000000003E-2</v>
      </c>
      <c r="F5" s="95">
        <v>5.6000000000000001E-2</v>
      </c>
      <c r="G5" s="96">
        <v>6.0999999999999999E-2</v>
      </c>
      <c r="H5" s="96">
        <v>5.6000000000000001E-2</v>
      </c>
      <c r="I5" s="97"/>
      <c r="J5" s="98"/>
    </row>
    <row r="6" spans="1:10" s="101" customFormat="1" ht="6.75" customHeight="1">
      <c r="A6" s="92"/>
      <c r="B6" s="99"/>
      <c r="C6" s="100"/>
      <c r="D6" s="100"/>
      <c r="E6" s="100"/>
      <c r="F6" s="99"/>
      <c r="G6" s="100"/>
      <c r="H6" s="100"/>
      <c r="I6" s="97"/>
      <c r="J6" s="98"/>
    </row>
    <row r="7" spans="1:10" customFormat="1" ht="15">
      <c r="A7" s="54" t="str">
        <f>HLOOKUP(INDICE!$F$2,Nombres!$C$3:$E$853,301)</f>
        <v>Actividad bancaria en España</v>
      </c>
      <c r="B7" s="102">
        <v>6.4000000000000001E-2</v>
      </c>
      <c r="C7" s="103">
        <v>6.3E-2</v>
      </c>
      <c r="D7" s="103">
        <v>6.2E-2</v>
      </c>
      <c r="E7" s="103">
        <v>0.06</v>
      </c>
      <c r="F7" s="102">
        <v>5.8999999999999997E-2</v>
      </c>
      <c r="G7" s="103">
        <v>6.8000000000000005E-2</v>
      </c>
      <c r="H7" s="103">
        <v>6.7000000000000004E-2</v>
      </c>
      <c r="I7" s="97"/>
      <c r="J7" s="98"/>
    </row>
    <row r="8" spans="1:10" ht="6" customHeight="1">
      <c r="B8" s="104"/>
      <c r="C8" s="105"/>
      <c r="D8" s="105"/>
      <c r="E8" s="105"/>
      <c r="F8" s="104"/>
      <c r="G8" s="105"/>
      <c r="H8" s="105"/>
      <c r="I8" s="97"/>
      <c r="J8" s="106"/>
    </row>
    <row r="9" spans="1:10" customFormat="1" ht="15">
      <c r="A9" s="54" t="str">
        <f>HLOOKUP(INDICE!$F$2,Nombres!$C$3:$E$853,20)</f>
        <v>Estados Unidos</v>
      </c>
      <c r="B9" s="102">
        <v>0.01</v>
      </c>
      <c r="C9" s="103">
        <v>8.9999999999999993E-3</v>
      </c>
      <c r="D9" s="103">
        <v>8.9999999999999993E-3</v>
      </c>
      <c r="E9" s="103">
        <v>8.9999999999999993E-3</v>
      </c>
      <c r="F9" s="102">
        <v>8.9999999999999993E-3</v>
      </c>
      <c r="G9" s="103">
        <v>8.9999999999999993E-3</v>
      </c>
      <c r="H9" s="103">
        <v>8.9999999999999993E-3</v>
      </c>
      <c r="I9" s="97"/>
    </row>
    <row r="10" spans="1:10" ht="6" customHeight="1">
      <c r="B10" s="104"/>
      <c r="C10" s="105"/>
      <c r="D10" s="105"/>
      <c r="E10" s="105"/>
      <c r="F10" s="104"/>
      <c r="G10" s="105"/>
      <c r="H10" s="105"/>
      <c r="I10" s="97"/>
      <c r="J10" s="106"/>
    </row>
    <row r="11" spans="1:10" customFormat="1" ht="15">
      <c r="A11" s="54" t="str">
        <f>HLOOKUP(INDICE!$F$2,Nombres!$C$3:$E$853,319)</f>
        <v>Turquía (*)</v>
      </c>
      <c r="B11" s="102">
        <v>2.7E-2</v>
      </c>
      <c r="C11" s="103">
        <v>2.7E-2</v>
      </c>
      <c r="D11" s="103">
        <v>2.5999999999999999E-2</v>
      </c>
      <c r="E11" s="103">
        <v>2.8000000000000001E-2</v>
      </c>
      <c r="F11" s="102">
        <v>2.5999999999999999E-2</v>
      </c>
      <c r="G11" s="103">
        <v>2.7E-2</v>
      </c>
      <c r="H11" s="103">
        <v>2.5999999999999999E-2</v>
      </c>
      <c r="I11" s="97"/>
    </row>
    <row r="12" spans="1:10" ht="6" customHeight="1">
      <c r="B12" s="104"/>
      <c r="C12" s="105"/>
      <c r="D12" s="105"/>
      <c r="E12" s="105"/>
      <c r="F12" s="104"/>
      <c r="G12" s="105"/>
      <c r="H12" s="105"/>
      <c r="I12" s="97"/>
      <c r="J12" s="106"/>
    </row>
    <row r="13" spans="1:10" customFormat="1" ht="15">
      <c r="A13" s="54" t="str">
        <f>HLOOKUP(INDICE!$F$2,Nombres!$C$3:$E$853,9)</f>
        <v>México</v>
      </c>
      <c r="B13" s="102">
        <v>3.4000000000000002E-2</v>
      </c>
      <c r="C13" s="103">
        <v>3.4000000000000002E-2</v>
      </c>
      <c r="D13" s="103">
        <v>3.2000000000000001E-2</v>
      </c>
      <c r="E13" s="103">
        <v>2.9000000000000001E-2</v>
      </c>
      <c r="F13" s="102">
        <v>2.8000000000000001E-2</v>
      </c>
      <c r="G13" s="103">
        <v>2.8000000000000001E-2</v>
      </c>
      <c r="H13" s="103">
        <v>2.5999999999999999E-2</v>
      </c>
      <c r="I13" s="97"/>
    </row>
    <row r="14" spans="1:10" ht="6.75" customHeight="1">
      <c r="A14" s="107"/>
      <c r="B14" s="108"/>
      <c r="C14" s="109"/>
      <c r="D14" s="109"/>
      <c r="E14" s="109"/>
      <c r="F14" s="108"/>
      <c r="G14" s="109"/>
      <c r="H14" s="109"/>
      <c r="I14" s="97"/>
      <c r="J14" s="106"/>
    </row>
    <row r="15" spans="1:10" customFormat="1" ht="15">
      <c r="A15" s="54" t="str">
        <f>HLOOKUP(INDICE!$F$2,Nombres!$C$3:$E$853,12)</f>
        <v xml:space="preserve">América del Sur </v>
      </c>
      <c r="B15" s="102">
        <v>2.1999999999999999E-2</v>
      </c>
      <c r="C15" s="103">
        <v>2.1000000000000001E-2</v>
      </c>
      <c r="D15" s="103">
        <v>2.1000000000000001E-2</v>
      </c>
      <c r="E15" s="103">
        <v>2.1000000000000001E-2</v>
      </c>
      <c r="F15" s="102">
        <v>2.3E-2</v>
      </c>
      <c r="G15" s="103">
        <v>2.3E-2</v>
      </c>
      <c r="H15" s="103">
        <v>2.1999999999999999E-2</v>
      </c>
      <c r="I15" s="97"/>
    </row>
    <row r="16" spans="1:10" s="101" customFormat="1" ht="6" customHeight="1">
      <c r="A16" s="107"/>
      <c r="B16" s="110"/>
      <c r="C16" s="110"/>
      <c r="D16" s="110"/>
      <c r="E16" s="91"/>
      <c r="F16" s="91"/>
      <c r="G16" s="91"/>
      <c r="H16" s="91"/>
      <c r="I16" s="97"/>
      <c r="J16" s="106"/>
    </row>
    <row r="17" spans="1:10">
      <c r="A17" s="54" t="str">
        <f>HLOOKUP(INDICE!$F$2,Nombres!$C$3:$E$853,184)</f>
        <v>Resto de Eurasia</v>
      </c>
      <c r="B17" s="102">
        <v>3.7999999999999999E-2</v>
      </c>
      <c r="C17" s="103">
        <v>0.04</v>
      </c>
      <c r="D17" s="103">
        <v>3.7999999999999999E-2</v>
      </c>
      <c r="E17" s="103">
        <v>3.6999999999999998E-2</v>
      </c>
      <c r="F17" s="102">
        <v>3.4000000000000002E-2</v>
      </c>
      <c r="G17" s="103">
        <v>3.4000000000000002E-2</v>
      </c>
      <c r="H17" s="103">
        <v>2.7E-2</v>
      </c>
    </row>
    <row r="18" spans="1:10" s="101" customFormat="1" ht="15.75" customHeight="1">
      <c r="A18" s="79" t="str">
        <f>HLOOKUP(INDICE!$F$2,Nombres!$C$3:$E$853,320)</f>
        <v>(*) Estados financieros de Garanti integrados en la proporción correspondiente al porcentaje de participación (25,01%) que el Grupo tenía hasta el segundo trimestre de 2015.</v>
      </c>
      <c r="B18" s="111"/>
      <c r="C18" s="111"/>
      <c r="D18" s="111"/>
      <c r="E18" s="111"/>
      <c r="F18" s="111"/>
      <c r="G18" s="111"/>
      <c r="H18" s="112"/>
      <c r="I18" s="106"/>
      <c r="J18" s="106"/>
    </row>
    <row r="19" spans="1:10">
      <c r="B19" s="111"/>
      <c r="C19" s="111"/>
      <c r="D19" s="111"/>
      <c r="E19" s="111"/>
      <c r="F19" s="111"/>
      <c r="G19" s="111"/>
      <c r="H19" s="112"/>
      <c r="I19" s="106"/>
      <c r="J19" s="106"/>
    </row>
    <row r="20" spans="1:10" s="114" customFormat="1" ht="21.75" customHeight="1">
      <c r="A20" s="38" t="str">
        <f>HLOOKUP(INDICE!$F$2,Nombres!$C$3:$E$853,140)</f>
        <v>Tasa de cobertura (%)</v>
      </c>
      <c r="B20" s="113"/>
      <c r="C20" s="113"/>
      <c r="D20" s="113"/>
      <c r="E20" s="113"/>
      <c r="F20" s="113"/>
      <c r="G20" s="113"/>
      <c r="H20" s="112"/>
      <c r="I20" s="106"/>
      <c r="J20" s="106"/>
    </row>
    <row r="21" spans="1:10" ht="6.75" customHeight="1">
      <c r="A21" s="90"/>
      <c r="B21" s="113"/>
      <c r="C21" s="113"/>
      <c r="D21" s="113"/>
      <c r="E21" s="113"/>
      <c r="F21" s="113"/>
      <c r="G21" s="113"/>
      <c r="H21" s="112"/>
      <c r="I21" s="106"/>
      <c r="J21" s="106"/>
    </row>
    <row r="22" spans="1:10">
      <c r="B22" s="81">
        <v>41729</v>
      </c>
      <c r="C22" s="82">
        <v>41820</v>
      </c>
      <c r="D22" s="82">
        <v>41912</v>
      </c>
      <c r="E22" s="82">
        <v>42004</v>
      </c>
      <c r="F22" s="81">
        <v>42094</v>
      </c>
      <c r="G22" s="82">
        <v>42185</v>
      </c>
      <c r="H22" s="82">
        <v>42277</v>
      </c>
      <c r="I22" s="106"/>
      <c r="J22" s="106"/>
    </row>
    <row r="23" spans="1:10" ht="6.75" customHeight="1">
      <c r="B23" s="115"/>
      <c r="C23" s="115"/>
      <c r="D23" s="115"/>
      <c r="E23" s="115"/>
      <c r="F23" s="115"/>
      <c r="G23" s="115"/>
      <c r="H23" s="112"/>
      <c r="I23" s="106"/>
      <c r="J23" s="106"/>
    </row>
    <row r="24" spans="1:10" customFormat="1" ht="15">
      <c r="A24" s="94" t="str">
        <f>HLOOKUP(INDICE!$F$2,Nombres!$C$3:$E$853,164)</f>
        <v>Grupo BBVA</v>
      </c>
      <c r="B24" s="116">
        <v>0.6</v>
      </c>
      <c r="C24" s="117">
        <v>0.62</v>
      </c>
      <c r="D24" s="117">
        <v>0.63</v>
      </c>
      <c r="E24" s="118">
        <v>0.64</v>
      </c>
      <c r="F24" s="116">
        <v>0.65</v>
      </c>
      <c r="G24" s="117">
        <v>0.72</v>
      </c>
      <c r="H24" s="117">
        <v>0.74</v>
      </c>
      <c r="I24" s="119"/>
    </row>
    <row r="25" spans="1:10" s="101" customFormat="1" ht="6.75" customHeight="1">
      <c r="A25" s="92"/>
      <c r="B25" s="120"/>
      <c r="C25" s="121"/>
      <c r="D25" s="121"/>
      <c r="E25" s="121"/>
      <c r="F25" s="120"/>
      <c r="G25" s="121"/>
      <c r="H25" s="121"/>
      <c r="I25" s="119"/>
      <c r="J25" s="106"/>
    </row>
    <row r="26" spans="1:10" customFormat="1" ht="15">
      <c r="A26" s="54" t="str">
        <f>HLOOKUP(INDICE!$F$2,Nombres!$C$3:$E$853,301)</f>
        <v>Actividad bancaria en España</v>
      </c>
      <c r="B26" s="122">
        <v>0.41</v>
      </c>
      <c r="C26" s="123">
        <v>0.44</v>
      </c>
      <c r="D26" s="123">
        <v>0.44</v>
      </c>
      <c r="E26" s="123">
        <v>0.45</v>
      </c>
      <c r="F26" s="122">
        <v>0.46</v>
      </c>
      <c r="G26" s="123">
        <v>0.62</v>
      </c>
      <c r="H26" s="123">
        <v>0.6</v>
      </c>
      <c r="I26" s="119"/>
      <c r="J26" s="124"/>
    </row>
    <row r="27" spans="1:10" ht="6" customHeight="1">
      <c r="B27" s="125"/>
      <c r="C27" s="121"/>
      <c r="D27" s="121"/>
      <c r="E27" s="121"/>
      <c r="F27" s="125"/>
      <c r="G27" s="121"/>
      <c r="H27" s="121"/>
      <c r="I27" s="119"/>
      <c r="J27" s="106"/>
    </row>
    <row r="28" spans="1:10" customFormat="1" ht="15">
      <c r="A28" s="54" t="str">
        <f>HLOOKUP(INDICE!$F$2,Nombres!$C$3:$E$853,20)</f>
        <v>Estados Unidos</v>
      </c>
      <c r="B28" s="122">
        <v>1.6</v>
      </c>
      <c r="C28" s="123">
        <v>1.68</v>
      </c>
      <c r="D28" s="123">
        <v>1.64</v>
      </c>
      <c r="E28" s="123">
        <v>1.67</v>
      </c>
      <c r="F28" s="122">
        <v>1.64</v>
      </c>
      <c r="G28" s="123">
        <v>1.51</v>
      </c>
      <c r="H28" s="123">
        <v>1.53</v>
      </c>
      <c r="I28" s="119"/>
    </row>
    <row r="29" spans="1:10" ht="6" customHeight="1">
      <c r="B29" s="125"/>
      <c r="C29" s="121"/>
      <c r="D29" s="121"/>
      <c r="E29" s="121"/>
      <c r="F29" s="125"/>
      <c r="G29" s="121"/>
      <c r="H29" s="121"/>
      <c r="I29" s="119"/>
      <c r="J29" s="106"/>
    </row>
    <row r="30" spans="1:10" customFormat="1" ht="15">
      <c r="A30" s="54" t="str">
        <f>HLOOKUP(INDICE!$F$2,Nombres!$C$3:$E$853,319)</f>
        <v>Turquía (*)</v>
      </c>
      <c r="B30" s="122">
        <v>1.1200000000000001</v>
      </c>
      <c r="C30" s="123">
        <v>1.1200000000000001</v>
      </c>
      <c r="D30" s="123">
        <v>1.1499999999999999</v>
      </c>
      <c r="E30" s="123">
        <v>1.1499999999999999</v>
      </c>
      <c r="F30" s="122">
        <v>1.18</v>
      </c>
      <c r="G30" s="123">
        <v>1.19</v>
      </c>
      <c r="H30" s="123">
        <v>1.19</v>
      </c>
      <c r="I30" s="119"/>
    </row>
    <row r="31" spans="1:10" ht="6" customHeight="1">
      <c r="B31" s="125"/>
      <c r="C31" s="121"/>
      <c r="D31" s="121"/>
      <c r="E31" s="121"/>
      <c r="F31" s="125"/>
      <c r="G31" s="121"/>
      <c r="H31" s="121"/>
      <c r="I31" s="119"/>
      <c r="J31" s="106"/>
    </row>
    <row r="32" spans="1:10" customFormat="1" ht="15">
      <c r="A32" s="54" t="str">
        <f>HLOOKUP(INDICE!$F$2,Nombres!$C$3:$E$853,9)</f>
        <v>México</v>
      </c>
      <c r="B32" s="122">
        <v>1.1399999999999999</v>
      </c>
      <c r="C32" s="123">
        <v>1.1299999999999999</v>
      </c>
      <c r="D32" s="123">
        <v>1.1200000000000001</v>
      </c>
      <c r="E32" s="123">
        <v>1.1399999999999999</v>
      </c>
      <c r="F32" s="122">
        <v>1.1599999999999999</v>
      </c>
      <c r="G32" s="123">
        <v>1.1599999999999999</v>
      </c>
      <c r="H32" s="123">
        <v>1.21</v>
      </c>
      <c r="I32" s="119"/>
    </row>
    <row r="33" spans="1:10" ht="6.75" customHeight="1">
      <c r="A33" s="107"/>
      <c r="B33" s="126"/>
      <c r="C33" s="127"/>
      <c r="D33" s="127"/>
      <c r="E33" s="127"/>
      <c r="F33" s="126"/>
      <c r="G33" s="127"/>
      <c r="H33" s="127"/>
      <c r="I33" s="119"/>
      <c r="J33" s="106"/>
    </row>
    <row r="34" spans="1:10" customFormat="1" ht="15">
      <c r="A34" s="54" t="str">
        <f>HLOOKUP(INDICE!$F$2,Nombres!$C$3:$E$853,12)</f>
        <v xml:space="preserve">América del Sur </v>
      </c>
      <c r="B34" s="122">
        <v>1.36</v>
      </c>
      <c r="C34" s="123">
        <v>1.38</v>
      </c>
      <c r="D34" s="123">
        <v>1.37</v>
      </c>
      <c r="E34" s="123">
        <v>1.38</v>
      </c>
      <c r="F34" s="122">
        <v>1.21</v>
      </c>
      <c r="G34" s="123">
        <v>1.22</v>
      </c>
      <c r="H34" s="123">
        <v>1.25</v>
      </c>
      <c r="I34" s="119"/>
    </row>
    <row r="35" spans="1:10" s="101" customFormat="1" ht="6" customHeight="1">
      <c r="A35" s="107"/>
      <c r="B35" s="128"/>
      <c r="C35" s="128"/>
      <c r="D35" s="128"/>
      <c r="E35" s="61"/>
      <c r="F35" s="61"/>
      <c r="G35" s="128"/>
      <c r="H35" s="128"/>
      <c r="I35" s="119"/>
      <c r="J35" s="106"/>
    </row>
    <row r="36" spans="1:10">
      <c r="A36" s="54" t="str">
        <f>HLOOKUP(INDICE!$F$2,Nombres!$C$3:$E$853,184)</f>
        <v>Resto de Eurasia</v>
      </c>
      <c r="B36" s="122">
        <v>0.77</v>
      </c>
      <c r="C36" s="123">
        <v>0.79</v>
      </c>
      <c r="D36" s="123">
        <v>0.81</v>
      </c>
      <c r="E36" s="123">
        <v>0.8</v>
      </c>
      <c r="F36" s="122">
        <v>0.82</v>
      </c>
      <c r="G36" s="123">
        <v>0.86</v>
      </c>
      <c r="H36" s="123">
        <v>0.94</v>
      </c>
    </row>
    <row r="37" spans="1:10" s="101" customFormat="1" ht="18" customHeight="1">
      <c r="A37" s="79" t="str">
        <f>HLOOKUP(INDICE!$F$2,Nombres!$C$3:$E$853,320)</f>
        <v>(*) Estados financieros de Garanti integrados en la proporción correspondiente al porcentaje de participación (25,01%) que el Grupo tenía hasta el segundo trimestre de 2015.</v>
      </c>
      <c r="B37" s="61"/>
      <c r="C37" s="61"/>
      <c r="D37" s="61"/>
      <c r="E37" s="61"/>
      <c r="F37" s="61"/>
      <c r="G37" s="61"/>
      <c r="H37" s="112"/>
      <c r="I37" s="106"/>
      <c r="J37" s="106"/>
    </row>
    <row r="38" spans="1:10" ht="12" customHeight="1">
      <c r="B38" s="61"/>
      <c r="C38" s="61"/>
      <c r="D38" s="61"/>
      <c r="E38" s="61"/>
      <c r="F38" s="61"/>
      <c r="G38" s="61"/>
      <c r="H38" s="112"/>
      <c r="I38" s="106"/>
      <c r="J38" s="106"/>
    </row>
    <row r="39" spans="1:10" ht="17.25" customHeight="1">
      <c r="A39" s="38" t="str">
        <f>HLOOKUP(INDICE!$F$2,Nombres!$C$3:$E$853,198)</f>
        <v>Coste de riesgo (%)</v>
      </c>
      <c r="B39" s="61"/>
      <c r="C39" s="61"/>
      <c r="D39" s="61"/>
      <c r="E39" s="61"/>
      <c r="F39" s="61"/>
      <c r="G39" s="61"/>
      <c r="H39" s="112"/>
      <c r="I39" s="106"/>
      <c r="J39" s="106"/>
    </row>
    <row r="40" spans="1:10" ht="6.75" customHeight="1">
      <c r="A40" s="90"/>
      <c r="B40" s="61"/>
      <c r="C40" s="61"/>
      <c r="D40" s="61"/>
      <c r="E40" s="61"/>
      <c r="F40" s="61"/>
      <c r="G40" s="61"/>
      <c r="H40" s="112"/>
      <c r="I40" s="106"/>
      <c r="J40" s="106"/>
    </row>
    <row r="41" spans="1:10">
      <c r="B41" s="81">
        <v>41729</v>
      </c>
      <c r="C41" s="82">
        <v>41820</v>
      </c>
      <c r="D41" s="82">
        <v>41912</v>
      </c>
      <c r="E41" s="82">
        <v>42004</v>
      </c>
      <c r="F41" s="81">
        <v>42094</v>
      </c>
      <c r="G41" s="82">
        <v>42185</v>
      </c>
      <c r="H41" s="82">
        <v>42277</v>
      </c>
      <c r="I41" s="106"/>
      <c r="J41" s="106"/>
    </row>
    <row r="42" spans="1:10">
      <c r="B42" s="115"/>
      <c r="C42" s="115"/>
      <c r="D42" s="115"/>
      <c r="E42" s="115"/>
      <c r="F42" s="115"/>
      <c r="G42" s="115"/>
      <c r="H42" s="112"/>
      <c r="I42" s="106"/>
      <c r="J42" s="106"/>
    </row>
    <row r="43" spans="1:10" customFormat="1" ht="15">
      <c r="A43" s="94" t="str">
        <f>HLOOKUP(INDICE!$F$2,Nombres!$C$3:$E$853,164)</f>
        <v>Grupo BBVA</v>
      </c>
      <c r="B43" s="129">
        <v>1.270086653255716</v>
      </c>
      <c r="C43" s="130">
        <v>1.2443658447338286</v>
      </c>
      <c r="D43" s="130">
        <v>1.2501626716955558</v>
      </c>
      <c r="E43" s="131">
        <v>1.2512788881749144</v>
      </c>
      <c r="F43" s="129">
        <v>1.2120893824840293</v>
      </c>
      <c r="G43" s="130">
        <v>1.1604231062448223</v>
      </c>
      <c r="H43" s="130">
        <v>1.1037668703171619</v>
      </c>
      <c r="I43" s="74"/>
    </row>
    <row r="44" spans="1:10" s="101" customFormat="1" ht="6.75" customHeight="1">
      <c r="A44" s="92"/>
      <c r="B44" s="100"/>
      <c r="C44" s="100"/>
      <c r="D44" s="100"/>
      <c r="E44" s="100"/>
      <c r="F44" s="100"/>
      <c r="G44" s="100"/>
      <c r="H44" s="100"/>
      <c r="I44" s="106"/>
      <c r="J44" s="106"/>
    </row>
    <row r="45" spans="1:10" customFormat="1" ht="15">
      <c r="A45" s="54" t="str">
        <f>HLOOKUP(INDICE!$F$2,Nombres!$C$3:$E$853,301)</f>
        <v>Actividad bancaria en España</v>
      </c>
      <c r="B45" s="132">
        <v>1.0394714972845251</v>
      </c>
      <c r="C45" s="132">
        <v>0.96893195597298343</v>
      </c>
      <c r="D45" s="132">
        <v>0.93371282271085421</v>
      </c>
      <c r="E45" s="132">
        <v>0.94976559818936868</v>
      </c>
      <c r="F45" s="132">
        <v>0.98797171876480061</v>
      </c>
      <c r="G45" s="132">
        <v>0.8561275005949357</v>
      </c>
      <c r="H45" s="132">
        <v>0.77476943419483735</v>
      </c>
      <c r="I45" s="74"/>
    </row>
    <row r="46" spans="1:10" ht="6" customHeight="1">
      <c r="B46" s="100"/>
      <c r="C46" s="100"/>
      <c r="D46" s="100"/>
      <c r="E46" s="100"/>
      <c r="F46" s="100"/>
      <c r="G46" s="100"/>
      <c r="H46" s="100"/>
      <c r="I46" s="106"/>
      <c r="J46" s="106"/>
    </row>
    <row r="47" spans="1:10" customFormat="1" ht="15">
      <c r="A47" s="54" t="str">
        <f>HLOOKUP(INDICE!$F$2,Nombres!$C$3:$E$853,20)</f>
        <v>Estados Unidos</v>
      </c>
      <c r="B47" s="132">
        <v>0.19259436142140168</v>
      </c>
      <c r="C47" s="132">
        <v>0.20691461411277293</v>
      </c>
      <c r="D47" s="132">
        <v>0.17112564064334118</v>
      </c>
      <c r="E47" s="132">
        <v>0.1597019062890884</v>
      </c>
      <c r="F47" s="132">
        <v>0.22954527578380535</v>
      </c>
      <c r="G47" s="132">
        <v>0.22751469504856239</v>
      </c>
      <c r="H47" s="132">
        <v>0.20873237047030727</v>
      </c>
      <c r="I47" s="74"/>
    </row>
    <row r="48" spans="1:10" ht="6" customHeight="1">
      <c r="B48" s="100"/>
      <c r="C48" s="100"/>
      <c r="D48" s="100"/>
      <c r="E48" s="100"/>
      <c r="F48" s="100"/>
      <c r="G48" s="100"/>
      <c r="H48" s="100"/>
      <c r="I48" s="106"/>
      <c r="J48" s="106"/>
    </row>
    <row r="49" spans="1:10" customFormat="1" ht="15">
      <c r="A49" s="54" t="str">
        <f>HLOOKUP(INDICE!$F$2,Nombres!$C$3:$E$853,319)</f>
        <v>Turquía (*)</v>
      </c>
      <c r="B49" s="132">
        <v>0.87777010342604367</v>
      </c>
      <c r="C49" s="132">
        <v>0.84632786176651564</v>
      </c>
      <c r="D49" s="132">
        <v>1.0979202825214924</v>
      </c>
      <c r="E49" s="132">
        <v>1.1630603088178662</v>
      </c>
      <c r="F49" s="132">
        <v>0.93708927858853941</v>
      </c>
      <c r="G49" s="132">
        <v>1.0002320018152833</v>
      </c>
      <c r="H49" s="132">
        <v>1.0344839449930205</v>
      </c>
      <c r="I49" s="74"/>
    </row>
    <row r="50" spans="1:10" ht="6" customHeight="1">
      <c r="B50" s="100"/>
      <c r="C50" s="100"/>
      <c r="D50" s="100"/>
      <c r="E50" s="100"/>
      <c r="F50" s="100"/>
      <c r="G50" s="100"/>
      <c r="H50" s="100"/>
      <c r="I50" s="106"/>
      <c r="J50" s="106"/>
    </row>
    <row r="51" spans="1:10" customFormat="1" ht="15">
      <c r="A51" s="54" t="str">
        <f>HLOOKUP(INDICE!$F$2,Nombres!$C$3:$E$853,9)</f>
        <v>México</v>
      </c>
      <c r="B51" s="132">
        <v>3.5085245915805383</v>
      </c>
      <c r="C51" s="132">
        <v>3.6133557375183756</v>
      </c>
      <c r="D51" s="132">
        <v>3.5648245545740447</v>
      </c>
      <c r="E51" s="132">
        <v>3.4509220517502812</v>
      </c>
      <c r="F51" s="132">
        <v>3.4401072303454914</v>
      </c>
      <c r="G51" s="132">
        <v>3.4296209378401685</v>
      </c>
      <c r="H51" s="132">
        <v>3.3970805061860898</v>
      </c>
      <c r="I51" s="74"/>
    </row>
    <row r="52" spans="1:10" ht="6.75" customHeight="1">
      <c r="A52" s="107"/>
      <c r="B52" s="111"/>
      <c r="C52" s="111"/>
      <c r="D52" s="111"/>
      <c r="E52" s="111"/>
      <c r="F52" s="111"/>
      <c r="G52" s="111"/>
      <c r="H52" s="111"/>
      <c r="I52" s="106"/>
      <c r="J52" s="106"/>
    </row>
    <row r="53" spans="1:10" customFormat="1" ht="15">
      <c r="A53" s="54" t="str">
        <f>HLOOKUP(INDICE!$F$2,Nombres!$C$3:$E$853,12)</f>
        <v xml:space="preserve">América del Sur </v>
      </c>
      <c r="B53" s="132">
        <v>1.2251954084157433</v>
      </c>
      <c r="C53" s="132">
        <v>1.3463877598299889</v>
      </c>
      <c r="D53" s="132">
        <v>1.442935198651869</v>
      </c>
      <c r="E53" s="132">
        <v>1.4576458055656254</v>
      </c>
      <c r="F53" s="132">
        <v>1.0300625875418765</v>
      </c>
      <c r="G53" s="132">
        <v>1.2275037926002155</v>
      </c>
      <c r="H53" s="132">
        <v>1.2247604144453461</v>
      </c>
      <c r="I53" s="74"/>
    </row>
    <row r="54" spans="1:10" s="101" customFormat="1" ht="6" customHeight="1">
      <c r="A54" s="107"/>
      <c r="B54" s="113"/>
      <c r="C54" s="113"/>
      <c r="D54" s="113"/>
      <c r="E54" s="39"/>
      <c r="F54" s="39"/>
      <c r="G54" s="39"/>
      <c r="H54" s="39"/>
      <c r="I54" s="106"/>
      <c r="J54" s="106"/>
    </row>
    <row r="55" spans="1:10">
      <c r="A55" s="54" t="s">
        <v>319</v>
      </c>
      <c r="B55" s="132">
        <v>0.48763704657495488</v>
      </c>
      <c r="C55" s="132">
        <v>0.45936488587906554</v>
      </c>
      <c r="D55" s="132">
        <v>0.4200166560013387</v>
      </c>
      <c r="E55" s="132">
        <v>0.31106179543444934</v>
      </c>
      <c r="F55" s="132">
        <v>0.54774865142038021</v>
      </c>
      <c r="G55" s="132">
        <v>0.34436050521502659</v>
      </c>
      <c r="H55" s="132">
        <v>5.3542589872693259E-2</v>
      </c>
    </row>
    <row r="56" spans="1:10">
      <c r="A56" s="79" t="str">
        <f>HLOOKUP(INDICE!$F$2,Nombres!$C$3:$E$853,320)</f>
        <v>(*) Estados financieros de Garanti integrados en la proporción correspondiente al porcentaje de participación (25,01%) que el Grupo tenía hasta el segundo trimestre de 2015.</v>
      </c>
      <c r="C56" s="61"/>
      <c r="D56" s="61"/>
      <c r="E56" s="61"/>
    </row>
  </sheetData>
  <pageMargins left="0.7" right="0.7" top="0.75" bottom="0.75" header="0.3" footer="0.3"/>
  <pageSetup paperSize="9" scale="6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1:M55"/>
  <sheetViews>
    <sheetView showGridLines="0" workbookViewId="0"/>
  </sheetViews>
  <sheetFormatPr baseColWidth="10" defaultColWidth="12.5703125" defaultRowHeight="12.75"/>
  <cols>
    <col min="1" max="1" width="21.85546875" style="40" customWidth="1"/>
    <col min="2" max="255" width="12.5703125" style="40"/>
    <col min="256" max="256" width="21.85546875" style="40" customWidth="1"/>
    <col min="257" max="511" width="12.5703125" style="40"/>
    <col min="512" max="512" width="21.85546875" style="40" customWidth="1"/>
    <col min="513" max="767" width="12.5703125" style="40"/>
    <col min="768" max="768" width="21.85546875" style="40" customWidth="1"/>
    <col min="769" max="1023" width="12.5703125" style="40"/>
    <col min="1024" max="1024" width="21.85546875" style="40" customWidth="1"/>
    <col min="1025" max="1279" width="12.5703125" style="40"/>
    <col min="1280" max="1280" width="21.85546875" style="40" customWidth="1"/>
    <col min="1281" max="1535" width="12.5703125" style="40"/>
    <col min="1536" max="1536" width="21.85546875" style="40" customWidth="1"/>
    <col min="1537" max="1791" width="12.5703125" style="40"/>
    <col min="1792" max="1792" width="21.85546875" style="40" customWidth="1"/>
    <col min="1793" max="2047" width="12.5703125" style="40"/>
    <col min="2048" max="2048" width="21.85546875" style="40" customWidth="1"/>
    <col min="2049" max="2303" width="12.5703125" style="40"/>
    <col min="2304" max="2304" width="21.85546875" style="40" customWidth="1"/>
    <col min="2305" max="2559" width="12.5703125" style="40"/>
    <col min="2560" max="2560" width="21.85546875" style="40" customWidth="1"/>
    <col min="2561" max="2815" width="12.5703125" style="40"/>
    <col min="2816" max="2816" width="21.85546875" style="40" customWidth="1"/>
    <col min="2817" max="3071" width="12.5703125" style="40"/>
    <col min="3072" max="3072" width="21.85546875" style="40" customWidth="1"/>
    <col min="3073" max="3327" width="12.5703125" style="40"/>
    <col min="3328" max="3328" width="21.85546875" style="40" customWidth="1"/>
    <col min="3329" max="3583" width="12.5703125" style="40"/>
    <col min="3584" max="3584" width="21.85546875" style="40" customWidth="1"/>
    <col min="3585" max="3839" width="12.5703125" style="40"/>
    <col min="3840" max="3840" width="21.85546875" style="40" customWidth="1"/>
    <col min="3841" max="4095" width="12.5703125" style="40"/>
    <col min="4096" max="4096" width="21.85546875" style="40" customWidth="1"/>
    <col min="4097" max="4351" width="12.5703125" style="40"/>
    <col min="4352" max="4352" width="21.85546875" style="40" customWidth="1"/>
    <col min="4353" max="4607" width="12.5703125" style="40"/>
    <col min="4608" max="4608" width="21.85546875" style="40" customWidth="1"/>
    <col min="4609" max="4863" width="12.5703125" style="40"/>
    <col min="4864" max="4864" width="21.85546875" style="40" customWidth="1"/>
    <col min="4865" max="5119" width="12.5703125" style="40"/>
    <col min="5120" max="5120" width="21.85546875" style="40" customWidth="1"/>
    <col min="5121" max="5375" width="12.5703125" style="40"/>
    <col min="5376" max="5376" width="21.85546875" style="40" customWidth="1"/>
    <col min="5377" max="5631" width="12.5703125" style="40"/>
    <col min="5632" max="5632" width="21.85546875" style="40" customWidth="1"/>
    <col min="5633" max="5887" width="12.5703125" style="40"/>
    <col min="5888" max="5888" width="21.85546875" style="40" customWidth="1"/>
    <col min="5889" max="6143" width="12.5703125" style="40"/>
    <col min="6144" max="6144" width="21.85546875" style="40" customWidth="1"/>
    <col min="6145" max="6399" width="12.5703125" style="40"/>
    <col min="6400" max="6400" width="21.85546875" style="40" customWidth="1"/>
    <col min="6401" max="6655" width="12.5703125" style="40"/>
    <col min="6656" max="6656" width="21.85546875" style="40" customWidth="1"/>
    <col min="6657" max="6911" width="12.5703125" style="40"/>
    <col min="6912" max="6912" width="21.85546875" style="40" customWidth="1"/>
    <col min="6913" max="7167" width="12.5703125" style="40"/>
    <col min="7168" max="7168" width="21.85546875" style="40" customWidth="1"/>
    <col min="7169" max="7423" width="12.5703125" style="40"/>
    <col min="7424" max="7424" width="21.85546875" style="40" customWidth="1"/>
    <col min="7425" max="7679" width="12.5703125" style="40"/>
    <col min="7680" max="7680" width="21.85546875" style="40" customWidth="1"/>
    <col min="7681" max="7935" width="12.5703125" style="40"/>
    <col min="7936" max="7936" width="21.85546875" style="40" customWidth="1"/>
    <col min="7937" max="8191" width="12.5703125" style="40"/>
    <col min="8192" max="8192" width="21.85546875" style="40" customWidth="1"/>
    <col min="8193" max="8447" width="12.5703125" style="40"/>
    <col min="8448" max="8448" width="21.85546875" style="40" customWidth="1"/>
    <col min="8449" max="8703" width="12.5703125" style="40"/>
    <col min="8704" max="8704" width="21.85546875" style="40" customWidth="1"/>
    <col min="8705" max="8959" width="12.5703125" style="40"/>
    <col min="8960" max="8960" width="21.85546875" style="40" customWidth="1"/>
    <col min="8961" max="9215" width="12.5703125" style="40"/>
    <col min="9216" max="9216" width="21.85546875" style="40" customWidth="1"/>
    <col min="9217" max="9471" width="12.5703125" style="40"/>
    <col min="9472" max="9472" width="21.85546875" style="40" customWidth="1"/>
    <col min="9473" max="9727" width="12.5703125" style="40"/>
    <col min="9728" max="9728" width="21.85546875" style="40" customWidth="1"/>
    <col min="9729" max="9983" width="12.5703125" style="40"/>
    <col min="9984" max="9984" width="21.85546875" style="40" customWidth="1"/>
    <col min="9985" max="10239" width="12.5703125" style="40"/>
    <col min="10240" max="10240" width="21.85546875" style="40" customWidth="1"/>
    <col min="10241" max="10495" width="12.5703125" style="40"/>
    <col min="10496" max="10496" width="21.85546875" style="40" customWidth="1"/>
    <col min="10497" max="10751" width="12.5703125" style="40"/>
    <col min="10752" max="10752" width="21.85546875" style="40" customWidth="1"/>
    <col min="10753" max="11007" width="12.5703125" style="40"/>
    <col min="11008" max="11008" width="21.85546875" style="40" customWidth="1"/>
    <col min="11009" max="11263" width="12.5703125" style="40"/>
    <col min="11264" max="11264" width="21.85546875" style="40" customWidth="1"/>
    <col min="11265" max="11519" width="12.5703125" style="40"/>
    <col min="11520" max="11520" width="21.85546875" style="40" customWidth="1"/>
    <col min="11521" max="11775" width="12.5703125" style="40"/>
    <col min="11776" max="11776" width="21.85546875" style="40" customWidth="1"/>
    <col min="11777" max="12031" width="12.5703125" style="40"/>
    <col min="12032" max="12032" width="21.85546875" style="40" customWidth="1"/>
    <col min="12033" max="12287" width="12.5703125" style="40"/>
    <col min="12288" max="12288" width="21.85546875" style="40" customWidth="1"/>
    <col min="12289" max="12543" width="12.5703125" style="40"/>
    <col min="12544" max="12544" width="21.85546875" style="40" customWidth="1"/>
    <col min="12545" max="12799" width="12.5703125" style="40"/>
    <col min="12800" max="12800" width="21.85546875" style="40" customWidth="1"/>
    <col min="12801" max="13055" width="12.5703125" style="40"/>
    <col min="13056" max="13056" width="21.85546875" style="40" customWidth="1"/>
    <col min="13057" max="13311" width="12.5703125" style="40"/>
    <col min="13312" max="13312" width="21.85546875" style="40" customWidth="1"/>
    <col min="13313" max="13567" width="12.5703125" style="40"/>
    <col min="13568" max="13568" width="21.85546875" style="40" customWidth="1"/>
    <col min="13569" max="13823" width="12.5703125" style="40"/>
    <col min="13824" max="13824" width="21.85546875" style="40" customWidth="1"/>
    <col min="13825" max="14079" width="12.5703125" style="40"/>
    <col min="14080" max="14080" width="21.85546875" style="40" customWidth="1"/>
    <col min="14081" max="14335" width="12.5703125" style="40"/>
    <col min="14336" max="14336" width="21.85546875" style="40" customWidth="1"/>
    <col min="14337" max="14591" width="12.5703125" style="40"/>
    <col min="14592" max="14592" width="21.85546875" style="40" customWidth="1"/>
    <col min="14593" max="14847" width="12.5703125" style="40"/>
    <col min="14848" max="14848" width="21.85546875" style="40" customWidth="1"/>
    <col min="14849" max="15103" width="12.5703125" style="40"/>
    <col min="15104" max="15104" width="21.85546875" style="40" customWidth="1"/>
    <col min="15105" max="15359" width="12.5703125" style="40"/>
    <col min="15360" max="15360" width="21.85546875" style="40" customWidth="1"/>
    <col min="15361" max="15615" width="12.5703125" style="40"/>
    <col min="15616" max="15616" width="21.85546875" style="40" customWidth="1"/>
    <col min="15617" max="15871" width="12.5703125" style="40"/>
    <col min="15872" max="15872" width="21.85546875" style="40" customWidth="1"/>
    <col min="15873" max="16127" width="12.5703125" style="40"/>
    <col min="16128" max="16128" width="21.85546875" style="40" customWidth="1"/>
    <col min="16129" max="16384" width="12.5703125" style="40"/>
  </cols>
  <sheetData>
    <row r="1" spans="1:13" ht="20.25">
      <c r="A1" s="38" t="str">
        <f>HLOOKUP(INDICE!$F$2,Nombres!$C$3:$F$853,141)</f>
        <v>Oficinas</v>
      </c>
      <c r="G1"/>
      <c r="H1"/>
    </row>
    <row r="2" spans="1:13">
      <c r="A2" s="80"/>
      <c r="B2" s="81">
        <v>41729</v>
      </c>
      <c r="C2" s="82">
        <v>41820</v>
      </c>
      <c r="D2" s="82">
        <v>41912</v>
      </c>
      <c r="E2" s="82">
        <v>42004</v>
      </c>
      <c r="F2" s="81">
        <v>42094</v>
      </c>
      <c r="G2" s="82">
        <v>42185</v>
      </c>
      <c r="H2" s="82">
        <v>42277</v>
      </c>
    </row>
    <row r="3" spans="1:13" customFormat="1" ht="15">
      <c r="A3" s="54" t="str">
        <f>HLOOKUP(INDICE!$F$2,Nombres!$C$3:$F$853,142)</f>
        <v>España</v>
      </c>
      <c r="B3" s="83">
        <v>3231</v>
      </c>
      <c r="C3" s="83">
        <v>3137</v>
      </c>
      <c r="D3" s="83">
        <v>3131</v>
      </c>
      <c r="E3" s="83">
        <v>3112</v>
      </c>
      <c r="F3" s="83">
        <v>3111</v>
      </c>
      <c r="G3" s="83">
        <v>3869</v>
      </c>
      <c r="H3" s="83">
        <v>3863</v>
      </c>
      <c r="I3" s="74"/>
    </row>
    <row r="4" spans="1:13" customFormat="1" ht="15">
      <c r="A4" s="54" t="str">
        <f>HLOOKUP(INDICE!$F$2,Nombres!$C$3:$E$853,184)</f>
        <v>Resto de Eurasia</v>
      </c>
      <c r="B4" s="83">
        <v>117</v>
      </c>
      <c r="C4" s="83">
        <v>117</v>
      </c>
      <c r="D4" s="83">
        <v>118</v>
      </c>
      <c r="E4" s="83">
        <v>75</v>
      </c>
      <c r="F4" s="83">
        <v>75</v>
      </c>
      <c r="G4" s="83">
        <v>75</v>
      </c>
      <c r="H4" s="83">
        <v>75</v>
      </c>
      <c r="I4" s="74"/>
    </row>
    <row r="5" spans="1:13" customFormat="1" ht="15">
      <c r="A5" s="54" t="str">
        <f>HLOOKUP(INDICE!$F$2,Nombres!$C$3:$E$853,295)</f>
        <v xml:space="preserve">Turquía </v>
      </c>
      <c r="B5" s="83">
        <v>1</v>
      </c>
      <c r="C5" s="83">
        <v>1</v>
      </c>
      <c r="D5" s="83">
        <v>1</v>
      </c>
      <c r="E5" s="83">
        <v>1</v>
      </c>
      <c r="F5" s="83">
        <v>1</v>
      </c>
      <c r="G5" s="83">
        <v>1</v>
      </c>
      <c r="H5" s="83">
        <v>1136</v>
      </c>
      <c r="I5" s="74"/>
    </row>
    <row r="6" spans="1:13" customFormat="1" ht="15">
      <c r="A6" s="54" t="str">
        <f>HLOOKUP(INDICE!$F$2,Nombres!$C$3:$F$853,143)</f>
        <v>América</v>
      </c>
      <c r="B6" s="83">
        <v>4092</v>
      </c>
      <c r="C6" s="83">
        <v>4104</v>
      </c>
      <c r="D6" s="83">
        <v>4112</v>
      </c>
      <c r="E6" s="83">
        <v>4183</v>
      </c>
      <c r="F6" s="83">
        <v>4173</v>
      </c>
      <c r="G6" s="83">
        <v>4190</v>
      </c>
      <c r="H6" s="83">
        <v>4176</v>
      </c>
      <c r="I6" s="74"/>
    </row>
    <row r="7" spans="1:13" customFormat="1" ht="15">
      <c r="A7" s="49" t="str">
        <f>HLOOKUP(INDICE!$F$2,Nombres!$C$3:$F$853,144)</f>
        <v xml:space="preserve">   México</v>
      </c>
      <c r="B7" s="84">
        <v>1795</v>
      </c>
      <c r="C7" s="84">
        <v>1802</v>
      </c>
      <c r="D7" s="84">
        <v>1802</v>
      </c>
      <c r="E7" s="84">
        <v>1831</v>
      </c>
      <c r="F7" s="84">
        <v>1820</v>
      </c>
      <c r="G7" s="84">
        <v>1831</v>
      </c>
      <c r="H7" s="84">
        <v>1824</v>
      </c>
      <c r="I7" s="74"/>
    </row>
    <row r="8" spans="1:13" customFormat="1" ht="15">
      <c r="A8" s="49" t="str">
        <f>HLOOKUP(INDICE!$F$2,Nombres!$C$3:$F$853,145)</f>
        <v xml:space="preserve">   Estados Unidos </v>
      </c>
      <c r="B8" s="84">
        <v>686</v>
      </c>
      <c r="C8" s="85">
        <v>675</v>
      </c>
      <c r="D8" s="85">
        <v>675</v>
      </c>
      <c r="E8" s="85">
        <v>675</v>
      </c>
      <c r="F8" s="84">
        <v>675</v>
      </c>
      <c r="G8" s="85">
        <v>675</v>
      </c>
      <c r="H8" s="84">
        <v>674</v>
      </c>
      <c r="I8" s="74"/>
      <c r="L8" s="86"/>
      <c r="M8" s="87"/>
    </row>
    <row r="9" spans="1:13" customFormat="1" ht="15">
      <c r="A9" s="49" t="str">
        <f>HLOOKUP(INDICE!$F$2,Nombres!$C$3:$F$853,146)</f>
        <v xml:space="preserve">   Argentina </v>
      </c>
      <c r="B9" s="85">
        <v>245</v>
      </c>
      <c r="C9" s="85">
        <v>245</v>
      </c>
      <c r="D9" s="85">
        <v>248</v>
      </c>
      <c r="E9" s="85">
        <v>251</v>
      </c>
      <c r="F9" s="85">
        <v>251</v>
      </c>
      <c r="G9" s="85">
        <v>251</v>
      </c>
      <c r="H9" s="84">
        <v>251</v>
      </c>
      <c r="I9" s="74"/>
      <c r="L9" s="86"/>
      <c r="M9" s="87"/>
    </row>
    <row r="10" spans="1:13" customFormat="1" ht="15">
      <c r="A10" s="49" t="str">
        <f>HLOOKUP(INDICE!$F$2,Nombres!$C$3:$F$853,147)</f>
        <v xml:space="preserve">   Colombia</v>
      </c>
      <c r="B10" s="85">
        <v>476</v>
      </c>
      <c r="C10" s="85">
        <v>483</v>
      </c>
      <c r="D10" s="85">
        <v>491</v>
      </c>
      <c r="E10" s="85">
        <v>519</v>
      </c>
      <c r="F10" s="85">
        <v>522</v>
      </c>
      <c r="G10" s="85">
        <v>528</v>
      </c>
      <c r="H10" s="84">
        <v>530</v>
      </c>
      <c r="I10" s="74"/>
      <c r="L10" s="86"/>
      <c r="M10" s="87"/>
    </row>
    <row r="11" spans="1:13" customFormat="1" ht="15">
      <c r="A11" s="49" t="str">
        <f>HLOOKUP(INDICE!$F$2,Nombres!$C$3:$F$853,148)</f>
        <v xml:space="preserve">   Venezuela</v>
      </c>
      <c r="B11" s="85">
        <v>336</v>
      </c>
      <c r="C11" s="85">
        <v>339</v>
      </c>
      <c r="D11" s="85">
        <v>340</v>
      </c>
      <c r="E11" s="85">
        <v>341</v>
      </c>
      <c r="F11" s="85">
        <v>341</v>
      </c>
      <c r="G11" s="85">
        <v>340</v>
      </c>
      <c r="H11" s="84">
        <v>340</v>
      </c>
      <c r="I11" s="74"/>
      <c r="L11" s="86"/>
      <c r="M11" s="87"/>
    </row>
    <row r="12" spans="1:13" customFormat="1" ht="15">
      <c r="A12" s="49" t="str">
        <f>HLOOKUP(INDICE!$F$2,Nombres!$C$3:$F$853,149)</f>
        <v xml:space="preserve">   Perú</v>
      </c>
      <c r="B12" s="85">
        <v>327</v>
      </c>
      <c r="C12" s="85">
        <v>330</v>
      </c>
      <c r="D12" s="85">
        <v>330</v>
      </c>
      <c r="E12" s="85">
        <v>338</v>
      </c>
      <c r="F12" s="85">
        <v>341</v>
      </c>
      <c r="G12" s="85">
        <v>344</v>
      </c>
      <c r="H12" s="84">
        <v>345</v>
      </c>
      <c r="I12" s="74"/>
      <c r="L12" s="86"/>
      <c r="M12" s="87"/>
    </row>
    <row r="13" spans="1:13" customFormat="1" ht="15">
      <c r="A13" s="49" t="str">
        <f>HLOOKUP(INDICE!$F$2,Nombres!$C$3:$F$853,150)</f>
        <v xml:space="preserve">   Chile </v>
      </c>
      <c r="B13" s="85">
        <v>158</v>
      </c>
      <c r="C13" s="85">
        <v>163</v>
      </c>
      <c r="D13" s="85">
        <v>159</v>
      </c>
      <c r="E13" s="85">
        <v>161</v>
      </c>
      <c r="F13" s="85">
        <v>156</v>
      </c>
      <c r="G13" s="85">
        <v>154</v>
      </c>
      <c r="H13" s="84">
        <v>145</v>
      </c>
      <c r="I13" s="74"/>
      <c r="L13" s="86"/>
      <c r="M13" s="87"/>
    </row>
    <row r="14" spans="1:13" customFormat="1" ht="15">
      <c r="A14" s="49" t="str">
        <f>HLOOKUP(INDICE!$F$2,Nombres!$C$3:$F$853,152)</f>
        <v xml:space="preserve">   Paraguay</v>
      </c>
      <c r="B14" s="85">
        <v>24</v>
      </c>
      <c r="C14" s="85">
        <v>22</v>
      </c>
      <c r="D14" s="85">
        <v>22</v>
      </c>
      <c r="E14" s="85">
        <v>22</v>
      </c>
      <c r="F14" s="85">
        <v>22</v>
      </c>
      <c r="G14" s="85">
        <v>22</v>
      </c>
      <c r="H14" s="84">
        <v>22</v>
      </c>
      <c r="I14" s="74"/>
      <c r="L14" s="86"/>
      <c r="M14" s="87"/>
    </row>
    <row r="15" spans="1:13" customFormat="1" ht="15">
      <c r="A15" s="49" t="str">
        <f>HLOOKUP(INDICE!$F$2,Nombres!$C$3:$F$853,153)</f>
        <v xml:space="preserve">   Uruguay</v>
      </c>
      <c r="B15" s="84">
        <v>34</v>
      </c>
      <c r="C15" s="85">
        <v>34</v>
      </c>
      <c r="D15" s="85">
        <v>34</v>
      </c>
      <c r="E15" s="85">
        <v>34</v>
      </c>
      <c r="F15" s="84">
        <v>34</v>
      </c>
      <c r="G15" s="85">
        <v>34</v>
      </c>
      <c r="H15" s="84">
        <v>34</v>
      </c>
      <c r="I15" s="74"/>
      <c r="L15" s="86"/>
      <c r="M15" s="87"/>
    </row>
    <row r="16" spans="1:13" customFormat="1" ht="15">
      <c r="A16" s="49" t="str">
        <f>HLOOKUP(INDICE!$F$2,Nombres!$C$3:$F$853,155)</f>
        <v xml:space="preserve">   Bolivia</v>
      </c>
      <c r="B16" s="84">
        <v>9</v>
      </c>
      <c r="C16" s="84">
        <v>9</v>
      </c>
      <c r="D16" s="84">
        <v>9</v>
      </c>
      <c r="E16" s="84">
        <v>9</v>
      </c>
      <c r="F16" s="84">
        <v>9</v>
      </c>
      <c r="G16" s="84">
        <v>9</v>
      </c>
      <c r="H16" s="84">
        <v>9</v>
      </c>
      <c r="I16" s="74"/>
      <c r="L16" s="86"/>
      <c r="M16" s="87"/>
    </row>
    <row r="17" spans="1:12" customFormat="1" ht="15">
      <c r="A17" s="88" t="str">
        <f>HLOOKUP(INDICE!$F$2,Nombres!$C$3:$F$853,302)</f>
        <v>Brasil</v>
      </c>
      <c r="B17" s="84">
        <v>1</v>
      </c>
      <c r="C17" s="84">
        <v>1</v>
      </c>
      <c r="D17" s="84">
        <v>1</v>
      </c>
      <c r="E17" s="84">
        <v>1</v>
      </c>
      <c r="F17" s="84">
        <v>1</v>
      </c>
      <c r="G17" s="84">
        <v>1</v>
      </c>
      <c r="H17" s="84">
        <v>1</v>
      </c>
      <c r="I17" s="74"/>
    </row>
    <row r="18" spans="1:12" customFormat="1" ht="15">
      <c r="A18" s="54" t="str">
        <f>HLOOKUP(INDICE!$F$2,Nombres!$C$3:$F$853,157)</f>
        <v>Total</v>
      </c>
      <c r="B18" s="83">
        <v>7441</v>
      </c>
      <c r="C18" s="83">
        <v>7359</v>
      </c>
      <c r="D18" s="83">
        <v>7362</v>
      </c>
      <c r="E18" s="83">
        <v>7371</v>
      </c>
      <c r="F18" s="83">
        <v>7360</v>
      </c>
      <c r="G18" s="83">
        <v>8135</v>
      </c>
      <c r="H18" s="83">
        <v>9250</v>
      </c>
      <c r="I18" s="74"/>
    </row>
    <row r="19" spans="1:12" ht="20.25">
      <c r="A19" s="38" t="str">
        <f>HLOOKUP(INDICE!$F$2,Nombres!$C$3:$F$853,158)</f>
        <v>Empleados</v>
      </c>
      <c r="B19" s="89"/>
      <c r="C19" s="89"/>
      <c r="D19" s="89"/>
      <c r="E19" s="89"/>
      <c r="F19" s="89"/>
      <c r="G19" s="89"/>
      <c r="H19" s="89"/>
      <c r="I19" s="89"/>
      <c r="J19" s="89"/>
    </row>
    <row r="20" spans="1:12">
      <c r="A20" s="80"/>
      <c r="B20" s="81">
        <v>41729</v>
      </c>
      <c r="C20" s="82">
        <v>41820</v>
      </c>
      <c r="D20" s="82">
        <v>41912</v>
      </c>
      <c r="E20" s="82">
        <v>42004</v>
      </c>
      <c r="F20" s="81">
        <v>42094</v>
      </c>
      <c r="G20" s="82">
        <v>42185</v>
      </c>
      <c r="H20" s="82">
        <v>42277</v>
      </c>
      <c r="I20" s="89"/>
      <c r="J20" s="89"/>
    </row>
    <row r="21" spans="1:12" customFormat="1" ht="15">
      <c r="A21" s="54" t="str">
        <f>HLOOKUP(INDICE!$F$2,Nombres!$C$3:$F$853,142)</f>
        <v>España</v>
      </c>
      <c r="B21" s="83">
        <v>30385</v>
      </c>
      <c r="C21" s="83">
        <v>30074</v>
      </c>
      <c r="D21" s="83">
        <v>29600</v>
      </c>
      <c r="E21" s="83">
        <v>28620</v>
      </c>
      <c r="F21" s="83">
        <v>28711</v>
      </c>
      <c r="G21" s="83">
        <v>33604</v>
      </c>
      <c r="H21" s="83">
        <v>33416</v>
      </c>
      <c r="I21" s="74"/>
      <c r="L21" s="74"/>
    </row>
    <row r="22" spans="1:12" customFormat="1" ht="15">
      <c r="A22" s="54" t="str">
        <f>HLOOKUP(INDICE!$F$2,Nombres!$C$3:$E$853,184)</f>
        <v>Resto de Eurasia</v>
      </c>
      <c r="B22" s="83">
        <v>1606</v>
      </c>
      <c r="C22" s="83">
        <v>1598</v>
      </c>
      <c r="D22" s="83">
        <v>1587</v>
      </c>
      <c r="E22" s="83">
        <v>1443</v>
      </c>
      <c r="F22" s="83">
        <v>1443</v>
      </c>
      <c r="G22" s="83">
        <v>1442</v>
      </c>
      <c r="H22" s="83">
        <v>1426</v>
      </c>
      <c r="I22" s="74"/>
      <c r="L22" s="74"/>
    </row>
    <row r="23" spans="1:12" customFormat="1" ht="15">
      <c r="A23" s="54" t="str">
        <f>HLOOKUP(INDICE!$F$2,Nombres!$C$3:$E$853,295)</f>
        <v xml:space="preserve">Turquía </v>
      </c>
      <c r="B23" s="83">
        <v>18</v>
      </c>
      <c r="C23" s="83">
        <v>19</v>
      </c>
      <c r="D23" s="83">
        <v>18</v>
      </c>
      <c r="E23" s="83">
        <v>16</v>
      </c>
      <c r="F23" s="83">
        <v>16</v>
      </c>
      <c r="G23" s="83">
        <v>16</v>
      </c>
      <c r="H23" s="83">
        <v>23684</v>
      </c>
      <c r="I23" s="74"/>
      <c r="L23" s="74"/>
    </row>
    <row r="24" spans="1:12" customFormat="1" ht="15">
      <c r="A24" s="54" t="str">
        <f>HLOOKUP(INDICE!$F$2,Nombres!$C$3:$F$853,143)</f>
        <v>América</v>
      </c>
      <c r="B24" s="83">
        <v>77070</v>
      </c>
      <c r="C24" s="83">
        <v>77759</v>
      </c>
      <c r="D24" s="83">
        <v>77715</v>
      </c>
      <c r="E24" s="83">
        <v>78691</v>
      </c>
      <c r="F24" s="83">
        <v>78674</v>
      </c>
      <c r="G24" s="83">
        <v>79166</v>
      </c>
      <c r="H24" s="83">
        <v>79378</v>
      </c>
      <c r="I24" s="74"/>
      <c r="L24" s="74"/>
    </row>
    <row r="25" spans="1:12" customFormat="1" ht="15">
      <c r="A25" s="49" t="str">
        <f>HLOOKUP(INDICE!$F$2,Nombres!$C$3:$F$853,144)</f>
        <v xml:space="preserve">   México</v>
      </c>
      <c r="B25" s="84">
        <v>36785</v>
      </c>
      <c r="C25" s="84">
        <v>37442</v>
      </c>
      <c r="D25" s="84">
        <v>37490</v>
      </c>
      <c r="E25" s="84">
        <v>38107</v>
      </c>
      <c r="F25" s="84">
        <v>37930</v>
      </c>
      <c r="G25" s="84">
        <v>38134</v>
      </c>
      <c r="H25" s="84">
        <v>38229</v>
      </c>
      <c r="I25" s="74"/>
      <c r="L25" s="74"/>
    </row>
    <row r="26" spans="1:12" customFormat="1" ht="15">
      <c r="A26" s="49" t="str">
        <f>HLOOKUP(INDICE!$F$2,Nombres!$C$3:$F$853,145)</f>
        <v xml:space="preserve">   Estados Unidos </v>
      </c>
      <c r="B26" s="84">
        <v>11314</v>
      </c>
      <c r="C26" s="84">
        <v>11029</v>
      </c>
      <c r="D26" s="84">
        <v>10938</v>
      </c>
      <c r="E26" s="84">
        <v>10944</v>
      </c>
      <c r="F26" s="84">
        <v>10861</v>
      </c>
      <c r="G26" s="84">
        <v>11034</v>
      </c>
      <c r="H26" s="84">
        <v>11070</v>
      </c>
      <c r="I26" s="40"/>
      <c r="J26" s="40"/>
      <c r="K26" s="40"/>
      <c r="L26" s="74"/>
    </row>
    <row r="27" spans="1:12" customFormat="1" ht="15">
      <c r="A27" s="49" t="str">
        <f>HLOOKUP(INDICE!$F$2,Nombres!$C$3:$F$853,146)</f>
        <v xml:space="preserve">   Argentina </v>
      </c>
      <c r="B27" s="84">
        <v>5479</v>
      </c>
      <c r="C27" s="84">
        <v>5528</v>
      </c>
      <c r="D27" s="84">
        <v>5529</v>
      </c>
      <c r="E27" s="84">
        <v>5655</v>
      </c>
      <c r="F27" s="84">
        <v>5792</v>
      </c>
      <c r="G27" s="84">
        <v>5809</v>
      </c>
      <c r="H27" s="84">
        <v>5847</v>
      </c>
      <c r="I27" s="40"/>
      <c r="J27" s="40"/>
      <c r="K27" s="40"/>
      <c r="L27" s="74"/>
    </row>
    <row r="28" spans="1:12" customFormat="1" ht="15">
      <c r="A28" s="49" t="str">
        <f>HLOOKUP(INDICE!$F$2,Nombres!$C$3:$F$853,147)</f>
        <v xml:space="preserve">   Colombia</v>
      </c>
      <c r="B28" s="84">
        <v>6378</v>
      </c>
      <c r="C28" s="84">
        <v>6491</v>
      </c>
      <c r="D28" s="84">
        <v>6579</v>
      </c>
      <c r="E28" s="84">
        <v>6678</v>
      </c>
      <c r="F28" s="84">
        <v>6851</v>
      </c>
      <c r="G28" s="84">
        <v>6967</v>
      </c>
      <c r="H28" s="84">
        <v>7082</v>
      </c>
      <c r="I28" s="40"/>
      <c r="J28" s="40"/>
      <c r="K28" s="40"/>
      <c r="L28" s="74"/>
    </row>
    <row r="29" spans="1:12" customFormat="1" ht="15">
      <c r="A29" s="49" t="str">
        <f>HLOOKUP(INDICE!$F$2,Nombres!$C$3:$F$853,148)</f>
        <v xml:space="preserve">   Venezuela</v>
      </c>
      <c r="B29" s="84">
        <v>5285</v>
      </c>
      <c r="C29" s="84">
        <v>5283</v>
      </c>
      <c r="D29" s="84">
        <v>5244</v>
      </c>
      <c r="E29" s="84">
        <v>5363</v>
      </c>
      <c r="F29" s="84">
        <v>5288</v>
      </c>
      <c r="G29" s="84">
        <v>5276</v>
      </c>
      <c r="H29" s="84">
        <v>5189</v>
      </c>
      <c r="I29" s="40"/>
      <c r="J29" s="40"/>
      <c r="K29" s="40"/>
      <c r="L29" s="74"/>
    </row>
    <row r="30" spans="1:12" customFormat="1" ht="15">
      <c r="A30" s="49" t="str">
        <f>HLOOKUP(INDICE!$F$2,Nombres!$C$3:$F$853,149)</f>
        <v xml:space="preserve">   Perú</v>
      </c>
      <c r="B30" s="84">
        <v>5908</v>
      </c>
      <c r="C30" s="84">
        <v>5991</v>
      </c>
      <c r="D30" s="84">
        <v>5949</v>
      </c>
      <c r="E30" s="84">
        <v>5958</v>
      </c>
      <c r="F30" s="84">
        <v>5907</v>
      </c>
      <c r="G30" s="84">
        <v>5884</v>
      </c>
      <c r="H30" s="84">
        <v>5891</v>
      </c>
      <c r="I30" s="40"/>
      <c r="J30" s="40"/>
      <c r="K30" s="40"/>
      <c r="L30" s="74"/>
    </row>
    <row r="31" spans="1:12" customFormat="1" ht="15">
      <c r="A31" s="49" t="str">
        <f>HLOOKUP(INDICE!$F$2,Nombres!$C$3:$F$853,150)</f>
        <v xml:space="preserve">   Chile </v>
      </c>
      <c r="B31" s="84">
        <v>4584</v>
      </c>
      <c r="C31" s="84">
        <v>4583</v>
      </c>
      <c r="D31" s="84">
        <v>4568</v>
      </c>
      <c r="E31" s="84">
        <v>4567</v>
      </c>
      <c r="F31" s="84">
        <v>4593</v>
      </c>
      <c r="G31" s="84">
        <v>4587</v>
      </c>
      <c r="H31" s="84">
        <v>4612</v>
      </c>
      <c r="I31" s="40"/>
      <c r="J31" s="40"/>
      <c r="K31" s="40"/>
      <c r="L31" s="74"/>
    </row>
    <row r="32" spans="1:12" customFormat="1" ht="15">
      <c r="A32" s="49" t="str">
        <f>HLOOKUP(INDICE!$F$2,Nombres!$C$3:$F$853,152)</f>
        <v xml:space="preserve">   Paraguay</v>
      </c>
      <c r="B32" s="84">
        <v>488</v>
      </c>
      <c r="C32" s="84">
        <v>486</v>
      </c>
      <c r="D32" s="84">
        <v>486</v>
      </c>
      <c r="E32" s="84">
        <v>481</v>
      </c>
      <c r="F32" s="84">
        <v>480</v>
      </c>
      <c r="G32" s="84">
        <v>487</v>
      </c>
      <c r="H32" s="84">
        <v>478</v>
      </c>
      <c r="I32" s="40"/>
      <c r="J32" s="40"/>
      <c r="K32" s="40"/>
      <c r="L32" s="74"/>
    </row>
    <row r="33" spans="1:12" customFormat="1" ht="15">
      <c r="A33" s="49" t="str">
        <f>HLOOKUP(INDICE!$F$2,Nombres!$C$3:$F$853,153)</f>
        <v xml:space="preserve">   Uruguay</v>
      </c>
      <c r="B33" s="84">
        <v>586</v>
      </c>
      <c r="C33" s="84">
        <v>639</v>
      </c>
      <c r="D33" s="84">
        <v>641</v>
      </c>
      <c r="E33" s="84">
        <v>639</v>
      </c>
      <c r="F33" s="84">
        <v>636</v>
      </c>
      <c r="G33" s="84">
        <v>635</v>
      </c>
      <c r="H33" s="84">
        <v>635</v>
      </c>
      <c r="I33" s="40"/>
      <c r="J33" s="40"/>
      <c r="K33" s="40"/>
      <c r="L33" s="74"/>
    </row>
    <row r="34" spans="1:12" customFormat="1" ht="15">
      <c r="A34" s="49" t="str">
        <f>HLOOKUP(INDICE!$F$2,Nombres!$C$3:$F$853,155)</f>
        <v xml:space="preserve">   Bolivia</v>
      </c>
      <c r="B34" s="84">
        <v>253</v>
      </c>
      <c r="C34" s="84">
        <v>277</v>
      </c>
      <c r="D34" s="84">
        <v>283</v>
      </c>
      <c r="E34" s="84">
        <v>291</v>
      </c>
      <c r="F34" s="84">
        <v>328</v>
      </c>
      <c r="G34" s="84">
        <v>344</v>
      </c>
      <c r="H34" s="84">
        <v>336</v>
      </c>
      <c r="I34" s="74"/>
      <c r="L34" s="74"/>
    </row>
    <row r="35" spans="1:12" customFormat="1" ht="15">
      <c r="A35" s="88" t="str">
        <f>HLOOKUP(INDICE!$F$2,Nombres!$C$3:$F$853,302)</f>
        <v>Brasil</v>
      </c>
      <c r="B35" s="84">
        <v>9</v>
      </c>
      <c r="C35" s="84">
        <v>9</v>
      </c>
      <c r="D35" s="84">
        <v>7</v>
      </c>
      <c r="E35" s="84">
        <v>7</v>
      </c>
      <c r="F35" s="84">
        <v>7</v>
      </c>
      <c r="G35" s="84">
        <v>8</v>
      </c>
      <c r="H35" s="84">
        <v>8</v>
      </c>
      <c r="I35" s="74"/>
      <c r="L35" s="74"/>
    </row>
    <row r="36" spans="1:12" customFormat="1" ht="15">
      <c r="A36" s="54" t="str">
        <f>HLOOKUP(INDICE!$F$2,Nombres!$C$3:$F$853,157)</f>
        <v>Total</v>
      </c>
      <c r="B36" s="83">
        <v>109079</v>
      </c>
      <c r="C36" s="83">
        <v>109450</v>
      </c>
      <c r="D36" s="83">
        <v>108920</v>
      </c>
      <c r="E36" s="83">
        <v>108770</v>
      </c>
      <c r="F36" s="83">
        <v>108844</v>
      </c>
      <c r="G36" s="83">
        <v>114228</v>
      </c>
      <c r="H36" s="83">
        <v>137904</v>
      </c>
      <c r="I36" s="74"/>
      <c r="L36" s="74"/>
    </row>
    <row r="37" spans="1:12" ht="20.25">
      <c r="A37" s="38" t="str">
        <f>HLOOKUP(INDICE!$F$2,Nombres!$C$3:$F$853,205)</f>
        <v>Cajeros Automáticos</v>
      </c>
      <c r="B37" s="89"/>
      <c r="C37" s="89"/>
      <c r="D37" s="89"/>
      <c r="E37" s="89"/>
      <c r="F37" s="89"/>
      <c r="G37" s="89"/>
      <c r="H37" s="89"/>
    </row>
    <row r="38" spans="1:12">
      <c r="A38" s="61"/>
      <c r="B38" s="81">
        <v>41729</v>
      </c>
      <c r="C38" s="82">
        <v>41820</v>
      </c>
      <c r="D38" s="82">
        <v>41912</v>
      </c>
      <c r="E38" s="82">
        <v>42004</v>
      </c>
      <c r="F38" s="81">
        <v>42094</v>
      </c>
      <c r="G38" s="82">
        <v>42185</v>
      </c>
      <c r="H38" s="82">
        <v>42277</v>
      </c>
    </row>
    <row r="39" spans="1:12">
      <c r="A39" s="54" t="str">
        <f>HLOOKUP(INDICE!$F$2,Nombres!$C$3:$F$853,142)</f>
        <v>España</v>
      </c>
      <c r="B39" s="83">
        <v>5924</v>
      </c>
      <c r="C39" s="83">
        <v>5956</v>
      </c>
      <c r="D39" s="83">
        <v>5930</v>
      </c>
      <c r="E39" s="83">
        <v>5909</v>
      </c>
      <c r="F39" s="83">
        <v>5953</v>
      </c>
      <c r="G39" s="83">
        <v>7226</v>
      </c>
      <c r="H39" s="83">
        <v>7176</v>
      </c>
    </row>
    <row r="40" spans="1:12">
      <c r="A40" s="54" t="str">
        <f>HLOOKUP(INDICE!$F$2,Nombres!$C$3:$E$853,184)</f>
        <v>Resto de Eurasia</v>
      </c>
      <c r="B40" s="83">
        <v>100</v>
      </c>
      <c r="C40" s="83">
        <v>100</v>
      </c>
      <c r="D40" s="83">
        <v>100</v>
      </c>
      <c r="E40" s="83">
        <v>55</v>
      </c>
      <c r="F40" s="83">
        <v>55</v>
      </c>
      <c r="G40" s="83">
        <v>55</v>
      </c>
      <c r="H40" s="83">
        <v>55</v>
      </c>
    </row>
    <row r="41" spans="1:12">
      <c r="A41" s="54" t="str">
        <f>HLOOKUP(INDICE!$F$2,Nombres!$C$3:$E$853,295)</f>
        <v xml:space="preserve">Turquía </v>
      </c>
      <c r="B41" s="83"/>
      <c r="C41" s="83"/>
      <c r="D41" s="83"/>
      <c r="E41" s="83"/>
      <c r="F41" s="83"/>
      <c r="G41" s="83"/>
      <c r="H41" s="83">
        <v>4561</v>
      </c>
    </row>
    <row r="42" spans="1:12">
      <c r="A42" s="54" t="str">
        <f>HLOOKUP(INDICE!$F$2,Nombres!$C$3:$F$853,143)</f>
        <v>América</v>
      </c>
      <c r="B42" s="83">
        <v>14940</v>
      </c>
      <c r="C42" s="83">
        <v>15327</v>
      </c>
      <c r="D42" s="83">
        <v>15636</v>
      </c>
      <c r="E42" s="83">
        <v>16195</v>
      </c>
      <c r="F42" s="83">
        <v>16587</v>
      </c>
      <c r="G42" s="83">
        <v>17056</v>
      </c>
      <c r="H42" s="83">
        <v>17538</v>
      </c>
    </row>
    <row r="43" spans="1:12">
      <c r="A43" s="49" t="str">
        <f>HLOOKUP(INDICE!$F$2,Nombres!$C$3:$F$853,144)</f>
        <v xml:space="preserve">   México</v>
      </c>
      <c r="B43" s="84">
        <v>7999</v>
      </c>
      <c r="C43" s="85">
        <v>8327</v>
      </c>
      <c r="D43" s="85">
        <v>8574</v>
      </c>
      <c r="E43" s="85">
        <v>8996</v>
      </c>
      <c r="F43" s="84">
        <v>9284</v>
      </c>
      <c r="G43" s="85">
        <v>9713</v>
      </c>
      <c r="H43" s="85">
        <v>10169</v>
      </c>
    </row>
    <row r="44" spans="1:12">
      <c r="A44" s="49" t="str">
        <f>HLOOKUP(INDICE!$F$2,Nombres!$C$3:$F$853,145)</f>
        <v xml:space="preserve">   Estados Unidos </v>
      </c>
      <c r="B44" s="84">
        <v>1033</v>
      </c>
      <c r="C44" s="84">
        <v>1024</v>
      </c>
      <c r="D44" s="84">
        <v>1025</v>
      </c>
      <c r="E44" s="84">
        <v>1013</v>
      </c>
      <c r="F44" s="84">
        <v>1027</v>
      </c>
      <c r="G44" s="84">
        <v>1021</v>
      </c>
      <c r="H44" s="84">
        <v>1026</v>
      </c>
    </row>
    <row r="45" spans="1:12">
      <c r="A45" s="49" t="str">
        <f>HLOOKUP(INDICE!$F$2,Nombres!$C$3:$F$853,146)</f>
        <v xml:space="preserve">   Argentina </v>
      </c>
      <c r="B45" s="84">
        <v>655</v>
      </c>
      <c r="C45" s="84">
        <v>659</v>
      </c>
      <c r="D45" s="84">
        <v>669</v>
      </c>
      <c r="E45" s="84">
        <v>686</v>
      </c>
      <c r="F45" s="84">
        <v>686</v>
      </c>
      <c r="G45" s="84">
        <v>688</v>
      </c>
      <c r="H45" s="84">
        <v>694</v>
      </c>
    </row>
    <row r="46" spans="1:12">
      <c r="A46" s="49" t="str">
        <f>HLOOKUP(INDICE!$F$2,Nombres!$C$3:$F$853,147)</f>
        <v xml:space="preserve">   Colombia</v>
      </c>
      <c r="B46" s="84">
        <v>1129</v>
      </c>
      <c r="C46" s="84">
        <v>1141</v>
      </c>
      <c r="D46" s="84">
        <v>1153</v>
      </c>
      <c r="E46" s="84">
        <v>1210</v>
      </c>
      <c r="F46" s="84">
        <v>1222</v>
      </c>
      <c r="G46" s="84">
        <v>1227</v>
      </c>
      <c r="H46" s="84">
        <v>1241</v>
      </c>
    </row>
    <row r="47" spans="1:12">
      <c r="A47" s="49" t="str">
        <f>HLOOKUP(INDICE!$F$2,Nombres!$C$3:$F$853,148)</f>
        <v xml:space="preserve">   Venezuela</v>
      </c>
      <c r="B47" s="84">
        <v>1919</v>
      </c>
      <c r="C47" s="84">
        <v>1962</v>
      </c>
      <c r="D47" s="84">
        <v>1975</v>
      </c>
      <c r="E47" s="84">
        <v>1990</v>
      </c>
      <c r="F47" s="84">
        <v>1999</v>
      </c>
      <c r="G47" s="84">
        <v>2030</v>
      </c>
      <c r="H47" s="84">
        <v>2018</v>
      </c>
    </row>
    <row r="48" spans="1:12">
      <c r="A48" s="49" t="str">
        <f>HLOOKUP(INDICE!$F$2,Nombres!$C$3:$F$853,149)</f>
        <v xml:space="preserve">   Perú</v>
      </c>
      <c r="B48" s="84">
        <v>1574</v>
      </c>
      <c r="C48" s="84">
        <v>1583</v>
      </c>
      <c r="D48" s="84">
        <v>1609</v>
      </c>
      <c r="E48" s="84">
        <v>1671</v>
      </c>
      <c r="F48" s="84">
        <v>1738</v>
      </c>
      <c r="G48" s="84">
        <v>1769</v>
      </c>
      <c r="H48" s="84">
        <v>1798</v>
      </c>
    </row>
    <row r="49" spans="1:8">
      <c r="A49" s="49" t="str">
        <f>HLOOKUP(INDICE!$F$2,Nombres!$C$3:$F$853,150)</f>
        <v xml:space="preserve">   Chile </v>
      </c>
      <c r="B49" s="84">
        <v>522</v>
      </c>
      <c r="C49" s="84">
        <v>522</v>
      </c>
      <c r="D49" s="84">
        <v>522</v>
      </c>
      <c r="E49" s="84">
        <v>522</v>
      </c>
      <c r="F49" s="84">
        <v>523</v>
      </c>
      <c r="G49" s="84">
        <v>500</v>
      </c>
      <c r="H49" s="84">
        <v>484</v>
      </c>
    </row>
    <row r="50" spans="1:8">
      <c r="A50" s="49" t="str">
        <f>HLOOKUP(INDICE!$F$2,Nombres!$C$3:$F$853,152)</f>
        <v xml:space="preserve">   Paraguay</v>
      </c>
      <c r="B50" s="84">
        <v>43</v>
      </c>
      <c r="C50" s="84">
        <v>43</v>
      </c>
      <c r="D50" s="84">
        <v>43</v>
      </c>
      <c r="E50" s="84">
        <v>41</v>
      </c>
      <c r="F50" s="84">
        <v>42</v>
      </c>
      <c r="G50" s="84">
        <v>42</v>
      </c>
      <c r="H50" s="84">
        <v>42</v>
      </c>
    </row>
    <row r="51" spans="1:8">
      <c r="A51" s="49" t="str">
        <f>HLOOKUP(INDICE!$F$2,Nombres!$C$3:$F$853,153)</f>
        <v xml:space="preserve">   Uruguay</v>
      </c>
      <c r="B51" s="84">
        <v>66</v>
      </c>
      <c r="C51" s="84">
        <v>66</v>
      </c>
      <c r="D51" s="84">
        <v>66</v>
      </c>
      <c r="E51" s="84">
        <v>66</v>
      </c>
      <c r="F51" s="84">
        <v>66</v>
      </c>
      <c r="G51" s="84">
        <v>66</v>
      </c>
      <c r="H51" s="84">
        <v>66</v>
      </c>
    </row>
    <row r="52" spans="1:8">
      <c r="A52" s="54" t="str">
        <f>HLOOKUP(INDICE!$F$2,Nombres!$C$3:$F$853,157)</f>
        <v>Total</v>
      </c>
      <c r="B52" s="83">
        <v>20964</v>
      </c>
      <c r="C52" s="83">
        <v>21383</v>
      </c>
      <c r="D52" s="83">
        <v>21666</v>
      </c>
      <c r="E52" s="83">
        <v>22159</v>
      </c>
      <c r="F52" s="83">
        <v>22595</v>
      </c>
      <c r="G52" s="83">
        <v>24337</v>
      </c>
      <c r="H52" s="83">
        <v>29330</v>
      </c>
    </row>
    <row r="53" spans="1:8" ht="15">
      <c r="G53"/>
      <c r="H53"/>
    </row>
    <row r="55" spans="1:8">
      <c r="B55" s="89"/>
    </row>
  </sheetData>
  <pageMargins left="0.7" right="0.7" top="0.75" bottom="0.75" header="0.3" footer="0.3"/>
  <pageSetup paperSize="9" scale="7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N18"/>
  <sheetViews>
    <sheetView showGridLines="0" workbookViewId="0"/>
  </sheetViews>
  <sheetFormatPr baseColWidth="10" defaultColWidth="12.5703125" defaultRowHeight="12.75"/>
  <cols>
    <col min="1" max="1" width="39.42578125" style="39" customWidth="1"/>
    <col min="2" max="2" width="16.140625" style="39" customWidth="1"/>
    <col min="3" max="4" width="14.140625" style="39" customWidth="1"/>
    <col min="5" max="5" width="5.85546875" style="39" customWidth="1"/>
    <col min="6" max="6" width="13.7109375" style="39" customWidth="1"/>
    <col min="7" max="7" width="18.5703125" style="39" customWidth="1"/>
    <col min="8" max="8" width="12.5703125" style="40" customWidth="1"/>
    <col min="9" max="256" width="12.5703125" style="39"/>
    <col min="257" max="257" width="39.42578125" style="39" customWidth="1"/>
    <col min="258" max="258" width="16.140625" style="39" customWidth="1"/>
    <col min="259" max="260" width="14.140625" style="39" customWidth="1"/>
    <col min="261" max="261" width="5.85546875" style="39" customWidth="1"/>
    <col min="262" max="262" width="13.7109375" style="39" customWidth="1"/>
    <col min="263" max="263" width="18.5703125" style="39" customWidth="1"/>
    <col min="264" max="264" width="12.5703125" style="39" customWidth="1"/>
    <col min="265" max="512" width="12.5703125" style="39"/>
    <col min="513" max="513" width="39.42578125" style="39" customWidth="1"/>
    <col min="514" max="514" width="16.140625" style="39" customWidth="1"/>
    <col min="515" max="516" width="14.140625" style="39" customWidth="1"/>
    <col min="517" max="517" width="5.85546875" style="39" customWidth="1"/>
    <col min="518" max="518" width="13.7109375" style="39" customWidth="1"/>
    <col min="519" max="519" width="18.5703125" style="39" customWidth="1"/>
    <col min="520" max="520" width="12.5703125" style="39" customWidth="1"/>
    <col min="521" max="768" width="12.5703125" style="39"/>
    <col min="769" max="769" width="39.42578125" style="39" customWidth="1"/>
    <col min="770" max="770" width="16.140625" style="39" customWidth="1"/>
    <col min="771" max="772" width="14.140625" style="39" customWidth="1"/>
    <col min="773" max="773" width="5.85546875" style="39" customWidth="1"/>
    <col min="774" max="774" width="13.7109375" style="39" customWidth="1"/>
    <col min="775" max="775" width="18.5703125" style="39" customWidth="1"/>
    <col min="776" max="776" width="12.5703125" style="39" customWidth="1"/>
    <col min="777" max="1024" width="12.5703125" style="39"/>
    <col min="1025" max="1025" width="39.42578125" style="39" customWidth="1"/>
    <col min="1026" max="1026" width="16.140625" style="39" customWidth="1"/>
    <col min="1027" max="1028" width="14.140625" style="39" customWidth="1"/>
    <col min="1029" max="1029" width="5.85546875" style="39" customWidth="1"/>
    <col min="1030" max="1030" width="13.7109375" style="39" customWidth="1"/>
    <col min="1031" max="1031" width="18.5703125" style="39" customWidth="1"/>
    <col min="1032" max="1032" width="12.5703125" style="39" customWidth="1"/>
    <col min="1033" max="1280" width="12.5703125" style="39"/>
    <col min="1281" max="1281" width="39.42578125" style="39" customWidth="1"/>
    <col min="1282" max="1282" width="16.140625" style="39" customWidth="1"/>
    <col min="1283" max="1284" width="14.140625" style="39" customWidth="1"/>
    <col min="1285" max="1285" width="5.85546875" style="39" customWidth="1"/>
    <col min="1286" max="1286" width="13.7109375" style="39" customWidth="1"/>
    <col min="1287" max="1287" width="18.5703125" style="39" customWidth="1"/>
    <col min="1288" max="1288" width="12.5703125" style="39" customWidth="1"/>
    <col min="1289" max="1536" width="12.5703125" style="39"/>
    <col min="1537" max="1537" width="39.42578125" style="39" customWidth="1"/>
    <col min="1538" max="1538" width="16.140625" style="39" customWidth="1"/>
    <col min="1539" max="1540" width="14.140625" style="39" customWidth="1"/>
    <col min="1541" max="1541" width="5.85546875" style="39" customWidth="1"/>
    <col min="1542" max="1542" width="13.7109375" style="39" customWidth="1"/>
    <col min="1543" max="1543" width="18.5703125" style="39" customWidth="1"/>
    <col min="1544" max="1544" width="12.5703125" style="39" customWidth="1"/>
    <col min="1545" max="1792" width="12.5703125" style="39"/>
    <col min="1793" max="1793" width="39.42578125" style="39" customWidth="1"/>
    <col min="1794" max="1794" width="16.140625" style="39" customWidth="1"/>
    <col min="1795" max="1796" width="14.140625" style="39" customWidth="1"/>
    <col min="1797" max="1797" width="5.85546875" style="39" customWidth="1"/>
    <col min="1798" max="1798" width="13.7109375" style="39" customWidth="1"/>
    <col min="1799" max="1799" width="18.5703125" style="39" customWidth="1"/>
    <col min="1800" max="1800" width="12.5703125" style="39" customWidth="1"/>
    <col min="1801" max="2048" width="12.5703125" style="39"/>
    <col min="2049" max="2049" width="39.42578125" style="39" customWidth="1"/>
    <col min="2050" max="2050" width="16.140625" style="39" customWidth="1"/>
    <col min="2051" max="2052" width="14.140625" style="39" customWidth="1"/>
    <col min="2053" max="2053" width="5.85546875" style="39" customWidth="1"/>
    <col min="2054" max="2054" width="13.7109375" style="39" customWidth="1"/>
    <col min="2055" max="2055" width="18.5703125" style="39" customWidth="1"/>
    <col min="2056" max="2056" width="12.5703125" style="39" customWidth="1"/>
    <col min="2057" max="2304" width="12.5703125" style="39"/>
    <col min="2305" max="2305" width="39.42578125" style="39" customWidth="1"/>
    <col min="2306" max="2306" width="16.140625" style="39" customWidth="1"/>
    <col min="2307" max="2308" width="14.140625" style="39" customWidth="1"/>
    <col min="2309" max="2309" width="5.85546875" style="39" customWidth="1"/>
    <col min="2310" max="2310" width="13.7109375" style="39" customWidth="1"/>
    <col min="2311" max="2311" width="18.5703125" style="39" customWidth="1"/>
    <col min="2312" max="2312" width="12.5703125" style="39" customWidth="1"/>
    <col min="2313" max="2560" width="12.5703125" style="39"/>
    <col min="2561" max="2561" width="39.42578125" style="39" customWidth="1"/>
    <col min="2562" max="2562" width="16.140625" style="39" customWidth="1"/>
    <col min="2563" max="2564" width="14.140625" style="39" customWidth="1"/>
    <col min="2565" max="2565" width="5.85546875" style="39" customWidth="1"/>
    <col min="2566" max="2566" width="13.7109375" style="39" customWidth="1"/>
    <col min="2567" max="2567" width="18.5703125" style="39" customWidth="1"/>
    <col min="2568" max="2568" width="12.5703125" style="39" customWidth="1"/>
    <col min="2569" max="2816" width="12.5703125" style="39"/>
    <col min="2817" max="2817" width="39.42578125" style="39" customWidth="1"/>
    <col min="2818" max="2818" width="16.140625" style="39" customWidth="1"/>
    <col min="2819" max="2820" width="14.140625" style="39" customWidth="1"/>
    <col min="2821" max="2821" width="5.85546875" style="39" customWidth="1"/>
    <col min="2822" max="2822" width="13.7109375" style="39" customWidth="1"/>
    <col min="2823" max="2823" width="18.5703125" style="39" customWidth="1"/>
    <col min="2824" max="2824" width="12.5703125" style="39" customWidth="1"/>
    <col min="2825" max="3072" width="12.5703125" style="39"/>
    <col min="3073" max="3073" width="39.42578125" style="39" customWidth="1"/>
    <col min="3074" max="3074" width="16.140625" style="39" customWidth="1"/>
    <col min="3075" max="3076" width="14.140625" style="39" customWidth="1"/>
    <col min="3077" max="3077" width="5.85546875" style="39" customWidth="1"/>
    <col min="3078" max="3078" width="13.7109375" style="39" customWidth="1"/>
    <col min="3079" max="3079" width="18.5703125" style="39" customWidth="1"/>
    <col min="3080" max="3080" width="12.5703125" style="39" customWidth="1"/>
    <col min="3081" max="3328" width="12.5703125" style="39"/>
    <col min="3329" max="3329" width="39.42578125" style="39" customWidth="1"/>
    <col min="3330" max="3330" width="16.140625" style="39" customWidth="1"/>
    <col min="3331" max="3332" width="14.140625" style="39" customWidth="1"/>
    <col min="3333" max="3333" width="5.85546875" style="39" customWidth="1"/>
    <col min="3334" max="3334" width="13.7109375" style="39" customWidth="1"/>
    <col min="3335" max="3335" width="18.5703125" style="39" customWidth="1"/>
    <col min="3336" max="3336" width="12.5703125" style="39" customWidth="1"/>
    <col min="3337" max="3584" width="12.5703125" style="39"/>
    <col min="3585" max="3585" width="39.42578125" style="39" customWidth="1"/>
    <col min="3586" max="3586" width="16.140625" style="39" customWidth="1"/>
    <col min="3587" max="3588" width="14.140625" style="39" customWidth="1"/>
    <col min="3589" max="3589" width="5.85546875" style="39" customWidth="1"/>
    <col min="3590" max="3590" width="13.7109375" style="39" customWidth="1"/>
    <col min="3591" max="3591" width="18.5703125" style="39" customWidth="1"/>
    <col min="3592" max="3592" width="12.5703125" style="39" customWidth="1"/>
    <col min="3593" max="3840" width="12.5703125" style="39"/>
    <col min="3841" max="3841" width="39.42578125" style="39" customWidth="1"/>
    <col min="3842" max="3842" width="16.140625" style="39" customWidth="1"/>
    <col min="3843" max="3844" width="14.140625" style="39" customWidth="1"/>
    <col min="3845" max="3845" width="5.85546875" style="39" customWidth="1"/>
    <col min="3846" max="3846" width="13.7109375" style="39" customWidth="1"/>
    <col min="3847" max="3847" width="18.5703125" style="39" customWidth="1"/>
    <col min="3848" max="3848" width="12.5703125" style="39" customWidth="1"/>
    <col min="3849" max="4096" width="12.5703125" style="39"/>
    <col min="4097" max="4097" width="39.42578125" style="39" customWidth="1"/>
    <col min="4098" max="4098" width="16.140625" style="39" customWidth="1"/>
    <col min="4099" max="4100" width="14.140625" style="39" customWidth="1"/>
    <col min="4101" max="4101" width="5.85546875" style="39" customWidth="1"/>
    <col min="4102" max="4102" width="13.7109375" style="39" customWidth="1"/>
    <col min="4103" max="4103" width="18.5703125" style="39" customWidth="1"/>
    <col min="4104" max="4104" width="12.5703125" style="39" customWidth="1"/>
    <col min="4105" max="4352" width="12.5703125" style="39"/>
    <col min="4353" max="4353" width="39.42578125" style="39" customWidth="1"/>
    <col min="4354" max="4354" width="16.140625" style="39" customWidth="1"/>
    <col min="4355" max="4356" width="14.140625" style="39" customWidth="1"/>
    <col min="4357" max="4357" width="5.85546875" style="39" customWidth="1"/>
    <col min="4358" max="4358" width="13.7109375" style="39" customWidth="1"/>
    <col min="4359" max="4359" width="18.5703125" style="39" customWidth="1"/>
    <col min="4360" max="4360" width="12.5703125" style="39" customWidth="1"/>
    <col min="4361" max="4608" width="12.5703125" style="39"/>
    <col min="4609" max="4609" width="39.42578125" style="39" customWidth="1"/>
    <col min="4610" max="4610" width="16.140625" style="39" customWidth="1"/>
    <col min="4611" max="4612" width="14.140625" style="39" customWidth="1"/>
    <col min="4613" max="4613" width="5.85546875" style="39" customWidth="1"/>
    <col min="4614" max="4614" width="13.7109375" style="39" customWidth="1"/>
    <col min="4615" max="4615" width="18.5703125" style="39" customWidth="1"/>
    <col min="4616" max="4616" width="12.5703125" style="39" customWidth="1"/>
    <col min="4617" max="4864" width="12.5703125" style="39"/>
    <col min="4865" max="4865" width="39.42578125" style="39" customWidth="1"/>
    <col min="4866" max="4866" width="16.140625" style="39" customWidth="1"/>
    <col min="4867" max="4868" width="14.140625" style="39" customWidth="1"/>
    <col min="4869" max="4869" width="5.85546875" style="39" customWidth="1"/>
    <col min="4870" max="4870" width="13.7109375" style="39" customWidth="1"/>
    <col min="4871" max="4871" width="18.5703125" style="39" customWidth="1"/>
    <col min="4872" max="4872" width="12.5703125" style="39" customWidth="1"/>
    <col min="4873" max="5120" width="12.5703125" style="39"/>
    <col min="5121" max="5121" width="39.42578125" style="39" customWidth="1"/>
    <col min="5122" max="5122" width="16.140625" style="39" customWidth="1"/>
    <col min="5123" max="5124" width="14.140625" style="39" customWidth="1"/>
    <col min="5125" max="5125" width="5.85546875" style="39" customWidth="1"/>
    <col min="5126" max="5126" width="13.7109375" style="39" customWidth="1"/>
    <col min="5127" max="5127" width="18.5703125" style="39" customWidth="1"/>
    <col min="5128" max="5128" width="12.5703125" style="39" customWidth="1"/>
    <col min="5129" max="5376" width="12.5703125" style="39"/>
    <col min="5377" max="5377" width="39.42578125" style="39" customWidth="1"/>
    <col min="5378" max="5378" width="16.140625" style="39" customWidth="1"/>
    <col min="5379" max="5380" width="14.140625" style="39" customWidth="1"/>
    <col min="5381" max="5381" width="5.85546875" style="39" customWidth="1"/>
    <col min="5382" max="5382" width="13.7109375" style="39" customWidth="1"/>
    <col min="5383" max="5383" width="18.5703125" style="39" customWidth="1"/>
    <col min="5384" max="5384" width="12.5703125" style="39" customWidth="1"/>
    <col min="5385" max="5632" width="12.5703125" style="39"/>
    <col min="5633" max="5633" width="39.42578125" style="39" customWidth="1"/>
    <col min="5634" max="5634" width="16.140625" style="39" customWidth="1"/>
    <col min="5635" max="5636" width="14.140625" style="39" customWidth="1"/>
    <col min="5637" max="5637" width="5.85546875" style="39" customWidth="1"/>
    <col min="5638" max="5638" width="13.7109375" style="39" customWidth="1"/>
    <col min="5639" max="5639" width="18.5703125" style="39" customWidth="1"/>
    <col min="5640" max="5640" width="12.5703125" style="39" customWidth="1"/>
    <col min="5641" max="5888" width="12.5703125" style="39"/>
    <col min="5889" max="5889" width="39.42578125" style="39" customWidth="1"/>
    <col min="5890" max="5890" width="16.140625" style="39" customWidth="1"/>
    <col min="5891" max="5892" width="14.140625" style="39" customWidth="1"/>
    <col min="5893" max="5893" width="5.85546875" style="39" customWidth="1"/>
    <col min="5894" max="5894" width="13.7109375" style="39" customWidth="1"/>
    <col min="5895" max="5895" width="18.5703125" style="39" customWidth="1"/>
    <col min="5896" max="5896" width="12.5703125" style="39" customWidth="1"/>
    <col min="5897" max="6144" width="12.5703125" style="39"/>
    <col min="6145" max="6145" width="39.42578125" style="39" customWidth="1"/>
    <col min="6146" max="6146" width="16.140625" style="39" customWidth="1"/>
    <col min="6147" max="6148" width="14.140625" style="39" customWidth="1"/>
    <col min="6149" max="6149" width="5.85546875" style="39" customWidth="1"/>
    <col min="6150" max="6150" width="13.7109375" style="39" customWidth="1"/>
    <col min="6151" max="6151" width="18.5703125" style="39" customWidth="1"/>
    <col min="6152" max="6152" width="12.5703125" style="39" customWidth="1"/>
    <col min="6153" max="6400" width="12.5703125" style="39"/>
    <col min="6401" max="6401" width="39.42578125" style="39" customWidth="1"/>
    <col min="6402" max="6402" width="16.140625" style="39" customWidth="1"/>
    <col min="6403" max="6404" width="14.140625" style="39" customWidth="1"/>
    <col min="6405" max="6405" width="5.85546875" style="39" customWidth="1"/>
    <col min="6406" max="6406" width="13.7109375" style="39" customWidth="1"/>
    <col min="6407" max="6407" width="18.5703125" style="39" customWidth="1"/>
    <col min="6408" max="6408" width="12.5703125" style="39" customWidth="1"/>
    <col min="6409" max="6656" width="12.5703125" style="39"/>
    <col min="6657" max="6657" width="39.42578125" style="39" customWidth="1"/>
    <col min="6658" max="6658" width="16.140625" style="39" customWidth="1"/>
    <col min="6659" max="6660" width="14.140625" style="39" customWidth="1"/>
    <col min="6661" max="6661" width="5.85546875" style="39" customWidth="1"/>
    <col min="6662" max="6662" width="13.7109375" style="39" customWidth="1"/>
    <col min="6663" max="6663" width="18.5703125" style="39" customWidth="1"/>
    <col min="6664" max="6664" width="12.5703125" style="39" customWidth="1"/>
    <col min="6665" max="6912" width="12.5703125" style="39"/>
    <col min="6913" max="6913" width="39.42578125" style="39" customWidth="1"/>
    <col min="6914" max="6914" width="16.140625" style="39" customWidth="1"/>
    <col min="6915" max="6916" width="14.140625" style="39" customWidth="1"/>
    <col min="6917" max="6917" width="5.85546875" style="39" customWidth="1"/>
    <col min="6918" max="6918" width="13.7109375" style="39" customWidth="1"/>
    <col min="6919" max="6919" width="18.5703125" style="39" customWidth="1"/>
    <col min="6920" max="6920" width="12.5703125" style="39" customWidth="1"/>
    <col min="6921" max="7168" width="12.5703125" style="39"/>
    <col min="7169" max="7169" width="39.42578125" style="39" customWidth="1"/>
    <col min="7170" max="7170" width="16.140625" style="39" customWidth="1"/>
    <col min="7171" max="7172" width="14.140625" style="39" customWidth="1"/>
    <col min="7173" max="7173" width="5.85546875" style="39" customWidth="1"/>
    <col min="7174" max="7174" width="13.7109375" style="39" customWidth="1"/>
    <col min="7175" max="7175" width="18.5703125" style="39" customWidth="1"/>
    <col min="7176" max="7176" width="12.5703125" style="39" customWidth="1"/>
    <col min="7177" max="7424" width="12.5703125" style="39"/>
    <col min="7425" max="7425" width="39.42578125" style="39" customWidth="1"/>
    <col min="7426" max="7426" width="16.140625" style="39" customWidth="1"/>
    <col min="7427" max="7428" width="14.140625" style="39" customWidth="1"/>
    <col min="7429" max="7429" width="5.85546875" style="39" customWidth="1"/>
    <col min="7430" max="7430" width="13.7109375" style="39" customWidth="1"/>
    <col min="7431" max="7431" width="18.5703125" style="39" customWidth="1"/>
    <col min="7432" max="7432" width="12.5703125" style="39" customWidth="1"/>
    <col min="7433" max="7680" width="12.5703125" style="39"/>
    <col min="7681" max="7681" width="39.42578125" style="39" customWidth="1"/>
    <col min="7682" max="7682" width="16.140625" style="39" customWidth="1"/>
    <col min="7683" max="7684" width="14.140625" style="39" customWidth="1"/>
    <col min="7685" max="7685" width="5.85546875" style="39" customWidth="1"/>
    <col min="7686" max="7686" width="13.7109375" style="39" customWidth="1"/>
    <col min="7687" max="7687" width="18.5703125" style="39" customWidth="1"/>
    <col min="7688" max="7688" width="12.5703125" style="39" customWidth="1"/>
    <col min="7689" max="7936" width="12.5703125" style="39"/>
    <col min="7937" max="7937" width="39.42578125" style="39" customWidth="1"/>
    <col min="7938" max="7938" width="16.140625" style="39" customWidth="1"/>
    <col min="7939" max="7940" width="14.140625" style="39" customWidth="1"/>
    <col min="7941" max="7941" width="5.85546875" style="39" customWidth="1"/>
    <col min="7942" max="7942" width="13.7109375" style="39" customWidth="1"/>
    <col min="7943" max="7943" width="18.5703125" style="39" customWidth="1"/>
    <col min="7944" max="7944" width="12.5703125" style="39" customWidth="1"/>
    <col min="7945" max="8192" width="12.5703125" style="39"/>
    <col min="8193" max="8193" width="39.42578125" style="39" customWidth="1"/>
    <col min="8194" max="8194" width="16.140625" style="39" customWidth="1"/>
    <col min="8195" max="8196" width="14.140625" style="39" customWidth="1"/>
    <col min="8197" max="8197" width="5.85546875" style="39" customWidth="1"/>
    <col min="8198" max="8198" width="13.7109375" style="39" customWidth="1"/>
    <col min="8199" max="8199" width="18.5703125" style="39" customWidth="1"/>
    <col min="8200" max="8200" width="12.5703125" style="39" customWidth="1"/>
    <col min="8201" max="8448" width="12.5703125" style="39"/>
    <col min="8449" max="8449" width="39.42578125" style="39" customWidth="1"/>
    <col min="8450" max="8450" width="16.140625" style="39" customWidth="1"/>
    <col min="8451" max="8452" width="14.140625" style="39" customWidth="1"/>
    <col min="8453" max="8453" width="5.85546875" style="39" customWidth="1"/>
    <col min="8454" max="8454" width="13.7109375" style="39" customWidth="1"/>
    <col min="8455" max="8455" width="18.5703125" style="39" customWidth="1"/>
    <col min="8456" max="8456" width="12.5703125" style="39" customWidth="1"/>
    <col min="8457" max="8704" width="12.5703125" style="39"/>
    <col min="8705" max="8705" width="39.42578125" style="39" customWidth="1"/>
    <col min="8706" max="8706" width="16.140625" style="39" customWidth="1"/>
    <col min="8707" max="8708" width="14.140625" style="39" customWidth="1"/>
    <col min="8709" max="8709" width="5.85546875" style="39" customWidth="1"/>
    <col min="8710" max="8710" width="13.7109375" style="39" customWidth="1"/>
    <col min="8711" max="8711" width="18.5703125" style="39" customWidth="1"/>
    <col min="8712" max="8712" width="12.5703125" style="39" customWidth="1"/>
    <col min="8713" max="8960" width="12.5703125" style="39"/>
    <col min="8961" max="8961" width="39.42578125" style="39" customWidth="1"/>
    <col min="8962" max="8962" width="16.140625" style="39" customWidth="1"/>
    <col min="8963" max="8964" width="14.140625" style="39" customWidth="1"/>
    <col min="8965" max="8965" width="5.85546875" style="39" customWidth="1"/>
    <col min="8966" max="8966" width="13.7109375" style="39" customWidth="1"/>
    <col min="8967" max="8967" width="18.5703125" style="39" customWidth="1"/>
    <col min="8968" max="8968" width="12.5703125" style="39" customWidth="1"/>
    <col min="8969" max="9216" width="12.5703125" style="39"/>
    <col min="9217" max="9217" width="39.42578125" style="39" customWidth="1"/>
    <col min="9218" max="9218" width="16.140625" style="39" customWidth="1"/>
    <col min="9219" max="9220" width="14.140625" style="39" customWidth="1"/>
    <col min="9221" max="9221" width="5.85546875" style="39" customWidth="1"/>
    <col min="9222" max="9222" width="13.7109375" style="39" customWidth="1"/>
    <col min="9223" max="9223" width="18.5703125" style="39" customWidth="1"/>
    <col min="9224" max="9224" width="12.5703125" style="39" customWidth="1"/>
    <col min="9225" max="9472" width="12.5703125" style="39"/>
    <col min="9473" max="9473" width="39.42578125" style="39" customWidth="1"/>
    <col min="9474" max="9474" width="16.140625" style="39" customWidth="1"/>
    <col min="9475" max="9476" width="14.140625" style="39" customWidth="1"/>
    <col min="9477" max="9477" width="5.85546875" style="39" customWidth="1"/>
    <col min="9478" max="9478" width="13.7109375" style="39" customWidth="1"/>
    <col min="9479" max="9479" width="18.5703125" style="39" customWidth="1"/>
    <col min="9480" max="9480" width="12.5703125" style="39" customWidth="1"/>
    <col min="9481" max="9728" width="12.5703125" style="39"/>
    <col min="9729" max="9729" width="39.42578125" style="39" customWidth="1"/>
    <col min="9730" max="9730" width="16.140625" style="39" customWidth="1"/>
    <col min="9731" max="9732" width="14.140625" style="39" customWidth="1"/>
    <col min="9733" max="9733" width="5.85546875" style="39" customWidth="1"/>
    <col min="9734" max="9734" width="13.7109375" style="39" customWidth="1"/>
    <col min="9735" max="9735" width="18.5703125" style="39" customWidth="1"/>
    <col min="9736" max="9736" width="12.5703125" style="39" customWidth="1"/>
    <col min="9737" max="9984" width="12.5703125" style="39"/>
    <col min="9985" max="9985" width="39.42578125" style="39" customWidth="1"/>
    <col min="9986" max="9986" width="16.140625" style="39" customWidth="1"/>
    <col min="9987" max="9988" width="14.140625" style="39" customWidth="1"/>
    <col min="9989" max="9989" width="5.85546875" style="39" customWidth="1"/>
    <col min="9990" max="9990" width="13.7109375" style="39" customWidth="1"/>
    <col min="9991" max="9991" width="18.5703125" style="39" customWidth="1"/>
    <col min="9992" max="9992" width="12.5703125" style="39" customWidth="1"/>
    <col min="9993" max="10240" width="12.5703125" style="39"/>
    <col min="10241" max="10241" width="39.42578125" style="39" customWidth="1"/>
    <col min="10242" max="10242" width="16.140625" style="39" customWidth="1"/>
    <col min="10243" max="10244" width="14.140625" style="39" customWidth="1"/>
    <col min="10245" max="10245" width="5.85546875" style="39" customWidth="1"/>
    <col min="10246" max="10246" width="13.7109375" style="39" customWidth="1"/>
    <col min="10247" max="10247" width="18.5703125" style="39" customWidth="1"/>
    <col min="10248" max="10248" width="12.5703125" style="39" customWidth="1"/>
    <col min="10249" max="10496" width="12.5703125" style="39"/>
    <col min="10497" max="10497" width="39.42578125" style="39" customWidth="1"/>
    <col min="10498" max="10498" width="16.140625" style="39" customWidth="1"/>
    <col min="10499" max="10500" width="14.140625" style="39" customWidth="1"/>
    <col min="10501" max="10501" width="5.85546875" style="39" customWidth="1"/>
    <col min="10502" max="10502" width="13.7109375" style="39" customWidth="1"/>
    <col min="10503" max="10503" width="18.5703125" style="39" customWidth="1"/>
    <col min="10504" max="10504" width="12.5703125" style="39" customWidth="1"/>
    <col min="10505" max="10752" width="12.5703125" style="39"/>
    <col min="10753" max="10753" width="39.42578125" style="39" customWidth="1"/>
    <col min="10754" max="10754" width="16.140625" style="39" customWidth="1"/>
    <col min="10755" max="10756" width="14.140625" style="39" customWidth="1"/>
    <col min="10757" max="10757" width="5.85546875" style="39" customWidth="1"/>
    <col min="10758" max="10758" width="13.7109375" style="39" customWidth="1"/>
    <col min="10759" max="10759" width="18.5703125" style="39" customWidth="1"/>
    <col min="10760" max="10760" width="12.5703125" style="39" customWidth="1"/>
    <col min="10761" max="11008" width="12.5703125" style="39"/>
    <col min="11009" max="11009" width="39.42578125" style="39" customWidth="1"/>
    <col min="11010" max="11010" width="16.140625" style="39" customWidth="1"/>
    <col min="11011" max="11012" width="14.140625" style="39" customWidth="1"/>
    <col min="11013" max="11013" width="5.85546875" style="39" customWidth="1"/>
    <col min="11014" max="11014" width="13.7109375" style="39" customWidth="1"/>
    <col min="11015" max="11015" width="18.5703125" style="39" customWidth="1"/>
    <col min="11016" max="11016" width="12.5703125" style="39" customWidth="1"/>
    <col min="11017" max="11264" width="12.5703125" style="39"/>
    <col min="11265" max="11265" width="39.42578125" style="39" customWidth="1"/>
    <col min="11266" max="11266" width="16.140625" style="39" customWidth="1"/>
    <col min="11267" max="11268" width="14.140625" style="39" customWidth="1"/>
    <col min="11269" max="11269" width="5.85546875" style="39" customWidth="1"/>
    <col min="11270" max="11270" width="13.7109375" style="39" customWidth="1"/>
    <col min="11271" max="11271" width="18.5703125" style="39" customWidth="1"/>
    <col min="11272" max="11272" width="12.5703125" style="39" customWidth="1"/>
    <col min="11273" max="11520" width="12.5703125" style="39"/>
    <col min="11521" max="11521" width="39.42578125" style="39" customWidth="1"/>
    <col min="11522" max="11522" width="16.140625" style="39" customWidth="1"/>
    <col min="11523" max="11524" width="14.140625" style="39" customWidth="1"/>
    <col min="11525" max="11525" width="5.85546875" style="39" customWidth="1"/>
    <col min="11526" max="11526" width="13.7109375" style="39" customWidth="1"/>
    <col min="11527" max="11527" width="18.5703125" style="39" customWidth="1"/>
    <col min="11528" max="11528" width="12.5703125" style="39" customWidth="1"/>
    <col min="11529" max="11776" width="12.5703125" style="39"/>
    <col min="11777" max="11777" width="39.42578125" style="39" customWidth="1"/>
    <col min="11778" max="11778" width="16.140625" style="39" customWidth="1"/>
    <col min="11779" max="11780" width="14.140625" style="39" customWidth="1"/>
    <col min="11781" max="11781" width="5.85546875" style="39" customWidth="1"/>
    <col min="11782" max="11782" width="13.7109375" style="39" customWidth="1"/>
    <col min="11783" max="11783" width="18.5703125" style="39" customWidth="1"/>
    <col min="11784" max="11784" width="12.5703125" style="39" customWidth="1"/>
    <col min="11785" max="12032" width="12.5703125" style="39"/>
    <col min="12033" max="12033" width="39.42578125" style="39" customWidth="1"/>
    <col min="12034" max="12034" width="16.140625" style="39" customWidth="1"/>
    <col min="12035" max="12036" width="14.140625" style="39" customWidth="1"/>
    <col min="12037" max="12037" width="5.85546875" style="39" customWidth="1"/>
    <col min="12038" max="12038" width="13.7109375" style="39" customWidth="1"/>
    <col min="12039" max="12039" width="18.5703125" style="39" customWidth="1"/>
    <col min="12040" max="12040" width="12.5703125" style="39" customWidth="1"/>
    <col min="12041" max="12288" width="12.5703125" style="39"/>
    <col min="12289" max="12289" width="39.42578125" style="39" customWidth="1"/>
    <col min="12290" max="12290" width="16.140625" style="39" customWidth="1"/>
    <col min="12291" max="12292" width="14.140625" style="39" customWidth="1"/>
    <col min="12293" max="12293" width="5.85546875" style="39" customWidth="1"/>
    <col min="12294" max="12294" width="13.7109375" style="39" customWidth="1"/>
    <col min="12295" max="12295" width="18.5703125" style="39" customWidth="1"/>
    <col min="12296" max="12296" width="12.5703125" style="39" customWidth="1"/>
    <col min="12297" max="12544" width="12.5703125" style="39"/>
    <col min="12545" max="12545" width="39.42578125" style="39" customWidth="1"/>
    <col min="12546" max="12546" width="16.140625" style="39" customWidth="1"/>
    <col min="12547" max="12548" width="14.140625" style="39" customWidth="1"/>
    <col min="12549" max="12549" width="5.85546875" style="39" customWidth="1"/>
    <col min="12550" max="12550" width="13.7109375" style="39" customWidth="1"/>
    <col min="12551" max="12551" width="18.5703125" style="39" customWidth="1"/>
    <col min="12552" max="12552" width="12.5703125" style="39" customWidth="1"/>
    <col min="12553" max="12800" width="12.5703125" style="39"/>
    <col min="12801" max="12801" width="39.42578125" style="39" customWidth="1"/>
    <col min="12802" max="12802" width="16.140625" style="39" customWidth="1"/>
    <col min="12803" max="12804" width="14.140625" style="39" customWidth="1"/>
    <col min="12805" max="12805" width="5.85546875" style="39" customWidth="1"/>
    <col min="12806" max="12806" width="13.7109375" style="39" customWidth="1"/>
    <col min="12807" max="12807" width="18.5703125" style="39" customWidth="1"/>
    <col min="12808" max="12808" width="12.5703125" style="39" customWidth="1"/>
    <col min="12809" max="13056" width="12.5703125" style="39"/>
    <col min="13057" max="13057" width="39.42578125" style="39" customWidth="1"/>
    <col min="13058" max="13058" width="16.140625" style="39" customWidth="1"/>
    <col min="13059" max="13060" width="14.140625" style="39" customWidth="1"/>
    <col min="13061" max="13061" width="5.85546875" style="39" customWidth="1"/>
    <col min="13062" max="13062" width="13.7109375" style="39" customWidth="1"/>
    <col min="13063" max="13063" width="18.5703125" style="39" customWidth="1"/>
    <col min="13064" max="13064" width="12.5703125" style="39" customWidth="1"/>
    <col min="13065" max="13312" width="12.5703125" style="39"/>
    <col min="13313" max="13313" width="39.42578125" style="39" customWidth="1"/>
    <col min="13314" max="13314" width="16.140625" style="39" customWidth="1"/>
    <col min="13315" max="13316" width="14.140625" style="39" customWidth="1"/>
    <col min="13317" max="13317" width="5.85546875" style="39" customWidth="1"/>
    <col min="13318" max="13318" width="13.7109375" style="39" customWidth="1"/>
    <col min="13319" max="13319" width="18.5703125" style="39" customWidth="1"/>
    <col min="13320" max="13320" width="12.5703125" style="39" customWidth="1"/>
    <col min="13321" max="13568" width="12.5703125" style="39"/>
    <col min="13569" max="13569" width="39.42578125" style="39" customWidth="1"/>
    <col min="13570" max="13570" width="16.140625" style="39" customWidth="1"/>
    <col min="13571" max="13572" width="14.140625" style="39" customWidth="1"/>
    <col min="13573" max="13573" width="5.85546875" style="39" customWidth="1"/>
    <col min="13574" max="13574" width="13.7109375" style="39" customWidth="1"/>
    <col min="13575" max="13575" width="18.5703125" style="39" customWidth="1"/>
    <col min="13576" max="13576" width="12.5703125" style="39" customWidth="1"/>
    <col min="13577" max="13824" width="12.5703125" style="39"/>
    <col min="13825" max="13825" width="39.42578125" style="39" customWidth="1"/>
    <col min="13826" max="13826" width="16.140625" style="39" customWidth="1"/>
    <col min="13827" max="13828" width="14.140625" style="39" customWidth="1"/>
    <col min="13829" max="13829" width="5.85546875" style="39" customWidth="1"/>
    <col min="13830" max="13830" width="13.7109375" style="39" customWidth="1"/>
    <col min="13831" max="13831" width="18.5703125" style="39" customWidth="1"/>
    <col min="13832" max="13832" width="12.5703125" style="39" customWidth="1"/>
    <col min="13833" max="14080" width="12.5703125" style="39"/>
    <col min="14081" max="14081" width="39.42578125" style="39" customWidth="1"/>
    <col min="14082" max="14082" width="16.140625" style="39" customWidth="1"/>
    <col min="14083" max="14084" width="14.140625" style="39" customWidth="1"/>
    <col min="14085" max="14085" width="5.85546875" style="39" customWidth="1"/>
    <col min="14086" max="14086" width="13.7109375" style="39" customWidth="1"/>
    <col min="14087" max="14087" width="18.5703125" style="39" customWidth="1"/>
    <col min="14088" max="14088" width="12.5703125" style="39" customWidth="1"/>
    <col min="14089" max="14336" width="12.5703125" style="39"/>
    <col min="14337" max="14337" width="39.42578125" style="39" customWidth="1"/>
    <col min="14338" max="14338" width="16.140625" style="39" customWidth="1"/>
    <col min="14339" max="14340" width="14.140625" style="39" customWidth="1"/>
    <col min="14341" max="14341" width="5.85546875" style="39" customWidth="1"/>
    <col min="14342" max="14342" width="13.7109375" style="39" customWidth="1"/>
    <col min="14343" max="14343" width="18.5703125" style="39" customWidth="1"/>
    <col min="14344" max="14344" width="12.5703125" style="39" customWidth="1"/>
    <col min="14345" max="14592" width="12.5703125" style="39"/>
    <col min="14593" max="14593" width="39.42578125" style="39" customWidth="1"/>
    <col min="14594" max="14594" width="16.140625" style="39" customWidth="1"/>
    <col min="14595" max="14596" width="14.140625" style="39" customWidth="1"/>
    <col min="14597" max="14597" width="5.85546875" style="39" customWidth="1"/>
    <col min="14598" max="14598" width="13.7109375" style="39" customWidth="1"/>
    <col min="14599" max="14599" width="18.5703125" style="39" customWidth="1"/>
    <col min="14600" max="14600" width="12.5703125" style="39" customWidth="1"/>
    <col min="14601" max="14848" width="12.5703125" style="39"/>
    <col min="14849" max="14849" width="39.42578125" style="39" customWidth="1"/>
    <col min="14850" max="14850" width="16.140625" style="39" customWidth="1"/>
    <col min="14851" max="14852" width="14.140625" style="39" customWidth="1"/>
    <col min="14853" max="14853" width="5.85546875" style="39" customWidth="1"/>
    <col min="14854" max="14854" width="13.7109375" style="39" customWidth="1"/>
    <col min="14855" max="14855" width="18.5703125" style="39" customWidth="1"/>
    <col min="14856" max="14856" width="12.5703125" style="39" customWidth="1"/>
    <col min="14857" max="15104" width="12.5703125" style="39"/>
    <col min="15105" max="15105" width="39.42578125" style="39" customWidth="1"/>
    <col min="15106" max="15106" width="16.140625" style="39" customWidth="1"/>
    <col min="15107" max="15108" width="14.140625" style="39" customWidth="1"/>
    <col min="15109" max="15109" width="5.85546875" style="39" customWidth="1"/>
    <col min="15110" max="15110" width="13.7109375" style="39" customWidth="1"/>
    <col min="15111" max="15111" width="18.5703125" style="39" customWidth="1"/>
    <col min="15112" max="15112" width="12.5703125" style="39" customWidth="1"/>
    <col min="15113" max="15360" width="12.5703125" style="39"/>
    <col min="15361" max="15361" width="39.42578125" style="39" customWidth="1"/>
    <col min="15362" max="15362" width="16.140625" style="39" customWidth="1"/>
    <col min="15363" max="15364" width="14.140625" style="39" customWidth="1"/>
    <col min="15365" max="15365" width="5.85546875" style="39" customWidth="1"/>
    <col min="15366" max="15366" width="13.7109375" style="39" customWidth="1"/>
    <col min="15367" max="15367" width="18.5703125" style="39" customWidth="1"/>
    <col min="15368" max="15368" width="12.5703125" style="39" customWidth="1"/>
    <col min="15369" max="15616" width="12.5703125" style="39"/>
    <col min="15617" max="15617" width="39.42578125" style="39" customWidth="1"/>
    <col min="15618" max="15618" width="16.140625" style="39" customWidth="1"/>
    <col min="15619" max="15620" width="14.140625" style="39" customWidth="1"/>
    <col min="15621" max="15621" width="5.85546875" style="39" customWidth="1"/>
    <col min="15622" max="15622" width="13.7109375" style="39" customWidth="1"/>
    <col min="15623" max="15623" width="18.5703125" style="39" customWidth="1"/>
    <col min="15624" max="15624" width="12.5703125" style="39" customWidth="1"/>
    <col min="15625" max="15872" width="12.5703125" style="39"/>
    <col min="15873" max="15873" width="39.42578125" style="39" customWidth="1"/>
    <col min="15874" max="15874" width="16.140625" style="39" customWidth="1"/>
    <col min="15875" max="15876" width="14.140625" style="39" customWidth="1"/>
    <col min="15877" max="15877" width="5.85546875" style="39" customWidth="1"/>
    <col min="15878" max="15878" width="13.7109375" style="39" customWidth="1"/>
    <col min="15879" max="15879" width="18.5703125" style="39" customWidth="1"/>
    <col min="15880" max="15880" width="12.5703125" style="39" customWidth="1"/>
    <col min="15881" max="16128" width="12.5703125" style="39"/>
    <col min="16129" max="16129" width="39.42578125" style="39" customWidth="1"/>
    <col min="16130" max="16130" width="16.140625" style="39" customWidth="1"/>
    <col min="16131" max="16132" width="14.140625" style="39" customWidth="1"/>
    <col min="16133" max="16133" width="5.85546875" style="39" customWidth="1"/>
    <col min="16134" max="16134" width="13.7109375" style="39" customWidth="1"/>
    <col min="16135" max="16135" width="18.5703125" style="39" customWidth="1"/>
    <col min="16136" max="16136" width="12.5703125" style="39" customWidth="1"/>
    <col min="16137" max="16384" width="12.5703125" style="39"/>
  </cols>
  <sheetData>
    <row r="1" spans="1:14" ht="20.25">
      <c r="A1" s="38" t="str">
        <f>HLOOKUP(INDICE!$F$2,Nombres!$C$3:$F$853,182)</f>
        <v>Tipos de cambio</v>
      </c>
      <c r="B1" s="63"/>
      <c r="C1" s="63"/>
      <c r="D1" s="63"/>
    </row>
    <row r="2" spans="1:14">
      <c r="A2" s="41" t="str">
        <f>HLOOKUP(INDICE!$F$2,Nombres!$C$3:$E$853,167)</f>
        <v>(Expresados en divisa/euro)</v>
      </c>
    </row>
    <row r="3" spans="1:14" ht="19.5">
      <c r="A3" s="42"/>
      <c r="C3" s="64" t="str">
        <f>HLOOKUP(INDICE!$F$2,Nombres!$C$3:$E$853,175)</f>
        <v>Cambios finales (*)</v>
      </c>
      <c r="D3" s="64"/>
      <c r="E3" s="40"/>
      <c r="F3" s="64" t="str">
        <f>HLOOKUP(INDICE!$F$2,Nombres!$C$3:$E$853,176)</f>
        <v>Cambios medios (**)</v>
      </c>
      <c r="G3" s="64"/>
      <c r="H3" s="44"/>
    </row>
    <row r="4" spans="1:14">
      <c r="A4" s="45"/>
      <c r="B4" s="65"/>
      <c r="C4" s="48" t="s">
        <v>501</v>
      </c>
      <c r="D4" s="48" t="s">
        <v>501</v>
      </c>
      <c r="E4" s="66"/>
      <c r="F4" s="67"/>
      <c r="G4" s="48" t="s">
        <v>501</v>
      </c>
      <c r="H4" s="68"/>
    </row>
    <row r="5" spans="1:14">
      <c r="A5" s="45"/>
      <c r="B5" s="65">
        <v>42277</v>
      </c>
      <c r="C5" s="48">
        <v>41912</v>
      </c>
      <c r="D5" s="48">
        <v>42185</v>
      </c>
      <c r="E5" s="66"/>
      <c r="F5" s="69" t="s">
        <v>502</v>
      </c>
      <c r="G5" s="69" t="s">
        <v>503</v>
      </c>
      <c r="H5" s="68"/>
    </row>
    <row r="6" spans="1:14" customFormat="1" ht="15">
      <c r="A6" s="49" t="str">
        <f>HLOOKUP(INDICE!$F$2,Nombres!$C$3:$E$853,168)</f>
        <v>Peso mexicano</v>
      </c>
      <c r="B6" s="70">
        <v>18.976772430545012</v>
      </c>
      <c r="C6" s="71">
        <v>-10.428175621696042</v>
      </c>
      <c r="D6" s="71">
        <v>-7.6076093626720507</v>
      </c>
      <c r="E6" s="72"/>
      <c r="F6" s="70">
        <v>17.36020693366665</v>
      </c>
      <c r="G6" s="71">
        <v>2.3816717914081948</v>
      </c>
      <c r="H6" s="73"/>
      <c r="I6" s="73"/>
      <c r="J6" s="73"/>
      <c r="K6" s="73"/>
      <c r="L6" s="74"/>
      <c r="M6" s="74"/>
      <c r="N6" s="74"/>
    </row>
    <row r="7" spans="1:14" customFormat="1" ht="15">
      <c r="A7" s="49" t="str">
        <f>HLOOKUP(INDICE!$F$2,Nombres!$C$3:$E$853,169)</f>
        <v>Dólar estadounidense</v>
      </c>
      <c r="B7" s="70">
        <v>1.1203000611683833</v>
      </c>
      <c r="C7" s="71">
        <v>12.318128454820126</v>
      </c>
      <c r="D7" s="71">
        <v>-0.12498111856422156</v>
      </c>
      <c r="E7" s="72"/>
      <c r="F7" s="70">
        <v>1.1141961965798635</v>
      </c>
      <c r="G7" s="71">
        <v>21.614868453858577</v>
      </c>
      <c r="H7" s="73"/>
      <c r="I7" s="73"/>
      <c r="J7" s="73"/>
      <c r="K7" s="73"/>
      <c r="L7" s="74"/>
      <c r="M7" s="74"/>
      <c r="N7" s="74"/>
    </row>
    <row r="8" spans="1:14" customFormat="1" ht="15">
      <c r="A8" s="49" t="str">
        <f>HLOOKUP(INDICE!$F$2,Nombres!$C$3:$E$853,170)</f>
        <v>Peso argentino</v>
      </c>
      <c r="B8" s="70">
        <v>10.547299363997848</v>
      </c>
      <c r="C8" s="71">
        <v>0.92826195722757632</v>
      </c>
      <c r="D8" s="71">
        <v>-3.6561696592791151</v>
      </c>
      <c r="E8" s="72"/>
      <c r="F8" s="70">
        <v>9.9864184708796042</v>
      </c>
      <c r="G8" s="71">
        <v>8.2750343306337442</v>
      </c>
      <c r="H8" s="73"/>
      <c r="I8" s="73"/>
      <c r="J8" s="73"/>
      <c r="K8" s="73"/>
      <c r="L8" s="74"/>
      <c r="M8" s="74"/>
      <c r="N8" s="74"/>
    </row>
    <row r="9" spans="1:14" customFormat="1" ht="15">
      <c r="A9" s="49" t="str">
        <f>HLOOKUP(INDICE!$F$2,Nombres!$C$3:$E$853,171)</f>
        <v>Peso chileno</v>
      </c>
      <c r="B9" s="70">
        <v>789.26598263614846</v>
      </c>
      <c r="C9" s="71">
        <v>-4.0878122634368026</v>
      </c>
      <c r="D9" s="71">
        <v>-10.014204545454547</v>
      </c>
      <c r="E9" s="72"/>
      <c r="F9" s="70">
        <v>712.75837491090522</v>
      </c>
      <c r="G9" s="71">
        <v>6.6109422492401251</v>
      </c>
      <c r="H9" s="73"/>
      <c r="I9" s="73"/>
      <c r="J9" s="73"/>
      <c r="K9" s="73"/>
      <c r="L9" s="74"/>
      <c r="M9" s="74"/>
      <c r="N9" s="74"/>
    </row>
    <row r="10" spans="1:14" customFormat="1" ht="15">
      <c r="A10" s="49" t="str">
        <f>HLOOKUP(INDICE!$F$2,Nombres!$C$3:$E$853,172)</f>
        <v>Peso colombiano</v>
      </c>
      <c r="B10" s="70">
        <v>3496.5034965034965</v>
      </c>
      <c r="C10" s="71">
        <v>-27.040816326530603</v>
      </c>
      <c r="D10" s="71">
        <v>-17.341040462427742</v>
      </c>
      <c r="E10" s="72"/>
      <c r="F10" s="70">
        <v>2941.1764705882351</v>
      </c>
      <c r="G10" s="71">
        <v>-10.526315789473685</v>
      </c>
      <c r="H10" s="73"/>
      <c r="I10" s="73"/>
      <c r="J10" s="73"/>
      <c r="K10" s="73"/>
      <c r="L10" s="74"/>
      <c r="M10" s="74"/>
      <c r="N10" s="74"/>
    </row>
    <row r="11" spans="1:14" customFormat="1" ht="15">
      <c r="A11" s="49" t="str">
        <f>HLOOKUP(INDICE!$F$2,Nombres!$C$3:$E$853,173)</f>
        <v>Nuevo sol peruano</v>
      </c>
      <c r="B11" s="70">
        <v>3.6041231168456718</v>
      </c>
      <c r="C11" s="71">
        <v>0.95034346256839797</v>
      </c>
      <c r="D11" s="71">
        <v>-1.4260642190753003</v>
      </c>
      <c r="E11" s="72"/>
      <c r="F11" s="70">
        <v>3.4962223317705217</v>
      </c>
      <c r="G11" s="71">
        <v>8.7788088537309079</v>
      </c>
      <c r="H11" s="73"/>
      <c r="I11" s="73"/>
      <c r="J11" s="73"/>
      <c r="K11" s="73"/>
      <c r="L11" s="74"/>
      <c r="M11" s="74"/>
      <c r="N11" s="74"/>
    </row>
    <row r="12" spans="1:14" customFormat="1" ht="15">
      <c r="A12" s="49" t="str">
        <f>HLOOKUP(INDICE!$F$2,Nombres!$C$3:$E$853,174)</f>
        <v>Bolívar fuerte venezolano</v>
      </c>
      <c r="B12" s="70">
        <v>223.41376228775692</v>
      </c>
      <c r="C12" s="71">
        <v>-93.24142721246622</v>
      </c>
      <c r="D12" s="71">
        <v>-1.1920529801324449</v>
      </c>
      <c r="E12" s="72"/>
      <c r="F12" s="70">
        <v>223.41376228775692</v>
      </c>
      <c r="G12" s="71">
        <v>-93.41706621172456</v>
      </c>
      <c r="H12" s="73"/>
      <c r="I12" s="73"/>
      <c r="J12" s="73"/>
      <c r="K12" s="73"/>
      <c r="L12" s="74"/>
      <c r="M12" s="74"/>
      <c r="N12" s="74"/>
    </row>
    <row r="13" spans="1:14" customFormat="1" ht="15">
      <c r="A13" s="49" t="str">
        <f>HLOOKUP(INDICE!$F$2,Nombres!$C$3:$E$853,190)</f>
        <v>Lira turca</v>
      </c>
      <c r="B13" s="75">
        <v>3.3903017029485452</v>
      </c>
      <c r="C13" s="76">
        <v>-15.113849589611945</v>
      </c>
      <c r="D13" s="76">
        <v>-11.650831496213925</v>
      </c>
      <c r="E13" s="72"/>
      <c r="F13" s="75">
        <v>2.9699941491115265</v>
      </c>
      <c r="G13" s="76">
        <v>-1.2384028064988257</v>
      </c>
      <c r="H13" s="73"/>
      <c r="I13" s="73"/>
      <c r="J13" s="73"/>
      <c r="K13" s="73"/>
      <c r="L13" s="74"/>
      <c r="M13" s="74"/>
      <c r="N13" s="74"/>
    </row>
    <row r="14" spans="1:14" ht="12.75" customHeight="1">
      <c r="B14" s="77"/>
      <c r="C14" s="77"/>
      <c r="D14" s="77"/>
      <c r="E14" s="77"/>
      <c r="J14" s="78"/>
      <c r="K14" s="78"/>
      <c r="L14" s="78"/>
      <c r="M14" s="78"/>
    </row>
    <row r="15" spans="1:14" ht="12.75" customHeight="1">
      <c r="B15" s="77"/>
      <c r="C15" s="77"/>
      <c r="D15" s="77"/>
      <c r="E15" s="77"/>
      <c r="J15" s="78"/>
      <c r="K15" s="78"/>
      <c r="L15" s="78"/>
      <c r="M15" s="78"/>
    </row>
    <row r="16" spans="1:14" ht="12.75" customHeight="1">
      <c r="A16" s="79" t="str">
        <f>HLOOKUP(INDICE!$F$2,Nombres!$C$3:$E$853,177)</f>
        <v>(*) Utilizados en el cálculo de euros constantes de los datos de balance y actividad</v>
      </c>
      <c r="B16" s="79"/>
      <c r="C16" s="79"/>
      <c r="D16" s="77"/>
      <c r="E16" s="77"/>
      <c r="J16" s="78"/>
      <c r="K16" s="78"/>
      <c r="L16" s="78"/>
      <c r="M16" s="78"/>
    </row>
    <row r="17" spans="1:13" ht="12.75" customHeight="1">
      <c r="A17" s="79" t="str">
        <f>HLOOKUP(INDICE!$F$2,Nombres!$C$3:$E$853,178)</f>
        <v>(**) Utilizados en el cálculo de euros constantes de los datos de resultados</v>
      </c>
      <c r="B17" s="79"/>
      <c r="C17" s="79"/>
      <c r="D17" s="77"/>
      <c r="E17" s="77"/>
      <c r="J17" s="78"/>
      <c r="K17" s="78"/>
      <c r="L17" s="78"/>
      <c r="M17" s="78"/>
    </row>
    <row r="18" spans="1:13">
      <c r="A18" s="79"/>
      <c r="B18" s="79"/>
      <c r="C18" s="79"/>
      <c r="J18" s="78"/>
      <c r="K18" s="78"/>
      <c r="L18" s="78"/>
      <c r="M18" s="78"/>
    </row>
  </sheetData>
  <pageMargins left="0.7" right="0.7" top="0.75" bottom="0.75" header="0.3" footer="0.3"/>
  <pageSetup paperSize="9" scale="5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O25"/>
  <sheetViews>
    <sheetView showGridLines="0" workbookViewId="0">
      <selection activeCell="O23" sqref="O23"/>
    </sheetView>
  </sheetViews>
  <sheetFormatPr baseColWidth="10" defaultColWidth="12.5703125" defaultRowHeight="12.75"/>
  <cols>
    <col min="1" max="1" width="46" style="39" customWidth="1"/>
    <col min="2" max="2" width="10.28515625" style="39" bestFit="1" customWidth="1"/>
    <col min="3" max="3" width="11.140625" style="39" customWidth="1"/>
    <col min="4" max="4" width="10.7109375" style="39" bestFit="1" customWidth="1"/>
    <col min="5" max="5" width="10.85546875" style="39" customWidth="1"/>
    <col min="6" max="6" width="10.28515625" style="39" bestFit="1" customWidth="1"/>
    <col min="7" max="7" width="11.5703125" style="39" customWidth="1"/>
    <col min="8" max="8" width="10.28515625" style="39" bestFit="1" customWidth="1"/>
    <col min="9" max="9" width="11.28515625" style="39" customWidth="1"/>
    <col min="10" max="10" width="10.28515625" style="39" bestFit="1" customWidth="1"/>
    <col min="11" max="11" width="11.42578125" style="40" customWidth="1"/>
    <col min="12" max="12" width="8.85546875" style="39" bestFit="1" customWidth="1"/>
    <col min="13" max="13" width="11.7109375" style="39" customWidth="1"/>
    <col min="14" max="14" width="10.28515625" style="39" bestFit="1" customWidth="1"/>
    <col min="15" max="15" width="12" style="39" customWidth="1"/>
    <col min="16" max="254" width="12.5703125" style="39"/>
    <col min="255" max="255" width="50.7109375" style="39" customWidth="1"/>
    <col min="256" max="256" width="12" style="39" customWidth="1"/>
    <col min="257" max="257" width="9.140625" style="39" customWidth="1"/>
    <col min="258" max="258" width="11.42578125" style="39" customWidth="1"/>
    <col min="259" max="259" width="9.140625" style="39" customWidth="1"/>
    <col min="260" max="260" width="12" style="39" customWidth="1"/>
    <col min="261" max="261" width="9.140625" style="39" customWidth="1"/>
    <col min="262" max="262" width="13.85546875" style="39" customWidth="1"/>
    <col min="263" max="263" width="9.140625" style="39" customWidth="1"/>
    <col min="264" max="264" width="12.85546875" style="39" customWidth="1"/>
    <col min="265" max="265" width="9.140625" style="39" customWidth="1"/>
    <col min="266" max="266" width="10" style="39" customWidth="1"/>
    <col min="267" max="267" width="8.7109375" style="39" customWidth="1"/>
    <col min="268" max="268" width="12.85546875" style="39" customWidth="1"/>
    <col min="269" max="269" width="8.140625" style="39" customWidth="1"/>
    <col min="270" max="270" width="10.85546875" style="39" customWidth="1"/>
    <col min="271" max="271" width="9.85546875" style="39" customWidth="1"/>
    <col min="272" max="510" width="12.5703125" style="39"/>
    <col min="511" max="511" width="50.7109375" style="39" customWidth="1"/>
    <col min="512" max="512" width="12" style="39" customWidth="1"/>
    <col min="513" max="513" width="9.140625" style="39" customWidth="1"/>
    <col min="514" max="514" width="11.42578125" style="39" customWidth="1"/>
    <col min="515" max="515" width="9.140625" style="39" customWidth="1"/>
    <col min="516" max="516" width="12" style="39" customWidth="1"/>
    <col min="517" max="517" width="9.140625" style="39" customWidth="1"/>
    <col min="518" max="518" width="13.85546875" style="39" customWidth="1"/>
    <col min="519" max="519" width="9.140625" style="39" customWidth="1"/>
    <col min="520" max="520" width="12.85546875" style="39" customWidth="1"/>
    <col min="521" max="521" width="9.140625" style="39" customWidth="1"/>
    <col min="522" max="522" width="10" style="39" customWidth="1"/>
    <col min="523" max="523" width="8.7109375" style="39" customWidth="1"/>
    <col min="524" max="524" width="12.85546875" style="39" customWidth="1"/>
    <col min="525" max="525" width="8.140625" style="39" customWidth="1"/>
    <col min="526" max="526" width="10.85546875" style="39" customWidth="1"/>
    <col min="527" max="527" width="9.85546875" style="39" customWidth="1"/>
    <col min="528" max="766" width="12.5703125" style="39"/>
    <col min="767" max="767" width="50.7109375" style="39" customWidth="1"/>
    <col min="768" max="768" width="12" style="39" customWidth="1"/>
    <col min="769" max="769" width="9.140625" style="39" customWidth="1"/>
    <col min="770" max="770" width="11.42578125" style="39" customWidth="1"/>
    <col min="771" max="771" width="9.140625" style="39" customWidth="1"/>
    <col min="772" max="772" width="12" style="39" customWidth="1"/>
    <col min="773" max="773" width="9.140625" style="39" customWidth="1"/>
    <col min="774" max="774" width="13.85546875" style="39" customWidth="1"/>
    <col min="775" max="775" width="9.140625" style="39" customWidth="1"/>
    <col min="776" max="776" width="12.85546875" style="39" customWidth="1"/>
    <col min="777" max="777" width="9.140625" style="39" customWidth="1"/>
    <col min="778" max="778" width="10" style="39" customWidth="1"/>
    <col min="779" max="779" width="8.7109375" style="39" customWidth="1"/>
    <col min="780" max="780" width="12.85546875" style="39" customWidth="1"/>
    <col min="781" max="781" width="8.140625" style="39" customWidth="1"/>
    <col min="782" max="782" width="10.85546875" style="39" customWidth="1"/>
    <col min="783" max="783" width="9.85546875" style="39" customWidth="1"/>
    <col min="784" max="1022" width="12.5703125" style="39"/>
    <col min="1023" max="1023" width="50.7109375" style="39" customWidth="1"/>
    <col min="1024" max="1024" width="12" style="39" customWidth="1"/>
    <col min="1025" max="1025" width="9.140625" style="39" customWidth="1"/>
    <col min="1026" max="1026" width="11.42578125" style="39" customWidth="1"/>
    <col min="1027" max="1027" width="9.140625" style="39" customWidth="1"/>
    <col min="1028" max="1028" width="12" style="39" customWidth="1"/>
    <col min="1029" max="1029" width="9.140625" style="39" customWidth="1"/>
    <col min="1030" max="1030" width="13.85546875" style="39" customWidth="1"/>
    <col min="1031" max="1031" width="9.140625" style="39" customWidth="1"/>
    <col min="1032" max="1032" width="12.85546875" style="39" customWidth="1"/>
    <col min="1033" max="1033" width="9.140625" style="39" customWidth="1"/>
    <col min="1034" max="1034" width="10" style="39" customWidth="1"/>
    <col min="1035" max="1035" width="8.7109375" style="39" customWidth="1"/>
    <col min="1036" max="1036" width="12.85546875" style="39" customWidth="1"/>
    <col min="1037" max="1037" width="8.140625" style="39" customWidth="1"/>
    <col min="1038" max="1038" width="10.85546875" style="39" customWidth="1"/>
    <col min="1039" max="1039" width="9.85546875" style="39" customWidth="1"/>
    <col min="1040" max="1278" width="12.5703125" style="39"/>
    <col min="1279" max="1279" width="50.7109375" style="39" customWidth="1"/>
    <col min="1280" max="1280" width="12" style="39" customWidth="1"/>
    <col min="1281" max="1281" width="9.140625" style="39" customWidth="1"/>
    <col min="1282" max="1282" width="11.42578125" style="39" customWidth="1"/>
    <col min="1283" max="1283" width="9.140625" style="39" customWidth="1"/>
    <col min="1284" max="1284" width="12" style="39" customWidth="1"/>
    <col min="1285" max="1285" width="9.140625" style="39" customWidth="1"/>
    <col min="1286" max="1286" width="13.85546875" style="39" customWidth="1"/>
    <col min="1287" max="1287" width="9.140625" style="39" customWidth="1"/>
    <col min="1288" max="1288" width="12.85546875" style="39" customWidth="1"/>
    <col min="1289" max="1289" width="9.140625" style="39" customWidth="1"/>
    <col min="1290" max="1290" width="10" style="39" customWidth="1"/>
    <col min="1291" max="1291" width="8.7109375" style="39" customWidth="1"/>
    <col min="1292" max="1292" width="12.85546875" style="39" customWidth="1"/>
    <col min="1293" max="1293" width="8.140625" style="39" customWidth="1"/>
    <col min="1294" max="1294" width="10.85546875" style="39" customWidth="1"/>
    <col min="1295" max="1295" width="9.85546875" style="39" customWidth="1"/>
    <col min="1296" max="1534" width="12.5703125" style="39"/>
    <col min="1535" max="1535" width="50.7109375" style="39" customWidth="1"/>
    <col min="1536" max="1536" width="12" style="39" customWidth="1"/>
    <col min="1537" max="1537" width="9.140625" style="39" customWidth="1"/>
    <col min="1538" max="1538" width="11.42578125" style="39" customWidth="1"/>
    <col min="1539" max="1539" width="9.140625" style="39" customWidth="1"/>
    <col min="1540" max="1540" width="12" style="39" customWidth="1"/>
    <col min="1541" max="1541" width="9.140625" style="39" customWidth="1"/>
    <col min="1542" max="1542" width="13.85546875" style="39" customWidth="1"/>
    <col min="1543" max="1543" width="9.140625" style="39" customWidth="1"/>
    <col min="1544" max="1544" width="12.85546875" style="39" customWidth="1"/>
    <col min="1545" max="1545" width="9.140625" style="39" customWidth="1"/>
    <col min="1546" max="1546" width="10" style="39" customWidth="1"/>
    <col min="1547" max="1547" width="8.7109375" style="39" customWidth="1"/>
    <col min="1548" max="1548" width="12.85546875" style="39" customWidth="1"/>
    <col min="1549" max="1549" width="8.140625" style="39" customWidth="1"/>
    <col min="1550" max="1550" width="10.85546875" style="39" customWidth="1"/>
    <col min="1551" max="1551" width="9.85546875" style="39" customWidth="1"/>
    <col min="1552" max="1790" width="12.5703125" style="39"/>
    <col min="1791" max="1791" width="50.7109375" style="39" customWidth="1"/>
    <col min="1792" max="1792" width="12" style="39" customWidth="1"/>
    <col min="1793" max="1793" width="9.140625" style="39" customWidth="1"/>
    <col min="1794" max="1794" width="11.42578125" style="39" customWidth="1"/>
    <col min="1795" max="1795" width="9.140625" style="39" customWidth="1"/>
    <col min="1796" max="1796" width="12" style="39" customWidth="1"/>
    <col min="1797" max="1797" width="9.140625" style="39" customWidth="1"/>
    <col min="1798" max="1798" width="13.85546875" style="39" customWidth="1"/>
    <col min="1799" max="1799" width="9.140625" style="39" customWidth="1"/>
    <col min="1800" max="1800" width="12.85546875" style="39" customWidth="1"/>
    <col min="1801" max="1801" width="9.140625" style="39" customWidth="1"/>
    <col min="1802" max="1802" width="10" style="39" customWidth="1"/>
    <col min="1803" max="1803" width="8.7109375" style="39" customWidth="1"/>
    <col min="1804" max="1804" width="12.85546875" style="39" customWidth="1"/>
    <col min="1805" max="1805" width="8.140625" style="39" customWidth="1"/>
    <col min="1806" max="1806" width="10.85546875" style="39" customWidth="1"/>
    <col min="1807" max="1807" width="9.85546875" style="39" customWidth="1"/>
    <col min="1808" max="2046" width="12.5703125" style="39"/>
    <col min="2047" max="2047" width="50.7109375" style="39" customWidth="1"/>
    <col min="2048" max="2048" width="12" style="39" customWidth="1"/>
    <col min="2049" max="2049" width="9.140625" style="39" customWidth="1"/>
    <col min="2050" max="2050" width="11.42578125" style="39" customWidth="1"/>
    <col min="2051" max="2051" width="9.140625" style="39" customWidth="1"/>
    <col min="2052" max="2052" width="12" style="39" customWidth="1"/>
    <col min="2053" max="2053" width="9.140625" style="39" customWidth="1"/>
    <col min="2054" max="2054" width="13.85546875" style="39" customWidth="1"/>
    <col min="2055" max="2055" width="9.140625" style="39" customWidth="1"/>
    <col min="2056" max="2056" width="12.85546875" style="39" customWidth="1"/>
    <col min="2057" max="2057" width="9.140625" style="39" customWidth="1"/>
    <col min="2058" max="2058" width="10" style="39" customWidth="1"/>
    <col min="2059" max="2059" width="8.7109375" style="39" customWidth="1"/>
    <col min="2060" max="2060" width="12.85546875" style="39" customWidth="1"/>
    <col min="2061" max="2061" width="8.140625" style="39" customWidth="1"/>
    <col min="2062" max="2062" width="10.85546875" style="39" customWidth="1"/>
    <col min="2063" max="2063" width="9.85546875" style="39" customWidth="1"/>
    <col min="2064" max="2302" width="12.5703125" style="39"/>
    <col min="2303" max="2303" width="50.7109375" style="39" customWidth="1"/>
    <col min="2304" max="2304" width="12" style="39" customWidth="1"/>
    <col min="2305" max="2305" width="9.140625" style="39" customWidth="1"/>
    <col min="2306" max="2306" width="11.42578125" style="39" customWidth="1"/>
    <col min="2307" max="2307" width="9.140625" style="39" customWidth="1"/>
    <col min="2308" max="2308" width="12" style="39" customWidth="1"/>
    <col min="2309" max="2309" width="9.140625" style="39" customWidth="1"/>
    <col min="2310" max="2310" width="13.85546875" style="39" customWidth="1"/>
    <col min="2311" max="2311" width="9.140625" style="39" customWidth="1"/>
    <col min="2312" max="2312" width="12.85546875" style="39" customWidth="1"/>
    <col min="2313" max="2313" width="9.140625" style="39" customWidth="1"/>
    <col min="2314" max="2314" width="10" style="39" customWidth="1"/>
    <col min="2315" max="2315" width="8.7109375" style="39" customWidth="1"/>
    <col min="2316" max="2316" width="12.85546875" style="39" customWidth="1"/>
    <col min="2317" max="2317" width="8.140625" style="39" customWidth="1"/>
    <col min="2318" max="2318" width="10.85546875" style="39" customWidth="1"/>
    <col min="2319" max="2319" width="9.85546875" style="39" customWidth="1"/>
    <col min="2320" max="2558" width="12.5703125" style="39"/>
    <col min="2559" max="2559" width="50.7109375" style="39" customWidth="1"/>
    <col min="2560" max="2560" width="12" style="39" customWidth="1"/>
    <col min="2561" max="2561" width="9.140625" style="39" customWidth="1"/>
    <col min="2562" max="2562" width="11.42578125" style="39" customWidth="1"/>
    <col min="2563" max="2563" width="9.140625" style="39" customWidth="1"/>
    <col min="2564" max="2564" width="12" style="39" customWidth="1"/>
    <col min="2565" max="2565" width="9.140625" style="39" customWidth="1"/>
    <col min="2566" max="2566" width="13.85546875" style="39" customWidth="1"/>
    <col min="2567" max="2567" width="9.140625" style="39" customWidth="1"/>
    <col min="2568" max="2568" width="12.85546875" style="39" customWidth="1"/>
    <col min="2569" max="2569" width="9.140625" style="39" customWidth="1"/>
    <col min="2570" max="2570" width="10" style="39" customWidth="1"/>
    <col min="2571" max="2571" width="8.7109375" style="39" customWidth="1"/>
    <col min="2572" max="2572" width="12.85546875" style="39" customWidth="1"/>
    <col min="2573" max="2573" width="8.140625" style="39" customWidth="1"/>
    <col min="2574" max="2574" width="10.85546875" style="39" customWidth="1"/>
    <col min="2575" max="2575" width="9.85546875" style="39" customWidth="1"/>
    <col min="2576" max="2814" width="12.5703125" style="39"/>
    <col min="2815" max="2815" width="50.7109375" style="39" customWidth="1"/>
    <col min="2816" max="2816" width="12" style="39" customWidth="1"/>
    <col min="2817" max="2817" width="9.140625" style="39" customWidth="1"/>
    <col min="2818" max="2818" width="11.42578125" style="39" customWidth="1"/>
    <col min="2819" max="2819" width="9.140625" style="39" customWidth="1"/>
    <col min="2820" max="2820" width="12" style="39" customWidth="1"/>
    <col min="2821" max="2821" width="9.140625" style="39" customWidth="1"/>
    <col min="2822" max="2822" width="13.85546875" style="39" customWidth="1"/>
    <col min="2823" max="2823" width="9.140625" style="39" customWidth="1"/>
    <col min="2824" max="2824" width="12.85546875" style="39" customWidth="1"/>
    <col min="2825" max="2825" width="9.140625" style="39" customWidth="1"/>
    <col min="2826" max="2826" width="10" style="39" customWidth="1"/>
    <col min="2827" max="2827" width="8.7109375" style="39" customWidth="1"/>
    <col min="2828" max="2828" width="12.85546875" style="39" customWidth="1"/>
    <col min="2829" max="2829" width="8.140625" style="39" customWidth="1"/>
    <col min="2830" max="2830" width="10.85546875" style="39" customWidth="1"/>
    <col min="2831" max="2831" width="9.85546875" style="39" customWidth="1"/>
    <col min="2832" max="3070" width="12.5703125" style="39"/>
    <col min="3071" max="3071" width="50.7109375" style="39" customWidth="1"/>
    <col min="3072" max="3072" width="12" style="39" customWidth="1"/>
    <col min="3073" max="3073" width="9.140625" style="39" customWidth="1"/>
    <col min="3074" max="3074" width="11.42578125" style="39" customWidth="1"/>
    <col min="3075" max="3075" width="9.140625" style="39" customWidth="1"/>
    <col min="3076" max="3076" width="12" style="39" customWidth="1"/>
    <col min="3077" max="3077" width="9.140625" style="39" customWidth="1"/>
    <col min="3078" max="3078" width="13.85546875" style="39" customWidth="1"/>
    <col min="3079" max="3079" width="9.140625" style="39" customWidth="1"/>
    <col min="3080" max="3080" width="12.85546875" style="39" customWidth="1"/>
    <col min="3081" max="3081" width="9.140625" style="39" customWidth="1"/>
    <col min="3082" max="3082" width="10" style="39" customWidth="1"/>
    <col min="3083" max="3083" width="8.7109375" style="39" customWidth="1"/>
    <col min="3084" max="3084" width="12.85546875" style="39" customWidth="1"/>
    <col min="3085" max="3085" width="8.140625" style="39" customWidth="1"/>
    <col min="3086" max="3086" width="10.85546875" style="39" customWidth="1"/>
    <col min="3087" max="3087" width="9.85546875" style="39" customWidth="1"/>
    <col min="3088" max="3326" width="12.5703125" style="39"/>
    <col min="3327" max="3327" width="50.7109375" style="39" customWidth="1"/>
    <col min="3328" max="3328" width="12" style="39" customWidth="1"/>
    <col min="3329" max="3329" width="9.140625" style="39" customWidth="1"/>
    <col min="3330" max="3330" width="11.42578125" style="39" customWidth="1"/>
    <col min="3331" max="3331" width="9.140625" style="39" customWidth="1"/>
    <col min="3332" max="3332" width="12" style="39" customWidth="1"/>
    <col min="3333" max="3333" width="9.140625" style="39" customWidth="1"/>
    <col min="3334" max="3334" width="13.85546875" style="39" customWidth="1"/>
    <col min="3335" max="3335" width="9.140625" style="39" customWidth="1"/>
    <col min="3336" max="3336" width="12.85546875" style="39" customWidth="1"/>
    <col min="3337" max="3337" width="9.140625" style="39" customWidth="1"/>
    <col min="3338" max="3338" width="10" style="39" customWidth="1"/>
    <col min="3339" max="3339" width="8.7109375" style="39" customWidth="1"/>
    <col min="3340" max="3340" width="12.85546875" style="39" customWidth="1"/>
    <col min="3341" max="3341" width="8.140625" style="39" customWidth="1"/>
    <col min="3342" max="3342" width="10.85546875" style="39" customWidth="1"/>
    <col min="3343" max="3343" width="9.85546875" style="39" customWidth="1"/>
    <col min="3344" max="3582" width="12.5703125" style="39"/>
    <col min="3583" max="3583" width="50.7109375" style="39" customWidth="1"/>
    <col min="3584" max="3584" width="12" style="39" customWidth="1"/>
    <col min="3585" max="3585" width="9.140625" style="39" customWidth="1"/>
    <col min="3586" max="3586" width="11.42578125" style="39" customWidth="1"/>
    <col min="3587" max="3587" width="9.140625" style="39" customWidth="1"/>
    <col min="3588" max="3588" width="12" style="39" customWidth="1"/>
    <col min="3589" max="3589" width="9.140625" style="39" customWidth="1"/>
    <col min="3590" max="3590" width="13.85546875" style="39" customWidth="1"/>
    <col min="3591" max="3591" width="9.140625" style="39" customWidth="1"/>
    <col min="3592" max="3592" width="12.85546875" style="39" customWidth="1"/>
    <col min="3593" max="3593" width="9.140625" style="39" customWidth="1"/>
    <col min="3594" max="3594" width="10" style="39" customWidth="1"/>
    <col min="3595" max="3595" width="8.7109375" style="39" customWidth="1"/>
    <col min="3596" max="3596" width="12.85546875" style="39" customWidth="1"/>
    <col min="3597" max="3597" width="8.140625" style="39" customWidth="1"/>
    <col min="3598" max="3598" width="10.85546875" style="39" customWidth="1"/>
    <col min="3599" max="3599" width="9.85546875" style="39" customWidth="1"/>
    <col min="3600" max="3838" width="12.5703125" style="39"/>
    <col min="3839" max="3839" width="50.7109375" style="39" customWidth="1"/>
    <col min="3840" max="3840" width="12" style="39" customWidth="1"/>
    <col min="3841" max="3841" width="9.140625" style="39" customWidth="1"/>
    <col min="3842" max="3842" width="11.42578125" style="39" customWidth="1"/>
    <col min="3843" max="3843" width="9.140625" style="39" customWidth="1"/>
    <col min="3844" max="3844" width="12" style="39" customWidth="1"/>
    <col min="3845" max="3845" width="9.140625" style="39" customWidth="1"/>
    <col min="3846" max="3846" width="13.85546875" style="39" customWidth="1"/>
    <col min="3847" max="3847" width="9.140625" style="39" customWidth="1"/>
    <col min="3848" max="3848" width="12.85546875" style="39" customWidth="1"/>
    <col min="3849" max="3849" width="9.140625" style="39" customWidth="1"/>
    <col min="3850" max="3850" width="10" style="39" customWidth="1"/>
    <col min="3851" max="3851" width="8.7109375" style="39" customWidth="1"/>
    <col min="3852" max="3852" width="12.85546875" style="39" customWidth="1"/>
    <col min="3853" max="3853" width="8.140625" style="39" customWidth="1"/>
    <col min="3854" max="3854" width="10.85546875" style="39" customWidth="1"/>
    <col min="3855" max="3855" width="9.85546875" style="39" customWidth="1"/>
    <col min="3856" max="4094" width="12.5703125" style="39"/>
    <col min="4095" max="4095" width="50.7109375" style="39" customWidth="1"/>
    <col min="4096" max="4096" width="12" style="39" customWidth="1"/>
    <col min="4097" max="4097" width="9.140625" style="39" customWidth="1"/>
    <col min="4098" max="4098" width="11.42578125" style="39" customWidth="1"/>
    <col min="4099" max="4099" width="9.140625" style="39" customWidth="1"/>
    <col min="4100" max="4100" width="12" style="39" customWidth="1"/>
    <col min="4101" max="4101" width="9.140625" style="39" customWidth="1"/>
    <col min="4102" max="4102" width="13.85546875" style="39" customWidth="1"/>
    <col min="4103" max="4103" width="9.140625" style="39" customWidth="1"/>
    <col min="4104" max="4104" width="12.85546875" style="39" customWidth="1"/>
    <col min="4105" max="4105" width="9.140625" style="39" customWidth="1"/>
    <col min="4106" max="4106" width="10" style="39" customWidth="1"/>
    <col min="4107" max="4107" width="8.7109375" style="39" customWidth="1"/>
    <col min="4108" max="4108" width="12.85546875" style="39" customWidth="1"/>
    <col min="4109" max="4109" width="8.140625" style="39" customWidth="1"/>
    <col min="4110" max="4110" width="10.85546875" style="39" customWidth="1"/>
    <col min="4111" max="4111" width="9.85546875" style="39" customWidth="1"/>
    <col min="4112" max="4350" width="12.5703125" style="39"/>
    <col min="4351" max="4351" width="50.7109375" style="39" customWidth="1"/>
    <col min="4352" max="4352" width="12" style="39" customWidth="1"/>
    <col min="4353" max="4353" width="9.140625" style="39" customWidth="1"/>
    <col min="4354" max="4354" width="11.42578125" style="39" customWidth="1"/>
    <col min="4355" max="4355" width="9.140625" style="39" customWidth="1"/>
    <col min="4356" max="4356" width="12" style="39" customWidth="1"/>
    <col min="4357" max="4357" width="9.140625" style="39" customWidth="1"/>
    <col min="4358" max="4358" width="13.85546875" style="39" customWidth="1"/>
    <col min="4359" max="4359" width="9.140625" style="39" customWidth="1"/>
    <col min="4360" max="4360" width="12.85546875" style="39" customWidth="1"/>
    <col min="4361" max="4361" width="9.140625" style="39" customWidth="1"/>
    <col min="4362" max="4362" width="10" style="39" customWidth="1"/>
    <col min="4363" max="4363" width="8.7109375" style="39" customWidth="1"/>
    <col min="4364" max="4364" width="12.85546875" style="39" customWidth="1"/>
    <col min="4365" max="4365" width="8.140625" style="39" customWidth="1"/>
    <col min="4366" max="4366" width="10.85546875" style="39" customWidth="1"/>
    <col min="4367" max="4367" width="9.85546875" style="39" customWidth="1"/>
    <col min="4368" max="4606" width="12.5703125" style="39"/>
    <col min="4607" max="4607" width="50.7109375" style="39" customWidth="1"/>
    <col min="4608" max="4608" width="12" style="39" customWidth="1"/>
    <col min="4609" max="4609" width="9.140625" style="39" customWidth="1"/>
    <col min="4610" max="4610" width="11.42578125" style="39" customWidth="1"/>
    <col min="4611" max="4611" width="9.140625" style="39" customWidth="1"/>
    <col min="4612" max="4612" width="12" style="39" customWidth="1"/>
    <col min="4613" max="4613" width="9.140625" style="39" customWidth="1"/>
    <col min="4614" max="4614" width="13.85546875" style="39" customWidth="1"/>
    <col min="4615" max="4615" width="9.140625" style="39" customWidth="1"/>
    <col min="4616" max="4616" width="12.85546875" style="39" customWidth="1"/>
    <col min="4617" max="4617" width="9.140625" style="39" customWidth="1"/>
    <col min="4618" max="4618" width="10" style="39" customWidth="1"/>
    <col min="4619" max="4619" width="8.7109375" style="39" customWidth="1"/>
    <col min="4620" max="4620" width="12.85546875" style="39" customWidth="1"/>
    <col min="4621" max="4621" width="8.140625" style="39" customWidth="1"/>
    <col min="4622" max="4622" width="10.85546875" style="39" customWidth="1"/>
    <col min="4623" max="4623" width="9.85546875" style="39" customWidth="1"/>
    <col min="4624" max="4862" width="12.5703125" style="39"/>
    <col min="4863" max="4863" width="50.7109375" style="39" customWidth="1"/>
    <col min="4864" max="4864" width="12" style="39" customWidth="1"/>
    <col min="4865" max="4865" width="9.140625" style="39" customWidth="1"/>
    <col min="4866" max="4866" width="11.42578125" style="39" customWidth="1"/>
    <col min="4867" max="4867" width="9.140625" style="39" customWidth="1"/>
    <col min="4868" max="4868" width="12" style="39" customWidth="1"/>
    <col min="4869" max="4869" width="9.140625" style="39" customWidth="1"/>
    <col min="4870" max="4870" width="13.85546875" style="39" customWidth="1"/>
    <col min="4871" max="4871" width="9.140625" style="39" customWidth="1"/>
    <col min="4872" max="4872" width="12.85546875" style="39" customWidth="1"/>
    <col min="4873" max="4873" width="9.140625" style="39" customWidth="1"/>
    <col min="4874" max="4874" width="10" style="39" customWidth="1"/>
    <col min="4875" max="4875" width="8.7109375" style="39" customWidth="1"/>
    <col min="4876" max="4876" width="12.85546875" style="39" customWidth="1"/>
    <col min="4877" max="4877" width="8.140625" style="39" customWidth="1"/>
    <col min="4878" max="4878" width="10.85546875" style="39" customWidth="1"/>
    <col min="4879" max="4879" width="9.85546875" style="39" customWidth="1"/>
    <col min="4880" max="5118" width="12.5703125" style="39"/>
    <col min="5119" max="5119" width="50.7109375" style="39" customWidth="1"/>
    <col min="5120" max="5120" width="12" style="39" customWidth="1"/>
    <col min="5121" max="5121" width="9.140625" style="39" customWidth="1"/>
    <col min="5122" max="5122" width="11.42578125" style="39" customWidth="1"/>
    <col min="5123" max="5123" width="9.140625" style="39" customWidth="1"/>
    <col min="5124" max="5124" width="12" style="39" customWidth="1"/>
    <col min="5125" max="5125" width="9.140625" style="39" customWidth="1"/>
    <col min="5126" max="5126" width="13.85546875" style="39" customWidth="1"/>
    <col min="5127" max="5127" width="9.140625" style="39" customWidth="1"/>
    <col min="5128" max="5128" width="12.85546875" style="39" customWidth="1"/>
    <col min="5129" max="5129" width="9.140625" style="39" customWidth="1"/>
    <col min="5130" max="5130" width="10" style="39" customWidth="1"/>
    <col min="5131" max="5131" width="8.7109375" style="39" customWidth="1"/>
    <col min="5132" max="5132" width="12.85546875" style="39" customWidth="1"/>
    <col min="5133" max="5133" width="8.140625" style="39" customWidth="1"/>
    <col min="5134" max="5134" width="10.85546875" style="39" customWidth="1"/>
    <col min="5135" max="5135" width="9.85546875" style="39" customWidth="1"/>
    <col min="5136" max="5374" width="12.5703125" style="39"/>
    <col min="5375" max="5375" width="50.7109375" style="39" customWidth="1"/>
    <col min="5376" max="5376" width="12" style="39" customWidth="1"/>
    <col min="5377" max="5377" width="9.140625" style="39" customWidth="1"/>
    <col min="5378" max="5378" width="11.42578125" style="39" customWidth="1"/>
    <col min="5379" max="5379" width="9.140625" style="39" customWidth="1"/>
    <col min="5380" max="5380" width="12" style="39" customWidth="1"/>
    <col min="5381" max="5381" width="9.140625" style="39" customWidth="1"/>
    <col min="5382" max="5382" width="13.85546875" style="39" customWidth="1"/>
    <col min="5383" max="5383" width="9.140625" style="39" customWidth="1"/>
    <col min="5384" max="5384" width="12.85546875" style="39" customWidth="1"/>
    <col min="5385" max="5385" width="9.140625" style="39" customWidth="1"/>
    <col min="5386" max="5386" width="10" style="39" customWidth="1"/>
    <col min="5387" max="5387" width="8.7109375" style="39" customWidth="1"/>
    <col min="5388" max="5388" width="12.85546875" style="39" customWidth="1"/>
    <col min="5389" max="5389" width="8.140625" style="39" customWidth="1"/>
    <col min="5390" max="5390" width="10.85546875" style="39" customWidth="1"/>
    <col min="5391" max="5391" width="9.85546875" style="39" customWidth="1"/>
    <col min="5392" max="5630" width="12.5703125" style="39"/>
    <col min="5631" max="5631" width="50.7109375" style="39" customWidth="1"/>
    <col min="5632" max="5632" width="12" style="39" customWidth="1"/>
    <col min="5633" max="5633" width="9.140625" style="39" customWidth="1"/>
    <col min="5634" max="5634" width="11.42578125" style="39" customWidth="1"/>
    <col min="5635" max="5635" width="9.140625" style="39" customWidth="1"/>
    <col min="5636" max="5636" width="12" style="39" customWidth="1"/>
    <col min="5637" max="5637" width="9.140625" style="39" customWidth="1"/>
    <col min="5638" max="5638" width="13.85546875" style="39" customWidth="1"/>
    <col min="5639" max="5639" width="9.140625" style="39" customWidth="1"/>
    <col min="5640" max="5640" width="12.85546875" style="39" customWidth="1"/>
    <col min="5641" max="5641" width="9.140625" style="39" customWidth="1"/>
    <col min="5642" max="5642" width="10" style="39" customWidth="1"/>
    <col min="5643" max="5643" width="8.7109375" style="39" customWidth="1"/>
    <col min="5644" max="5644" width="12.85546875" style="39" customWidth="1"/>
    <col min="5645" max="5645" width="8.140625" style="39" customWidth="1"/>
    <col min="5646" max="5646" width="10.85546875" style="39" customWidth="1"/>
    <col min="5647" max="5647" width="9.85546875" style="39" customWidth="1"/>
    <col min="5648" max="5886" width="12.5703125" style="39"/>
    <col min="5887" max="5887" width="50.7109375" style="39" customWidth="1"/>
    <col min="5888" max="5888" width="12" style="39" customWidth="1"/>
    <col min="5889" max="5889" width="9.140625" style="39" customWidth="1"/>
    <col min="5890" max="5890" width="11.42578125" style="39" customWidth="1"/>
    <col min="5891" max="5891" width="9.140625" style="39" customWidth="1"/>
    <col min="5892" max="5892" width="12" style="39" customWidth="1"/>
    <col min="5893" max="5893" width="9.140625" style="39" customWidth="1"/>
    <col min="5894" max="5894" width="13.85546875" style="39" customWidth="1"/>
    <col min="5895" max="5895" width="9.140625" style="39" customWidth="1"/>
    <col min="5896" max="5896" width="12.85546875" style="39" customWidth="1"/>
    <col min="5897" max="5897" width="9.140625" style="39" customWidth="1"/>
    <col min="5898" max="5898" width="10" style="39" customWidth="1"/>
    <col min="5899" max="5899" width="8.7109375" style="39" customWidth="1"/>
    <col min="5900" max="5900" width="12.85546875" style="39" customWidth="1"/>
    <col min="5901" max="5901" width="8.140625" style="39" customWidth="1"/>
    <col min="5902" max="5902" width="10.85546875" style="39" customWidth="1"/>
    <col min="5903" max="5903" width="9.85546875" style="39" customWidth="1"/>
    <col min="5904" max="6142" width="12.5703125" style="39"/>
    <col min="6143" max="6143" width="50.7109375" style="39" customWidth="1"/>
    <col min="6144" max="6144" width="12" style="39" customWidth="1"/>
    <col min="6145" max="6145" width="9.140625" style="39" customWidth="1"/>
    <col min="6146" max="6146" width="11.42578125" style="39" customWidth="1"/>
    <col min="6147" max="6147" width="9.140625" style="39" customWidth="1"/>
    <col min="6148" max="6148" width="12" style="39" customWidth="1"/>
    <col min="6149" max="6149" width="9.140625" style="39" customWidth="1"/>
    <col min="6150" max="6150" width="13.85546875" style="39" customWidth="1"/>
    <col min="6151" max="6151" width="9.140625" style="39" customWidth="1"/>
    <col min="6152" max="6152" width="12.85546875" style="39" customWidth="1"/>
    <col min="6153" max="6153" width="9.140625" style="39" customWidth="1"/>
    <col min="6154" max="6154" width="10" style="39" customWidth="1"/>
    <col min="6155" max="6155" width="8.7109375" style="39" customWidth="1"/>
    <col min="6156" max="6156" width="12.85546875" style="39" customWidth="1"/>
    <col min="6157" max="6157" width="8.140625" style="39" customWidth="1"/>
    <col min="6158" max="6158" width="10.85546875" style="39" customWidth="1"/>
    <col min="6159" max="6159" width="9.85546875" style="39" customWidth="1"/>
    <col min="6160" max="6398" width="12.5703125" style="39"/>
    <col min="6399" max="6399" width="50.7109375" style="39" customWidth="1"/>
    <col min="6400" max="6400" width="12" style="39" customWidth="1"/>
    <col min="6401" max="6401" width="9.140625" style="39" customWidth="1"/>
    <col min="6402" max="6402" width="11.42578125" style="39" customWidth="1"/>
    <col min="6403" max="6403" width="9.140625" style="39" customWidth="1"/>
    <col min="6404" max="6404" width="12" style="39" customWidth="1"/>
    <col min="6405" max="6405" width="9.140625" style="39" customWidth="1"/>
    <col min="6406" max="6406" width="13.85546875" style="39" customWidth="1"/>
    <col min="6407" max="6407" width="9.140625" style="39" customWidth="1"/>
    <col min="6408" max="6408" width="12.85546875" style="39" customWidth="1"/>
    <col min="6409" max="6409" width="9.140625" style="39" customWidth="1"/>
    <col min="6410" max="6410" width="10" style="39" customWidth="1"/>
    <col min="6411" max="6411" width="8.7109375" style="39" customWidth="1"/>
    <col min="6412" max="6412" width="12.85546875" style="39" customWidth="1"/>
    <col min="6413" max="6413" width="8.140625" style="39" customWidth="1"/>
    <col min="6414" max="6414" width="10.85546875" style="39" customWidth="1"/>
    <col min="6415" max="6415" width="9.85546875" style="39" customWidth="1"/>
    <col min="6416" max="6654" width="12.5703125" style="39"/>
    <col min="6655" max="6655" width="50.7109375" style="39" customWidth="1"/>
    <col min="6656" max="6656" width="12" style="39" customWidth="1"/>
    <col min="6657" max="6657" width="9.140625" style="39" customWidth="1"/>
    <col min="6658" max="6658" width="11.42578125" style="39" customWidth="1"/>
    <col min="6659" max="6659" width="9.140625" style="39" customWidth="1"/>
    <col min="6660" max="6660" width="12" style="39" customWidth="1"/>
    <col min="6661" max="6661" width="9.140625" style="39" customWidth="1"/>
    <col min="6662" max="6662" width="13.85546875" style="39" customWidth="1"/>
    <col min="6663" max="6663" width="9.140625" style="39" customWidth="1"/>
    <col min="6664" max="6664" width="12.85546875" style="39" customWidth="1"/>
    <col min="6665" max="6665" width="9.140625" style="39" customWidth="1"/>
    <col min="6666" max="6666" width="10" style="39" customWidth="1"/>
    <col min="6667" max="6667" width="8.7109375" style="39" customWidth="1"/>
    <col min="6668" max="6668" width="12.85546875" style="39" customWidth="1"/>
    <col min="6669" max="6669" width="8.140625" style="39" customWidth="1"/>
    <col min="6670" max="6670" width="10.85546875" style="39" customWidth="1"/>
    <col min="6671" max="6671" width="9.85546875" style="39" customWidth="1"/>
    <col min="6672" max="6910" width="12.5703125" style="39"/>
    <col min="6911" max="6911" width="50.7109375" style="39" customWidth="1"/>
    <col min="6912" max="6912" width="12" style="39" customWidth="1"/>
    <col min="6913" max="6913" width="9.140625" style="39" customWidth="1"/>
    <col min="6914" max="6914" width="11.42578125" style="39" customWidth="1"/>
    <col min="6915" max="6915" width="9.140625" style="39" customWidth="1"/>
    <col min="6916" max="6916" width="12" style="39" customWidth="1"/>
    <col min="6917" max="6917" width="9.140625" style="39" customWidth="1"/>
    <col min="6918" max="6918" width="13.85546875" style="39" customWidth="1"/>
    <col min="6919" max="6919" width="9.140625" style="39" customWidth="1"/>
    <col min="6920" max="6920" width="12.85546875" style="39" customWidth="1"/>
    <col min="6921" max="6921" width="9.140625" style="39" customWidth="1"/>
    <col min="6922" max="6922" width="10" style="39" customWidth="1"/>
    <col min="6923" max="6923" width="8.7109375" style="39" customWidth="1"/>
    <col min="6924" max="6924" width="12.85546875" style="39" customWidth="1"/>
    <col min="6925" max="6925" width="8.140625" style="39" customWidth="1"/>
    <col min="6926" max="6926" width="10.85546875" style="39" customWidth="1"/>
    <col min="6927" max="6927" width="9.85546875" style="39" customWidth="1"/>
    <col min="6928" max="7166" width="12.5703125" style="39"/>
    <col min="7167" max="7167" width="50.7109375" style="39" customWidth="1"/>
    <col min="7168" max="7168" width="12" style="39" customWidth="1"/>
    <col min="7169" max="7169" width="9.140625" style="39" customWidth="1"/>
    <col min="7170" max="7170" width="11.42578125" style="39" customWidth="1"/>
    <col min="7171" max="7171" width="9.140625" style="39" customWidth="1"/>
    <col min="7172" max="7172" width="12" style="39" customWidth="1"/>
    <col min="7173" max="7173" width="9.140625" style="39" customWidth="1"/>
    <col min="7174" max="7174" width="13.85546875" style="39" customWidth="1"/>
    <col min="7175" max="7175" width="9.140625" style="39" customWidth="1"/>
    <col min="7176" max="7176" width="12.85546875" style="39" customWidth="1"/>
    <col min="7177" max="7177" width="9.140625" style="39" customWidth="1"/>
    <col min="7178" max="7178" width="10" style="39" customWidth="1"/>
    <col min="7179" max="7179" width="8.7109375" style="39" customWidth="1"/>
    <col min="7180" max="7180" width="12.85546875" style="39" customWidth="1"/>
    <col min="7181" max="7181" width="8.140625" style="39" customWidth="1"/>
    <col min="7182" max="7182" width="10.85546875" style="39" customWidth="1"/>
    <col min="7183" max="7183" width="9.85546875" style="39" customWidth="1"/>
    <col min="7184" max="7422" width="12.5703125" style="39"/>
    <col min="7423" max="7423" width="50.7109375" style="39" customWidth="1"/>
    <col min="7424" max="7424" width="12" style="39" customWidth="1"/>
    <col min="7425" max="7425" width="9.140625" style="39" customWidth="1"/>
    <col min="7426" max="7426" width="11.42578125" style="39" customWidth="1"/>
    <col min="7427" max="7427" width="9.140625" style="39" customWidth="1"/>
    <col min="7428" max="7428" width="12" style="39" customWidth="1"/>
    <col min="7429" max="7429" width="9.140625" style="39" customWidth="1"/>
    <col min="7430" max="7430" width="13.85546875" style="39" customWidth="1"/>
    <col min="7431" max="7431" width="9.140625" style="39" customWidth="1"/>
    <col min="7432" max="7432" width="12.85546875" style="39" customWidth="1"/>
    <col min="7433" max="7433" width="9.140625" style="39" customWidth="1"/>
    <col min="7434" max="7434" width="10" style="39" customWidth="1"/>
    <col min="7435" max="7435" width="8.7109375" style="39" customWidth="1"/>
    <col min="7436" max="7436" width="12.85546875" style="39" customWidth="1"/>
    <col min="7437" max="7437" width="8.140625" style="39" customWidth="1"/>
    <col min="7438" max="7438" width="10.85546875" style="39" customWidth="1"/>
    <col min="7439" max="7439" width="9.85546875" style="39" customWidth="1"/>
    <col min="7440" max="7678" width="12.5703125" style="39"/>
    <col min="7679" max="7679" width="50.7109375" style="39" customWidth="1"/>
    <col min="7680" max="7680" width="12" style="39" customWidth="1"/>
    <col min="7681" max="7681" width="9.140625" style="39" customWidth="1"/>
    <col min="7682" max="7682" width="11.42578125" style="39" customWidth="1"/>
    <col min="7683" max="7683" width="9.140625" style="39" customWidth="1"/>
    <col min="7684" max="7684" width="12" style="39" customWidth="1"/>
    <col min="7685" max="7685" width="9.140625" style="39" customWidth="1"/>
    <col min="7686" max="7686" width="13.85546875" style="39" customWidth="1"/>
    <col min="7687" max="7687" width="9.140625" style="39" customWidth="1"/>
    <col min="7688" max="7688" width="12.85546875" style="39" customWidth="1"/>
    <col min="7689" max="7689" width="9.140625" style="39" customWidth="1"/>
    <col min="7690" max="7690" width="10" style="39" customWidth="1"/>
    <col min="7691" max="7691" width="8.7109375" style="39" customWidth="1"/>
    <col min="7692" max="7692" width="12.85546875" style="39" customWidth="1"/>
    <col min="7693" max="7693" width="8.140625" style="39" customWidth="1"/>
    <col min="7694" max="7694" width="10.85546875" style="39" customWidth="1"/>
    <col min="7695" max="7695" width="9.85546875" style="39" customWidth="1"/>
    <col min="7696" max="7934" width="12.5703125" style="39"/>
    <col min="7935" max="7935" width="50.7109375" style="39" customWidth="1"/>
    <col min="7936" max="7936" width="12" style="39" customWidth="1"/>
    <col min="7937" max="7937" width="9.140625" style="39" customWidth="1"/>
    <col min="7938" max="7938" width="11.42578125" style="39" customWidth="1"/>
    <col min="7939" max="7939" width="9.140625" style="39" customWidth="1"/>
    <col min="7940" max="7940" width="12" style="39" customWidth="1"/>
    <col min="7941" max="7941" width="9.140625" style="39" customWidth="1"/>
    <col min="7942" max="7942" width="13.85546875" style="39" customWidth="1"/>
    <col min="7943" max="7943" width="9.140625" style="39" customWidth="1"/>
    <col min="7944" max="7944" width="12.85546875" style="39" customWidth="1"/>
    <col min="7945" max="7945" width="9.140625" style="39" customWidth="1"/>
    <col min="7946" max="7946" width="10" style="39" customWidth="1"/>
    <col min="7947" max="7947" width="8.7109375" style="39" customWidth="1"/>
    <col min="7948" max="7948" width="12.85546875" style="39" customWidth="1"/>
    <col min="7949" max="7949" width="8.140625" style="39" customWidth="1"/>
    <col min="7950" max="7950" width="10.85546875" style="39" customWidth="1"/>
    <col min="7951" max="7951" width="9.85546875" style="39" customWidth="1"/>
    <col min="7952" max="8190" width="12.5703125" style="39"/>
    <col min="8191" max="8191" width="50.7109375" style="39" customWidth="1"/>
    <col min="8192" max="8192" width="12" style="39" customWidth="1"/>
    <col min="8193" max="8193" width="9.140625" style="39" customWidth="1"/>
    <col min="8194" max="8194" width="11.42578125" style="39" customWidth="1"/>
    <col min="8195" max="8195" width="9.140625" style="39" customWidth="1"/>
    <col min="8196" max="8196" width="12" style="39" customWidth="1"/>
    <col min="8197" max="8197" width="9.140625" style="39" customWidth="1"/>
    <col min="8198" max="8198" width="13.85546875" style="39" customWidth="1"/>
    <col min="8199" max="8199" width="9.140625" style="39" customWidth="1"/>
    <col min="8200" max="8200" width="12.85546875" style="39" customWidth="1"/>
    <col min="8201" max="8201" width="9.140625" style="39" customWidth="1"/>
    <col min="8202" max="8202" width="10" style="39" customWidth="1"/>
    <col min="8203" max="8203" width="8.7109375" style="39" customWidth="1"/>
    <col min="8204" max="8204" width="12.85546875" style="39" customWidth="1"/>
    <col min="8205" max="8205" width="8.140625" style="39" customWidth="1"/>
    <col min="8206" max="8206" width="10.85546875" style="39" customWidth="1"/>
    <col min="8207" max="8207" width="9.85546875" style="39" customWidth="1"/>
    <col min="8208" max="8446" width="12.5703125" style="39"/>
    <col min="8447" max="8447" width="50.7109375" style="39" customWidth="1"/>
    <col min="8448" max="8448" width="12" style="39" customWidth="1"/>
    <col min="8449" max="8449" width="9.140625" style="39" customWidth="1"/>
    <col min="8450" max="8450" width="11.42578125" style="39" customWidth="1"/>
    <col min="8451" max="8451" width="9.140625" style="39" customWidth="1"/>
    <col min="8452" max="8452" width="12" style="39" customWidth="1"/>
    <col min="8453" max="8453" width="9.140625" style="39" customWidth="1"/>
    <col min="8454" max="8454" width="13.85546875" style="39" customWidth="1"/>
    <col min="8455" max="8455" width="9.140625" style="39" customWidth="1"/>
    <col min="8456" max="8456" width="12.85546875" style="39" customWidth="1"/>
    <col min="8457" max="8457" width="9.140625" style="39" customWidth="1"/>
    <col min="8458" max="8458" width="10" style="39" customWidth="1"/>
    <col min="8459" max="8459" width="8.7109375" style="39" customWidth="1"/>
    <col min="8460" max="8460" width="12.85546875" style="39" customWidth="1"/>
    <col min="8461" max="8461" width="8.140625" style="39" customWidth="1"/>
    <col min="8462" max="8462" width="10.85546875" style="39" customWidth="1"/>
    <col min="8463" max="8463" width="9.85546875" style="39" customWidth="1"/>
    <col min="8464" max="8702" width="12.5703125" style="39"/>
    <col min="8703" max="8703" width="50.7109375" style="39" customWidth="1"/>
    <col min="8704" max="8704" width="12" style="39" customWidth="1"/>
    <col min="8705" max="8705" width="9.140625" style="39" customWidth="1"/>
    <col min="8706" max="8706" width="11.42578125" style="39" customWidth="1"/>
    <col min="8707" max="8707" width="9.140625" style="39" customWidth="1"/>
    <col min="8708" max="8708" width="12" style="39" customWidth="1"/>
    <col min="8709" max="8709" width="9.140625" style="39" customWidth="1"/>
    <col min="8710" max="8710" width="13.85546875" style="39" customWidth="1"/>
    <col min="8711" max="8711" width="9.140625" style="39" customWidth="1"/>
    <col min="8712" max="8712" width="12.85546875" style="39" customWidth="1"/>
    <col min="8713" max="8713" width="9.140625" style="39" customWidth="1"/>
    <col min="8714" max="8714" width="10" style="39" customWidth="1"/>
    <col min="8715" max="8715" width="8.7109375" style="39" customWidth="1"/>
    <col min="8716" max="8716" width="12.85546875" style="39" customWidth="1"/>
    <col min="8717" max="8717" width="8.140625" style="39" customWidth="1"/>
    <col min="8718" max="8718" width="10.85546875" style="39" customWidth="1"/>
    <col min="8719" max="8719" width="9.85546875" style="39" customWidth="1"/>
    <col min="8720" max="8958" width="12.5703125" style="39"/>
    <col min="8959" max="8959" width="50.7109375" style="39" customWidth="1"/>
    <col min="8960" max="8960" width="12" style="39" customWidth="1"/>
    <col min="8961" max="8961" width="9.140625" style="39" customWidth="1"/>
    <col min="8962" max="8962" width="11.42578125" style="39" customWidth="1"/>
    <col min="8963" max="8963" width="9.140625" style="39" customWidth="1"/>
    <col min="8964" max="8964" width="12" style="39" customWidth="1"/>
    <col min="8965" max="8965" width="9.140625" style="39" customWidth="1"/>
    <col min="8966" max="8966" width="13.85546875" style="39" customWidth="1"/>
    <col min="8967" max="8967" width="9.140625" style="39" customWidth="1"/>
    <col min="8968" max="8968" width="12.85546875" style="39" customWidth="1"/>
    <col min="8969" max="8969" width="9.140625" style="39" customWidth="1"/>
    <col min="8970" max="8970" width="10" style="39" customWidth="1"/>
    <col min="8971" max="8971" width="8.7109375" style="39" customWidth="1"/>
    <col min="8972" max="8972" width="12.85546875" style="39" customWidth="1"/>
    <col min="8973" max="8973" width="8.140625" style="39" customWidth="1"/>
    <col min="8974" max="8974" width="10.85546875" style="39" customWidth="1"/>
    <col min="8975" max="8975" width="9.85546875" style="39" customWidth="1"/>
    <col min="8976" max="9214" width="12.5703125" style="39"/>
    <col min="9215" max="9215" width="50.7109375" style="39" customWidth="1"/>
    <col min="9216" max="9216" width="12" style="39" customWidth="1"/>
    <col min="9217" max="9217" width="9.140625" style="39" customWidth="1"/>
    <col min="9218" max="9218" width="11.42578125" style="39" customWidth="1"/>
    <col min="9219" max="9219" width="9.140625" style="39" customWidth="1"/>
    <col min="9220" max="9220" width="12" style="39" customWidth="1"/>
    <col min="9221" max="9221" width="9.140625" style="39" customWidth="1"/>
    <col min="9222" max="9222" width="13.85546875" style="39" customWidth="1"/>
    <col min="9223" max="9223" width="9.140625" style="39" customWidth="1"/>
    <col min="9224" max="9224" width="12.85546875" style="39" customWidth="1"/>
    <col min="9225" max="9225" width="9.140625" style="39" customWidth="1"/>
    <col min="9226" max="9226" width="10" style="39" customWidth="1"/>
    <col min="9227" max="9227" width="8.7109375" style="39" customWidth="1"/>
    <col min="9228" max="9228" width="12.85546875" style="39" customWidth="1"/>
    <col min="9229" max="9229" width="8.140625" style="39" customWidth="1"/>
    <col min="9230" max="9230" width="10.85546875" style="39" customWidth="1"/>
    <col min="9231" max="9231" width="9.85546875" style="39" customWidth="1"/>
    <col min="9232" max="9470" width="12.5703125" style="39"/>
    <col min="9471" max="9471" width="50.7109375" style="39" customWidth="1"/>
    <col min="9472" max="9472" width="12" style="39" customWidth="1"/>
    <col min="9473" max="9473" width="9.140625" style="39" customWidth="1"/>
    <col min="9474" max="9474" width="11.42578125" style="39" customWidth="1"/>
    <col min="9475" max="9475" width="9.140625" style="39" customWidth="1"/>
    <col min="9476" max="9476" width="12" style="39" customWidth="1"/>
    <col min="9477" max="9477" width="9.140625" style="39" customWidth="1"/>
    <col min="9478" max="9478" width="13.85546875" style="39" customWidth="1"/>
    <col min="9479" max="9479" width="9.140625" style="39" customWidth="1"/>
    <col min="9480" max="9480" width="12.85546875" style="39" customWidth="1"/>
    <col min="9481" max="9481" width="9.140625" style="39" customWidth="1"/>
    <col min="9482" max="9482" width="10" style="39" customWidth="1"/>
    <col min="9483" max="9483" width="8.7109375" style="39" customWidth="1"/>
    <col min="9484" max="9484" width="12.85546875" style="39" customWidth="1"/>
    <col min="9485" max="9485" width="8.140625" style="39" customWidth="1"/>
    <col min="9486" max="9486" width="10.85546875" style="39" customWidth="1"/>
    <col min="9487" max="9487" width="9.85546875" style="39" customWidth="1"/>
    <col min="9488" max="9726" width="12.5703125" style="39"/>
    <col min="9727" max="9727" width="50.7109375" style="39" customWidth="1"/>
    <col min="9728" max="9728" width="12" style="39" customWidth="1"/>
    <col min="9729" max="9729" width="9.140625" style="39" customWidth="1"/>
    <col min="9730" max="9730" width="11.42578125" style="39" customWidth="1"/>
    <col min="9731" max="9731" width="9.140625" style="39" customWidth="1"/>
    <col min="9732" max="9732" width="12" style="39" customWidth="1"/>
    <col min="9733" max="9733" width="9.140625" style="39" customWidth="1"/>
    <col min="9734" max="9734" width="13.85546875" style="39" customWidth="1"/>
    <col min="9735" max="9735" width="9.140625" style="39" customWidth="1"/>
    <col min="9736" max="9736" width="12.85546875" style="39" customWidth="1"/>
    <col min="9737" max="9737" width="9.140625" style="39" customWidth="1"/>
    <col min="9738" max="9738" width="10" style="39" customWidth="1"/>
    <col min="9739" max="9739" width="8.7109375" style="39" customWidth="1"/>
    <col min="9740" max="9740" width="12.85546875" style="39" customWidth="1"/>
    <col min="9741" max="9741" width="8.140625" style="39" customWidth="1"/>
    <col min="9742" max="9742" width="10.85546875" style="39" customWidth="1"/>
    <col min="9743" max="9743" width="9.85546875" style="39" customWidth="1"/>
    <col min="9744" max="9982" width="12.5703125" style="39"/>
    <col min="9983" max="9983" width="50.7109375" style="39" customWidth="1"/>
    <col min="9984" max="9984" width="12" style="39" customWidth="1"/>
    <col min="9985" max="9985" width="9.140625" style="39" customWidth="1"/>
    <col min="9986" max="9986" width="11.42578125" style="39" customWidth="1"/>
    <col min="9987" max="9987" width="9.140625" style="39" customWidth="1"/>
    <col min="9988" max="9988" width="12" style="39" customWidth="1"/>
    <col min="9989" max="9989" width="9.140625" style="39" customWidth="1"/>
    <col min="9990" max="9990" width="13.85546875" style="39" customWidth="1"/>
    <col min="9991" max="9991" width="9.140625" style="39" customWidth="1"/>
    <col min="9992" max="9992" width="12.85546875" style="39" customWidth="1"/>
    <col min="9993" max="9993" width="9.140625" style="39" customWidth="1"/>
    <col min="9994" max="9994" width="10" style="39" customWidth="1"/>
    <col min="9995" max="9995" width="8.7109375" style="39" customWidth="1"/>
    <col min="9996" max="9996" width="12.85546875" style="39" customWidth="1"/>
    <col min="9997" max="9997" width="8.140625" style="39" customWidth="1"/>
    <col min="9998" max="9998" width="10.85546875" style="39" customWidth="1"/>
    <col min="9999" max="9999" width="9.85546875" style="39" customWidth="1"/>
    <col min="10000" max="10238" width="12.5703125" style="39"/>
    <col min="10239" max="10239" width="50.7109375" style="39" customWidth="1"/>
    <col min="10240" max="10240" width="12" style="39" customWidth="1"/>
    <col min="10241" max="10241" width="9.140625" style="39" customWidth="1"/>
    <col min="10242" max="10242" width="11.42578125" style="39" customWidth="1"/>
    <col min="10243" max="10243" width="9.140625" style="39" customWidth="1"/>
    <col min="10244" max="10244" width="12" style="39" customWidth="1"/>
    <col min="10245" max="10245" width="9.140625" style="39" customWidth="1"/>
    <col min="10246" max="10246" width="13.85546875" style="39" customWidth="1"/>
    <col min="10247" max="10247" width="9.140625" style="39" customWidth="1"/>
    <col min="10248" max="10248" width="12.85546875" style="39" customWidth="1"/>
    <col min="10249" max="10249" width="9.140625" style="39" customWidth="1"/>
    <col min="10250" max="10250" width="10" style="39" customWidth="1"/>
    <col min="10251" max="10251" width="8.7109375" style="39" customWidth="1"/>
    <col min="10252" max="10252" width="12.85546875" style="39" customWidth="1"/>
    <col min="10253" max="10253" width="8.140625" style="39" customWidth="1"/>
    <col min="10254" max="10254" width="10.85546875" style="39" customWidth="1"/>
    <col min="10255" max="10255" width="9.85546875" style="39" customWidth="1"/>
    <col min="10256" max="10494" width="12.5703125" style="39"/>
    <col min="10495" max="10495" width="50.7109375" style="39" customWidth="1"/>
    <col min="10496" max="10496" width="12" style="39" customWidth="1"/>
    <col min="10497" max="10497" width="9.140625" style="39" customWidth="1"/>
    <col min="10498" max="10498" width="11.42578125" style="39" customWidth="1"/>
    <col min="10499" max="10499" width="9.140625" style="39" customWidth="1"/>
    <col min="10500" max="10500" width="12" style="39" customWidth="1"/>
    <col min="10501" max="10501" width="9.140625" style="39" customWidth="1"/>
    <col min="10502" max="10502" width="13.85546875" style="39" customWidth="1"/>
    <col min="10503" max="10503" width="9.140625" style="39" customWidth="1"/>
    <col min="10504" max="10504" width="12.85546875" style="39" customWidth="1"/>
    <col min="10505" max="10505" width="9.140625" style="39" customWidth="1"/>
    <col min="10506" max="10506" width="10" style="39" customWidth="1"/>
    <col min="10507" max="10507" width="8.7109375" style="39" customWidth="1"/>
    <col min="10508" max="10508" width="12.85546875" style="39" customWidth="1"/>
    <col min="10509" max="10509" width="8.140625" style="39" customWidth="1"/>
    <col min="10510" max="10510" width="10.85546875" style="39" customWidth="1"/>
    <col min="10511" max="10511" width="9.85546875" style="39" customWidth="1"/>
    <col min="10512" max="10750" width="12.5703125" style="39"/>
    <col min="10751" max="10751" width="50.7109375" style="39" customWidth="1"/>
    <col min="10752" max="10752" width="12" style="39" customWidth="1"/>
    <col min="10753" max="10753" width="9.140625" style="39" customWidth="1"/>
    <col min="10754" max="10754" width="11.42578125" style="39" customWidth="1"/>
    <col min="10755" max="10755" width="9.140625" style="39" customWidth="1"/>
    <col min="10756" max="10756" width="12" style="39" customWidth="1"/>
    <col min="10757" max="10757" width="9.140625" style="39" customWidth="1"/>
    <col min="10758" max="10758" width="13.85546875" style="39" customWidth="1"/>
    <col min="10759" max="10759" width="9.140625" style="39" customWidth="1"/>
    <col min="10760" max="10760" width="12.85546875" style="39" customWidth="1"/>
    <col min="10761" max="10761" width="9.140625" style="39" customWidth="1"/>
    <col min="10762" max="10762" width="10" style="39" customWidth="1"/>
    <col min="10763" max="10763" width="8.7109375" style="39" customWidth="1"/>
    <col min="10764" max="10764" width="12.85546875" style="39" customWidth="1"/>
    <col min="10765" max="10765" width="8.140625" style="39" customWidth="1"/>
    <col min="10766" max="10766" width="10.85546875" style="39" customWidth="1"/>
    <col min="10767" max="10767" width="9.85546875" style="39" customWidth="1"/>
    <col min="10768" max="11006" width="12.5703125" style="39"/>
    <col min="11007" max="11007" width="50.7109375" style="39" customWidth="1"/>
    <col min="11008" max="11008" width="12" style="39" customWidth="1"/>
    <col min="11009" max="11009" width="9.140625" style="39" customWidth="1"/>
    <col min="11010" max="11010" width="11.42578125" style="39" customWidth="1"/>
    <col min="11011" max="11011" width="9.140625" style="39" customWidth="1"/>
    <col min="11012" max="11012" width="12" style="39" customWidth="1"/>
    <col min="11013" max="11013" width="9.140625" style="39" customWidth="1"/>
    <col min="11014" max="11014" width="13.85546875" style="39" customWidth="1"/>
    <col min="11015" max="11015" width="9.140625" style="39" customWidth="1"/>
    <col min="11016" max="11016" width="12.85546875" style="39" customWidth="1"/>
    <col min="11017" max="11017" width="9.140625" style="39" customWidth="1"/>
    <col min="11018" max="11018" width="10" style="39" customWidth="1"/>
    <col min="11019" max="11019" width="8.7109375" style="39" customWidth="1"/>
    <col min="11020" max="11020" width="12.85546875" style="39" customWidth="1"/>
    <col min="11021" max="11021" width="8.140625" style="39" customWidth="1"/>
    <col min="11022" max="11022" width="10.85546875" style="39" customWidth="1"/>
    <col min="11023" max="11023" width="9.85546875" style="39" customWidth="1"/>
    <col min="11024" max="11262" width="12.5703125" style="39"/>
    <col min="11263" max="11263" width="50.7109375" style="39" customWidth="1"/>
    <col min="11264" max="11264" width="12" style="39" customWidth="1"/>
    <col min="11265" max="11265" width="9.140625" style="39" customWidth="1"/>
    <col min="11266" max="11266" width="11.42578125" style="39" customWidth="1"/>
    <col min="11267" max="11267" width="9.140625" style="39" customWidth="1"/>
    <col min="11268" max="11268" width="12" style="39" customWidth="1"/>
    <col min="11269" max="11269" width="9.140625" style="39" customWidth="1"/>
    <col min="11270" max="11270" width="13.85546875" style="39" customWidth="1"/>
    <col min="11271" max="11271" width="9.140625" style="39" customWidth="1"/>
    <col min="11272" max="11272" width="12.85546875" style="39" customWidth="1"/>
    <col min="11273" max="11273" width="9.140625" style="39" customWidth="1"/>
    <col min="11274" max="11274" width="10" style="39" customWidth="1"/>
    <col min="11275" max="11275" width="8.7109375" style="39" customWidth="1"/>
    <col min="11276" max="11276" width="12.85546875" style="39" customWidth="1"/>
    <col min="11277" max="11277" width="8.140625" style="39" customWidth="1"/>
    <col min="11278" max="11278" width="10.85546875" style="39" customWidth="1"/>
    <col min="11279" max="11279" width="9.85546875" style="39" customWidth="1"/>
    <col min="11280" max="11518" width="12.5703125" style="39"/>
    <col min="11519" max="11519" width="50.7109375" style="39" customWidth="1"/>
    <col min="11520" max="11520" width="12" style="39" customWidth="1"/>
    <col min="11521" max="11521" width="9.140625" style="39" customWidth="1"/>
    <col min="11522" max="11522" width="11.42578125" style="39" customWidth="1"/>
    <col min="11523" max="11523" width="9.140625" style="39" customWidth="1"/>
    <col min="11524" max="11524" width="12" style="39" customWidth="1"/>
    <col min="11525" max="11525" width="9.140625" style="39" customWidth="1"/>
    <col min="11526" max="11526" width="13.85546875" style="39" customWidth="1"/>
    <col min="11527" max="11527" width="9.140625" style="39" customWidth="1"/>
    <col min="11528" max="11528" width="12.85546875" style="39" customWidth="1"/>
    <col min="11529" max="11529" width="9.140625" style="39" customWidth="1"/>
    <col min="11530" max="11530" width="10" style="39" customWidth="1"/>
    <col min="11531" max="11531" width="8.7109375" style="39" customWidth="1"/>
    <col min="11532" max="11532" width="12.85546875" style="39" customWidth="1"/>
    <col min="11533" max="11533" width="8.140625" style="39" customWidth="1"/>
    <col min="11534" max="11534" width="10.85546875" style="39" customWidth="1"/>
    <col min="11535" max="11535" width="9.85546875" style="39" customWidth="1"/>
    <col min="11536" max="11774" width="12.5703125" style="39"/>
    <col min="11775" max="11775" width="50.7109375" style="39" customWidth="1"/>
    <col min="11776" max="11776" width="12" style="39" customWidth="1"/>
    <col min="11777" max="11777" width="9.140625" style="39" customWidth="1"/>
    <col min="11778" max="11778" width="11.42578125" style="39" customWidth="1"/>
    <col min="11779" max="11779" width="9.140625" style="39" customWidth="1"/>
    <col min="11780" max="11780" width="12" style="39" customWidth="1"/>
    <col min="11781" max="11781" width="9.140625" style="39" customWidth="1"/>
    <col min="11782" max="11782" width="13.85546875" style="39" customWidth="1"/>
    <col min="11783" max="11783" width="9.140625" style="39" customWidth="1"/>
    <col min="11784" max="11784" width="12.85546875" style="39" customWidth="1"/>
    <col min="11785" max="11785" width="9.140625" style="39" customWidth="1"/>
    <col min="11786" max="11786" width="10" style="39" customWidth="1"/>
    <col min="11787" max="11787" width="8.7109375" style="39" customWidth="1"/>
    <col min="11788" max="11788" width="12.85546875" style="39" customWidth="1"/>
    <col min="11789" max="11789" width="8.140625" style="39" customWidth="1"/>
    <col min="11790" max="11790" width="10.85546875" style="39" customWidth="1"/>
    <col min="11791" max="11791" width="9.85546875" style="39" customWidth="1"/>
    <col min="11792" max="12030" width="12.5703125" style="39"/>
    <col min="12031" max="12031" width="50.7109375" style="39" customWidth="1"/>
    <col min="12032" max="12032" width="12" style="39" customWidth="1"/>
    <col min="12033" max="12033" width="9.140625" style="39" customWidth="1"/>
    <col min="12034" max="12034" width="11.42578125" style="39" customWidth="1"/>
    <col min="12035" max="12035" width="9.140625" style="39" customWidth="1"/>
    <col min="12036" max="12036" width="12" style="39" customWidth="1"/>
    <col min="12037" max="12037" width="9.140625" style="39" customWidth="1"/>
    <col min="12038" max="12038" width="13.85546875" style="39" customWidth="1"/>
    <col min="12039" max="12039" width="9.140625" style="39" customWidth="1"/>
    <col min="12040" max="12040" width="12.85546875" style="39" customWidth="1"/>
    <col min="12041" max="12041" width="9.140625" style="39" customWidth="1"/>
    <col min="12042" max="12042" width="10" style="39" customWidth="1"/>
    <col min="12043" max="12043" width="8.7109375" style="39" customWidth="1"/>
    <col min="12044" max="12044" width="12.85546875" style="39" customWidth="1"/>
    <col min="12045" max="12045" width="8.140625" style="39" customWidth="1"/>
    <col min="12046" max="12046" width="10.85546875" style="39" customWidth="1"/>
    <col min="12047" max="12047" width="9.85546875" style="39" customWidth="1"/>
    <col min="12048" max="12286" width="12.5703125" style="39"/>
    <col min="12287" max="12287" width="50.7109375" style="39" customWidth="1"/>
    <col min="12288" max="12288" width="12" style="39" customWidth="1"/>
    <col min="12289" max="12289" width="9.140625" style="39" customWidth="1"/>
    <col min="12290" max="12290" width="11.42578125" style="39" customWidth="1"/>
    <col min="12291" max="12291" width="9.140625" style="39" customWidth="1"/>
    <col min="12292" max="12292" width="12" style="39" customWidth="1"/>
    <col min="12293" max="12293" width="9.140625" style="39" customWidth="1"/>
    <col min="12294" max="12294" width="13.85546875" style="39" customWidth="1"/>
    <col min="12295" max="12295" width="9.140625" style="39" customWidth="1"/>
    <col min="12296" max="12296" width="12.85546875" style="39" customWidth="1"/>
    <col min="12297" max="12297" width="9.140625" style="39" customWidth="1"/>
    <col min="12298" max="12298" width="10" style="39" customWidth="1"/>
    <col min="12299" max="12299" width="8.7109375" style="39" customWidth="1"/>
    <col min="12300" max="12300" width="12.85546875" style="39" customWidth="1"/>
    <col min="12301" max="12301" width="8.140625" style="39" customWidth="1"/>
    <col min="12302" max="12302" width="10.85546875" style="39" customWidth="1"/>
    <col min="12303" max="12303" width="9.85546875" style="39" customWidth="1"/>
    <col min="12304" max="12542" width="12.5703125" style="39"/>
    <col min="12543" max="12543" width="50.7109375" style="39" customWidth="1"/>
    <col min="12544" max="12544" width="12" style="39" customWidth="1"/>
    <col min="12545" max="12545" width="9.140625" style="39" customWidth="1"/>
    <col min="12546" max="12546" width="11.42578125" style="39" customWidth="1"/>
    <col min="12547" max="12547" width="9.140625" style="39" customWidth="1"/>
    <col min="12548" max="12548" width="12" style="39" customWidth="1"/>
    <col min="12549" max="12549" width="9.140625" style="39" customWidth="1"/>
    <col min="12550" max="12550" width="13.85546875" style="39" customWidth="1"/>
    <col min="12551" max="12551" width="9.140625" style="39" customWidth="1"/>
    <col min="12552" max="12552" width="12.85546875" style="39" customWidth="1"/>
    <col min="12553" max="12553" width="9.140625" style="39" customWidth="1"/>
    <col min="12554" max="12554" width="10" style="39" customWidth="1"/>
    <col min="12555" max="12555" width="8.7109375" style="39" customWidth="1"/>
    <col min="12556" max="12556" width="12.85546875" style="39" customWidth="1"/>
    <col min="12557" max="12557" width="8.140625" style="39" customWidth="1"/>
    <col min="12558" max="12558" width="10.85546875" style="39" customWidth="1"/>
    <col min="12559" max="12559" width="9.85546875" style="39" customWidth="1"/>
    <col min="12560" max="12798" width="12.5703125" style="39"/>
    <col min="12799" max="12799" width="50.7109375" style="39" customWidth="1"/>
    <col min="12800" max="12800" width="12" style="39" customWidth="1"/>
    <col min="12801" max="12801" width="9.140625" style="39" customWidth="1"/>
    <col min="12802" max="12802" width="11.42578125" style="39" customWidth="1"/>
    <col min="12803" max="12803" width="9.140625" style="39" customWidth="1"/>
    <col min="12804" max="12804" width="12" style="39" customWidth="1"/>
    <col min="12805" max="12805" width="9.140625" style="39" customWidth="1"/>
    <col min="12806" max="12806" width="13.85546875" style="39" customWidth="1"/>
    <col min="12807" max="12807" width="9.140625" style="39" customWidth="1"/>
    <col min="12808" max="12808" width="12.85546875" style="39" customWidth="1"/>
    <col min="12809" max="12809" width="9.140625" style="39" customWidth="1"/>
    <col min="12810" max="12810" width="10" style="39" customWidth="1"/>
    <col min="12811" max="12811" width="8.7109375" style="39" customWidth="1"/>
    <col min="12812" max="12812" width="12.85546875" style="39" customWidth="1"/>
    <col min="12813" max="12813" width="8.140625" style="39" customWidth="1"/>
    <col min="12814" max="12814" width="10.85546875" style="39" customWidth="1"/>
    <col min="12815" max="12815" width="9.85546875" style="39" customWidth="1"/>
    <col min="12816" max="13054" width="12.5703125" style="39"/>
    <col min="13055" max="13055" width="50.7109375" style="39" customWidth="1"/>
    <col min="13056" max="13056" width="12" style="39" customWidth="1"/>
    <col min="13057" max="13057" width="9.140625" style="39" customWidth="1"/>
    <col min="13058" max="13058" width="11.42578125" style="39" customWidth="1"/>
    <col min="13059" max="13059" width="9.140625" style="39" customWidth="1"/>
    <col min="13060" max="13060" width="12" style="39" customWidth="1"/>
    <col min="13061" max="13061" width="9.140625" style="39" customWidth="1"/>
    <col min="13062" max="13062" width="13.85546875" style="39" customWidth="1"/>
    <col min="13063" max="13063" width="9.140625" style="39" customWidth="1"/>
    <col min="13064" max="13064" width="12.85546875" style="39" customWidth="1"/>
    <col min="13065" max="13065" width="9.140625" style="39" customWidth="1"/>
    <col min="13066" max="13066" width="10" style="39" customWidth="1"/>
    <col min="13067" max="13067" width="8.7109375" style="39" customWidth="1"/>
    <col min="13068" max="13068" width="12.85546875" style="39" customWidth="1"/>
    <col min="13069" max="13069" width="8.140625" style="39" customWidth="1"/>
    <col min="13070" max="13070" width="10.85546875" style="39" customWidth="1"/>
    <col min="13071" max="13071" width="9.85546875" style="39" customWidth="1"/>
    <col min="13072" max="13310" width="12.5703125" style="39"/>
    <col min="13311" max="13311" width="50.7109375" style="39" customWidth="1"/>
    <col min="13312" max="13312" width="12" style="39" customWidth="1"/>
    <col min="13313" max="13313" width="9.140625" style="39" customWidth="1"/>
    <col min="13314" max="13314" width="11.42578125" style="39" customWidth="1"/>
    <col min="13315" max="13315" width="9.140625" style="39" customWidth="1"/>
    <col min="13316" max="13316" width="12" style="39" customWidth="1"/>
    <col min="13317" max="13317" width="9.140625" style="39" customWidth="1"/>
    <col min="13318" max="13318" width="13.85546875" style="39" customWidth="1"/>
    <col min="13319" max="13319" width="9.140625" style="39" customWidth="1"/>
    <col min="13320" max="13320" width="12.85546875" style="39" customWidth="1"/>
    <col min="13321" max="13321" width="9.140625" style="39" customWidth="1"/>
    <col min="13322" max="13322" width="10" style="39" customWidth="1"/>
    <col min="13323" max="13323" width="8.7109375" style="39" customWidth="1"/>
    <col min="13324" max="13324" width="12.85546875" style="39" customWidth="1"/>
    <col min="13325" max="13325" width="8.140625" style="39" customWidth="1"/>
    <col min="13326" max="13326" width="10.85546875" style="39" customWidth="1"/>
    <col min="13327" max="13327" width="9.85546875" style="39" customWidth="1"/>
    <col min="13328" max="13566" width="12.5703125" style="39"/>
    <col min="13567" max="13567" width="50.7109375" style="39" customWidth="1"/>
    <col min="13568" max="13568" width="12" style="39" customWidth="1"/>
    <col min="13569" max="13569" width="9.140625" style="39" customWidth="1"/>
    <col min="13570" max="13570" width="11.42578125" style="39" customWidth="1"/>
    <col min="13571" max="13571" width="9.140625" style="39" customWidth="1"/>
    <col min="13572" max="13572" width="12" style="39" customWidth="1"/>
    <col min="13573" max="13573" width="9.140625" style="39" customWidth="1"/>
    <col min="13574" max="13574" width="13.85546875" style="39" customWidth="1"/>
    <col min="13575" max="13575" width="9.140625" style="39" customWidth="1"/>
    <col min="13576" max="13576" width="12.85546875" style="39" customWidth="1"/>
    <col min="13577" max="13577" width="9.140625" style="39" customWidth="1"/>
    <col min="13578" max="13578" width="10" style="39" customWidth="1"/>
    <col min="13579" max="13579" width="8.7109375" style="39" customWidth="1"/>
    <col min="13580" max="13580" width="12.85546875" style="39" customWidth="1"/>
    <col min="13581" max="13581" width="8.140625" style="39" customWidth="1"/>
    <col min="13582" max="13582" width="10.85546875" style="39" customWidth="1"/>
    <col min="13583" max="13583" width="9.85546875" style="39" customWidth="1"/>
    <col min="13584" max="13822" width="12.5703125" style="39"/>
    <col min="13823" max="13823" width="50.7109375" style="39" customWidth="1"/>
    <col min="13824" max="13824" width="12" style="39" customWidth="1"/>
    <col min="13825" max="13825" width="9.140625" style="39" customWidth="1"/>
    <col min="13826" max="13826" width="11.42578125" style="39" customWidth="1"/>
    <col min="13827" max="13827" width="9.140625" style="39" customWidth="1"/>
    <col min="13828" max="13828" width="12" style="39" customWidth="1"/>
    <col min="13829" max="13829" width="9.140625" style="39" customWidth="1"/>
    <col min="13830" max="13830" width="13.85546875" style="39" customWidth="1"/>
    <col min="13831" max="13831" width="9.140625" style="39" customWidth="1"/>
    <col min="13832" max="13832" width="12.85546875" style="39" customWidth="1"/>
    <col min="13833" max="13833" width="9.140625" style="39" customWidth="1"/>
    <col min="13834" max="13834" width="10" style="39" customWidth="1"/>
    <col min="13835" max="13835" width="8.7109375" style="39" customWidth="1"/>
    <col min="13836" max="13836" width="12.85546875" style="39" customWidth="1"/>
    <col min="13837" max="13837" width="8.140625" style="39" customWidth="1"/>
    <col min="13838" max="13838" width="10.85546875" style="39" customWidth="1"/>
    <col min="13839" max="13839" width="9.85546875" style="39" customWidth="1"/>
    <col min="13840" max="14078" width="12.5703125" style="39"/>
    <col min="14079" max="14079" width="50.7109375" style="39" customWidth="1"/>
    <col min="14080" max="14080" width="12" style="39" customWidth="1"/>
    <col min="14081" max="14081" width="9.140625" style="39" customWidth="1"/>
    <col min="14082" max="14082" width="11.42578125" style="39" customWidth="1"/>
    <col min="14083" max="14083" width="9.140625" style="39" customWidth="1"/>
    <col min="14084" max="14084" width="12" style="39" customWidth="1"/>
    <col min="14085" max="14085" width="9.140625" style="39" customWidth="1"/>
    <col min="14086" max="14086" width="13.85546875" style="39" customWidth="1"/>
    <col min="14087" max="14087" width="9.140625" style="39" customWidth="1"/>
    <col min="14088" max="14088" width="12.85546875" style="39" customWidth="1"/>
    <col min="14089" max="14089" width="9.140625" style="39" customWidth="1"/>
    <col min="14090" max="14090" width="10" style="39" customWidth="1"/>
    <col min="14091" max="14091" width="8.7109375" style="39" customWidth="1"/>
    <col min="14092" max="14092" width="12.85546875" style="39" customWidth="1"/>
    <col min="14093" max="14093" width="8.140625" style="39" customWidth="1"/>
    <col min="14094" max="14094" width="10.85546875" style="39" customWidth="1"/>
    <col min="14095" max="14095" width="9.85546875" style="39" customWidth="1"/>
    <col min="14096" max="14334" width="12.5703125" style="39"/>
    <col min="14335" max="14335" width="50.7109375" style="39" customWidth="1"/>
    <col min="14336" max="14336" width="12" style="39" customWidth="1"/>
    <col min="14337" max="14337" width="9.140625" style="39" customWidth="1"/>
    <col min="14338" max="14338" width="11.42578125" style="39" customWidth="1"/>
    <col min="14339" max="14339" width="9.140625" style="39" customWidth="1"/>
    <col min="14340" max="14340" width="12" style="39" customWidth="1"/>
    <col min="14341" max="14341" width="9.140625" style="39" customWidth="1"/>
    <col min="14342" max="14342" width="13.85546875" style="39" customWidth="1"/>
    <col min="14343" max="14343" width="9.140625" style="39" customWidth="1"/>
    <col min="14344" max="14344" width="12.85546875" style="39" customWidth="1"/>
    <col min="14345" max="14345" width="9.140625" style="39" customWidth="1"/>
    <col min="14346" max="14346" width="10" style="39" customWidth="1"/>
    <col min="14347" max="14347" width="8.7109375" style="39" customWidth="1"/>
    <col min="14348" max="14348" width="12.85546875" style="39" customWidth="1"/>
    <col min="14349" max="14349" width="8.140625" style="39" customWidth="1"/>
    <col min="14350" max="14350" width="10.85546875" style="39" customWidth="1"/>
    <col min="14351" max="14351" width="9.85546875" style="39" customWidth="1"/>
    <col min="14352" max="14590" width="12.5703125" style="39"/>
    <col min="14591" max="14591" width="50.7109375" style="39" customWidth="1"/>
    <col min="14592" max="14592" width="12" style="39" customWidth="1"/>
    <col min="14593" max="14593" width="9.140625" style="39" customWidth="1"/>
    <col min="14594" max="14594" width="11.42578125" style="39" customWidth="1"/>
    <col min="14595" max="14595" width="9.140625" style="39" customWidth="1"/>
    <col min="14596" max="14596" width="12" style="39" customWidth="1"/>
    <col min="14597" max="14597" width="9.140625" style="39" customWidth="1"/>
    <col min="14598" max="14598" width="13.85546875" style="39" customWidth="1"/>
    <col min="14599" max="14599" width="9.140625" style="39" customWidth="1"/>
    <col min="14600" max="14600" width="12.85546875" style="39" customWidth="1"/>
    <col min="14601" max="14601" width="9.140625" style="39" customWidth="1"/>
    <col min="14602" max="14602" width="10" style="39" customWidth="1"/>
    <col min="14603" max="14603" width="8.7109375" style="39" customWidth="1"/>
    <col min="14604" max="14604" width="12.85546875" style="39" customWidth="1"/>
    <col min="14605" max="14605" width="8.140625" style="39" customWidth="1"/>
    <col min="14606" max="14606" width="10.85546875" style="39" customWidth="1"/>
    <col min="14607" max="14607" width="9.85546875" style="39" customWidth="1"/>
    <col min="14608" max="14846" width="12.5703125" style="39"/>
    <col min="14847" max="14847" width="50.7109375" style="39" customWidth="1"/>
    <col min="14848" max="14848" width="12" style="39" customWidth="1"/>
    <col min="14849" max="14849" width="9.140625" style="39" customWidth="1"/>
    <col min="14850" max="14850" width="11.42578125" style="39" customWidth="1"/>
    <col min="14851" max="14851" width="9.140625" style="39" customWidth="1"/>
    <col min="14852" max="14852" width="12" style="39" customWidth="1"/>
    <col min="14853" max="14853" width="9.140625" style="39" customWidth="1"/>
    <col min="14854" max="14854" width="13.85546875" style="39" customWidth="1"/>
    <col min="14855" max="14855" width="9.140625" style="39" customWidth="1"/>
    <col min="14856" max="14856" width="12.85546875" style="39" customWidth="1"/>
    <col min="14857" max="14857" width="9.140625" style="39" customWidth="1"/>
    <col min="14858" max="14858" width="10" style="39" customWidth="1"/>
    <col min="14859" max="14859" width="8.7109375" style="39" customWidth="1"/>
    <col min="14860" max="14860" width="12.85546875" style="39" customWidth="1"/>
    <col min="14861" max="14861" width="8.140625" style="39" customWidth="1"/>
    <col min="14862" max="14862" width="10.85546875" style="39" customWidth="1"/>
    <col min="14863" max="14863" width="9.85546875" style="39" customWidth="1"/>
    <col min="14864" max="15102" width="12.5703125" style="39"/>
    <col min="15103" max="15103" width="50.7109375" style="39" customWidth="1"/>
    <col min="15104" max="15104" width="12" style="39" customWidth="1"/>
    <col min="15105" max="15105" width="9.140625" style="39" customWidth="1"/>
    <col min="15106" max="15106" width="11.42578125" style="39" customWidth="1"/>
    <col min="15107" max="15107" width="9.140625" style="39" customWidth="1"/>
    <col min="15108" max="15108" width="12" style="39" customWidth="1"/>
    <col min="15109" max="15109" width="9.140625" style="39" customWidth="1"/>
    <col min="15110" max="15110" width="13.85546875" style="39" customWidth="1"/>
    <col min="15111" max="15111" width="9.140625" style="39" customWidth="1"/>
    <col min="15112" max="15112" width="12.85546875" style="39" customWidth="1"/>
    <col min="15113" max="15113" width="9.140625" style="39" customWidth="1"/>
    <col min="15114" max="15114" width="10" style="39" customWidth="1"/>
    <col min="15115" max="15115" width="8.7109375" style="39" customWidth="1"/>
    <col min="15116" max="15116" width="12.85546875" style="39" customWidth="1"/>
    <col min="15117" max="15117" width="8.140625" style="39" customWidth="1"/>
    <col min="15118" max="15118" width="10.85546875" style="39" customWidth="1"/>
    <col min="15119" max="15119" width="9.85546875" style="39" customWidth="1"/>
    <col min="15120" max="15358" width="12.5703125" style="39"/>
    <col min="15359" max="15359" width="50.7109375" style="39" customWidth="1"/>
    <col min="15360" max="15360" width="12" style="39" customWidth="1"/>
    <col min="15361" max="15361" width="9.140625" style="39" customWidth="1"/>
    <col min="15362" max="15362" width="11.42578125" style="39" customWidth="1"/>
    <col min="15363" max="15363" width="9.140625" style="39" customWidth="1"/>
    <col min="15364" max="15364" width="12" style="39" customWidth="1"/>
    <col min="15365" max="15365" width="9.140625" style="39" customWidth="1"/>
    <col min="15366" max="15366" width="13.85546875" style="39" customWidth="1"/>
    <col min="15367" max="15367" width="9.140625" style="39" customWidth="1"/>
    <col min="15368" max="15368" width="12.85546875" style="39" customWidth="1"/>
    <col min="15369" max="15369" width="9.140625" style="39" customWidth="1"/>
    <col min="15370" max="15370" width="10" style="39" customWidth="1"/>
    <col min="15371" max="15371" width="8.7109375" style="39" customWidth="1"/>
    <col min="15372" max="15372" width="12.85546875" style="39" customWidth="1"/>
    <col min="15373" max="15373" width="8.140625" style="39" customWidth="1"/>
    <col min="15374" max="15374" width="10.85546875" style="39" customWidth="1"/>
    <col min="15375" max="15375" width="9.85546875" style="39" customWidth="1"/>
    <col min="15376" max="15614" width="12.5703125" style="39"/>
    <col min="15615" max="15615" width="50.7109375" style="39" customWidth="1"/>
    <col min="15616" max="15616" width="12" style="39" customWidth="1"/>
    <col min="15617" max="15617" width="9.140625" style="39" customWidth="1"/>
    <col min="15618" max="15618" width="11.42578125" style="39" customWidth="1"/>
    <col min="15619" max="15619" width="9.140625" style="39" customWidth="1"/>
    <col min="15620" max="15620" width="12" style="39" customWidth="1"/>
    <col min="15621" max="15621" width="9.140625" style="39" customWidth="1"/>
    <col min="15622" max="15622" width="13.85546875" style="39" customWidth="1"/>
    <col min="15623" max="15623" width="9.140625" style="39" customWidth="1"/>
    <col min="15624" max="15624" width="12.85546875" style="39" customWidth="1"/>
    <col min="15625" max="15625" width="9.140625" style="39" customWidth="1"/>
    <col min="15626" max="15626" width="10" style="39" customWidth="1"/>
    <col min="15627" max="15627" width="8.7109375" style="39" customWidth="1"/>
    <col min="15628" max="15628" width="12.85546875" style="39" customWidth="1"/>
    <col min="15629" max="15629" width="8.140625" style="39" customWidth="1"/>
    <col min="15630" max="15630" width="10.85546875" style="39" customWidth="1"/>
    <col min="15631" max="15631" width="9.85546875" style="39" customWidth="1"/>
    <col min="15632" max="15870" width="12.5703125" style="39"/>
    <col min="15871" max="15871" width="50.7109375" style="39" customWidth="1"/>
    <col min="15872" max="15872" width="12" style="39" customWidth="1"/>
    <col min="15873" max="15873" width="9.140625" style="39" customWidth="1"/>
    <col min="15874" max="15874" width="11.42578125" style="39" customWidth="1"/>
    <col min="15875" max="15875" width="9.140625" style="39" customWidth="1"/>
    <col min="15876" max="15876" width="12" style="39" customWidth="1"/>
    <col min="15877" max="15877" width="9.140625" style="39" customWidth="1"/>
    <col min="15878" max="15878" width="13.85546875" style="39" customWidth="1"/>
    <col min="15879" max="15879" width="9.140625" style="39" customWidth="1"/>
    <col min="15880" max="15880" width="12.85546875" style="39" customWidth="1"/>
    <col min="15881" max="15881" width="9.140625" style="39" customWidth="1"/>
    <col min="15882" max="15882" width="10" style="39" customWidth="1"/>
    <col min="15883" max="15883" width="8.7109375" style="39" customWidth="1"/>
    <col min="15884" max="15884" width="12.85546875" style="39" customWidth="1"/>
    <col min="15885" max="15885" width="8.140625" style="39" customWidth="1"/>
    <col min="15886" max="15886" width="10.85546875" style="39" customWidth="1"/>
    <col min="15887" max="15887" width="9.85546875" style="39" customWidth="1"/>
    <col min="15888" max="16126" width="12.5703125" style="39"/>
    <col min="16127" max="16127" width="50.7109375" style="39" customWidth="1"/>
    <col min="16128" max="16128" width="12" style="39" customWidth="1"/>
    <col min="16129" max="16129" width="9.140625" style="39" customWidth="1"/>
    <col min="16130" max="16130" width="11.42578125" style="39" customWidth="1"/>
    <col min="16131" max="16131" width="9.140625" style="39" customWidth="1"/>
    <col min="16132" max="16132" width="12" style="39" customWidth="1"/>
    <col min="16133" max="16133" width="9.140625" style="39" customWidth="1"/>
    <col min="16134" max="16134" width="13.85546875" style="39" customWidth="1"/>
    <col min="16135" max="16135" width="9.140625" style="39" customWidth="1"/>
    <col min="16136" max="16136" width="12.85546875" style="39" customWidth="1"/>
    <col min="16137" max="16137" width="9.140625" style="39" customWidth="1"/>
    <col min="16138" max="16138" width="10" style="39" customWidth="1"/>
    <col min="16139" max="16139" width="8.7109375" style="39" customWidth="1"/>
    <col min="16140" max="16140" width="12.85546875" style="39" customWidth="1"/>
    <col min="16141" max="16141" width="8.140625" style="39" customWidth="1"/>
    <col min="16142" max="16142" width="10.85546875" style="39" customWidth="1"/>
    <col min="16143" max="16143" width="9.85546875" style="39" customWidth="1"/>
    <col min="16144" max="16384" width="12.5703125" style="39"/>
  </cols>
  <sheetData>
    <row r="1" spans="1:15" ht="20.25">
      <c r="A1" s="38" t="str">
        <f>HLOOKUP(INDICE!$F$2,Nombres!$C$3:$E$853,199)</f>
        <v>Estructura de rendimientos y costes</v>
      </c>
    </row>
    <row r="2" spans="1:15">
      <c r="A2" s="41"/>
    </row>
    <row r="3" spans="1:15" ht="19.5">
      <c r="A3" s="42"/>
      <c r="B3" s="258"/>
      <c r="C3" s="258"/>
      <c r="D3" s="258"/>
      <c r="E3" s="40"/>
      <c r="F3" s="43"/>
      <c r="G3" s="43"/>
      <c r="H3" s="43"/>
      <c r="I3" s="43"/>
      <c r="J3" s="43"/>
      <c r="K3" s="44"/>
    </row>
    <row r="4" spans="1:15">
      <c r="A4" s="45"/>
      <c r="B4" s="46" t="str">
        <f>HLOOKUP(INDICE!$F$2,Nombres!$C$3:$E$853,231)</f>
        <v xml:space="preserve">1er Trim. </v>
      </c>
      <c r="C4" s="47">
        <v>2014</v>
      </c>
      <c r="D4" s="46" t="str">
        <f>HLOOKUP(INDICE!$F$2,Nombres!$C$3:$E$853,232)</f>
        <v>2º Trim.</v>
      </c>
      <c r="E4" s="47">
        <v>2014</v>
      </c>
      <c r="F4" s="46" t="str">
        <f>HLOOKUP(INDICE!$F$2,Nombres!$C$3:$E$853,233)</f>
        <v>3er Trim.</v>
      </c>
      <c r="G4" s="47">
        <v>2014</v>
      </c>
      <c r="H4" s="46" t="str">
        <f>HLOOKUP(INDICE!$F$2,Nombres!$C$3:$E$853,234)</f>
        <v>4º Trim.</v>
      </c>
      <c r="I4" s="47">
        <v>2014</v>
      </c>
      <c r="J4" s="46" t="str">
        <f>HLOOKUP(INDICE!$F$2,Nombres!$C$3:$E$853,231)</f>
        <v xml:space="preserve">1er Trim. </v>
      </c>
      <c r="K4" s="47">
        <v>2015</v>
      </c>
      <c r="L4" s="46" t="str">
        <f>HLOOKUP(INDICE!$F$2,Nombres!$C$3:$E$853,236)</f>
        <v xml:space="preserve">2º Trim. </v>
      </c>
      <c r="M4" s="47">
        <v>2015</v>
      </c>
      <c r="N4" s="46" t="str">
        <f>HLOOKUP(INDICE!$F$2,Nombres!$C$3:$E$853,237)</f>
        <v xml:space="preserve">3er Trim. </v>
      </c>
      <c r="O4" s="47">
        <v>2015</v>
      </c>
    </row>
    <row r="5" spans="1:15" ht="25.5">
      <c r="A5" s="45"/>
      <c r="B5" s="48" t="str">
        <f>HLOOKUP(INDICE!$F$2,Nombres!$C$3:$E$853,239)</f>
        <v>% s/ATM</v>
      </c>
      <c r="C5" s="244" t="str">
        <f>HLOOKUP(INDICE!$F$2,Nombres!$C$3:$E$853,240)</f>
        <v>% Rdto./Coste</v>
      </c>
      <c r="D5" s="48" t="str">
        <f>HLOOKUP(INDICE!$F$2,Nombres!$C$3:$E$853,239)</f>
        <v>% s/ATM</v>
      </c>
      <c r="E5" s="244" t="str">
        <f>HLOOKUP(INDICE!$F$2,Nombres!$C$3:$E$853,240)</f>
        <v>% Rdto./Coste</v>
      </c>
      <c r="F5" s="48" t="str">
        <f>HLOOKUP(INDICE!$F$2,Nombres!$C$3:$E$853,239)</f>
        <v>% s/ATM</v>
      </c>
      <c r="G5" s="244" t="str">
        <f>HLOOKUP(INDICE!$F$2,Nombres!$C$3:$E$853,240)</f>
        <v>% Rdto./Coste</v>
      </c>
      <c r="H5" s="48" t="str">
        <f>HLOOKUP(INDICE!$F$2,Nombres!$C$3:$E$853,239)</f>
        <v>% s/ATM</v>
      </c>
      <c r="I5" s="244" t="str">
        <f>HLOOKUP(INDICE!$F$2,Nombres!$C$3:$E$853,240)</f>
        <v>% Rdto./Coste</v>
      </c>
      <c r="J5" s="48" t="str">
        <f>HLOOKUP(INDICE!$F$2,Nombres!$C$3:$E$853,239)</f>
        <v>% s/ATM</v>
      </c>
      <c r="K5" s="244" t="str">
        <f>HLOOKUP(INDICE!$F$2,Nombres!$C$3:$E$853,240)</f>
        <v>% Rdto./Coste</v>
      </c>
      <c r="L5" s="48" t="str">
        <f>HLOOKUP(INDICE!$F$2,Nombres!$C$3:$E$853,239)</f>
        <v>% s/ATM</v>
      </c>
      <c r="M5" s="244" t="str">
        <f>HLOOKUP(INDICE!$F$2,Nombres!$C$3:$E$853,240)</f>
        <v>% Rdto./Coste</v>
      </c>
      <c r="N5" s="48" t="str">
        <f>HLOOKUP(INDICE!$F$2,Nombres!$C$3:$E$853,239)</f>
        <v>% s/ATM</v>
      </c>
      <c r="O5" s="244" t="str">
        <f>HLOOKUP(INDICE!$F$2,Nombres!$C$3:$E$853,240)</f>
        <v>% Rdto./Coste</v>
      </c>
    </row>
    <row r="6" spans="1:15" customFormat="1" ht="15">
      <c r="A6" s="49" t="str">
        <f>HLOOKUP(INDICE!F2,Nombres!$C$3:$E$853,209)</f>
        <v>Caja y depósitos en bancos centrales</v>
      </c>
      <c r="B6" s="50">
        <v>4.5343310391163927</v>
      </c>
      <c r="C6" s="51">
        <v>0.55770989767303714</v>
      </c>
      <c r="D6" s="50">
        <v>4.5669106931358252</v>
      </c>
      <c r="E6" s="51">
        <v>0.51419250436247799</v>
      </c>
      <c r="F6" s="50">
        <v>3.8583779913089664</v>
      </c>
      <c r="G6" s="51">
        <v>0.39831876204814265</v>
      </c>
      <c r="H6" s="52">
        <v>4.4047163332306596</v>
      </c>
      <c r="I6" s="53">
        <v>0.49484349402722472</v>
      </c>
      <c r="J6" s="50">
        <v>4.5926783133975411</v>
      </c>
      <c r="K6" s="51">
        <v>0.24518267739700411</v>
      </c>
      <c r="L6" s="50">
        <v>4.0640516744921635</v>
      </c>
      <c r="M6" s="51">
        <v>0.11586531604187429</v>
      </c>
      <c r="N6" s="50">
        <v>4.621077865010129</v>
      </c>
      <c r="O6" s="51">
        <v>0.90835446841461798</v>
      </c>
    </row>
    <row r="7" spans="1:15" customFormat="1" ht="15">
      <c r="A7" s="49" t="str">
        <f>HLOOKUP(INDICE!F2,Nombres!$C$3:$E$853,210)</f>
        <v>Cartera de títulos y derivados</v>
      </c>
      <c r="B7" s="50">
        <v>27.480320421462267</v>
      </c>
      <c r="C7" s="51">
        <v>2.889152863039278</v>
      </c>
      <c r="D7" s="50">
        <v>28.707301850158306</v>
      </c>
      <c r="E7" s="51">
        <v>2.6783116076965414</v>
      </c>
      <c r="F7" s="50">
        <v>29.059509763108242</v>
      </c>
      <c r="G7" s="51">
        <v>2.5627963840494621</v>
      </c>
      <c r="H7" s="52">
        <v>29.185422267526295</v>
      </c>
      <c r="I7" s="53">
        <v>2.6534599894101083</v>
      </c>
      <c r="J7" s="50">
        <v>28.803175543382626</v>
      </c>
      <c r="K7" s="51">
        <v>2.2058962180633594</v>
      </c>
      <c r="L7" s="50">
        <v>29.349845164282712</v>
      </c>
      <c r="M7" s="51">
        <v>2.092636549377354</v>
      </c>
      <c r="N7" s="50">
        <v>27.927300302608138</v>
      </c>
      <c r="O7" s="51">
        <v>2.6068240003638539</v>
      </c>
    </row>
    <row r="8" spans="1:15" customFormat="1" ht="15">
      <c r="A8" s="49" t="str">
        <f>HLOOKUP(INDICE!F2,Nombres!$C$3:$E$853,211)</f>
        <v>Depósitos en entidades de crédito</v>
      </c>
      <c r="B8" s="50">
        <v>3.9094555200161953</v>
      </c>
      <c r="C8" s="51">
        <v>1.5260118947265133</v>
      </c>
      <c r="D8" s="50">
        <v>4.1151456196280209</v>
      </c>
      <c r="E8" s="51">
        <v>1.2441343861660141</v>
      </c>
      <c r="F8" s="50">
        <v>4.4245248842978651</v>
      </c>
      <c r="G8" s="51">
        <v>1.0972080982093881</v>
      </c>
      <c r="H8" s="52">
        <v>4.318939271252737</v>
      </c>
      <c r="I8" s="53">
        <v>1.0099539970206255</v>
      </c>
      <c r="J8" s="50">
        <v>4.6155776260721364</v>
      </c>
      <c r="K8" s="51">
        <v>0.90955008310072283</v>
      </c>
      <c r="L8" s="50">
        <v>4.4427855462087411</v>
      </c>
      <c r="M8" s="51">
        <v>0.81714828036831921</v>
      </c>
      <c r="N8" s="50">
        <v>4.1608368537341276</v>
      </c>
      <c r="O8" s="51">
        <v>1.0720115324046349</v>
      </c>
    </row>
    <row r="9" spans="1:15" customFormat="1" ht="15">
      <c r="A9" s="49" t="str">
        <f>HLOOKUP(INDICE!F2,Nombres!$C$3:$E$853,212)</f>
        <v>Créditos a la clientela</v>
      </c>
      <c r="B9" s="50">
        <v>56.236110011268892</v>
      </c>
      <c r="C9" s="51">
        <v>5.3362415279491415</v>
      </c>
      <c r="D9" s="50">
        <v>54.882124702309632</v>
      </c>
      <c r="E9" s="51">
        <v>5.5376703692633678</v>
      </c>
      <c r="F9" s="50">
        <v>54.772753686176365</v>
      </c>
      <c r="G9" s="51">
        <v>5.5133625539670588</v>
      </c>
      <c r="H9" s="52">
        <v>54.260152184514524</v>
      </c>
      <c r="I9" s="53">
        <v>5.812468380378653</v>
      </c>
      <c r="J9" s="50">
        <v>54.02537802114864</v>
      </c>
      <c r="K9" s="51">
        <v>4.9446587045887354</v>
      </c>
      <c r="L9" s="50">
        <v>53.677145219894165</v>
      </c>
      <c r="M9" s="51">
        <v>5.0046062694760884</v>
      </c>
      <c r="N9" s="50">
        <v>54.781809842147602</v>
      </c>
      <c r="O9" s="51">
        <v>5.3741143843300572</v>
      </c>
    </row>
    <row r="10" spans="1:15" customFormat="1" ht="15">
      <c r="A10" s="49" t="str">
        <f>HLOOKUP(INDICE!$F$2,Nombres!$C$3:$E$853,213)</f>
        <v xml:space="preserve">  . Euros</v>
      </c>
      <c r="B10" s="50">
        <v>32.415545063801652</v>
      </c>
      <c r="C10" s="51">
        <v>2.6835434326969207</v>
      </c>
      <c r="D10" s="50">
        <v>31.067525206840578</v>
      </c>
      <c r="E10" s="51">
        <v>2.6309103661683686</v>
      </c>
      <c r="F10" s="50">
        <v>30.025720938258672</v>
      </c>
      <c r="G10" s="51">
        <v>2.5185627045123193</v>
      </c>
      <c r="H10" s="52">
        <v>28.734890118258942</v>
      </c>
      <c r="I10" s="53">
        <v>2.464217011325069</v>
      </c>
      <c r="J10" s="50">
        <v>27.305780207711983</v>
      </c>
      <c r="K10" s="51">
        <v>2.3347469681616135</v>
      </c>
      <c r="L10" s="50">
        <v>28.440427231694908</v>
      </c>
      <c r="M10" s="51">
        <v>2.3082218676448951</v>
      </c>
      <c r="N10" s="50">
        <v>27.987469589143089</v>
      </c>
      <c r="O10" s="51">
        <v>1.9526508731950627</v>
      </c>
    </row>
    <row r="11" spans="1:15" customFormat="1" ht="15">
      <c r="A11" s="49" t="str">
        <f>HLOOKUP(INDICE!$F$2,Nombres!$C$3:$E$853,216)</f>
        <v xml:space="preserve">  . Moneda extranjera</v>
      </c>
      <c r="B11" s="50">
        <v>23.82056494746724</v>
      </c>
      <c r="C11" s="51">
        <v>8.9460910355886352</v>
      </c>
      <c r="D11" s="50">
        <v>23.814599495469054</v>
      </c>
      <c r="E11" s="51">
        <v>9.3297072533424572</v>
      </c>
      <c r="F11" s="50">
        <v>24.747032747917689</v>
      </c>
      <c r="G11" s="51">
        <v>9.14697089245497</v>
      </c>
      <c r="H11" s="52">
        <v>25.525262066255578</v>
      </c>
      <c r="I11" s="53">
        <v>9.5817395803502574</v>
      </c>
      <c r="J11" s="50">
        <v>26.719597813436657</v>
      </c>
      <c r="K11" s="51">
        <v>7.611827452187514</v>
      </c>
      <c r="L11" s="50">
        <v>25.236717988199274</v>
      </c>
      <c r="M11" s="51">
        <v>8.0432868302691318</v>
      </c>
      <c r="N11" s="50">
        <v>26.794340253004496</v>
      </c>
      <c r="O11" s="51">
        <v>8.9479327752313207</v>
      </c>
    </row>
    <row r="12" spans="1:15" customFormat="1" ht="15">
      <c r="A12" s="49" t="str">
        <f>HLOOKUP(INDICE!$F$2,Nombres!$C$3:$E$853,217)</f>
        <v>Otros activos</v>
      </c>
      <c r="B12" s="50">
        <v>7.8397830081362487</v>
      </c>
      <c r="C12" s="51">
        <v>0.47686910207784555</v>
      </c>
      <c r="D12" s="50">
        <v>7.7285171347682118</v>
      </c>
      <c r="E12" s="51">
        <v>0.39997789245888543</v>
      </c>
      <c r="F12" s="50">
        <v>7.8848336751085668</v>
      </c>
      <c r="G12" s="51">
        <v>0.50444909953428385</v>
      </c>
      <c r="H12" s="52">
        <v>7.8307699434757767</v>
      </c>
      <c r="I12" s="53">
        <v>0.53501277481129483</v>
      </c>
      <c r="J12" s="50">
        <v>7.9631904959990463</v>
      </c>
      <c r="K12" s="51">
        <v>0.5001928779880046</v>
      </c>
      <c r="L12" s="50">
        <v>8.4661723951222214</v>
      </c>
      <c r="M12" s="51">
        <v>0.44087510734454755</v>
      </c>
      <c r="N12" s="50">
        <v>8.5089751364999984</v>
      </c>
      <c r="O12" s="51">
        <v>0.14712610705286155</v>
      </c>
    </row>
    <row r="13" spans="1:15">
      <c r="A13" s="54" t="str">
        <f>HLOOKUP(INDICE!$F$2,Nombres!$C$3:$E$853,218)</f>
        <v>Total activo</v>
      </c>
      <c r="B13" s="55">
        <v>100</v>
      </c>
      <c r="C13" s="56">
        <v>3.9171757924421935</v>
      </c>
      <c r="D13" s="55">
        <v>99.999999999999986</v>
      </c>
      <c r="E13" s="56">
        <v>3.9136551694848447</v>
      </c>
      <c r="F13" s="55">
        <v>100</v>
      </c>
      <c r="G13" s="56">
        <v>3.8682464182034839</v>
      </c>
      <c r="H13" s="57">
        <v>100</v>
      </c>
      <c r="I13" s="58">
        <v>4.0355890630473779</v>
      </c>
      <c r="J13" s="55">
        <v>99.999999999999986</v>
      </c>
      <c r="K13" s="56">
        <v>3.399811470511465</v>
      </c>
      <c r="L13" s="55">
        <v>100</v>
      </c>
      <c r="M13" s="56">
        <v>3.3788535806870725</v>
      </c>
      <c r="N13" s="55">
        <v>100</v>
      </c>
      <c r="O13" s="56">
        <v>3.7711520317260079</v>
      </c>
    </row>
    <row r="14" spans="1:15" customFormat="1" ht="15">
      <c r="A14" s="49" t="str">
        <f>HLOOKUP(INDICE!$F$2,Nombres!$C$3:$E$853,219)</f>
        <v>Depósitos de bancos centrales y entidades de crédito</v>
      </c>
      <c r="B14" s="50">
        <v>14.208353970649377</v>
      </c>
      <c r="C14" s="51">
        <v>1.7992764558366601</v>
      </c>
      <c r="D14" s="50">
        <v>13.942305165575872</v>
      </c>
      <c r="E14" s="51">
        <v>1.8901979197990071</v>
      </c>
      <c r="F14" s="50">
        <v>12.941327762813353</v>
      </c>
      <c r="G14" s="51">
        <v>1.7446137821876004</v>
      </c>
      <c r="H14" s="52">
        <v>14.615884284572608</v>
      </c>
      <c r="I14" s="53">
        <v>1.6366002714426127</v>
      </c>
      <c r="J14" s="50">
        <v>13.142757115169834</v>
      </c>
      <c r="K14" s="51">
        <v>1.5403691942667757</v>
      </c>
      <c r="L14" s="50">
        <v>14.072003443573799</v>
      </c>
      <c r="M14" s="51">
        <v>1.4511041951156827</v>
      </c>
      <c r="N14" s="50">
        <v>14.615517085972311</v>
      </c>
      <c r="O14" s="51">
        <v>1.7091266326442436</v>
      </c>
    </row>
    <row r="15" spans="1:15" customFormat="1" ht="15">
      <c r="A15" s="49" t="str">
        <f>HLOOKUP(INDICE!$F$2,Nombres!$C$3:$E$853,220)</f>
        <v>Depósitos de la clientela</v>
      </c>
      <c r="B15" s="50">
        <v>51.244977183763083</v>
      </c>
      <c r="C15" s="51">
        <v>1.6014941451278446</v>
      </c>
      <c r="D15" s="50">
        <v>51.380773493309171</v>
      </c>
      <c r="E15" s="51">
        <v>1.5684322695643813</v>
      </c>
      <c r="F15" s="50">
        <v>52.145843981577379</v>
      </c>
      <c r="G15" s="51">
        <v>1.4495552107749177</v>
      </c>
      <c r="H15" s="52">
        <v>50.944553759343314</v>
      </c>
      <c r="I15" s="53">
        <v>1.4257636061527812</v>
      </c>
      <c r="J15" s="50">
        <v>51.356242065611198</v>
      </c>
      <c r="K15" s="51">
        <v>1.147252183618457</v>
      </c>
      <c r="L15" s="50">
        <v>51.384483469452057</v>
      </c>
      <c r="M15" s="51">
        <v>1.1240322524013819</v>
      </c>
      <c r="N15" s="50">
        <v>52.138949434206651</v>
      </c>
      <c r="O15" s="51">
        <v>1.3393546930921107</v>
      </c>
    </row>
    <row r="16" spans="1:15" customFormat="1" ht="15">
      <c r="A16" s="49" t="str">
        <f>HLOOKUP(INDICE!$F$2,Nombres!$C$3:$E$853,221)</f>
        <v xml:space="preserve">  . Euros</v>
      </c>
      <c r="B16" s="50">
        <v>26.827826606086575</v>
      </c>
      <c r="C16" s="51">
        <v>1.2813965086684802</v>
      </c>
      <c r="D16" s="50">
        <v>26.713687177643742</v>
      </c>
      <c r="E16" s="51">
        <v>1.1402755999510317</v>
      </c>
      <c r="F16" s="50">
        <v>26.726173962453121</v>
      </c>
      <c r="G16" s="51">
        <v>0.98261790099651802</v>
      </c>
      <c r="H16" s="52">
        <v>25.213988044835872</v>
      </c>
      <c r="I16" s="53">
        <v>0.86903811660727226</v>
      </c>
      <c r="J16" s="50">
        <v>24.617791944362896</v>
      </c>
      <c r="K16" s="51">
        <v>0.6938372425453696</v>
      </c>
      <c r="L16" s="50">
        <v>27.185846676568698</v>
      </c>
      <c r="M16" s="51">
        <v>0.61232164209050843</v>
      </c>
      <c r="N16" s="50">
        <v>27.035399380804705</v>
      </c>
      <c r="O16" s="51">
        <v>0.3932033715577215</v>
      </c>
    </row>
    <row r="17" spans="1:15" customFormat="1" ht="15">
      <c r="A17" s="49" t="str">
        <f>HLOOKUP(INDICE!$F$2,Nombres!$C$3:$E$853,224)</f>
        <v xml:space="preserve">  . Moneda extranjera</v>
      </c>
      <c r="B17" s="50">
        <v>24.417150577676523</v>
      </c>
      <c r="C17" s="51">
        <v>1.9531946378053606</v>
      </c>
      <c r="D17" s="50">
        <v>24.667086315665422</v>
      </c>
      <c r="E17" s="51">
        <v>2.0321126243782803</v>
      </c>
      <c r="F17" s="50">
        <v>25.419670019124258</v>
      </c>
      <c r="G17" s="51">
        <v>1.940491865786905</v>
      </c>
      <c r="H17" s="52">
        <v>25.730565714507449</v>
      </c>
      <c r="I17" s="53">
        <v>1.9713120403926612</v>
      </c>
      <c r="J17" s="50">
        <v>26.738450121248309</v>
      </c>
      <c r="K17" s="51">
        <v>1.5647062482028751</v>
      </c>
      <c r="L17" s="50">
        <v>24.19863679288337</v>
      </c>
      <c r="M17" s="51">
        <v>1.6989111728030457</v>
      </c>
      <c r="N17" s="50">
        <v>25.103550053401964</v>
      </c>
      <c r="O17" s="51">
        <v>2.3583173018842434</v>
      </c>
    </row>
    <row r="18" spans="1:15" customFormat="1" ht="15">
      <c r="A18" s="49" t="str">
        <f>HLOOKUP(INDICE!$F$2,Nombres!$C$3:$E$853,225)</f>
        <v>Valores negociables y pasivos subordinados</v>
      </c>
      <c r="B18" s="50">
        <v>13.91607517704073</v>
      </c>
      <c r="C18" s="51">
        <v>2.4023984452024698</v>
      </c>
      <c r="D18" s="50">
        <v>13.663563543246642</v>
      </c>
      <c r="E18" s="51">
        <v>2.3610955971101855</v>
      </c>
      <c r="F18" s="50">
        <v>13.212695274195346</v>
      </c>
      <c r="G18" s="51">
        <v>2.2423805554118168</v>
      </c>
      <c r="H18" s="52">
        <v>12.529977515791527</v>
      </c>
      <c r="I18" s="53">
        <v>2.2450106950126161</v>
      </c>
      <c r="J18" s="50">
        <v>12.752868233238162</v>
      </c>
      <c r="K18" s="51">
        <v>2.0196328496069671</v>
      </c>
      <c r="L18" s="50">
        <v>12.756385622477099</v>
      </c>
      <c r="M18" s="51">
        <v>2.037504971991448</v>
      </c>
      <c r="N18" s="50">
        <v>12.891650707034414</v>
      </c>
      <c r="O18" s="51">
        <v>2.2374975045856167</v>
      </c>
    </row>
    <row r="19" spans="1:15" customFormat="1" ht="15">
      <c r="A19" s="49" t="str">
        <f>HLOOKUP(INDICE!$F$2,Nombres!$C$3:$E$853,226)</f>
        <v>Otros pasivos</v>
      </c>
      <c r="B19" s="50">
        <v>13.130030271651217</v>
      </c>
      <c r="C19" s="51">
        <v>1.3298181476857114</v>
      </c>
      <c r="D19" s="50">
        <v>13.509361071366241</v>
      </c>
      <c r="E19" s="51">
        <v>0.99523326305270432</v>
      </c>
      <c r="F19" s="50">
        <v>14.059915923555483</v>
      </c>
      <c r="G19" s="51">
        <v>1.1033477662159392</v>
      </c>
      <c r="H19" s="52">
        <v>14.111810802348257</v>
      </c>
      <c r="I19" s="53">
        <v>1.282156329870257</v>
      </c>
      <c r="J19" s="50">
        <v>14.694883166518968</v>
      </c>
      <c r="K19" s="51">
        <v>0.85498643499206595</v>
      </c>
      <c r="L19" s="50">
        <v>14.273196312024725</v>
      </c>
      <c r="M19" s="51">
        <v>0.79110202347473979</v>
      </c>
      <c r="N19" s="50">
        <v>12.957149331260833</v>
      </c>
      <c r="O19" s="51">
        <v>0.97787552742954931</v>
      </c>
    </row>
    <row r="20" spans="1:15" customFormat="1" ht="15">
      <c r="A20" s="49" t="str">
        <f>HLOOKUP(INDICE!$F$2,Nombres!$C$3:$E$853,227)</f>
        <v>Patrimonio neto</v>
      </c>
      <c r="B20" s="50">
        <v>7.5005633968955765</v>
      </c>
      <c r="C20" s="59">
        <v>0</v>
      </c>
      <c r="D20" s="50">
        <v>7.5039967265020628</v>
      </c>
      <c r="E20" s="59">
        <v>0</v>
      </c>
      <c r="F20" s="50">
        <v>7.6402170578584325</v>
      </c>
      <c r="G20" s="60" t="s">
        <v>500</v>
      </c>
      <c r="H20" s="52">
        <v>7.7977736379442799</v>
      </c>
      <c r="I20" s="53">
        <v>0</v>
      </c>
      <c r="J20" s="50">
        <v>8.0532949347606735</v>
      </c>
      <c r="K20" s="59">
        <v>0</v>
      </c>
      <c r="L20" s="50">
        <v>7.5138896238199706</v>
      </c>
      <c r="M20" s="59">
        <v>0</v>
      </c>
      <c r="N20" s="50">
        <v>7.3967334415257602</v>
      </c>
      <c r="O20" s="60">
        <v>0</v>
      </c>
    </row>
    <row r="21" spans="1:15">
      <c r="A21" s="54" t="str">
        <f>HLOOKUP(INDICE!$F$2,Nombres!$C$3:$E$853,228)</f>
        <v>Total patrimonio neto y pasivo</v>
      </c>
      <c r="B21" s="55">
        <v>99.999999999999972</v>
      </c>
      <c r="C21" s="56">
        <v>1.5852579760613721</v>
      </c>
      <c r="D21" s="55">
        <v>100</v>
      </c>
      <c r="E21" s="56">
        <v>1.5264692462686669</v>
      </c>
      <c r="F21" s="55">
        <v>100</v>
      </c>
      <c r="G21" s="56">
        <v>1.4330676643343869</v>
      </c>
      <c r="H21" s="57">
        <v>100</v>
      </c>
      <c r="I21" s="58">
        <v>1.4277873194665278</v>
      </c>
      <c r="J21" s="55">
        <v>100.00004551529882</v>
      </c>
      <c r="K21" s="56">
        <v>1.1748324294902341</v>
      </c>
      <c r="L21" s="55">
        <v>99.999958471347639</v>
      </c>
      <c r="M21" s="56">
        <v>1.1546056148684949</v>
      </c>
      <c r="N21" s="55">
        <v>99.999999999999972</v>
      </c>
      <c r="O21" s="56">
        <v>1.3632783164236824</v>
      </c>
    </row>
    <row r="22" spans="1:15">
      <c r="A22" s="54" t="str">
        <f>HLOOKUP(INDICE!$F$2,Nombres!$C$3:$E$853,229)</f>
        <v>Margen de intereses/activos totales medios (ATM)</v>
      </c>
      <c r="B22" s="55"/>
      <c r="C22" s="56">
        <v>2.3319178163808214</v>
      </c>
      <c r="D22" s="55"/>
      <c r="E22" s="56">
        <v>2.3871859232161778</v>
      </c>
      <c r="F22" s="55"/>
      <c r="G22" s="56">
        <v>2.435178753869097</v>
      </c>
      <c r="H22" s="57"/>
      <c r="I22" s="58">
        <v>2.60780174358085</v>
      </c>
      <c r="J22" s="55"/>
      <c r="K22" s="56">
        <v>2.2249790410212311</v>
      </c>
      <c r="L22" s="55"/>
      <c r="M22" s="56">
        <v>2.2242479658185776</v>
      </c>
      <c r="N22" s="55"/>
      <c r="O22" s="56">
        <v>2.4078737153023253</v>
      </c>
    </row>
    <row r="23" spans="1:15">
      <c r="A23" s="61"/>
      <c r="B23" s="62"/>
      <c r="D23" s="62"/>
      <c r="F23" s="62"/>
    </row>
    <row r="24" spans="1:15">
      <c r="A24" s="61"/>
      <c r="B24" s="62"/>
      <c r="D24" s="62"/>
      <c r="F24" s="62"/>
    </row>
    <row r="25" spans="1:15">
      <c r="A25" s="61"/>
      <c r="B25" s="62"/>
      <c r="D25" s="62"/>
      <c r="F25" s="62"/>
    </row>
  </sheetData>
  <mergeCells count="1">
    <mergeCell ref="B3:D3"/>
  </mergeCells>
  <pageMargins left="0.7" right="0.7" top="0.75" bottom="0.75" header="0.3" footer="0.3"/>
  <pageSetup paperSize="9" scale="47"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W322"/>
  <sheetViews>
    <sheetView showGridLines="0" showZeros="0" showOutlineSymbols="0" topLeftCell="A181" zoomScale="150" zoomScaleNormal="150" workbookViewId="0">
      <selection activeCell="D196" sqref="D196"/>
    </sheetView>
  </sheetViews>
  <sheetFormatPr baseColWidth="10" defaultColWidth="9.140625" defaultRowHeight="11.25"/>
  <cols>
    <col min="1" max="1" width="2.42578125" style="27" customWidth="1"/>
    <col min="2" max="2" width="5.28515625" style="27" bestFit="1" customWidth="1"/>
    <col min="3" max="3" width="56.140625" style="28" customWidth="1"/>
    <col min="4" max="4" width="20.7109375" style="28" customWidth="1"/>
    <col min="5" max="5" width="38.5703125" style="28" customWidth="1"/>
    <col min="6" max="256" width="9.140625" style="27"/>
    <col min="257" max="257" width="2.42578125" style="27" customWidth="1"/>
    <col min="258" max="258" width="5.28515625" style="27" bestFit="1" customWidth="1"/>
    <col min="259" max="259" width="56.140625" style="27" customWidth="1"/>
    <col min="260" max="260" width="20.7109375" style="27" customWidth="1"/>
    <col min="261" max="261" width="38.5703125" style="27" customWidth="1"/>
    <col min="262" max="512" width="9.140625" style="27"/>
    <col min="513" max="513" width="2.42578125" style="27" customWidth="1"/>
    <col min="514" max="514" width="5.28515625" style="27" bestFit="1" customWidth="1"/>
    <col min="515" max="515" width="56.140625" style="27" customWidth="1"/>
    <col min="516" max="516" width="20.7109375" style="27" customWidth="1"/>
    <col min="517" max="517" width="38.5703125" style="27" customWidth="1"/>
    <col min="518" max="768" width="9.140625" style="27"/>
    <col min="769" max="769" width="2.42578125" style="27" customWidth="1"/>
    <col min="770" max="770" width="5.28515625" style="27" bestFit="1" customWidth="1"/>
    <col min="771" max="771" width="56.140625" style="27" customWidth="1"/>
    <col min="772" max="772" width="20.7109375" style="27" customWidth="1"/>
    <col min="773" max="773" width="38.5703125" style="27" customWidth="1"/>
    <col min="774" max="1024" width="9.140625" style="27"/>
    <col min="1025" max="1025" width="2.42578125" style="27" customWidth="1"/>
    <col min="1026" max="1026" width="5.28515625" style="27" bestFit="1" customWidth="1"/>
    <col min="1027" max="1027" width="56.140625" style="27" customWidth="1"/>
    <col min="1028" max="1028" width="20.7109375" style="27" customWidth="1"/>
    <col min="1029" max="1029" width="38.5703125" style="27" customWidth="1"/>
    <col min="1030" max="1280" width="9.140625" style="27"/>
    <col min="1281" max="1281" width="2.42578125" style="27" customWidth="1"/>
    <col min="1282" max="1282" width="5.28515625" style="27" bestFit="1" customWidth="1"/>
    <col min="1283" max="1283" width="56.140625" style="27" customWidth="1"/>
    <col min="1284" max="1284" width="20.7109375" style="27" customWidth="1"/>
    <col min="1285" max="1285" width="38.5703125" style="27" customWidth="1"/>
    <col min="1286" max="1536" width="9.140625" style="27"/>
    <col min="1537" max="1537" width="2.42578125" style="27" customWidth="1"/>
    <col min="1538" max="1538" width="5.28515625" style="27" bestFit="1" customWidth="1"/>
    <col min="1539" max="1539" width="56.140625" style="27" customWidth="1"/>
    <col min="1540" max="1540" width="20.7109375" style="27" customWidth="1"/>
    <col min="1541" max="1541" width="38.5703125" style="27" customWidth="1"/>
    <col min="1542" max="1792" width="9.140625" style="27"/>
    <col min="1793" max="1793" width="2.42578125" style="27" customWidth="1"/>
    <col min="1794" max="1794" width="5.28515625" style="27" bestFit="1" customWidth="1"/>
    <col min="1795" max="1795" width="56.140625" style="27" customWidth="1"/>
    <col min="1796" max="1796" width="20.7109375" style="27" customWidth="1"/>
    <col min="1797" max="1797" width="38.5703125" style="27" customWidth="1"/>
    <col min="1798" max="2048" width="9.140625" style="27"/>
    <col min="2049" max="2049" width="2.42578125" style="27" customWidth="1"/>
    <col min="2050" max="2050" width="5.28515625" style="27" bestFit="1" customWidth="1"/>
    <col min="2051" max="2051" width="56.140625" style="27" customWidth="1"/>
    <col min="2052" max="2052" width="20.7109375" style="27" customWidth="1"/>
    <col min="2053" max="2053" width="38.5703125" style="27" customWidth="1"/>
    <col min="2054" max="2304" width="9.140625" style="27"/>
    <col min="2305" max="2305" width="2.42578125" style="27" customWidth="1"/>
    <col min="2306" max="2306" width="5.28515625" style="27" bestFit="1" customWidth="1"/>
    <col min="2307" max="2307" width="56.140625" style="27" customWidth="1"/>
    <col min="2308" max="2308" width="20.7109375" style="27" customWidth="1"/>
    <col min="2309" max="2309" width="38.5703125" style="27" customWidth="1"/>
    <col min="2310" max="2560" width="9.140625" style="27"/>
    <col min="2561" max="2561" width="2.42578125" style="27" customWidth="1"/>
    <col min="2562" max="2562" width="5.28515625" style="27" bestFit="1" customWidth="1"/>
    <col min="2563" max="2563" width="56.140625" style="27" customWidth="1"/>
    <col min="2564" max="2564" width="20.7109375" style="27" customWidth="1"/>
    <col min="2565" max="2565" width="38.5703125" style="27" customWidth="1"/>
    <col min="2566" max="2816" width="9.140625" style="27"/>
    <col min="2817" max="2817" width="2.42578125" style="27" customWidth="1"/>
    <col min="2818" max="2818" width="5.28515625" style="27" bestFit="1" customWidth="1"/>
    <col min="2819" max="2819" width="56.140625" style="27" customWidth="1"/>
    <col min="2820" max="2820" width="20.7109375" style="27" customWidth="1"/>
    <col min="2821" max="2821" width="38.5703125" style="27" customWidth="1"/>
    <col min="2822" max="3072" width="9.140625" style="27"/>
    <col min="3073" max="3073" width="2.42578125" style="27" customWidth="1"/>
    <col min="3074" max="3074" width="5.28515625" style="27" bestFit="1" customWidth="1"/>
    <col min="3075" max="3075" width="56.140625" style="27" customWidth="1"/>
    <col min="3076" max="3076" width="20.7109375" style="27" customWidth="1"/>
    <col min="3077" max="3077" width="38.5703125" style="27" customWidth="1"/>
    <col min="3078" max="3328" width="9.140625" style="27"/>
    <col min="3329" max="3329" width="2.42578125" style="27" customWidth="1"/>
    <col min="3330" max="3330" width="5.28515625" style="27" bestFit="1" customWidth="1"/>
    <col min="3331" max="3331" width="56.140625" style="27" customWidth="1"/>
    <col min="3332" max="3332" width="20.7109375" style="27" customWidth="1"/>
    <col min="3333" max="3333" width="38.5703125" style="27" customWidth="1"/>
    <col min="3334" max="3584" width="9.140625" style="27"/>
    <col min="3585" max="3585" width="2.42578125" style="27" customWidth="1"/>
    <col min="3586" max="3586" width="5.28515625" style="27" bestFit="1" customWidth="1"/>
    <col min="3587" max="3587" width="56.140625" style="27" customWidth="1"/>
    <col min="3588" max="3588" width="20.7109375" style="27" customWidth="1"/>
    <col min="3589" max="3589" width="38.5703125" style="27" customWidth="1"/>
    <col min="3590" max="3840" width="9.140625" style="27"/>
    <col min="3841" max="3841" width="2.42578125" style="27" customWidth="1"/>
    <col min="3842" max="3842" width="5.28515625" style="27" bestFit="1" customWidth="1"/>
    <col min="3843" max="3843" width="56.140625" style="27" customWidth="1"/>
    <col min="3844" max="3844" width="20.7109375" style="27" customWidth="1"/>
    <col min="3845" max="3845" width="38.5703125" style="27" customWidth="1"/>
    <col min="3846" max="4096" width="9.140625" style="27"/>
    <col min="4097" max="4097" width="2.42578125" style="27" customWidth="1"/>
    <col min="4098" max="4098" width="5.28515625" style="27" bestFit="1" customWidth="1"/>
    <col min="4099" max="4099" width="56.140625" style="27" customWidth="1"/>
    <col min="4100" max="4100" width="20.7109375" style="27" customWidth="1"/>
    <col min="4101" max="4101" width="38.5703125" style="27" customWidth="1"/>
    <col min="4102" max="4352" width="9.140625" style="27"/>
    <col min="4353" max="4353" width="2.42578125" style="27" customWidth="1"/>
    <col min="4354" max="4354" width="5.28515625" style="27" bestFit="1" customWidth="1"/>
    <col min="4355" max="4355" width="56.140625" style="27" customWidth="1"/>
    <col min="4356" max="4356" width="20.7109375" style="27" customWidth="1"/>
    <col min="4357" max="4357" width="38.5703125" style="27" customWidth="1"/>
    <col min="4358" max="4608" width="9.140625" style="27"/>
    <col min="4609" max="4609" width="2.42578125" style="27" customWidth="1"/>
    <col min="4610" max="4610" width="5.28515625" style="27" bestFit="1" customWidth="1"/>
    <col min="4611" max="4611" width="56.140625" style="27" customWidth="1"/>
    <col min="4612" max="4612" width="20.7109375" style="27" customWidth="1"/>
    <col min="4613" max="4613" width="38.5703125" style="27" customWidth="1"/>
    <col min="4614" max="4864" width="9.140625" style="27"/>
    <col min="4865" max="4865" width="2.42578125" style="27" customWidth="1"/>
    <col min="4866" max="4866" width="5.28515625" style="27" bestFit="1" customWidth="1"/>
    <col min="4867" max="4867" width="56.140625" style="27" customWidth="1"/>
    <col min="4868" max="4868" width="20.7109375" style="27" customWidth="1"/>
    <col min="4869" max="4869" width="38.5703125" style="27" customWidth="1"/>
    <col min="4870" max="5120" width="9.140625" style="27"/>
    <col min="5121" max="5121" width="2.42578125" style="27" customWidth="1"/>
    <col min="5122" max="5122" width="5.28515625" style="27" bestFit="1" customWidth="1"/>
    <col min="5123" max="5123" width="56.140625" style="27" customWidth="1"/>
    <col min="5124" max="5124" width="20.7109375" style="27" customWidth="1"/>
    <col min="5125" max="5125" width="38.5703125" style="27" customWidth="1"/>
    <col min="5126" max="5376" width="9.140625" style="27"/>
    <col min="5377" max="5377" width="2.42578125" style="27" customWidth="1"/>
    <col min="5378" max="5378" width="5.28515625" style="27" bestFit="1" customWidth="1"/>
    <col min="5379" max="5379" width="56.140625" style="27" customWidth="1"/>
    <col min="5380" max="5380" width="20.7109375" style="27" customWidth="1"/>
    <col min="5381" max="5381" width="38.5703125" style="27" customWidth="1"/>
    <col min="5382" max="5632" width="9.140625" style="27"/>
    <col min="5633" max="5633" width="2.42578125" style="27" customWidth="1"/>
    <col min="5634" max="5634" width="5.28515625" style="27" bestFit="1" customWidth="1"/>
    <col min="5635" max="5635" width="56.140625" style="27" customWidth="1"/>
    <col min="5636" max="5636" width="20.7109375" style="27" customWidth="1"/>
    <col min="5637" max="5637" width="38.5703125" style="27" customWidth="1"/>
    <col min="5638" max="5888" width="9.140625" style="27"/>
    <col min="5889" max="5889" width="2.42578125" style="27" customWidth="1"/>
    <col min="5890" max="5890" width="5.28515625" style="27" bestFit="1" customWidth="1"/>
    <col min="5891" max="5891" width="56.140625" style="27" customWidth="1"/>
    <col min="5892" max="5892" width="20.7109375" style="27" customWidth="1"/>
    <col min="5893" max="5893" width="38.5703125" style="27" customWidth="1"/>
    <col min="5894" max="6144" width="9.140625" style="27"/>
    <col min="6145" max="6145" width="2.42578125" style="27" customWidth="1"/>
    <col min="6146" max="6146" width="5.28515625" style="27" bestFit="1" customWidth="1"/>
    <col min="6147" max="6147" width="56.140625" style="27" customWidth="1"/>
    <col min="6148" max="6148" width="20.7109375" style="27" customWidth="1"/>
    <col min="6149" max="6149" width="38.5703125" style="27" customWidth="1"/>
    <col min="6150" max="6400" width="9.140625" style="27"/>
    <col min="6401" max="6401" width="2.42578125" style="27" customWidth="1"/>
    <col min="6402" max="6402" width="5.28515625" style="27" bestFit="1" customWidth="1"/>
    <col min="6403" max="6403" width="56.140625" style="27" customWidth="1"/>
    <col min="6404" max="6404" width="20.7109375" style="27" customWidth="1"/>
    <col min="6405" max="6405" width="38.5703125" style="27" customWidth="1"/>
    <col min="6406" max="6656" width="9.140625" style="27"/>
    <col min="6657" max="6657" width="2.42578125" style="27" customWidth="1"/>
    <col min="6658" max="6658" width="5.28515625" style="27" bestFit="1" customWidth="1"/>
    <col min="6659" max="6659" width="56.140625" style="27" customWidth="1"/>
    <col min="6660" max="6660" width="20.7109375" style="27" customWidth="1"/>
    <col min="6661" max="6661" width="38.5703125" style="27" customWidth="1"/>
    <col min="6662" max="6912" width="9.140625" style="27"/>
    <col min="6913" max="6913" width="2.42578125" style="27" customWidth="1"/>
    <col min="6914" max="6914" width="5.28515625" style="27" bestFit="1" customWidth="1"/>
    <col min="6915" max="6915" width="56.140625" style="27" customWidth="1"/>
    <col min="6916" max="6916" width="20.7109375" style="27" customWidth="1"/>
    <col min="6917" max="6917" width="38.5703125" style="27" customWidth="1"/>
    <col min="6918" max="7168" width="9.140625" style="27"/>
    <col min="7169" max="7169" width="2.42578125" style="27" customWidth="1"/>
    <col min="7170" max="7170" width="5.28515625" style="27" bestFit="1" customWidth="1"/>
    <col min="7171" max="7171" width="56.140625" style="27" customWidth="1"/>
    <col min="7172" max="7172" width="20.7109375" style="27" customWidth="1"/>
    <col min="7173" max="7173" width="38.5703125" style="27" customWidth="1"/>
    <col min="7174" max="7424" width="9.140625" style="27"/>
    <col min="7425" max="7425" width="2.42578125" style="27" customWidth="1"/>
    <col min="7426" max="7426" width="5.28515625" style="27" bestFit="1" customWidth="1"/>
    <col min="7427" max="7427" width="56.140625" style="27" customWidth="1"/>
    <col min="7428" max="7428" width="20.7109375" style="27" customWidth="1"/>
    <col min="7429" max="7429" width="38.5703125" style="27" customWidth="1"/>
    <col min="7430" max="7680" width="9.140625" style="27"/>
    <col min="7681" max="7681" width="2.42578125" style="27" customWidth="1"/>
    <col min="7682" max="7682" width="5.28515625" style="27" bestFit="1" customWidth="1"/>
    <col min="7683" max="7683" width="56.140625" style="27" customWidth="1"/>
    <col min="7684" max="7684" width="20.7109375" style="27" customWidth="1"/>
    <col min="7685" max="7685" width="38.5703125" style="27" customWidth="1"/>
    <col min="7686" max="7936" width="9.140625" style="27"/>
    <col min="7937" max="7937" width="2.42578125" style="27" customWidth="1"/>
    <col min="7938" max="7938" width="5.28515625" style="27" bestFit="1" customWidth="1"/>
    <col min="7939" max="7939" width="56.140625" style="27" customWidth="1"/>
    <col min="7940" max="7940" width="20.7109375" style="27" customWidth="1"/>
    <col min="7941" max="7941" width="38.5703125" style="27" customWidth="1"/>
    <col min="7942" max="8192" width="9.140625" style="27"/>
    <col min="8193" max="8193" width="2.42578125" style="27" customWidth="1"/>
    <col min="8194" max="8194" width="5.28515625" style="27" bestFit="1" customWidth="1"/>
    <col min="8195" max="8195" width="56.140625" style="27" customWidth="1"/>
    <col min="8196" max="8196" width="20.7109375" style="27" customWidth="1"/>
    <col min="8197" max="8197" width="38.5703125" style="27" customWidth="1"/>
    <col min="8198" max="8448" width="9.140625" style="27"/>
    <col min="8449" max="8449" width="2.42578125" style="27" customWidth="1"/>
    <col min="8450" max="8450" width="5.28515625" style="27" bestFit="1" customWidth="1"/>
    <col min="8451" max="8451" width="56.140625" style="27" customWidth="1"/>
    <col min="8452" max="8452" width="20.7109375" style="27" customWidth="1"/>
    <col min="8453" max="8453" width="38.5703125" style="27" customWidth="1"/>
    <col min="8454" max="8704" width="9.140625" style="27"/>
    <col min="8705" max="8705" width="2.42578125" style="27" customWidth="1"/>
    <col min="8706" max="8706" width="5.28515625" style="27" bestFit="1" customWidth="1"/>
    <col min="8707" max="8707" width="56.140625" style="27" customWidth="1"/>
    <col min="8708" max="8708" width="20.7109375" style="27" customWidth="1"/>
    <col min="8709" max="8709" width="38.5703125" style="27" customWidth="1"/>
    <col min="8710" max="8960" width="9.140625" style="27"/>
    <col min="8961" max="8961" width="2.42578125" style="27" customWidth="1"/>
    <col min="8962" max="8962" width="5.28515625" style="27" bestFit="1" customWidth="1"/>
    <col min="8963" max="8963" width="56.140625" style="27" customWidth="1"/>
    <col min="8964" max="8964" width="20.7109375" style="27" customWidth="1"/>
    <col min="8965" max="8965" width="38.5703125" style="27" customWidth="1"/>
    <col min="8966" max="9216" width="9.140625" style="27"/>
    <col min="9217" max="9217" width="2.42578125" style="27" customWidth="1"/>
    <col min="9218" max="9218" width="5.28515625" style="27" bestFit="1" customWidth="1"/>
    <col min="9219" max="9219" width="56.140625" style="27" customWidth="1"/>
    <col min="9220" max="9220" width="20.7109375" style="27" customWidth="1"/>
    <col min="9221" max="9221" width="38.5703125" style="27" customWidth="1"/>
    <col min="9222" max="9472" width="9.140625" style="27"/>
    <col min="9473" max="9473" width="2.42578125" style="27" customWidth="1"/>
    <col min="9474" max="9474" width="5.28515625" style="27" bestFit="1" customWidth="1"/>
    <col min="9475" max="9475" width="56.140625" style="27" customWidth="1"/>
    <col min="9476" max="9476" width="20.7109375" style="27" customWidth="1"/>
    <col min="9477" max="9477" width="38.5703125" style="27" customWidth="1"/>
    <col min="9478" max="9728" width="9.140625" style="27"/>
    <col min="9729" max="9729" width="2.42578125" style="27" customWidth="1"/>
    <col min="9730" max="9730" width="5.28515625" style="27" bestFit="1" customWidth="1"/>
    <col min="9731" max="9731" width="56.140625" style="27" customWidth="1"/>
    <col min="9732" max="9732" width="20.7109375" style="27" customWidth="1"/>
    <col min="9733" max="9733" width="38.5703125" style="27" customWidth="1"/>
    <col min="9734" max="9984" width="9.140625" style="27"/>
    <col min="9985" max="9985" width="2.42578125" style="27" customWidth="1"/>
    <col min="9986" max="9986" width="5.28515625" style="27" bestFit="1" customWidth="1"/>
    <col min="9987" max="9987" width="56.140625" style="27" customWidth="1"/>
    <col min="9988" max="9988" width="20.7109375" style="27" customWidth="1"/>
    <col min="9989" max="9989" width="38.5703125" style="27" customWidth="1"/>
    <col min="9990" max="10240" width="9.140625" style="27"/>
    <col min="10241" max="10241" width="2.42578125" style="27" customWidth="1"/>
    <col min="10242" max="10242" width="5.28515625" style="27" bestFit="1" customWidth="1"/>
    <col min="10243" max="10243" width="56.140625" style="27" customWidth="1"/>
    <col min="10244" max="10244" width="20.7109375" style="27" customWidth="1"/>
    <col min="10245" max="10245" width="38.5703125" style="27" customWidth="1"/>
    <col min="10246" max="10496" width="9.140625" style="27"/>
    <col min="10497" max="10497" width="2.42578125" style="27" customWidth="1"/>
    <col min="10498" max="10498" width="5.28515625" style="27" bestFit="1" customWidth="1"/>
    <col min="10499" max="10499" width="56.140625" style="27" customWidth="1"/>
    <col min="10500" max="10500" width="20.7109375" style="27" customWidth="1"/>
    <col min="10501" max="10501" width="38.5703125" style="27" customWidth="1"/>
    <col min="10502" max="10752" width="9.140625" style="27"/>
    <col min="10753" max="10753" width="2.42578125" style="27" customWidth="1"/>
    <col min="10754" max="10754" width="5.28515625" style="27" bestFit="1" customWidth="1"/>
    <col min="10755" max="10755" width="56.140625" style="27" customWidth="1"/>
    <col min="10756" max="10756" width="20.7109375" style="27" customWidth="1"/>
    <col min="10757" max="10757" width="38.5703125" style="27" customWidth="1"/>
    <col min="10758" max="11008" width="9.140625" style="27"/>
    <col min="11009" max="11009" width="2.42578125" style="27" customWidth="1"/>
    <col min="11010" max="11010" width="5.28515625" style="27" bestFit="1" customWidth="1"/>
    <col min="11011" max="11011" width="56.140625" style="27" customWidth="1"/>
    <col min="11012" max="11012" width="20.7109375" style="27" customWidth="1"/>
    <col min="11013" max="11013" width="38.5703125" style="27" customWidth="1"/>
    <col min="11014" max="11264" width="9.140625" style="27"/>
    <col min="11265" max="11265" width="2.42578125" style="27" customWidth="1"/>
    <col min="11266" max="11266" width="5.28515625" style="27" bestFit="1" customWidth="1"/>
    <col min="11267" max="11267" width="56.140625" style="27" customWidth="1"/>
    <col min="11268" max="11268" width="20.7109375" style="27" customWidth="1"/>
    <col min="11269" max="11269" width="38.5703125" style="27" customWidth="1"/>
    <col min="11270" max="11520" width="9.140625" style="27"/>
    <col min="11521" max="11521" width="2.42578125" style="27" customWidth="1"/>
    <col min="11522" max="11522" width="5.28515625" style="27" bestFit="1" customWidth="1"/>
    <col min="11523" max="11523" width="56.140625" style="27" customWidth="1"/>
    <col min="11524" max="11524" width="20.7109375" style="27" customWidth="1"/>
    <col min="11525" max="11525" width="38.5703125" style="27" customWidth="1"/>
    <col min="11526" max="11776" width="9.140625" style="27"/>
    <col min="11777" max="11777" width="2.42578125" style="27" customWidth="1"/>
    <col min="11778" max="11778" width="5.28515625" style="27" bestFit="1" customWidth="1"/>
    <col min="11779" max="11779" width="56.140625" style="27" customWidth="1"/>
    <col min="11780" max="11780" width="20.7109375" style="27" customWidth="1"/>
    <col min="11781" max="11781" width="38.5703125" style="27" customWidth="1"/>
    <col min="11782" max="12032" width="9.140625" style="27"/>
    <col min="12033" max="12033" width="2.42578125" style="27" customWidth="1"/>
    <col min="12034" max="12034" width="5.28515625" style="27" bestFit="1" customWidth="1"/>
    <col min="12035" max="12035" width="56.140625" style="27" customWidth="1"/>
    <col min="12036" max="12036" width="20.7109375" style="27" customWidth="1"/>
    <col min="12037" max="12037" width="38.5703125" style="27" customWidth="1"/>
    <col min="12038" max="12288" width="9.140625" style="27"/>
    <col min="12289" max="12289" width="2.42578125" style="27" customWidth="1"/>
    <col min="12290" max="12290" width="5.28515625" style="27" bestFit="1" customWidth="1"/>
    <col min="12291" max="12291" width="56.140625" style="27" customWidth="1"/>
    <col min="12292" max="12292" width="20.7109375" style="27" customWidth="1"/>
    <col min="12293" max="12293" width="38.5703125" style="27" customWidth="1"/>
    <col min="12294" max="12544" width="9.140625" style="27"/>
    <col min="12545" max="12545" width="2.42578125" style="27" customWidth="1"/>
    <col min="12546" max="12546" width="5.28515625" style="27" bestFit="1" customWidth="1"/>
    <col min="12547" max="12547" width="56.140625" style="27" customWidth="1"/>
    <col min="12548" max="12548" width="20.7109375" style="27" customWidth="1"/>
    <col min="12549" max="12549" width="38.5703125" style="27" customWidth="1"/>
    <col min="12550" max="12800" width="9.140625" style="27"/>
    <col min="12801" max="12801" width="2.42578125" style="27" customWidth="1"/>
    <col min="12802" max="12802" width="5.28515625" style="27" bestFit="1" customWidth="1"/>
    <col min="12803" max="12803" width="56.140625" style="27" customWidth="1"/>
    <col min="12804" max="12804" width="20.7109375" style="27" customWidth="1"/>
    <col min="12805" max="12805" width="38.5703125" style="27" customWidth="1"/>
    <col min="12806" max="13056" width="9.140625" style="27"/>
    <col min="13057" max="13057" width="2.42578125" style="27" customWidth="1"/>
    <col min="13058" max="13058" width="5.28515625" style="27" bestFit="1" customWidth="1"/>
    <col min="13059" max="13059" width="56.140625" style="27" customWidth="1"/>
    <col min="13060" max="13060" width="20.7109375" style="27" customWidth="1"/>
    <col min="13061" max="13061" width="38.5703125" style="27" customWidth="1"/>
    <col min="13062" max="13312" width="9.140625" style="27"/>
    <col min="13313" max="13313" width="2.42578125" style="27" customWidth="1"/>
    <col min="13314" max="13314" width="5.28515625" style="27" bestFit="1" customWidth="1"/>
    <col min="13315" max="13315" width="56.140625" style="27" customWidth="1"/>
    <col min="13316" max="13316" width="20.7109375" style="27" customWidth="1"/>
    <col min="13317" max="13317" width="38.5703125" style="27" customWidth="1"/>
    <col min="13318" max="13568" width="9.140625" style="27"/>
    <col min="13569" max="13569" width="2.42578125" style="27" customWidth="1"/>
    <col min="13570" max="13570" width="5.28515625" style="27" bestFit="1" customWidth="1"/>
    <col min="13571" max="13571" width="56.140625" style="27" customWidth="1"/>
    <col min="13572" max="13572" width="20.7109375" style="27" customWidth="1"/>
    <col min="13573" max="13573" width="38.5703125" style="27" customWidth="1"/>
    <col min="13574" max="13824" width="9.140625" style="27"/>
    <col min="13825" max="13825" width="2.42578125" style="27" customWidth="1"/>
    <col min="13826" max="13826" width="5.28515625" style="27" bestFit="1" customWidth="1"/>
    <col min="13827" max="13827" width="56.140625" style="27" customWidth="1"/>
    <col min="13828" max="13828" width="20.7109375" style="27" customWidth="1"/>
    <col min="13829" max="13829" width="38.5703125" style="27" customWidth="1"/>
    <col min="13830" max="14080" width="9.140625" style="27"/>
    <col min="14081" max="14081" width="2.42578125" style="27" customWidth="1"/>
    <col min="14082" max="14082" width="5.28515625" style="27" bestFit="1" customWidth="1"/>
    <col min="14083" max="14083" width="56.140625" style="27" customWidth="1"/>
    <col min="14084" max="14084" width="20.7109375" style="27" customWidth="1"/>
    <col min="14085" max="14085" width="38.5703125" style="27" customWidth="1"/>
    <col min="14086" max="14336" width="9.140625" style="27"/>
    <col min="14337" max="14337" width="2.42578125" style="27" customWidth="1"/>
    <col min="14338" max="14338" width="5.28515625" style="27" bestFit="1" customWidth="1"/>
    <col min="14339" max="14339" width="56.140625" style="27" customWidth="1"/>
    <col min="14340" max="14340" width="20.7109375" style="27" customWidth="1"/>
    <col min="14341" max="14341" width="38.5703125" style="27" customWidth="1"/>
    <col min="14342" max="14592" width="9.140625" style="27"/>
    <col min="14593" max="14593" width="2.42578125" style="27" customWidth="1"/>
    <col min="14594" max="14594" width="5.28515625" style="27" bestFit="1" customWidth="1"/>
    <col min="14595" max="14595" width="56.140625" style="27" customWidth="1"/>
    <col min="14596" max="14596" width="20.7109375" style="27" customWidth="1"/>
    <col min="14597" max="14597" width="38.5703125" style="27" customWidth="1"/>
    <col min="14598" max="14848" width="9.140625" style="27"/>
    <col min="14849" max="14849" width="2.42578125" style="27" customWidth="1"/>
    <col min="14850" max="14850" width="5.28515625" style="27" bestFit="1" customWidth="1"/>
    <col min="14851" max="14851" width="56.140625" style="27" customWidth="1"/>
    <col min="14852" max="14852" width="20.7109375" style="27" customWidth="1"/>
    <col min="14853" max="14853" width="38.5703125" style="27" customWidth="1"/>
    <col min="14854" max="15104" width="9.140625" style="27"/>
    <col min="15105" max="15105" width="2.42578125" style="27" customWidth="1"/>
    <col min="15106" max="15106" width="5.28515625" style="27" bestFit="1" customWidth="1"/>
    <col min="15107" max="15107" width="56.140625" style="27" customWidth="1"/>
    <col min="15108" max="15108" width="20.7109375" style="27" customWidth="1"/>
    <col min="15109" max="15109" width="38.5703125" style="27" customWidth="1"/>
    <col min="15110" max="15360" width="9.140625" style="27"/>
    <col min="15361" max="15361" width="2.42578125" style="27" customWidth="1"/>
    <col min="15362" max="15362" width="5.28515625" style="27" bestFit="1" customWidth="1"/>
    <col min="15363" max="15363" width="56.140625" style="27" customWidth="1"/>
    <col min="15364" max="15364" width="20.7109375" style="27" customWidth="1"/>
    <col min="15365" max="15365" width="38.5703125" style="27" customWidth="1"/>
    <col min="15366" max="15616" width="9.140625" style="27"/>
    <col min="15617" max="15617" width="2.42578125" style="27" customWidth="1"/>
    <col min="15618" max="15618" width="5.28515625" style="27" bestFit="1" customWidth="1"/>
    <col min="15619" max="15619" width="56.140625" style="27" customWidth="1"/>
    <col min="15620" max="15620" width="20.7109375" style="27" customWidth="1"/>
    <col min="15621" max="15621" width="38.5703125" style="27" customWidth="1"/>
    <col min="15622" max="15872" width="9.140625" style="27"/>
    <col min="15873" max="15873" width="2.42578125" style="27" customWidth="1"/>
    <col min="15874" max="15874" width="5.28515625" style="27" bestFit="1" customWidth="1"/>
    <col min="15875" max="15875" width="56.140625" style="27" customWidth="1"/>
    <col min="15876" max="15876" width="20.7109375" style="27" customWidth="1"/>
    <col min="15877" max="15877" width="38.5703125" style="27" customWidth="1"/>
    <col min="15878" max="16128" width="9.140625" style="27"/>
    <col min="16129" max="16129" width="2.42578125" style="27" customWidth="1"/>
    <col min="16130" max="16130" width="5.28515625" style="27" bestFit="1" customWidth="1"/>
    <col min="16131" max="16131" width="56.140625" style="27" customWidth="1"/>
    <col min="16132" max="16132" width="20.7109375" style="27" customWidth="1"/>
    <col min="16133" max="16133" width="38.5703125" style="27" customWidth="1"/>
    <col min="16134" max="16384" width="9.140625" style="27"/>
  </cols>
  <sheetData>
    <row r="2" spans="2:5">
      <c r="B2" s="27" t="s">
        <v>2</v>
      </c>
      <c r="C2" s="28" t="s">
        <v>3</v>
      </c>
      <c r="D2" s="28" t="s">
        <v>4</v>
      </c>
    </row>
    <row r="3" spans="2:5">
      <c r="B3" s="27">
        <v>1</v>
      </c>
      <c r="C3" s="29">
        <v>1</v>
      </c>
      <c r="D3" s="29">
        <v>2</v>
      </c>
      <c r="E3" s="29"/>
    </row>
    <row r="4" spans="2:5">
      <c r="B4" s="27">
        <v>2</v>
      </c>
      <c r="C4" s="28" t="s">
        <v>5</v>
      </c>
      <c r="D4" s="28" t="s">
        <v>6</v>
      </c>
    </row>
    <row r="5" spans="2:5" ht="12">
      <c r="B5" s="27">
        <f t="shared" ref="B5:B68" si="0">B4+1</f>
        <v>3</v>
      </c>
      <c r="C5" s="28" t="s">
        <v>7</v>
      </c>
      <c r="D5" s="28" t="s">
        <v>8</v>
      </c>
    </row>
    <row r="6" spans="2:5">
      <c r="B6" s="27">
        <f t="shared" si="0"/>
        <v>4</v>
      </c>
      <c r="C6" s="28" t="s">
        <v>9</v>
      </c>
      <c r="D6" s="28" t="s">
        <v>10</v>
      </c>
    </row>
    <row r="7" spans="2:5">
      <c r="B7" s="27">
        <f t="shared" si="0"/>
        <v>5</v>
      </c>
      <c r="C7" s="28" t="s">
        <v>11</v>
      </c>
      <c r="D7" s="28" t="s">
        <v>12</v>
      </c>
    </row>
    <row r="8" spans="2:5">
      <c r="B8" s="27">
        <f t="shared" si="0"/>
        <v>6</v>
      </c>
      <c r="C8" s="28" t="s">
        <v>13</v>
      </c>
      <c r="D8" s="28" t="s">
        <v>14</v>
      </c>
    </row>
    <row r="9" spans="2:5">
      <c r="B9" s="27">
        <f t="shared" si="0"/>
        <v>7</v>
      </c>
      <c r="C9" s="28" t="s">
        <v>15</v>
      </c>
      <c r="D9" s="28" t="s">
        <v>16</v>
      </c>
    </row>
    <row r="10" spans="2:5">
      <c r="B10" s="27">
        <f t="shared" si="0"/>
        <v>8</v>
      </c>
      <c r="C10" s="28" t="s">
        <v>17</v>
      </c>
      <c r="D10" s="28" t="s">
        <v>18</v>
      </c>
    </row>
    <row r="11" spans="2:5">
      <c r="B11" s="27">
        <f t="shared" si="0"/>
        <v>9</v>
      </c>
      <c r="C11" s="28" t="s">
        <v>19</v>
      </c>
      <c r="D11" s="28" t="s">
        <v>20</v>
      </c>
    </row>
    <row r="12" spans="2:5">
      <c r="B12" s="27">
        <f t="shared" si="0"/>
        <v>10</v>
      </c>
      <c r="C12" s="28" t="s">
        <v>21</v>
      </c>
      <c r="D12" s="28" t="s">
        <v>22</v>
      </c>
    </row>
    <row r="13" spans="2:5">
      <c r="B13" s="27">
        <f t="shared" si="0"/>
        <v>11</v>
      </c>
      <c r="C13" s="28" t="s">
        <v>23</v>
      </c>
      <c r="D13" s="28" t="s">
        <v>24</v>
      </c>
    </row>
    <row r="14" spans="2:5">
      <c r="B14" s="27">
        <f t="shared" si="0"/>
        <v>12</v>
      </c>
      <c r="C14" s="28" t="s">
        <v>25</v>
      </c>
      <c r="D14" s="28" t="s">
        <v>26</v>
      </c>
    </row>
    <row r="15" spans="2:5">
      <c r="B15" s="27">
        <f t="shared" si="0"/>
        <v>13</v>
      </c>
      <c r="C15" s="28" t="s">
        <v>27</v>
      </c>
      <c r="D15" s="28" t="s">
        <v>28</v>
      </c>
    </row>
    <row r="16" spans="2:5">
      <c r="B16" s="27">
        <f t="shared" si="0"/>
        <v>14</v>
      </c>
      <c r="C16" s="28" t="s">
        <v>29</v>
      </c>
      <c r="D16" s="28" t="s">
        <v>30</v>
      </c>
    </row>
    <row r="17" spans="2:23">
      <c r="B17" s="27">
        <f t="shared" si="0"/>
        <v>15</v>
      </c>
      <c r="C17" s="28" t="s">
        <v>31</v>
      </c>
      <c r="D17" s="28" t="s">
        <v>31</v>
      </c>
    </row>
    <row r="18" spans="2:23">
      <c r="B18" s="27">
        <f t="shared" si="0"/>
        <v>16</v>
      </c>
      <c r="C18" s="28" t="s">
        <v>32</v>
      </c>
      <c r="D18" s="28" t="s">
        <v>32</v>
      </c>
    </row>
    <row r="19" spans="2:23">
      <c r="B19" s="27">
        <f t="shared" si="0"/>
        <v>17</v>
      </c>
      <c r="C19" s="28" t="s">
        <v>33</v>
      </c>
      <c r="D19" s="28" t="s">
        <v>33</v>
      </c>
    </row>
    <row r="20" spans="2:23">
      <c r="B20" s="27">
        <f t="shared" si="0"/>
        <v>18</v>
      </c>
      <c r="C20" s="28" t="s">
        <v>34</v>
      </c>
      <c r="D20" s="28" t="s">
        <v>35</v>
      </c>
    </row>
    <row r="21" spans="2:23">
      <c r="B21" s="27">
        <f t="shared" si="0"/>
        <v>19</v>
      </c>
      <c r="C21" s="28" t="s">
        <v>36</v>
      </c>
      <c r="D21" s="28" t="s">
        <v>36</v>
      </c>
    </row>
    <row r="22" spans="2:23">
      <c r="B22" s="27">
        <f t="shared" si="0"/>
        <v>20</v>
      </c>
      <c r="C22" s="28" t="s">
        <v>37</v>
      </c>
      <c r="D22" s="28" t="s">
        <v>38</v>
      </c>
    </row>
    <row r="23" spans="2:23">
      <c r="B23" s="27">
        <f t="shared" si="0"/>
        <v>21</v>
      </c>
      <c r="C23" s="28" t="s">
        <v>39</v>
      </c>
      <c r="D23" s="28" t="s">
        <v>40</v>
      </c>
    </row>
    <row r="24" spans="2:23">
      <c r="B24" s="27">
        <f t="shared" si="0"/>
        <v>22</v>
      </c>
      <c r="C24" s="28" t="s">
        <v>41</v>
      </c>
      <c r="D24" s="28" t="s">
        <v>41</v>
      </c>
    </row>
    <row r="25" spans="2:23">
      <c r="B25" s="27">
        <f t="shared" si="0"/>
        <v>23</v>
      </c>
      <c r="C25" s="28" t="s">
        <v>42</v>
      </c>
      <c r="D25" s="28" t="s">
        <v>42</v>
      </c>
    </row>
    <row r="26" spans="2:23">
      <c r="B26" s="27">
        <f t="shared" si="0"/>
        <v>24</v>
      </c>
      <c r="C26" s="28" t="s">
        <v>43</v>
      </c>
      <c r="D26" s="28" t="s">
        <v>43</v>
      </c>
    </row>
    <row r="27" spans="2:23">
      <c r="B27" s="27">
        <f t="shared" si="0"/>
        <v>25</v>
      </c>
      <c r="C27" s="28" t="s">
        <v>44</v>
      </c>
      <c r="D27" s="28" t="s">
        <v>45</v>
      </c>
    </row>
    <row r="28" spans="2:23">
      <c r="B28" s="27">
        <f t="shared" si="0"/>
        <v>26</v>
      </c>
      <c r="C28" s="28" t="s">
        <v>46</v>
      </c>
      <c r="D28" s="28" t="s">
        <v>47</v>
      </c>
    </row>
    <row r="29" spans="2:23">
      <c r="B29" s="27">
        <f t="shared" si="0"/>
        <v>27</v>
      </c>
      <c r="C29" s="28" t="s">
        <v>48</v>
      </c>
      <c r="D29" s="28" t="s">
        <v>49</v>
      </c>
    </row>
    <row r="30" spans="2:23">
      <c r="B30" s="27">
        <f t="shared" si="0"/>
        <v>28</v>
      </c>
      <c r="C30" s="28" t="s">
        <v>50</v>
      </c>
      <c r="D30" s="28" t="s">
        <v>51</v>
      </c>
    </row>
    <row r="31" spans="2:23">
      <c r="B31" s="27">
        <f t="shared" si="0"/>
        <v>29</v>
      </c>
      <c r="C31" s="28" t="s">
        <v>546</v>
      </c>
      <c r="D31" s="246" t="s">
        <v>52</v>
      </c>
      <c r="F31" s="30"/>
      <c r="G31" s="30"/>
      <c r="H31" s="30"/>
      <c r="I31" s="30"/>
      <c r="J31" s="30"/>
      <c r="K31" s="30"/>
      <c r="L31" s="30"/>
      <c r="M31" s="30"/>
      <c r="N31" s="30"/>
      <c r="O31" s="30"/>
      <c r="P31" s="30"/>
      <c r="Q31" s="30"/>
      <c r="R31" s="30"/>
      <c r="S31" s="30"/>
      <c r="T31" s="30"/>
      <c r="U31" s="30"/>
      <c r="V31" s="30"/>
      <c r="W31" s="30"/>
    </row>
    <row r="32" spans="2:23">
      <c r="B32" s="27">
        <f t="shared" si="0"/>
        <v>30</v>
      </c>
      <c r="C32" s="28" t="s">
        <v>53</v>
      </c>
      <c r="D32" s="28" t="s">
        <v>54</v>
      </c>
    </row>
    <row r="33" spans="2:4">
      <c r="B33" s="27">
        <f t="shared" si="0"/>
        <v>31</v>
      </c>
      <c r="C33" s="28" t="s">
        <v>55</v>
      </c>
      <c r="D33" s="28" t="s">
        <v>56</v>
      </c>
    </row>
    <row r="34" spans="2:4">
      <c r="B34" s="27">
        <f t="shared" si="0"/>
        <v>32</v>
      </c>
      <c r="C34" s="28" t="s">
        <v>57</v>
      </c>
      <c r="D34" s="28" t="s">
        <v>58</v>
      </c>
    </row>
    <row r="35" spans="2:4">
      <c r="B35" s="27">
        <f t="shared" si="0"/>
        <v>33</v>
      </c>
      <c r="C35" s="28" t="s">
        <v>59</v>
      </c>
      <c r="D35" s="28" t="s">
        <v>60</v>
      </c>
    </row>
    <row r="36" spans="2:4" ht="14.25">
      <c r="B36" s="27">
        <f t="shared" si="0"/>
        <v>34</v>
      </c>
      <c r="C36" s="28" t="s">
        <v>61</v>
      </c>
      <c r="D36" s="28" t="s">
        <v>62</v>
      </c>
    </row>
    <row r="37" spans="2:4" ht="14.25" customHeight="1">
      <c r="B37" s="27">
        <f t="shared" si="0"/>
        <v>35</v>
      </c>
      <c r="C37" s="28" t="s">
        <v>63</v>
      </c>
      <c r="D37" s="28" t="s">
        <v>64</v>
      </c>
    </row>
    <row r="38" spans="2:4" ht="14.25">
      <c r="B38" s="27">
        <f t="shared" si="0"/>
        <v>36</v>
      </c>
      <c r="C38" s="28" t="s">
        <v>65</v>
      </c>
      <c r="D38" s="28" t="s">
        <v>66</v>
      </c>
    </row>
    <row r="39" spans="2:4">
      <c r="B39" s="27">
        <f t="shared" si="0"/>
        <v>37</v>
      </c>
      <c r="C39" s="28" t="s">
        <v>67</v>
      </c>
      <c r="D39" s="28" t="s">
        <v>68</v>
      </c>
    </row>
    <row r="40" spans="2:4">
      <c r="B40" s="27">
        <f t="shared" si="0"/>
        <v>38</v>
      </c>
      <c r="C40" s="28" t="s">
        <v>69</v>
      </c>
      <c r="D40" s="28" t="s">
        <v>70</v>
      </c>
    </row>
    <row r="41" spans="2:4">
      <c r="B41" s="27">
        <f t="shared" si="0"/>
        <v>39</v>
      </c>
      <c r="C41" s="28" t="s">
        <v>71</v>
      </c>
      <c r="D41" s="28" t="s">
        <v>72</v>
      </c>
    </row>
    <row r="42" spans="2:4">
      <c r="B42" s="27">
        <f t="shared" si="0"/>
        <v>40</v>
      </c>
      <c r="C42" s="28" t="s">
        <v>73</v>
      </c>
      <c r="D42" s="28" t="s">
        <v>74</v>
      </c>
    </row>
    <row r="43" spans="2:4">
      <c r="B43" s="27">
        <f t="shared" si="0"/>
        <v>41</v>
      </c>
      <c r="C43" s="28" t="s">
        <v>75</v>
      </c>
      <c r="D43" s="28" t="s">
        <v>76</v>
      </c>
    </row>
    <row r="44" spans="2:4">
      <c r="B44" s="27">
        <f t="shared" si="0"/>
        <v>42</v>
      </c>
      <c r="C44" s="28" t="s">
        <v>77</v>
      </c>
      <c r="D44" s="28" t="s">
        <v>78</v>
      </c>
    </row>
    <row r="45" spans="2:4">
      <c r="B45" s="27">
        <f t="shared" si="0"/>
        <v>43</v>
      </c>
      <c r="C45" s="28" t="s">
        <v>79</v>
      </c>
      <c r="D45" s="28" t="s">
        <v>80</v>
      </c>
    </row>
    <row r="46" spans="2:4">
      <c r="B46" s="27">
        <f t="shared" si="0"/>
        <v>44</v>
      </c>
      <c r="C46" s="28" t="s">
        <v>81</v>
      </c>
      <c r="D46" s="28" t="s">
        <v>82</v>
      </c>
    </row>
    <row r="47" spans="2:4">
      <c r="B47" s="27">
        <f t="shared" si="0"/>
        <v>45</v>
      </c>
      <c r="C47" s="28" t="s">
        <v>83</v>
      </c>
      <c r="D47" s="28" t="s">
        <v>84</v>
      </c>
    </row>
    <row r="48" spans="2:4">
      <c r="B48" s="27">
        <f t="shared" si="0"/>
        <v>46</v>
      </c>
      <c r="C48" s="28" t="s">
        <v>85</v>
      </c>
      <c r="D48" s="28" t="s">
        <v>86</v>
      </c>
    </row>
    <row r="49" spans="2:4">
      <c r="B49" s="27">
        <f t="shared" si="0"/>
        <v>47</v>
      </c>
      <c r="C49" s="28" t="s">
        <v>87</v>
      </c>
      <c r="D49" s="28" t="s">
        <v>88</v>
      </c>
    </row>
    <row r="50" spans="2:4">
      <c r="B50" s="27">
        <f t="shared" si="0"/>
        <v>48</v>
      </c>
      <c r="C50" s="28" t="s">
        <v>89</v>
      </c>
      <c r="D50" s="28" t="s">
        <v>90</v>
      </c>
    </row>
    <row r="51" spans="2:4">
      <c r="B51" s="27">
        <f t="shared" si="0"/>
        <v>49</v>
      </c>
      <c r="C51" s="28" t="s">
        <v>91</v>
      </c>
      <c r="D51" s="28" t="s">
        <v>92</v>
      </c>
    </row>
    <row r="52" spans="2:4">
      <c r="B52" s="27">
        <f t="shared" si="0"/>
        <v>50</v>
      </c>
      <c r="C52" s="28" t="s">
        <v>93</v>
      </c>
      <c r="D52" s="28" t="s">
        <v>94</v>
      </c>
    </row>
    <row r="53" spans="2:4">
      <c r="B53" s="27">
        <f t="shared" si="0"/>
        <v>51</v>
      </c>
      <c r="C53" s="28" t="s">
        <v>95</v>
      </c>
      <c r="D53" s="28" t="s">
        <v>96</v>
      </c>
    </row>
    <row r="54" spans="2:4">
      <c r="B54" s="27">
        <f t="shared" si="0"/>
        <v>52</v>
      </c>
      <c r="C54" s="28" t="s">
        <v>97</v>
      </c>
      <c r="D54" s="28" t="s">
        <v>98</v>
      </c>
    </row>
    <row r="55" spans="2:4">
      <c r="B55" s="27">
        <f t="shared" si="0"/>
        <v>53</v>
      </c>
      <c r="C55" s="28" t="s">
        <v>99</v>
      </c>
      <c r="D55" s="28" t="s">
        <v>100</v>
      </c>
    </row>
    <row r="56" spans="2:4">
      <c r="B56" s="27">
        <f t="shared" si="0"/>
        <v>54</v>
      </c>
      <c r="C56" s="28" t="s">
        <v>101</v>
      </c>
      <c r="D56" s="28" t="s">
        <v>102</v>
      </c>
    </row>
    <row r="57" spans="2:4">
      <c r="B57" s="27">
        <f t="shared" si="0"/>
        <v>55</v>
      </c>
      <c r="C57" s="28" t="s">
        <v>103</v>
      </c>
      <c r="D57" s="28" t="s">
        <v>104</v>
      </c>
    </row>
    <row r="58" spans="2:4">
      <c r="B58" s="27">
        <f t="shared" si="0"/>
        <v>56</v>
      </c>
      <c r="C58" s="28" t="s">
        <v>105</v>
      </c>
      <c r="D58" s="28" t="s">
        <v>106</v>
      </c>
    </row>
    <row r="59" spans="2:4">
      <c r="B59" s="27">
        <f t="shared" si="0"/>
        <v>57</v>
      </c>
      <c r="C59" s="28" t="s">
        <v>107</v>
      </c>
      <c r="D59" s="28" t="s">
        <v>108</v>
      </c>
    </row>
    <row r="60" spans="2:4">
      <c r="B60" s="27">
        <f t="shared" si="0"/>
        <v>58</v>
      </c>
      <c r="C60" s="28" t="s">
        <v>109</v>
      </c>
      <c r="D60" s="28" t="s">
        <v>110</v>
      </c>
    </row>
    <row r="61" spans="2:4" ht="12">
      <c r="B61" s="27">
        <f t="shared" si="0"/>
        <v>59</v>
      </c>
      <c r="C61" s="28" t="s">
        <v>111</v>
      </c>
      <c r="D61" s="28" t="s">
        <v>112</v>
      </c>
    </row>
    <row r="62" spans="2:4" ht="12">
      <c r="B62" s="27">
        <f t="shared" si="0"/>
        <v>60</v>
      </c>
      <c r="C62" s="28" t="s">
        <v>113</v>
      </c>
      <c r="D62" s="28" t="s">
        <v>114</v>
      </c>
    </row>
    <row r="63" spans="2:4">
      <c r="B63" s="27">
        <f t="shared" si="0"/>
        <v>61</v>
      </c>
      <c r="C63" s="28" t="s">
        <v>115</v>
      </c>
      <c r="D63" s="28" t="s">
        <v>116</v>
      </c>
    </row>
    <row r="64" spans="2:4">
      <c r="B64" s="27">
        <f t="shared" si="0"/>
        <v>62</v>
      </c>
      <c r="C64" s="28" t="s">
        <v>55</v>
      </c>
      <c r="D64" s="28" t="s">
        <v>117</v>
      </c>
    </row>
    <row r="65" spans="2:4">
      <c r="B65" s="27">
        <f t="shared" si="0"/>
        <v>63</v>
      </c>
      <c r="C65" s="28" t="s">
        <v>118</v>
      </c>
      <c r="D65" s="28" t="s">
        <v>119</v>
      </c>
    </row>
    <row r="66" spans="2:4">
      <c r="B66" s="27">
        <f t="shared" si="0"/>
        <v>64</v>
      </c>
      <c r="C66" s="28" t="s">
        <v>120</v>
      </c>
      <c r="D66" s="28" t="s">
        <v>121</v>
      </c>
    </row>
    <row r="67" spans="2:4">
      <c r="B67" s="27">
        <f t="shared" si="0"/>
        <v>65</v>
      </c>
      <c r="C67" s="28" t="s">
        <v>122</v>
      </c>
      <c r="D67" s="28" t="s">
        <v>123</v>
      </c>
    </row>
    <row r="68" spans="2:4">
      <c r="B68" s="27">
        <f t="shared" si="0"/>
        <v>66</v>
      </c>
      <c r="C68" s="28" t="s">
        <v>514</v>
      </c>
      <c r="D68" s="28" t="s">
        <v>124</v>
      </c>
    </row>
    <row r="69" spans="2:4">
      <c r="B69" s="27">
        <f t="shared" ref="B69:B132" si="1">B68+1</f>
        <v>67</v>
      </c>
      <c r="C69" s="28" t="s">
        <v>125</v>
      </c>
      <c r="D69" s="28" t="s">
        <v>126</v>
      </c>
    </row>
    <row r="70" spans="2:4">
      <c r="B70" s="27">
        <f t="shared" si="1"/>
        <v>68</v>
      </c>
      <c r="C70" s="28" t="s">
        <v>508</v>
      </c>
      <c r="D70" s="28" t="s">
        <v>127</v>
      </c>
    </row>
    <row r="71" spans="2:4">
      <c r="B71" s="27">
        <f t="shared" si="1"/>
        <v>69</v>
      </c>
      <c r="C71" s="28" t="s">
        <v>128</v>
      </c>
      <c r="D71" s="28" t="s">
        <v>129</v>
      </c>
    </row>
    <row r="72" spans="2:4">
      <c r="B72" s="27">
        <f t="shared" si="1"/>
        <v>70</v>
      </c>
      <c r="C72" s="28" t="s">
        <v>130</v>
      </c>
      <c r="D72" s="28" t="s">
        <v>131</v>
      </c>
    </row>
    <row r="73" spans="2:4">
      <c r="B73" s="27">
        <f t="shared" si="1"/>
        <v>71</v>
      </c>
      <c r="C73" s="28" t="s">
        <v>513</v>
      </c>
      <c r="D73" s="28" t="s">
        <v>132</v>
      </c>
    </row>
    <row r="74" spans="2:4">
      <c r="B74" s="27">
        <f t="shared" si="1"/>
        <v>72</v>
      </c>
      <c r="C74" s="28" t="s">
        <v>509</v>
      </c>
      <c r="D74" s="28" t="s">
        <v>133</v>
      </c>
    </row>
    <row r="75" spans="2:4">
      <c r="B75" s="27">
        <f t="shared" si="1"/>
        <v>73</v>
      </c>
      <c r="C75" s="28" t="s">
        <v>134</v>
      </c>
      <c r="D75" s="28" t="s">
        <v>135</v>
      </c>
    </row>
    <row r="76" spans="2:4">
      <c r="B76" s="27">
        <f t="shared" si="1"/>
        <v>74</v>
      </c>
      <c r="C76" s="28" t="s">
        <v>136</v>
      </c>
      <c r="D76" s="28" t="s">
        <v>137</v>
      </c>
    </row>
    <row r="77" spans="2:4">
      <c r="B77" s="27">
        <f t="shared" si="1"/>
        <v>75</v>
      </c>
      <c r="C77" s="28" t="s">
        <v>138</v>
      </c>
      <c r="D77" s="28" t="s">
        <v>139</v>
      </c>
    </row>
    <row r="78" spans="2:4">
      <c r="B78" s="27">
        <f t="shared" si="1"/>
        <v>76</v>
      </c>
      <c r="C78" s="28" t="s">
        <v>140</v>
      </c>
      <c r="D78" s="28" t="s">
        <v>141</v>
      </c>
    </row>
    <row r="79" spans="2:4">
      <c r="B79" s="27">
        <f t="shared" si="1"/>
        <v>77</v>
      </c>
      <c r="C79" s="28" t="s">
        <v>142</v>
      </c>
      <c r="D79" s="28" t="s">
        <v>121</v>
      </c>
    </row>
    <row r="80" spans="2:4">
      <c r="B80" s="27">
        <f t="shared" si="1"/>
        <v>78</v>
      </c>
      <c r="C80" s="28" t="s">
        <v>510</v>
      </c>
      <c r="D80" s="28" t="s">
        <v>143</v>
      </c>
    </row>
    <row r="81" spans="2:4">
      <c r="B81" s="27">
        <f t="shared" si="1"/>
        <v>79</v>
      </c>
      <c r="C81" s="28" t="s">
        <v>511</v>
      </c>
      <c r="D81" s="28" t="s">
        <v>144</v>
      </c>
    </row>
    <row r="82" spans="2:4">
      <c r="B82" s="27">
        <f t="shared" si="1"/>
        <v>80</v>
      </c>
      <c r="C82" s="28" t="s">
        <v>145</v>
      </c>
      <c r="D82" s="28" t="s">
        <v>146</v>
      </c>
    </row>
    <row r="83" spans="2:4">
      <c r="B83" s="27">
        <f t="shared" si="1"/>
        <v>81</v>
      </c>
      <c r="C83" s="28" t="s">
        <v>147</v>
      </c>
      <c r="D83" s="28" t="s">
        <v>148</v>
      </c>
    </row>
    <row r="84" spans="2:4">
      <c r="B84" s="27">
        <f t="shared" si="1"/>
        <v>82</v>
      </c>
      <c r="C84" s="28" t="s">
        <v>149</v>
      </c>
      <c r="D84" s="28" t="s">
        <v>150</v>
      </c>
    </row>
    <row r="85" spans="2:4">
      <c r="B85" s="27">
        <f t="shared" si="1"/>
        <v>83</v>
      </c>
      <c r="C85" s="28" t="s">
        <v>151</v>
      </c>
      <c r="D85" s="28" t="s">
        <v>152</v>
      </c>
    </row>
    <row r="86" spans="2:4">
      <c r="B86" s="27">
        <f t="shared" si="1"/>
        <v>84</v>
      </c>
      <c r="C86" s="28" t="s">
        <v>153</v>
      </c>
      <c r="D86" s="28" t="s">
        <v>154</v>
      </c>
    </row>
    <row r="87" spans="2:4">
      <c r="B87" s="27">
        <f t="shared" si="1"/>
        <v>85</v>
      </c>
      <c r="C87" s="28" t="s">
        <v>155</v>
      </c>
      <c r="D87" s="28" t="s">
        <v>156</v>
      </c>
    </row>
    <row r="88" spans="2:4">
      <c r="B88" s="27">
        <f t="shared" si="1"/>
        <v>86</v>
      </c>
      <c r="C88" s="28" t="s">
        <v>157</v>
      </c>
      <c r="D88" s="28" t="s">
        <v>158</v>
      </c>
    </row>
    <row r="89" spans="2:4">
      <c r="B89" s="27">
        <f t="shared" si="1"/>
        <v>87</v>
      </c>
      <c r="C89" s="28" t="s">
        <v>159</v>
      </c>
      <c r="D89" s="28" t="s">
        <v>160</v>
      </c>
    </row>
    <row r="90" spans="2:4">
      <c r="B90" s="27">
        <f t="shared" si="1"/>
        <v>88</v>
      </c>
      <c r="C90" s="28" t="s">
        <v>107</v>
      </c>
      <c r="D90" s="28" t="s">
        <v>161</v>
      </c>
    </row>
    <row r="91" spans="2:4">
      <c r="B91" s="27">
        <f t="shared" si="1"/>
        <v>89</v>
      </c>
      <c r="C91" s="28" t="s">
        <v>162</v>
      </c>
      <c r="D91" s="28" t="s">
        <v>163</v>
      </c>
    </row>
    <row r="92" spans="2:4">
      <c r="B92" s="27">
        <f t="shared" si="1"/>
        <v>90</v>
      </c>
      <c r="C92" s="28" t="s">
        <v>164</v>
      </c>
      <c r="D92" s="28" t="s">
        <v>165</v>
      </c>
    </row>
    <row r="93" spans="2:4">
      <c r="B93" s="27">
        <f t="shared" si="1"/>
        <v>91</v>
      </c>
      <c r="C93" s="28" t="s">
        <v>512</v>
      </c>
      <c r="D93" s="28" t="s">
        <v>167</v>
      </c>
    </row>
    <row r="94" spans="2:4">
      <c r="B94" s="27">
        <f t="shared" si="1"/>
        <v>92</v>
      </c>
      <c r="C94" s="28" t="s">
        <v>515</v>
      </c>
      <c r="D94" s="28" t="s">
        <v>169</v>
      </c>
    </row>
    <row r="95" spans="2:4">
      <c r="B95" s="27">
        <f t="shared" si="1"/>
        <v>93</v>
      </c>
      <c r="C95" s="28" t="s">
        <v>170</v>
      </c>
      <c r="D95" s="28" t="s">
        <v>171</v>
      </c>
    </row>
    <row r="96" spans="2:4">
      <c r="B96" s="27">
        <f t="shared" si="1"/>
        <v>94</v>
      </c>
      <c r="C96" s="28" t="s">
        <v>172</v>
      </c>
      <c r="D96" s="28" t="s">
        <v>173</v>
      </c>
    </row>
    <row r="97" spans="2:4">
      <c r="B97" s="27">
        <f t="shared" si="1"/>
        <v>95</v>
      </c>
      <c r="C97" s="28" t="s">
        <v>174</v>
      </c>
      <c r="D97" s="28" t="s">
        <v>175</v>
      </c>
    </row>
    <row r="98" spans="2:4" ht="12">
      <c r="B98" s="27">
        <f t="shared" si="1"/>
        <v>96</v>
      </c>
      <c r="C98" s="28" t="s">
        <v>176</v>
      </c>
      <c r="D98" s="28" t="s">
        <v>96</v>
      </c>
    </row>
    <row r="99" spans="2:4" ht="12">
      <c r="B99" s="27">
        <f t="shared" si="1"/>
        <v>97</v>
      </c>
      <c r="C99" s="28" t="s">
        <v>177</v>
      </c>
      <c r="D99" s="28" t="s">
        <v>178</v>
      </c>
    </row>
    <row r="100" spans="2:4">
      <c r="B100" s="27">
        <f t="shared" si="1"/>
        <v>98</v>
      </c>
      <c r="C100" s="28" t="s">
        <v>179</v>
      </c>
      <c r="D100" s="28" t="s">
        <v>180</v>
      </c>
    </row>
    <row r="101" spans="2:4">
      <c r="B101" s="27">
        <f t="shared" si="1"/>
        <v>99</v>
      </c>
      <c r="C101" s="28" t="s">
        <v>181</v>
      </c>
      <c r="D101" s="28" t="s">
        <v>182</v>
      </c>
    </row>
    <row r="102" spans="2:4">
      <c r="B102" s="27">
        <f t="shared" si="1"/>
        <v>100</v>
      </c>
      <c r="C102" s="28" t="s">
        <v>118</v>
      </c>
      <c r="D102" s="28" t="s">
        <v>119</v>
      </c>
    </row>
    <row r="103" spans="2:4">
      <c r="B103" s="27">
        <f t="shared" si="1"/>
        <v>101</v>
      </c>
      <c r="C103" s="28" t="s">
        <v>183</v>
      </c>
      <c r="D103" s="28" t="s">
        <v>184</v>
      </c>
    </row>
    <row r="104" spans="2:4">
      <c r="B104" s="27">
        <f t="shared" si="1"/>
        <v>102</v>
      </c>
      <c r="C104" s="28" t="s">
        <v>125</v>
      </c>
      <c r="D104" s="28" t="s">
        <v>126</v>
      </c>
    </row>
    <row r="105" spans="2:4">
      <c r="B105" s="27">
        <f t="shared" si="1"/>
        <v>103</v>
      </c>
      <c r="C105" s="28" t="s">
        <v>185</v>
      </c>
      <c r="D105" s="28" t="s">
        <v>186</v>
      </c>
    </row>
    <row r="106" spans="2:4">
      <c r="B106" s="27">
        <f t="shared" si="1"/>
        <v>104</v>
      </c>
      <c r="C106" s="28" t="s">
        <v>187</v>
      </c>
      <c r="D106" s="28" t="s">
        <v>188</v>
      </c>
    </row>
    <row r="107" spans="2:4">
      <c r="B107" s="27">
        <f t="shared" si="1"/>
        <v>105</v>
      </c>
      <c r="C107" s="28" t="s">
        <v>189</v>
      </c>
      <c r="D107" s="28" t="s">
        <v>190</v>
      </c>
    </row>
    <row r="108" spans="2:4">
      <c r="B108" s="27">
        <f t="shared" si="1"/>
        <v>106</v>
      </c>
      <c r="C108" s="28" t="s">
        <v>134</v>
      </c>
      <c r="D108" s="28" t="s">
        <v>135</v>
      </c>
    </row>
    <row r="109" spans="2:4">
      <c r="B109" s="27">
        <f t="shared" si="1"/>
        <v>107</v>
      </c>
      <c r="C109" s="28" t="s">
        <v>138</v>
      </c>
      <c r="D109" s="28" t="s">
        <v>139</v>
      </c>
    </row>
    <row r="110" spans="2:4">
      <c r="B110" s="27">
        <f t="shared" si="1"/>
        <v>108</v>
      </c>
      <c r="C110" s="28" t="s">
        <v>191</v>
      </c>
      <c r="D110" s="28" t="s">
        <v>192</v>
      </c>
    </row>
    <row r="111" spans="2:4">
      <c r="B111" s="27">
        <f t="shared" si="1"/>
        <v>109</v>
      </c>
      <c r="C111" s="28" t="s">
        <v>193</v>
      </c>
      <c r="D111" s="28" t="s">
        <v>194</v>
      </c>
    </row>
    <row r="112" spans="2:4">
      <c r="B112" s="27">
        <f t="shared" si="1"/>
        <v>110</v>
      </c>
      <c r="C112" s="28" t="s">
        <v>195</v>
      </c>
      <c r="D112" s="28" t="s">
        <v>196</v>
      </c>
    </row>
    <row r="113" spans="2:4">
      <c r="B113" s="27">
        <f t="shared" si="1"/>
        <v>111</v>
      </c>
      <c r="C113" s="28" t="s">
        <v>197</v>
      </c>
      <c r="D113" s="28" t="s">
        <v>198</v>
      </c>
    </row>
    <row r="114" spans="2:4">
      <c r="B114" s="27">
        <f t="shared" si="1"/>
        <v>112</v>
      </c>
      <c r="C114" s="28" t="s">
        <v>199</v>
      </c>
      <c r="D114" s="28" t="s">
        <v>200</v>
      </c>
    </row>
    <row r="115" spans="2:4">
      <c r="B115" s="27">
        <f t="shared" si="1"/>
        <v>113</v>
      </c>
      <c r="C115" s="28" t="s">
        <v>189</v>
      </c>
      <c r="D115" s="28" t="s">
        <v>201</v>
      </c>
    </row>
    <row r="116" spans="2:4">
      <c r="B116" s="27">
        <f t="shared" si="1"/>
        <v>114</v>
      </c>
      <c r="C116" s="28" t="s">
        <v>202</v>
      </c>
      <c r="D116" s="28" t="s">
        <v>121</v>
      </c>
    </row>
    <row r="117" spans="2:4">
      <c r="B117" s="27">
        <f t="shared" si="1"/>
        <v>115</v>
      </c>
      <c r="C117" s="28" t="s">
        <v>157</v>
      </c>
      <c r="D117" s="28" t="s">
        <v>158</v>
      </c>
    </row>
    <row r="118" spans="2:4">
      <c r="B118" s="27">
        <f t="shared" si="1"/>
        <v>116</v>
      </c>
      <c r="C118" s="28" t="s">
        <v>203</v>
      </c>
      <c r="D118" s="28" t="s">
        <v>204</v>
      </c>
    </row>
    <row r="119" spans="2:4">
      <c r="B119" s="27">
        <f t="shared" si="1"/>
        <v>117</v>
      </c>
      <c r="C119" s="28" t="s">
        <v>205</v>
      </c>
      <c r="D119" s="28" t="s">
        <v>206</v>
      </c>
    </row>
    <row r="120" spans="2:4">
      <c r="B120" s="27">
        <f t="shared" si="1"/>
        <v>118</v>
      </c>
      <c r="C120" s="28" t="s">
        <v>207</v>
      </c>
      <c r="D120" s="28" t="s">
        <v>208</v>
      </c>
    </row>
    <row r="121" spans="2:4" ht="14.25">
      <c r="B121" s="27">
        <f t="shared" si="1"/>
        <v>119</v>
      </c>
      <c r="C121" s="28" t="s">
        <v>209</v>
      </c>
      <c r="D121" s="28" t="s">
        <v>210</v>
      </c>
    </row>
    <row r="122" spans="2:4">
      <c r="B122" s="27">
        <f t="shared" si="1"/>
        <v>120</v>
      </c>
      <c r="C122" s="28" t="s">
        <v>211</v>
      </c>
      <c r="D122" s="28" t="s">
        <v>212</v>
      </c>
    </row>
    <row r="123" spans="2:4" ht="12">
      <c r="B123" s="27">
        <f t="shared" si="1"/>
        <v>121</v>
      </c>
      <c r="C123" s="28" t="s">
        <v>213</v>
      </c>
      <c r="D123" s="28" t="s">
        <v>214</v>
      </c>
    </row>
    <row r="124" spans="2:4">
      <c r="B124" s="27">
        <f t="shared" si="1"/>
        <v>122</v>
      </c>
      <c r="C124" s="28" t="s">
        <v>215</v>
      </c>
      <c r="D124" s="28" t="s">
        <v>216</v>
      </c>
    </row>
    <row r="125" spans="2:4">
      <c r="B125" s="27">
        <f t="shared" si="1"/>
        <v>123</v>
      </c>
      <c r="C125" s="28" t="s">
        <v>217</v>
      </c>
      <c r="D125" s="28" t="s">
        <v>218</v>
      </c>
    </row>
    <row r="126" spans="2:4">
      <c r="B126" s="27">
        <f t="shared" si="1"/>
        <v>124</v>
      </c>
      <c r="C126" s="28" t="s">
        <v>219</v>
      </c>
      <c r="D126" s="28" t="s">
        <v>219</v>
      </c>
    </row>
    <row r="127" spans="2:4">
      <c r="B127" s="27">
        <f t="shared" si="1"/>
        <v>125</v>
      </c>
      <c r="C127" s="28" t="s">
        <v>220</v>
      </c>
      <c r="D127" s="28" t="s">
        <v>221</v>
      </c>
    </row>
    <row r="128" spans="2:4">
      <c r="B128" s="27">
        <f t="shared" si="1"/>
        <v>126</v>
      </c>
      <c r="C128" s="28" t="s">
        <v>222</v>
      </c>
      <c r="D128" s="28" t="s">
        <v>223</v>
      </c>
    </row>
    <row r="129" spans="2:4">
      <c r="B129" s="27">
        <f t="shared" si="1"/>
        <v>127</v>
      </c>
      <c r="C129" s="28" t="s">
        <v>224</v>
      </c>
      <c r="D129" s="28" t="s">
        <v>225</v>
      </c>
    </row>
    <row r="130" spans="2:4">
      <c r="B130" s="27">
        <f t="shared" si="1"/>
        <v>128</v>
      </c>
      <c r="C130" s="28" t="s">
        <v>226</v>
      </c>
      <c r="D130" s="28" t="s">
        <v>227</v>
      </c>
    </row>
    <row r="131" spans="2:4">
      <c r="B131" s="27">
        <f t="shared" si="1"/>
        <v>129</v>
      </c>
      <c r="C131" s="28" t="s">
        <v>228</v>
      </c>
      <c r="D131" s="28" t="s">
        <v>229</v>
      </c>
    </row>
    <row r="132" spans="2:4">
      <c r="B132" s="27">
        <f t="shared" si="1"/>
        <v>130</v>
      </c>
      <c r="C132" s="28" t="s">
        <v>230</v>
      </c>
      <c r="D132" s="28" t="s">
        <v>231</v>
      </c>
    </row>
    <row r="133" spans="2:4">
      <c r="B133" s="27">
        <f t="shared" ref="B133:B161" si="2">B132+1</f>
        <v>131</v>
      </c>
      <c r="C133" s="28" t="s">
        <v>232</v>
      </c>
      <c r="D133" s="28" t="s">
        <v>233</v>
      </c>
    </row>
    <row r="134" spans="2:4">
      <c r="B134" s="27">
        <f t="shared" si="2"/>
        <v>132</v>
      </c>
      <c r="C134" s="28" t="s">
        <v>234</v>
      </c>
      <c r="D134" s="28" t="s">
        <v>235</v>
      </c>
    </row>
    <row r="135" spans="2:4">
      <c r="B135" s="27">
        <f t="shared" si="2"/>
        <v>133</v>
      </c>
      <c r="C135" s="28" t="s">
        <v>236</v>
      </c>
      <c r="D135" s="28" t="s">
        <v>237</v>
      </c>
    </row>
    <row r="136" spans="2:4">
      <c r="B136" s="27">
        <f t="shared" si="2"/>
        <v>134</v>
      </c>
      <c r="C136" s="28" t="s">
        <v>238</v>
      </c>
      <c r="D136" s="28" t="s">
        <v>239</v>
      </c>
    </row>
    <row r="137" spans="2:4">
      <c r="B137" s="27">
        <f t="shared" si="2"/>
        <v>135</v>
      </c>
      <c r="C137" s="28" t="s">
        <v>164</v>
      </c>
      <c r="D137" s="28" t="s">
        <v>240</v>
      </c>
    </row>
    <row r="138" spans="2:4">
      <c r="B138" s="27">
        <f t="shared" si="2"/>
        <v>136</v>
      </c>
      <c r="C138" s="28" t="s">
        <v>203</v>
      </c>
      <c r="D138" s="28" t="s">
        <v>204</v>
      </c>
    </row>
    <row r="139" spans="2:4">
      <c r="B139" s="27">
        <f t="shared" si="2"/>
        <v>137</v>
      </c>
      <c r="C139" s="28" t="s">
        <v>241</v>
      </c>
      <c r="D139" s="28" t="s">
        <v>242</v>
      </c>
    </row>
    <row r="140" spans="2:4" ht="14.25">
      <c r="B140" s="27">
        <f t="shared" si="2"/>
        <v>138</v>
      </c>
      <c r="C140" s="28" t="s">
        <v>243</v>
      </c>
      <c r="D140" s="28" t="s">
        <v>244</v>
      </c>
    </row>
    <row r="141" spans="2:4">
      <c r="B141" s="27">
        <f t="shared" si="2"/>
        <v>139</v>
      </c>
      <c r="C141" s="28" t="s">
        <v>506</v>
      </c>
      <c r="D141" s="28" t="s">
        <v>223</v>
      </c>
    </row>
    <row r="142" spans="2:4">
      <c r="B142" s="27">
        <f t="shared" si="2"/>
        <v>140</v>
      </c>
      <c r="C142" s="28" t="s">
        <v>507</v>
      </c>
      <c r="D142" s="28" t="s">
        <v>225</v>
      </c>
    </row>
    <row r="143" spans="2:4">
      <c r="B143" s="27">
        <f t="shared" si="2"/>
        <v>141</v>
      </c>
      <c r="C143" s="28" t="s">
        <v>245</v>
      </c>
      <c r="D143" s="28" t="s">
        <v>246</v>
      </c>
    </row>
    <row r="144" spans="2:4">
      <c r="B144" s="27">
        <f t="shared" si="2"/>
        <v>142</v>
      </c>
      <c r="C144" s="28" t="s">
        <v>247</v>
      </c>
      <c r="D144" s="28" t="s">
        <v>248</v>
      </c>
    </row>
    <row r="145" spans="2:4">
      <c r="B145" s="27">
        <f t="shared" si="2"/>
        <v>143</v>
      </c>
      <c r="C145" s="28" t="s">
        <v>249</v>
      </c>
      <c r="D145" s="28" t="s">
        <v>250</v>
      </c>
    </row>
    <row r="146" spans="2:4">
      <c r="B146" s="27">
        <f t="shared" si="2"/>
        <v>144</v>
      </c>
      <c r="C146" s="28" t="s">
        <v>19</v>
      </c>
      <c r="D146" s="28" t="s">
        <v>251</v>
      </c>
    </row>
    <row r="147" spans="2:4">
      <c r="B147" s="27">
        <f t="shared" si="2"/>
        <v>145</v>
      </c>
      <c r="C147" s="28" t="s">
        <v>37</v>
      </c>
      <c r="D147" s="28" t="s">
        <v>252</v>
      </c>
    </row>
    <row r="148" spans="2:4">
      <c r="B148" s="27">
        <f t="shared" si="2"/>
        <v>146</v>
      </c>
      <c r="C148" s="28" t="s">
        <v>31</v>
      </c>
      <c r="D148" s="28" t="s">
        <v>253</v>
      </c>
    </row>
    <row r="149" spans="2:4">
      <c r="B149" s="27">
        <f t="shared" si="2"/>
        <v>147</v>
      </c>
      <c r="C149" s="28" t="s">
        <v>33</v>
      </c>
      <c r="D149" s="28" t="s">
        <v>254</v>
      </c>
    </row>
    <row r="150" spans="2:4">
      <c r="B150" s="27">
        <f t="shared" si="2"/>
        <v>148</v>
      </c>
      <c r="C150" s="28" t="s">
        <v>36</v>
      </c>
      <c r="D150" s="28" t="s">
        <v>255</v>
      </c>
    </row>
    <row r="151" spans="2:4">
      <c r="B151" s="27">
        <f t="shared" si="2"/>
        <v>149</v>
      </c>
      <c r="C151" s="28" t="s">
        <v>34</v>
      </c>
      <c r="D151" s="28" t="s">
        <v>256</v>
      </c>
    </row>
    <row r="152" spans="2:4">
      <c r="B152" s="27">
        <f t="shared" si="2"/>
        <v>150</v>
      </c>
      <c r="C152" s="28" t="s">
        <v>32</v>
      </c>
      <c r="D152" s="28" t="s">
        <v>257</v>
      </c>
    </row>
    <row r="153" spans="2:4">
      <c r="B153" s="27">
        <f t="shared" si="2"/>
        <v>151</v>
      </c>
      <c r="C153" s="28" t="s">
        <v>258</v>
      </c>
      <c r="D153" s="28" t="s">
        <v>259</v>
      </c>
    </row>
    <row r="154" spans="2:4">
      <c r="B154" s="27">
        <f t="shared" si="2"/>
        <v>152</v>
      </c>
      <c r="C154" s="28" t="s">
        <v>260</v>
      </c>
      <c r="D154" s="28" t="s">
        <v>261</v>
      </c>
    </row>
    <row r="155" spans="2:4">
      <c r="B155" s="27">
        <f t="shared" si="2"/>
        <v>153</v>
      </c>
      <c r="C155" s="28" t="s">
        <v>262</v>
      </c>
      <c r="D155" s="28" t="s">
        <v>263</v>
      </c>
    </row>
    <row r="156" spans="2:4">
      <c r="B156" s="27">
        <f t="shared" si="2"/>
        <v>154</v>
      </c>
      <c r="C156" s="28" t="s">
        <v>264</v>
      </c>
      <c r="D156" s="28" t="s">
        <v>265</v>
      </c>
    </row>
    <row r="157" spans="2:4">
      <c r="B157" s="27">
        <f t="shared" si="2"/>
        <v>155</v>
      </c>
      <c r="C157" s="28" t="s">
        <v>266</v>
      </c>
      <c r="D157" s="28" t="s">
        <v>267</v>
      </c>
    </row>
    <row r="158" spans="2:4">
      <c r="B158" s="27">
        <f t="shared" si="2"/>
        <v>156</v>
      </c>
      <c r="C158" s="28" t="s">
        <v>268</v>
      </c>
      <c r="D158" s="28" t="s">
        <v>269</v>
      </c>
    </row>
    <row r="159" spans="2:4">
      <c r="B159" s="27">
        <f t="shared" si="2"/>
        <v>157</v>
      </c>
      <c r="C159" s="28" t="s">
        <v>270</v>
      </c>
      <c r="D159" s="28" t="s">
        <v>270</v>
      </c>
    </row>
    <row r="160" spans="2:4">
      <c r="B160" s="27">
        <f t="shared" si="2"/>
        <v>158</v>
      </c>
      <c r="C160" s="28" t="s">
        <v>271</v>
      </c>
      <c r="D160" s="28" t="s">
        <v>272</v>
      </c>
    </row>
    <row r="161" spans="2:4" ht="12">
      <c r="B161" s="27">
        <f t="shared" si="2"/>
        <v>159</v>
      </c>
      <c r="C161" s="28" t="s">
        <v>273</v>
      </c>
      <c r="D161" s="28" t="s">
        <v>274</v>
      </c>
    </row>
    <row r="162" spans="2:4">
      <c r="B162" s="27">
        <v>160</v>
      </c>
      <c r="C162" s="28" t="s">
        <v>275</v>
      </c>
      <c r="D162" s="28" t="s">
        <v>178</v>
      </c>
    </row>
    <row r="163" spans="2:4">
      <c r="B163" s="27">
        <v>161</v>
      </c>
      <c r="C163" s="28" t="s">
        <v>276</v>
      </c>
      <c r="D163" s="28" t="s">
        <v>277</v>
      </c>
    </row>
    <row r="164" spans="2:4">
      <c r="B164" s="27">
        <v>162</v>
      </c>
      <c r="C164" s="28" t="s">
        <v>278</v>
      </c>
      <c r="D164" s="28" t="s">
        <v>279</v>
      </c>
    </row>
    <row r="165" spans="2:4">
      <c r="B165" s="27">
        <v>163</v>
      </c>
      <c r="C165" s="28" t="s">
        <v>162</v>
      </c>
      <c r="D165" s="28" t="s">
        <v>163</v>
      </c>
    </row>
    <row r="166" spans="2:4">
      <c r="B166" s="27">
        <v>164</v>
      </c>
      <c r="C166" s="28" t="s">
        <v>280</v>
      </c>
      <c r="D166" s="28" t="s">
        <v>281</v>
      </c>
    </row>
    <row r="167" spans="2:4">
      <c r="B167" s="27">
        <v>165</v>
      </c>
      <c r="C167" s="28" t="s">
        <v>282</v>
      </c>
      <c r="D167" s="28" t="s">
        <v>283</v>
      </c>
    </row>
    <row r="168" spans="2:4">
      <c r="B168" s="27">
        <v>166</v>
      </c>
      <c r="C168" s="28" t="s">
        <v>284</v>
      </c>
      <c r="D168" s="28" t="s">
        <v>285</v>
      </c>
    </row>
    <row r="169" spans="2:4">
      <c r="B169" s="27">
        <f t="shared" ref="B169:B201" si="3">B168+1</f>
        <v>167</v>
      </c>
      <c r="C169" s="28" t="s">
        <v>286</v>
      </c>
      <c r="D169" s="28" t="s">
        <v>287</v>
      </c>
    </row>
    <row r="170" spans="2:4">
      <c r="B170" s="27">
        <f t="shared" si="3"/>
        <v>168</v>
      </c>
      <c r="C170" s="28" t="s">
        <v>288</v>
      </c>
      <c r="D170" s="28" t="s">
        <v>289</v>
      </c>
    </row>
    <row r="171" spans="2:4">
      <c r="B171" s="27">
        <f t="shared" si="3"/>
        <v>169</v>
      </c>
      <c r="C171" s="28" t="s">
        <v>290</v>
      </c>
      <c r="D171" s="28" t="s">
        <v>291</v>
      </c>
    </row>
    <row r="172" spans="2:4">
      <c r="B172" s="27">
        <f t="shared" si="3"/>
        <v>170</v>
      </c>
      <c r="C172" s="28" t="s">
        <v>292</v>
      </c>
      <c r="D172" s="28" t="s">
        <v>293</v>
      </c>
    </row>
    <row r="173" spans="2:4">
      <c r="B173" s="27">
        <f t="shared" si="3"/>
        <v>171</v>
      </c>
      <c r="C173" s="28" t="s">
        <v>294</v>
      </c>
      <c r="D173" s="28" t="s">
        <v>295</v>
      </c>
    </row>
    <row r="174" spans="2:4">
      <c r="B174" s="27">
        <f t="shared" si="3"/>
        <v>172</v>
      </c>
      <c r="C174" s="28" t="s">
        <v>296</v>
      </c>
      <c r="D174" s="28" t="s">
        <v>297</v>
      </c>
    </row>
    <row r="175" spans="2:4">
      <c r="B175" s="27">
        <f t="shared" si="3"/>
        <v>173</v>
      </c>
      <c r="C175" s="28" t="s">
        <v>298</v>
      </c>
      <c r="D175" s="28" t="s">
        <v>299</v>
      </c>
    </row>
    <row r="176" spans="2:4">
      <c r="B176" s="27">
        <f t="shared" si="3"/>
        <v>174</v>
      </c>
      <c r="C176" s="28" t="s">
        <v>300</v>
      </c>
      <c r="D176" s="28" t="s">
        <v>301</v>
      </c>
    </row>
    <row r="177" spans="2:4" ht="12">
      <c r="B177" s="27">
        <f t="shared" si="3"/>
        <v>175</v>
      </c>
      <c r="C177" s="28" t="s">
        <v>302</v>
      </c>
      <c r="D177" s="28" t="s">
        <v>303</v>
      </c>
    </row>
    <row r="178" spans="2:4" ht="12">
      <c r="B178" s="27">
        <f t="shared" si="3"/>
        <v>176</v>
      </c>
      <c r="C178" s="28" t="s">
        <v>304</v>
      </c>
      <c r="D178" s="28" t="s">
        <v>305</v>
      </c>
    </row>
    <row r="179" spans="2:4">
      <c r="B179" s="27">
        <f t="shared" si="3"/>
        <v>177</v>
      </c>
      <c r="C179" s="28" t="s">
        <v>306</v>
      </c>
      <c r="D179" s="28" t="s">
        <v>307</v>
      </c>
    </row>
    <row r="180" spans="2:4">
      <c r="B180" s="27">
        <f t="shared" si="3"/>
        <v>178</v>
      </c>
      <c r="C180" s="28" t="s">
        <v>308</v>
      </c>
      <c r="D180" s="28" t="s">
        <v>309</v>
      </c>
    </row>
    <row r="181" spans="2:4">
      <c r="B181" s="27">
        <f t="shared" si="3"/>
        <v>179</v>
      </c>
      <c r="C181" s="28" t="s">
        <v>310</v>
      </c>
      <c r="D181" s="28" t="s">
        <v>311</v>
      </c>
    </row>
    <row r="182" spans="2:4">
      <c r="B182" s="27">
        <f t="shared" si="3"/>
        <v>180</v>
      </c>
      <c r="C182" s="28" t="s">
        <v>312</v>
      </c>
      <c r="D182" s="28" t="s">
        <v>313</v>
      </c>
    </row>
    <row r="183" spans="2:4">
      <c r="B183" s="27">
        <f t="shared" si="3"/>
        <v>181</v>
      </c>
      <c r="C183" s="28" t="s">
        <v>314</v>
      </c>
      <c r="D183" s="28" t="s">
        <v>315</v>
      </c>
    </row>
    <row r="184" spans="2:4">
      <c r="B184" s="27">
        <f t="shared" si="3"/>
        <v>182</v>
      </c>
      <c r="C184" s="28" t="s">
        <v>316</v>
      </c>
      <c r="D184" s="28" t="s">
        <v>317</v>
      </c>
    </row>
    <row r="185" spans="2:4">
      <c r="B185" s="27">
        <f t="shared" si="3"/>
        <v>183</v>
      </c>
      <c r="C185" s="28" t="s">
        <v>318</v>
      </c>
      <c r="D185" s="28" t="s">
        <v>319</v>
      </c>
    </row>
    <row r="186" spans="2:4">
      <c r="B186" s="27">
        <f t="shared" si="3"/>
        <v>184</v>
      </c>
      <c r="C186" s="28" t="s">
        <v>318</v>
      </c>
      <c r="D186" s="28" t="s">
        <v>319</v>
      </c>
    </row>
    <row r="187" spans="2:4">
      <c r="B187" s="27">
        <f t="shared" si="3"/>
        <v>185</v>
      </c>
      <c r="C187" s="28" t="s">
        <v>320</v>
      </c>
      <c r="D187" s="28" t="s">
        <v>321</v>
      </c>
    </row>
    <row r="188" spans="2:4">
      <c r="B188" s="27">
        <f t="shared" si="3"/>
        <v>186</v>
      </c>
      <c r="C188" s="28" t="s">
        <v>42</v>
      </c>
      <c r="D188" s="28" t="s">
        <v>42</v>
      </c>
    </row>
    <row r="189" spans="2:4" ht="12">
      <c r="B189" s="27">
        <f t="shared" si="3"/>
        <v>187</v>
      </c>
      <c r="C189" s="28" t="s">
        <v>322</v>
      </c>
      <c r="D189" s="28" t="s">
        <v>323</v>
      </c>
    </row>
    <row r="190" spans="2:4" ht="12">
      <c r="B190" s="27">
        <f t="shared" si="3"/>
        <v>188</v>
      </c>
      <c r="C190" s="28" t="s">
        <v>324</v>
      </c>
      <c r="D190" s="28" t="s">
        <v>325</v>
      </c>
    </row>
    <row r="191" spans="2:4">
      <c r="B191" s="27">
        <f t="shared" si="3"/>
        <v>189</v>
      </c>
      <c r="C191" s="28" t="s">
        <v>326</v>
      </c>
      <c r="D191" s="28" t="s">
        <v>327</v>
      </c>
    </row>
    <row r="192" spans="2:4" ht="12.75">
      <c r="B192" s="27">
        <f t="shared" si="3"/>
        <v>190</v>
      </c>
      <c r="C192" s="28" t="s">
        <v>328</v>
      </c>
      <c r="D192" s="31" t="s">
        <v>329</v>
      </c>
    </row>
    <row r="193" spans="2:4" ht="12.75">
      <c r="B193" s="27">
        <f t="shared" si="3"/>
        <v>191</v>
      </c>
      <c r="C193" s="28" t="s">
        <v>330</v>
      </c>
      <c r="D193" s="31" t="s">
        <v>331</v>
      </c>
    </row>
    <row r="194" spans="2:4">
      <c r="B194" s="27">
        <f t="shared" si="3"/>
        <v>192</v>
      </c>
      <c r="C194" s="28" t="s">
        <v>332</v>
      </c>
      <c r="D194" s="28" t="s">
        <v>333</v>
      </c>
    </row>
    <row r="195" spans="2:4">
      <c r="B195" s="27">
        <f t="shared" si="3"/>
        <v>193</v>
      </c>
      <c r="C195" s="28" t="s">
        <v>334</v>
      </c>
      <c r="D195" s="28" t="s">
        <v>552</v>
      </c>
    </row>
    <row r="196" spans="2:4">
      <c r="B196" s="27">
        <f t="shared" si="3"/>
        <v>194</v>
      </c>
      <c r="C196" s="28" t="s">
        <v>335</v>
      </c>
      <c r="D196" s="28" t="s">
        <v>336</v>
      </c>
    </row>
    <row r="197" spans="2:4">
      <c r="B197" s="27">
        <f t="shared" si="3"/>
        <v>195</v>
      </c>
      <c r="C197" s="28" t="s">
        <v>337</v>
      </c>
      <c r="D197" s="28" t="s">
        <v>338</v>
      </c>
    </row>
    <row r="198" spans="2:4">
      <c r="B198" s="27">
        <f t="shared" si="3"/>
        <v>196</v>
      </c>
      <c r="C198" s="28" t="s">
        <v>339</v>
      </c>
      <c r="D198" s="28" t="s">
        <v>340</v>
      </c>
    </row>
    <row r="199" spans="2:4">
      <c r="B199" s="27">
        <f t="shared" si="3"/>
        <v>197</v>
      </c>
      <c r="C199" s="32" t="s">
        <v>341</v>
      </c>
      <c r="D199" s="32" t="s">
        <v>342</v>
      </c>
    </row>
    <row r="200" spans="2:4">
      <c r="B200" s="27">
        <f t="shared" si="3"/>
        <v>198</v>
      </c>
      <c r="C200" s="28" t="s">
        <v>343</v>
      </c>
      <c r="D200" s="28" t="s">
        <v>344</v>
      </c>
    </row>
    <row r="201" spans="2:4">
      <c r="B201" s="27">
        <f t="shared" si="3"/>
        <v>199</v>
      </c>
      <c r="C201" s="28" t="s">
        <v>345</v>
      </c>
      <c r="D201" s="28" t="s">
        <v>346</v>
      </c>
    </row>
    <row r="202" spans="2:4">
      <c r="B202" s="27">
        <v>200</v>
      </c>
      <c r="C202" s="28" t="s">
        <v>280</v>
      </c>
      <c r="D202" s="28" t="s">
        <v>281</v>
      </c>
    </row>
    <row r="203" spans="2:4">
      <c r="B203" s="27">
        <v>201</v>
      </c>
      <c r="C203" s="28" t="s">
        <v>347</v>
      </c>
      <c r="D203" s="28" t="s">
        <v>348</v>
      </c>
    </row>
    <row r="204" spans="2:4">
      <c r="B204" s="27">
        <v>202</v>
      </c>
      <c r="C204" s="28" t="s">
        <v>349</v>
      </c>
      <c r="D204" s="28" t="s">
        <v>350</v>
      </c>
    </row>
    <row r="205" spans="2:4">
      <c r="B205" s="27">
        <v>203</v>
      </c>
      <c r="C205" s="28" t="s">
        <v>351</v>
      </c>
      <c r="D205" s="28" t="s">
        <v>352</v>
      </c>
    </row>
    <row r="206" spans="2:4">
      <c r="B206" s="27">
        <v>204</v>
      </c>
      <c r="C206" s="28" t="s">
        <v>353</v>
      </c>
      <c r="D206" s="28" t="s">
        <v>354</v>
      </c>
    </row>
    <row r="207" spans="2:4">
      <c r="B207" s="27">
        <v>205</v>
      </c>
      <c r="C207" s="28" t="s">
        <v>355</v>
      </c>
      <c r="D207" s="28" t="s">
        <v>356</v>
      </c>
    </row>
    <row r="208" spans="2:4">
      <c r="B208" s="27">
        <v>206</v>
      </c>
      <c r="C208" s="28" t="s">
        <v>357</v>
      </c>
      <c r="D208" s="28" t="s">
        <v>358</v>
      </c>
    </row>
    <row r="209" spans="2:4">
      <c r="B209" s="27">
        <v>207</v>
      </c>
      <c r="C209" s="28" t="s">
        <v>359</v>
      </c>
      <c r="D209" s="28" t="s">
        <v>360</v>
      </c>
    </row>
    <row r="210" spans="2:4">
      <c r="B210" s="27">
        <v>208</v>
      </c>
      <c r="C210" s="28" t="s">
        <v>361</v>
      </c>
      <c r="D210" s="28" t="s">
        <v>362</v>
      </c>
    </row>
    <row r="211" spans="2:4">
      <c r="B211" s="27">
        <v>209</v>
      </c>
      <c r="C211" s="28" t="s">
        <v>118</v>
      </c>
      <c r="D211" s="28" t="s">
        <v>119</v>
      </c>
    </row>
    <row r="212" spans="2:4">
      <c r="B212" s="27">
        <v>210</v>
      </c>
      <c r="C212" s="28" t="s">
        <v>363</v>
      </c>
      <c r="D212" s="28" t="s">
        <v>364</v>
      </c>
    </row>
    <row r="213" spans="2:4">
      <c r="B213" s="27">
        <v>211</v>
      </c>
      <c r="C213" s="28" t="s">
        <v>365</v>
      </c>
      <c r="D213" s="28" t="s">
        <v>366</v>
      </c>
    </row>
    <row r="214" spans="2:4">
      <c r="B214" s="27">
        <v>212</v>
      </c>
      <c r="C214" s="28" t="s">
        <v>367</v>
      </c>
      <c r="D214" s="28" t="s">
        <v>368</v>
      </c>
    </row>
    <row r="215" spans="2:4">
      <c r="B215" s="27">
        <v>213</v>
      </c>
      <c r="C215" s="28" t="s">
        <v>369</v>
      </c>
      <c r="D215" s="28" t="s">
        <v>370</v>
      </c>
    </row>
    <row r="216" spans="2:4">
      <c r="B216" s="27">
        <v>214</v>
      </c>
      <c r="C216" s="28" t="s">
        <v>371</v>
      </c>
      <c r="D216" s="28" t="s">
        <v>372</v>
      </c>
    </row>
    <row r="217" spans="2:4">
      <c r="B217" s="27">
        <v>215</v>
      </c>
      <c r="C217" s="28" t="s">
        <v>373</v>
      </c>
      <c r="D217" s="28" t="s">
        <v>374</v>
      </c>
    </row>
    <row r="218" spans="2:4">
      <c r="B218" s="27">
        <v>216</v>
      </c>
      <c r="C218" s="28" t="s">
        <v>375</v>
      </c>
      <c r="D218" s="28" t="s">
        <v>376</v>
      </c>
    </row>
    <row r="219" spans="2:4">
      <c r="B219" s="27">
        <v>217</v>
      </c>
      <c r="C219" s="28" t="s">
        <v>138</v>
      </c>
      <c r="D219" s="28" t="s">
        <v>139</v>
      </c>
    </row>
    <row r="220" spans="2:4">
      <c r="B220" s="27">
        <v>218</v>
      </c>
      <c r="C220" s="28" t="s">
        <v>140</v>
      </c>
      <c r="D220" s="28" t="s">
        <v>141</v>
      </c>
    </row>
    <row r="221" spans="2:4">
      <c r="B221" s="27">
        <v>219</v>
      </c>
      <c r="C221" s="28" t="s">
        <v>193</v>
      </c>
      <c r="D221" s="28" t="s">
        <v>194</v>
      </c>
    </row>
    <row r="222" spans="2:4">
      <c r="B222" s="27">
        <v>220</v>
      </c>
      <c r="C222" s="28" t="s">
        <v>195</v>
      </c>
      <c r="D222" s="28" t="s">
        <v>196</v>
      </c>
    </row>
    <row r="223" spans="2:4">
      <c r="B223" s="27">
        <v>221</v>
      </c>
      <c r="C223" s="28" t="s">
        <v>369</v>
      </c>
      <c r="D223" s="28" t="s">
        <v>370</v>
      </c>
    </row>
    <row r="224" spans="2:4">
      <c r="B224" s="27">
        <v>222</v>
      </c>
      <c r="C224" s="28" t="s">
        <v>371</v>
      </c>
      <c r="D224" s="28" t="s">
        <v>372</v>
      </c>
    </row>
    <row r="225" spans="2:4">
      <c r="B225" s="27">
        <v>223</v>
      </c>
      <c r="C225" s="28" t="s">
        <v>373</v>
      </c>
      <c r="D225" s="28" t="s">
        <v>374</v>
      </c>
    </row>
    <row r="226" spans="2:4">
      <c r="B226" s="27">
        <v>224</v>
      </c>
      <c r="C226" s="28" t="s">
        <v>375</v>
      </c>
      <c r="D226" s="28" t="s">
        <v>376</v>
      </c>
    </row>
    <row r="227" spans="2:4">
      <c r="B227" s="27">
        <v>225</v>
      </c>
      <c r="C227" s="28" t="s">
        <v>377</v>
      </c>
      <c r="D227" s="28" t="s">
        <v>378</v>
      </c>
    </row>
    <row r="228" spans="2:4">
      <c r="B228" s="27">
        <v>226</v>
      </c>
      <c r="C228" s="28" t="s">
        <v>157</v>
      </c>
      <c r="D228" s="28" t="s">
        <v>158</v>
      </c>
    </row>
    <row r="229" spans="2:4">
      <c r="B229" s="27">
        <v>227</v>
      </c>
      <c r="C229" s="28" t="s">
        <v>166</v>
      </c>
      <c r="D229" s="28" t="s">
        <v>167</v>
      </c>
    </row>
    <row r="230" spans="2:4">
      <c r="B230" s="27">
        <v>228</v>
      </c>
      <c r="C230" s="28" t="s">
        <v>168</v>
      </c>
      <c r="D230" s="28" t="s">
        <v>169</v>
      </c>
    </row>
    <row r="231" spans="2:4">
      <c r="B231" s="27">
        <v>229</v>
      </c>
      <c r="C231" s="28" t="s">
        <v>379</v>
      </c>
      <c r="D231" s="28" t="s">
        <v>380</v>
      </c>
    </row>
    <row r="232" spans="2:4" ht="12">
      <c r="B232" s="27">
        <v>230</v>
      </c>
      <c r="C232" s="33" t="s">
        <v>381</v>
      </c>
      <c r="D232" s="28" t="s">
        <v>382</v>
      </c>
    </row>
    <row r="233" spans="2:4" ht="14.25">
      <c r="B233" s="27">
        <v>231</v>
      </c>
      <c r="C233" s="28" t="s">
        <v>61</v>
      </c>
      <c r="D233" s="28" t="s">
        <v>383</v>
      </c>
    </row>
    <row r="234" spans="2:4">
      <c r="B234" s="27">
        <v>232</v>
      </c>
      <c r="C234" s="28" t="s">
        <v>63</v>
      </c>
      <c r="D234" s="28" t="s">
        <v>64</v>
      </c>
    </row>
    <row r="235" spans="2:4" ht="14.25">
      <c r="B235" s="27">
        <v>233</v>
      </c>
      <c r="C235" s="28" t="s">
        <v>65</v>
      </c>
      <c r="D235" s="28" t="s">
        <v>66</v>
      </c>
    </row>
    <row r="236" spans="2:4">
      <c r="B236" s="27">
        <v>234</v>
      </c>
      <c r="C236" s="28" t="s">
        <v>384</v>
      </c>
      <c r="D236" s="28" t="s">
        <v>68</v>
      </c>
    </row>
    <row r="237" spans="2:4" ht="14.25">
      <c r="B237" s="27">
        <v>235</v>
      </c>
      <c r="C237" s="28" t="s">
        <v>61</v>
      </c>
      <c r="D237" s="28" t="s">
        <v>383</v>
      </c>
    </row>
    <row r="238" spans="2:4">
      <c r="B238" s="27">
        <v>236</v>
      </c>
      <c r="C238" s="28" t="s">
        <v>63</v>
      </c>
      <c r="D238" s="28" t="s">
        <v>385</v>
      </c>
    </row>
    <row r="239" spans="2:4" ht="14.25">
      <c r="B239" s="27">
        <v>237</v>
      </c>
      <c r="C239" s="28" t="s">
        <v>65</v>
      </c>
      <c r="D239" s="28" t="s">
        <v>386</v>
      </c>
    </row>
    <row r="240" spans="2:4">
      <c r="B240" s="27">
        <v>238</v>
      </c>
      <c r="C240" s="28" t="s">
        <v>67</v>
      </c>
      <c r="D240" s="28" t="s">
        <v>387</v>
      </c>
    </row>
    <row r="241" spans="2:4">
      <c r="B241" s="27">
        <v>239</v>
      </c>
      <c r="C241" s="28" t="s">
        <v>388</v>
      </c>
      <c r="D241" s="28" t="s">
        <v>389</v>
      </c>
    </row>
    <row r="242" spans="2:4">
      <c r="B242" s="27">
        <v>240</v>
      </c>
      <c r="C242" s="28" t="s">
        <v>390</v>
      </c>
      <c r="D242" s="28" t="s">
        <v>391</v>
      </c>
    </row>
    <row r="243" spans="2:4" ht="12">
      <c r="B243" s="27">
        <v>241</v>
      </c>
      <c r="C243" s="28" t="s">
        <v>392</v>
      </c>
      <c r="D243" s="28" t="s">
        <v>393</v>
      </c>
    </row>
    <row r="244" spans="2:4" ht="12">
      <c r="B244" s="27">
        <v>242</v>
      </c>
      <c r="C244" s="28" t="s">
        <v>394</v>
      </c>
      <c r="D244" s="28" t="s">
        <v>395</v>
      </c>
    </row>
    <row r="245" spans="2:4">
      <c r="B245" s="27">
        <v>243</v>
      </c>
      <c r="C245" s="28" t="s">
        <v>396</v>
      </c>
      <c r="D245" s="28" t="s">
        <v>397</v>
      </c>
    </row>
    <row r="246" spans="2:4">
      <c r="B246" s="27">
        <v>244</v>
      </c>
      <c r="C246" s="28" t="s">
        <v>398</v>
      </c>
      <c r="D246" s="28" t="s">
        <v>399</v>
      </c>
    </row>
    <row r="247" spans="2:4">
      <c r="B247" s="27">
        <v>245</v>
      </c>
      <c r="C247" s="28" t="s">
        <v>400</v>
      </c>
      <c r="D247" s="28" t="s">
        <v>401</v>
      </c>
    </row>
    <row r="248" spans="2:4">
      <c r="B248" s="27">
        <v>246</v>
      </c>
      <c r="C248" s="28" t="s">
        <v>402</v>
      </c>
      <c r="D248" s="28" t="s">
        <v>403</v>
      </c>
    </row>
    <row r="249" spans="2:4">
      <c r="B249" s="27">
        <v>247</v>
      </c>
      <c r="C249" s="28" t="s">
        <v>404</v>
      </c>
      <c r="D249" s="28" t="s">
        <v>405</v>
      </c>
    </row>
    <row r="250" spans="2:4">
      <c r="B250" s="27">
        <v>248</v>
      </c>
      <c r="C250" s="28" t="s">
        <v>521</v>
      </c>
      <c r="D250" s="28" t="s">
        <v>528</v>
      </c>
    </row>
    <row r="251" spans="2:4">
      <c r="B251" s="27">
        <v>249</v>
      </c>
      <c r="C251" s="28" t="s">
        <v>522</v>
      </c>
      <c r="D251" s="28" t="s">
        <v>529</v>
      </c>
    </row>
    <row r="252" spans="2:4">
      <c r="B252" s="27">
        <v>250</v>
      </c>
      <c r="C252" s="28" t="s">
        <v>516</v>
      </c>
      <c r="D252" s="28" t="s">
        <v>406</v>
      </c>
    </row>
    <row r="253" spans="2:4">
      <c r="B253" s="27">
        <v>251</v>
      </c>
      <c r="C253" s="28" t="s">
        <v>523</v>
      </c>
      <c r="D253" s="28" t="s">
        <v>530</v>
      </c>
    </row>
    <row r="254" spans="2:4">
      <c r="B254" s="27">
        <v>252</v>
      </c>
      <c r="C254" s="28" t="s">
        <v>524</v>
      </c>
      <c r="D254" s="28" t="s">
        <v>531</v>
      </c>
    </row>
    <row r="255" spans="2:4">
      <c r="B255" s="27">
        <v>253</v>
      </c>
      <c r="C255" s="28" t="s">
        <v>525</v>
      </c>
      <c r="D255" s="28" t="s">
        <v>532</v>
      </c>
    </row>
    <row r="256" spans="2:4">
      <c r="B256" s="27">
        <v>254</v>
      </c>
      <c r="C256" s="28" t="s">
        <v>407</v>
      </c>
      <c r="D256" s="28" t="s">
        <v>407</v>
      </c>
    </row>
    <row r="257" spans="2:4">
      <c r="B257" s="27">
        <v>255</v>
      </c>
      <c r="C257" s="28" t="s">
        <v>408</v>
      </c>
      <c r="D257" s="28" t="s">
        <v>409</v>
      </c>
    </row>
    <row r="258" spans="2:4">
      <c r="B258" s="27">
        <v>256</v>
      </c>
      <c r="C258" s="28" t="s">
        <v>526</v>
      </c>
      <c r="D258" s="28" t="s">
        <v>533</v>
      </c>
    </row>
    <row r="259" spans="2:4">
      <c r="B259" s="27">
        <v>257</v>
      </c>
      <c r="C259" s="28" t="s">
        <v>517</v>
      </c>
      <c r="D259" s="28" t="s">
        <v>534</v>
      </c>
    </row>
    <row r="260" spans="2:4">
      <c r="B260" s="27">
        <v>258</v>
      </c>
      <c r="C260" s="28" t="s">
        <v>518</v>
      </c>
      <c r="D260" s="28" t="s">
        <v>535</v>
      </c>
    </row>
    <row r="261" spans="2:4">
      <c r="B261" s="27">
        <v>259</v>
      </c>
      <c r="C261" s="28" t="s">
        <v>519</v>
      </c>
      <c r="D261" s="28" t="s">
        <v>536</v>
      </c>
    </row>
    <row r="262" spans="2:4">
      <c r="B262" s="27">
        <v>260</v>
      </c>
      <c r="C262" s="28" t="s">
        <v>527</v>
      </c>
      <c r="D262" s="28" t="s">
        <v>537</v>
      </c>
    </row>
    <row r="263" spans="2:4">
      <c r="B263" s="27">
        <v>261</v>
      </c>
      <c r="C263" s="28" t="s">
        <v>520</v>
      </c>
      <c r="D263" s="28" t="s">
        <v>410</v>
      </c>
    </row>
    <row r="264" spans="2:4">
      <c r="B264" s="27">
        <v>262</v>
      </c>
      <c r="C264" s="28" t="s">
        <v>541</v>
      </c>
      <c r="D264" s="28" t="s">
        <v>411</v>
      </c>
    </row>
    <row r="265" spans="2:4">
      <c r="B265" s="27">
        <v>263</v>
      </c>
      <c r="C265" s="28" t="s">
        <v>412</v>
      </c>
      <c r="D265" s="28" t="s">
        <v>413</v>
      </c>
    </row>
    <row r="266" spans="2:4">
      <c r="B266" s="27">
        <v>264</v>
      </c>
      <c r="C266" s="28" t="s">
        <v>414</v>
      </c>
      <c r="D266" s="28" t="s">
        <v>414</v>
      </c>
    </row>
    <row r="267" spans="2:4" ht="12">
      <c r="B267" s="27">
        <v>265</v>
      </c>
      <c r="C267" s="28" t="s">
        <v>415</v>
      </c>
      <c r="D267" s="28" t="s">
        <v>416</v>
      </c>
    </row>
    <row r="268" spans="2:4">
      <c r="B268" s="27">
        <v>266</v>
      </c>
      <c r="C268" s="28" t="s">
        <v>417</v>
      </c>
      <c r="D268" s="28" t="s">
        <v>418</v>
      </c>
    </row>
    <row r="269" spans="2:4">
      <c r="B269" s="27">
        <v>267</v>
      </c>
      <c r="C269" s="28" t="s">
        <v>337</v>
      </c>
      <c r="D269" s="28" t="s">
        <v>338</v>
      </c>
    </row>
    <row r="270" spans="2:4">
      <c r="B270" s="27">
        <f>B269+1</f>
        <v>268</v>
      </c>
      <c r="C270" s="28" t="s">
        <v>42</v>
      </c>
      <c r="D270" s="28" t="s">
        <v>42</v>
      </c>
    </row>
    <row r="271" spans="2:4" ht="12.75">
      <c r="B271" s="27">
        <v>269</v>
      </c>
      <c r="C271" s="34" t="s">
        <v>419</v>
      </c>
      <c r="D271" s="28" t="s">
        <v>420</v>
      </c>
    </row>
    <row r="272" spans="2:4" ht="12.75">
      <c r="B272" s="27">
        <v>270</v>
      </c>
      <c r="C272" s="34" t="s">
        <v>421</v>
      </c>
      <c r="D272" s="28" t="s">
        <v>422</v>
      </c>
    </row>
    <row r="273" spans="2:7">
      <c r="B273" s="27">
        <v>271</v>
      </c>
      <c r="C273" s="28" t="s">
        <v>423</v>
      </c>
      <c r="D273" s="28" t="s">
        <v>424</v>
      </c>
    </row>
    <row r="274" spans="2:7" ht="12">
      <c r="B274" s="27">
        <v>272</v>
      </c>
      <c r="C274" s="28" t="s">
        <v>425</v>
      </c>
      <c r="D274" s="28" t="s">
        <v>426</v>
      </c>
    </row>
    <row r="275" spans="2:7" ht="12">
      <c r="B275" s="27">
        <v>273</v>
      </c>
      <c r="C275" s="28" t="s">
        <v>427</v>
      </c>
      <c r="D275" s="28" t="s">
        <v>427</v>
      </c>
    </row>
    <row r="276" spans="2:7" ht="11.25" customHeight="1">
      <c r="B276" s="27">
        <v>274</v>
      </c>
      <c r="C276" s="35" t="s">
        <v>428</v>
      </c>
      <c r="D276" s="28" t="s">
        <v>429</v>
      </c>
      <c r="E276" s="36"/>
      <c r="F276" s="36"/>
      <c r="G276" s="36"/>
    </row>
    <row r="277" spans="2:7">
      <c r="B277" s="27">
        <v>275</v>
      </c>
      <c r="C277" s="28" t="s">
        <v>430</v>
      </c>
      <c r="D277" s="28" t="s">
        <v>430</v>
      </c>
    </row>
    <row r="278" spans="2:7">
      <c r="B278" s="27">
        <v>276</v>
      </c>
      <c r="C278" s="37" t="s">
        <v>431</v>
      </c>
      <c r="D278" s="37" t="s">
        <v>432</v>
      </c>
    </row>
    <row r="279" spans="2:7" ht="12">
      <c r="B279" s="27">
        <v>277</v>
      </c>
      <c r="C279" s="28" t="s">
        <v>433</v>
      </c>
      <c r="D279" s="28" t="s">
        <v>434</v>
      </c>
    </row>
    <row r="280" spans="2:7">
      <c r="B280" s="27">
        <v>278</v>
      </c>
      <c r="C280" s="28" t="s">
        <v>435</v>
      </c>
      <c r="D280" s="28" t="s">
        <v>436</v>
      </c>
    </row>
    <row r="281" spans="2:7">
      <c r="B281" s="27">
        <v>279</v>
      </c>
      <c r="C281" s="28" t="s">
        <v>539</v>
      </c>
      <c r="D281" s="28" t="s">
        <v>437</v>
      </c>
    </row>
    <row r="282" spans="2:7" ht="12">
      <c r="B282" s="27">
        <v>280</v>
      </c>
      <c r="C282" s="28" t="s">
        <v>540</v>
      </c>
      <c r="D282" s="28" t="s">
        <v>438</v>
      </c>
    </row>
    <row r="283" spans="2:7">
      <c r="B283" s="27">
        <v>281</v>
      </c>
      <c r="C283" s="28" t="s">
        <v>439</v>
      </c>
      <c r="D283" s="28" t="s">
        <v>440</v>
      </c>
    </row>
    <row r="284" spans="2:7">
      <c r="B284" s="27">
        <v>282</v>
      </c>
      <c r="C284" s="28" t="s">
        <v>441</v>
      </c>
      <c r="D284" s="28" t="s">
        <v>442</v>
      </c>
    </row>
    <row r="285" spans="2:7">
      <c r="B285" s="27">
        <v>283</v>
      </c>
      <c r="C285" s="28" t="s">
        <v>443</v>
      </c>
      <c r="D285" s="28" t="s">
        <v>444</v>
      </c>
    </row>
    <row r="286" spans="2:7">
      <c r="B286" s="27">
        <v>284</v>
      </c>
      <c r="C286" s="37" t="s">
        <v>445</v>
      </c>
      <c r="D286" s="37" t="s">
        <v>446</v>
      </c>
    </row>
    <row r="287" spans="2:7">
      <c r="B287" s="27">
        <v>285</v>
      </c>
      <c r="C287" s="37" t="s">
        <v>447</v>
      </c>
      <c r="D287" s="37" t="s">
        <v>448</v>
      </c>
    </row>
    <row r="288" spans="2:7">
      <c r="B288" s="27">
        <v>286</v>
      </c>
      <c r="C288" s="37" t="s">
        <v>449</v>
      </c>
      <c r="D288" s="37" t="s">
        <v>450</v>
      </c>
    </row>
    <row r="289" spans="2:4">
      <c r="B289" s="27">
        <v>287</v>
      </c>
      <c r="C289" s="37" t="s">
        <v>451</v>
      </c>
      <c r="D289" s="37" t="s">
        <v>452</v>
      </c>
    </row>
    <row r="290" spans="2:4">
      <c r="B290" s="27">
        <v>288</v>
      </c>
      <c r="C290" s="37" t="s">
        <v>453</v>
      </c>
      <c r="D290" s="37" t="s">
        <v>454</v>
      </c>
    </row>
    <row r="291" spans="2:4">
      <c r="B291" s="27">
        <v>289</v>
      </c>
      <c r="C291" s="37" t="s">
        <v>455</v>
      </c>
      <c r="D291" s="37" t="s">
        <v>544</v>
      </c>
    </row>
    <row r="292" spans="2:4">
      <c r="B292" s="27">
        <v>290</v>
      </c>
      <c r="C292" s="28" t="s">
        <v>456</v>
      </c>
      <c r="D292" s="28" t="s">
        <v>457</v>
      </c>
    </row>
    <row r="293" spans="2:4">
      <c r="B293" s="27">
        <v>291</v>
      </c>
      <c r="C293" s="28" t="s">
        <v>458</v>
      </c>
      <c r="D293" s="28" t="s">
        <v>459</v>
      </c>
    </row>
    <row r="294" spans="2:4" ht="12">
      <c r="B294" s="27">
        <f>B293+1</f>
        <v>292</v>
      </c>
      <c r="C294" s="28" t="s">
        <v>213</v>
      </c>
      <c r="D294" s="28" t="s">
        <v>214</v>
      </c>
    </row>
    <row r="295" spans="2:4">
      <c r="B295" s="27">
        <f>B294+1</f>
        <v>293</v>
      </c>
      <c r="C295" s="28" t="s">
        <v>460</v>
      </c>
      <c r="D295" s="28" t="s">
        <v>461</v>
      </c>
    </row>
    <row r="296" spans="2:4">
      <c r="B296" s="27">
        <f>B295+1</f>
        <v>294</v>
      </c>
      <c r="C296" s="37" t="s">
        <v>462</v>
      </c>
      <c r="D296" s="37" t="s">
        <v>448</v>
      </c>
    </row>
    <row r="297" spans="2:4">
      <c r="B297" s="27">
        <v>295</v>
      </c>
      <c r="C297" s="28" t="s">
        <v>463</v>
      </c>
      <c r="D297" s="28" t="s">
        <v>464</v>
      </c>
    </row>
    <row r="298" spans="2:4">
      <c r="B298" s="27">
        <v>296</v>
      </c>
      <c r="C298" s="28" t="s">
        <v>465</v>
      </c>
      <c r="D298" s="28" t="s">
        <v>466</v>
      </c>
    </row>
    <row r="299" spans="2:4">
      <c r="B299" s="27">
        <v>297</v>
      </c>
      <c r="C299" s="37" t="s">
        <v>467</v>
      </c>
      <c r="D299" s="37" t="s">
        <v>468</v>
      </c>
    </row>
    <row r="300" spans="2:4">
      <c r="B300" s="27">
        <f>B299+1</f>
        <v>298</v>
      </c>
      <c r="C300" s="37" t="s">
        <v>469</v>
      </c>
      <c r="D300" s="37" t="s">
        <v>470</v>
      </c>
    </row>
    <row r="301" spans="2:4">
      <c r="B301" s="27">
        <f>B300+1</f>
        <v>299</v>
      </c>
      <c r="C301" s="37" t="s">
        <v>471</v>
      </c>
      <c r="D301" s="37" t="s">
        <v>472</v>
      </c>
    </row>
    <row r="302" spans="2:4">
      <c r="B302" s="27">
        <f t="shared" ref="B302:B322" si="4">B301+1</f>
        <v>300</v>
      </c>
      <c r="C302" s="28" t="s">
        <v>473</v>
      </c>
      <c r="D302" s="28" t="s">
        <v>474</v>
      </c>
    </row>
    <row r="303" spans="2:4">
      <c r="B303" s="27">
        <f t="shared" si="4"/>
        <v>301</v>
      </c>
      <c r="C303" s="28" t="s">
        <v>15</v>
      </c>
      <c r="D303" s="28" t="s">
        <v>16</v>
      </c>
    </row>
    <row r="304" spans="2:4">
      <c r="B304" s="27">
        <f t="shared" si="4"/>
        <v>302</v>
      </c>
      <c r="C304" s="28" t="s">
        <v>475</v>
      </c>
      <c r="D304" s="28" t="s">
        <v>476</v>
      </c>
    </row>
    <row r="305" spans="2:6">
      <c r="B305" s="27">
        <f t="shared" si="4"/>
        <v>303</v>
      </c>
      <c r="C305" s="28" t="s">
        <v>504</v>
      </c>
      <c r="D305" s="28" t="s">
        <v>505</v>
      </c>
    </row>
    <row r="306" spans="2:6">
      <c r="B306" s="27">
        <f t="shared" si="4"/>
        <v>304</v>
      </c>
      <c r="C306" s="28" t="s">
        <v>477</v>
      </c>
      <c r="D306" s="28" t="s">
        <v>478</v>
      </c>
    </row>
    <row r="307" spans="2:6">
      <c r="B307" s="27">
        <f t="shared" si="4"/>
        <v>305</v>
      </c>
      <c r="C307" s="28" t="s">
        <v>479</v>
      </c>
      <c r="D307" s="28" t="s">
        <v>480</v>
      </c>
    </row>
    <row r="308" spans="2:6">
      <c r="B308" s="27">
        <f t="shared" si="4"/>
        <v>306</v>
      </c>
      <c r="C308" s="28" t="s">
        <v>481</v>
      </c>
      <c r="D308" s="28" t="s">
        <v>482</v>
      </c>
    </row>
    <row r="309" spans="2:6">
      <c r="B309" s="27">
        <f t="shared" si="4"/>
        <v>307</v>
      </c>
      <c r="C309" s="37" t="s">
        <v>483</v>
      </c>
      <c r="D309" s="37" t="s">
        <v>484</v>
      </c>
      <c r="F309" s="28"/>
    </row>
    <row r="310" spans="2:6">
      <c r="B310" s="27">
        <f t="shared" si="4"/>
        <v>308</v>
      </c>
      <c r="C310" s="28" t="s">
        <v>485</v>
      </c>
      <c r="D310" s="28" t="s">
        <v>486</v>
      </c>
    </row>
    <row r="311" spans="2:6">
      <c r="B311" s="27">
        <f t="shared" si="4"/>
        <v>309</v>
      </c>
      <c r="C311" s="28" t="s">
        <v>487</v>
      </c>
      <c r="D311" s="28" t="s">
        <v>488</v>
      </c>
    </row>
    <row r="312" spans="2:6">
      <c r="B312" s="27">
        <f t="shared" si="4"/>
        <v>310</v>
      </c>
      <c r="C312" s="37" t="s">
        <v>489</v>
      </c>
      <c r="D312" s="37" t="s">
        <v>490</v>
      </c>
    </row>
    <row r="313" spans="2:6">
      <c r="B313" s="27">
        <f t="shared" si="4"/>
        <v>311</v>
      </c>
      <c r="C313" s="28" t="s">
        <v>491</v>
      </c>
      <c r="D313" s="28" t="s">
        <v>492</v>
      </c>
    </row>
    <row r="314" spans="2:6">
      <c r="B314" s="27">
        <f t="shared" si="4"/>
        <v>312</v>
      </c>
      <c r="C314" s="37" t="s">
        <v>447</v>
      </c>
      <c r="D314" s="37" t="s">
        <v>493</v>
      </c>
    </row>
    <row r="315" spans="2:6">
      <c r="B315" s="27">
        <f t="shared" si="4"/>
        <v>313</v>
      </c>
      <c r="C315" s="37" t="s">
        <v>494</v>
      </c>
      <c r="D315" s="37" t="s">
        <v>495</v>
      </c>
    </row>
    <row r="316" spans="2:6">
      <c r="B316" s="27">
        <f t="shared" si="4"/>
        <v>314</v>
      </c>
      <c r="C316" s="28" t="s">
        <v>496</v>
      </c>
      <c r="D316" s="28" t="s">
        <v>497</v>
      </c>
    </row>
    <row r="317" spans="2:6">
      <c r="B317" s="27">
        <f t="shared" si="4"/>
        <v>315</v>
      </c>
      <c r="C317" s="28" t="s">
        <v>498</v>
      </c>
      <c r="D317" s="28" t="s">
        <v>499</v>
      </c>
    </row>
    <row r="318" spans="2:6">
      <c r="B318" s="27">
        <f t="shared" si="4"/>
        <v>316</v>
      </c>
      <c r="C318" s="37" t="s">
        <v>548</v>
      </c>
      <c r="D318" s="37" t="s">
        <v>545</v>
      </c>
    </row>
    <row r="319" spans="2:6">
      <c r="B319" s="27">
        <f t="shared" si="4"/>
        <v>317</v>
      </c>
      <c r="C319" s="28" t="s">
        <v>542</v>
      </c>
      <c r="D319" s="28" t="s">
        <v>543</v>
      </c>
    </row>
    <row r="320" spans="2:6">
      <c r="B320" s="27">
        <f t="shared" si="4"/>
        <v>318</v>
      </c>
      <c r="C320" s="28" t="s">
        <v>547</v>
      </c>
      <c r="D320" s="246" t="s">
        <v>538</v>
      </c>
    </row>
    <row r="321" spans="2:4">
      <c r="B321" s="27">
        <f t="shared" si="4"/>
        <v>319</v>
      </c>
      <c r="C321" s="28" t="s">
        <v>549</v>
      </c>
      <c r="D321" s="28" t="s">
        <v>550</v>
      </c>
    </row>
    <row r="322" spans="2:4">
      <c r="B322" s="27">
        <f t="shared" si="4"/>
        <v>320</v>
      </c>
      <c r="C322" s="28" t="s">
        <v>551</v>
      </c>
      <c r="D322" s="28" t="s">
        <v>492</v>
      </c>
    </row>
  </sheetData>
  <pageMargins left="0.75" right="0.75" top="1" bottom="1" header="0" footer="0"/>
  <pageSetup paperSize="9" orientation="portrait" r:id="rId1"/>
  <headerFooter alignWithMargins="0"/>
  <colBreaks count="4" manualBreakCount="4">
    <brk id="3" max="344" man="1"/>
    <brk id="4" max="1048575" man="1"/>
    <brk id="9" max="1048575" man="1"/>
    <brk id="1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Q140"/>
  <sheetViews>
    <sheetView showGridLines="0" workbookViewId="0"/>
  </sheetViews>
  <sheetFormatPr baseColWidth="10" defaultColWidth="12.5703125" defaultRowHeight="12.75"/>
  <cols>
    <col min="1" max="1" width="47.42578125" style="217" customWidth="1"/>
    <col min="2" max="3" width="11.5703125" style="221" customWidth="1"/>
    <col min="4" max="7" width="13.28515625" style="221" customWidth="1"/>
    <col min="8" max="8" width="10.28515625" style="217" customWidth="1"/>
    <col min="9" max="255" width="12.5703125" style="217"/>
    <col min="256" max="256" width="56.140625" style="217" customWidth="1"/>
    <col min="257" max="258" width="11.5703125" style="217" customWidth="1"/>
    <col min="259" max="262" width="13.28515625" style="217" customWidth="1"/>
    <col min="263" max="263" width="10.28515625" style="217" customWidth="1"/>
    <col min="264" max="511" width="12.5703125" style="217"/>
    <col min="512" max="512" width="56.140625" style="217" customWidth="1"/>
    <col min="513" max="514" width="11.5703125" style="217" customWidth="1"/>
    <col min="515" max="518" width="13.28515625" style="217" customWidth="1"/>
    <col min="519" max="519" width="10.28515625" style="217" customWidth="1"/>
    <col min="520" max="767" width="12.5703125" style="217"/>
    <col min="768" max="768" width="56.140625" style="217" customWidth="1"/>
    <col min="769" max="770" width="11.5703125" style="217" customWidth="1"/>
    <col min="771" max="774" width="13.28515625" style="217" customWidth="1"/>
    <col min="775" max="775" width="10.28515625" style="217" customWidth="1"/>
    <col min="776" max="1023" width="12.5703125" style="217"/>
    <col min="1024" max="1024" width="56.140625" style="217" customWidth="1"/>
    <col min="1025" max="1026" width="11.5703125" style="217" customWidth="1"/>
    <col min="1027" max="1030" width="13.28515625" style="217" customWidth="1"/>
    <col min="1031" max="1031" width="10.28515625" style="217" customWidth="1"/>
    <col min="1032" max="1279" width="12.5703125" style="217"/>
    <col min="1280" max="1280" width="56.140625" style="217" customWidth="1"/>
    <col min="1281" max="1282" width="11.5703125" style="217" customWidth="1"/>
    <col min="1283" max="1286" width="13.28515625" style="217" customWidth="1"/>
    <col min="1287" max="1287" width="10.28515625" style="217" customWidth="1"/>
    <col min="1288" max="1535" width="12.5703125" style="217"/>
    <col min="1536" max="1536" width="56.140625" style="217" customWidth="1"/>
    <col min="1537" max="1538" width="11.5703125" style="217" customWidth="1"/>
    <col min="1539" max="1542" width="13.28515625" style="217" customWidth="1"/>
    <col min="1543" max="1543" width="10.28515625" style="217" customWidth="1"/>
    <col min="1544" max="1791" width="12.5703125" style="217"/>
    <col min="1792" max="1792" width="56.140625" style="217" customWidth="1"/>
    <col min="1793" max="1794" width="11.5703125" style="217" customWidth="1"/>
    <col min="1795" max="1798" width="13.28515625" style="217" customWidth="1"/>
    <col min="1799" max="1799" width="10.28515625" style="217" customWidth="1"/>
    <col min="1800" max="2047" width="12.5703125" style="217"/>
    <col min="2048" max="2048" width="56.140625" style="217" customWidth="1"/>
    <col min="2049" max="2050" width="11.5703125" style="217" customWidth="1"/>
    <col min="2051" max="2054" width="13.28515625" style="217" customWidth="1"/>
    <col min="2055" max="2055" width="10.28515625" style="217" customWidth="1"/>
    <col min="2056" max="2303" width="12.5703125" style="217"/>
    <col min="2304" max="2304" width="56.140625" style="217" customWidth="1"/>
    <col min="2305" max="2306" width="11.5703125" style="217" customWidth="1"/>
    <col min="2307" max="2310" width="13.28515625" style="217" customWidth="1"/>
    <col min="2311" max="2311" width="10.28515625" style="217" customWidth="1"/>
    <col min="2312" max="2559" width="12.5703125" style="217"/>
    <col min="2560" max="2560" width="56.140625" style="217" customWidth="1"/>
    <col min="2561" max="2562" width="11.5703125" style="217" customWidth="1"/>
    <col min="2563" max="2566" width="13.28515625" style="217" customWidth="1"/>
    <col min="2567" max="2567" width="10.28515625" style="217" customWidth="1"/>
    <col min="2568" max="2815" width="12.5703125" style="217"/>
    <col min="2816" max="2816" width="56.140625" style="217" customWidth="1"/>
    <col min="2817" max="2818" width="11.5703125" style="217" customWidth="1"/>
    <col min="2819" max="2822" width="13.28515625" style="217" customWidth="1"/>
    <col min="2823" max="2823" width="10.28515625" style="217" customWidth="1"/>
    <col min="2824" max="3071" width="12.5703125" style="217"/>
    <col min="3072" max="3072" width="56.140625" style="217" customWidth="1"/>
    <col min="3073" max="3074" width="11.5703125" style="217" customWidth="1"/>
    <col min="3075" max="3078" width="13.28515625" style="217" customWidth="1"/>
    <col min="3079" max="3079" width="10.28515625" style="217" customWidth="1"/>
    <col min="3080" max="3327" width="12.5703125" style="217"/>
    <col min="3328" max="3328" width="56.140625" style="217" customWidth="1"/>
    <col min="3329" max="3330" width="11.5703125" style="217" customWidth="1"/>
    <col min="3331" max="3334" width="13.28515625" style="217" customWidth="1"/>
    <col min="3335" max="3335" width="10.28515625" style="217" customWidth="1"/>
    <col min="3336" max="3583" width="12.5703125" style="217"/>
    <col min="3584" max="3584" width="56.140625" style="217" customWidth="1"/>
    <col min="3585" max="3586" width="11.5703125" style="217" customWidth="1"/>
    <col min="3587" max="3590" width="13.28515625" style="217" customWidth="1"/>
    <col min="3591" max="3591" width="10.28515625" style="217" customWidth="1"/>
    <col min="3592" max="3839" width="12.5703125" style="217"/>
    <col min="3840" max="3840" width="56.140625" style="217" customWidth="1"/>
    <col min="3841" max="3842" width="11.5703125" style="217" customWidth="1"/>
    <col min="3843" max="3846" width="13.28515625" style="217" customWidth="1"/>
    <col min="3847" max="3847" width="10.28515625" style="217" customWidth="1"/>
    <col min="3848" max="4095" width="12.5703125" style="217"/>
    <col min="4096" max="4096" width="56.140625" style="217" customWidth="1"/>
    <col min="4097" max="4098" width="11.5703125" style="217" customWidth="1"/>
    <col min="4099" max="4102" width="13.28515625" style="217" customWidth="1"/>
    <col min="4103" max="4103" width="10.28515625" style="217" customWidth="1"/>
    <col min="4104" max="4351" width="12.5703125" style="217"/>
    <col min="4352" max="4352" width="56.140625" style="217" customWidth="1"/>
    <col min="4353" max="4354" width="11.5703125" style="217" customWidth="1"/>
    <col min="4355" max="4358" width="13.28515625" style="217" customWidth="1"/>
    <col min="4359" max="4359" width="10.28515625" style="217" customWidth="1"/>
    <col min="4360" max="4607" width="12.5703125" style="217"/>
    <col min="4608" max="4608" width="56.140625" style="217" customWidth="1"/>
    <col min="4609" max="4610" width="11.5703125" style="217" customWidth="1"/>
    <col min="4611" max="4614" width="13.28515625" style="217" customWidth="1"/>
    <col min="4615" max="4615" width="10.28515625" style="217" customWidth="1"/>
    <col min="4616" max="4863" width="12.5703125" style="217"/>
    <col min="4864" max="4864" width="56.140625" style="217" customWidth="1"/>
    <col min="4865" max="4866" width="11.5703125" style="217" customWidth="1"/>
    <col min="4867" max="4870" width="13.28515625" style="217" customWidth="1"/>
    <col min="4871" max="4871" width="10.28515625" style="217" customWidth="1"/>
    <col min="4872" max="5119" width="12.5703125" style="217"/>
    <col min="5120" max="5120" width="56.140625" style="217" customWidth="1"/>
    <col min="5121" max="5122" width="11.5703125" style="217" customWidth="1"/>
    <col min="5123" max="5126" width="13.28515625" style="217" customWidth="1"/>
    <col min="5127" max="5127" width="10.28515625" style="217" customWidth="1"/>
    <col min="5128" max="5375" width="12.5703125" style="217"/>
    <col min="5376" max="5376" width="56.140625" style="217" customWidth="1"/>
    <col min="5377" max="5378" width="11.5703125" style="217" customWidth="1"/>
    <col min="5379" max="5382" width="13.28515625" style="217" customWidth="1"/>
    <col min="5383" max="5383" width="10.28515625" style="217" customWidth="1"/>
    <col min="5384" max="5631" width="12.5703125" style="217"/>
    <col min="5632" max="5632" width="56.140625" style="217" customWidth="1"/>
    <col min="5633" max="5634" width="11.5703125" style="217" customWidth="1"/>
    <col min="5635" max="5638" width="13.28515625" style="217" customWidth="1"/>
    <col min="5639" max="5639" width="10.28515625" style="217" customWidth="1"/>
    <col min="5640" max="5887" width="12.5703125" style="217"/>
    <col min="5888" max="5888" width="56.140625" style="217" customWidth="1"/>
    <col min="5889" max="5890" width="11.5703125" style="217" customWidth="1"/>
    <col min="5891" max="5894" width="13.28515625" style="217" customWidth="1"/>
    <col min="5895" max="5895" width="10.28515625" style="217" customWidth="1"/>
    <col min="5896" max="6143" width="12.5703125" style="217"/>
    <col min="6144" max="6144" width="56.140625" style="217" customWidth="1"/>
    <col min="6145" max="6146" width="11.5703125" style="217" customWidth="1"/>
    <col min="6147" max="6150" width="13.28515625" style="217" customWidth="1"/>
    <col min="6151" max="6151" width="10.28515625" style="217" customWidth="1"/>
    <col min="6152" max="6399" width="12.5703125" style="217"/>
    <col min="6400" max="6400" width="56.140625" style="217" customWidth="1"/>
    <col min="6401" max="6402" width="11.5703125" style="217" customWidth="1"/>
    <col min="6403" max="6406" width="13.28515625" style="217" customWidth="1"/>
    <col min="6407" max="6407" width="10.28515625" style="217" customWidth="1"/>
    <col min="6408" max="6655" width="12.5703125" style="217"/>
    <col min="6656" max="6656" width="56.140625" style="217" customWidth="1"/>
    <col min="6657" max="6658" width="11.5703125" style="217" customWidth="1"/>
    <col min="6659" max="6662" width="13.28515625" style="217" customWidth="1"/>
    <col min="6663" max="6663" width="10.28515625" style="217" customWidth="1"/>
    <col min="6664" max="6911" width="12.5703125" style="217"/>
    <col min="6912" max="6912" width="56.140625" style="217" customWidth="1"/>
    <col min="6913" max="6914" width="11.5703125" style="217" customWidth="1"/>
    <col min="6915" max="6918" width="13.28515625" style="217" customWidth="1"/>
    <col min="6919" max="6919" width="10.28515625" style="217" customWidth="1"/>
    <col min="6920" max="7167" width="12.5703125" style="217"/>
    <col min="7168" max="7168" width="56.140625" style="217" customWidth="1"/>
    <col min="7169" max="7170" width="11.5703125" style="217" customWidth="1"/>
    <col min="7171" max="7174" width="13.28515625" style="217" customWidth="1"/>
    <col min="7175" max="7175" width="10.28515625" style="217" customWidth="1"/>
    <col min="7176" max="7423" width="12.5703125" style="217"/>
    <col min="7424" max="7424" width="56.140625" style="217" customWidth="1"/>
    <col min="7425" max="7426" width="11.5703125" style="217" customWidth="1"/>
    <col min="7427" max="7430" width="13.28515625" style="217" customWidth="1"/>
    <col min="7431" max="7431" width="10.28515625" style="217" customWidth="1"/>
    <col min="7432" max="7679" width="12.5703125" style="217"/>
    <col min="7680" max="7680" width="56.140625" style="217" customWidth="1"/>
    <col min="7681" max="7682" width="11.5703125" style="217" customWidth="1"/>
    <col min="7683" max="7686" width="13.28515625" style="217" customWidth="1"/>
    <col min="7687" max="7687" width="10.28515625" style="217" customWidth="1"/>
    <col min="7688" max="7935" width="12.5703125" style="217"/>
    <col min="7936" max="7936" width="56.140625" style="217" customWidth="1"/>
    <col min="7937" max="7938" width="11.5703125" style="217" customWidth="1"/>
    <col min="7939" max="7942" width="13.28515625" style="217" customWidth="1"/>
    <col min="7943" max="7943" width="10.28515625" style="217" customWidth="1"/>
    <col min="7944" max="8191" width="12.5703125" style="217"/>
    <col min="8192" max="8192" width="56.140625" style="217" customWidth="1"/>
    <col min="8193" max="8194" width="11.5703125" style="217" customWidth="1"/>
    <col min="8195" max="8198" width="13.28515625" style="217" customWidth="1"/>
    <col min="8199" max="8199" width="10.28515625" style="217" customWidth="1"/>
    <col min="8200" max="8447" width="12.5703125" style="217"/>
    <col min="8448" max="8448" width="56.140625" style="217" customWidth="1"/>
    <col min="8449" max="8450" width="11.5703125" style="217" customWidth="1"/>
    <col min="8451" max="8454" width="13.28515625" style="217" customWidth="1"/>
    <col min="8455" max="8455" width="10.28515625" style="217" customWidth="1"/>
    <col min="8456" max="8703" width="12.5703125" style="217"/>
    <col min="8704" max="8704" width="56.140625" style="217" customWidth="1"/>
    <col min="8705" max="8706" width="11.5703125" style="217" customWidth="1"/>
    <col min="8707" max="8710" width="13.28515625" style="217" customWidth="1"/>
    <col min="8711" max="8711" width="10.28515625" style="217" customWidth="1"/>
    <col min="8712" max="8959" width="12.5703125" style="217"/>
    <col min="8960" max="8960" width="56.140625" style="217" customWidth="1"/>
    <col min="8961" max="8962" width="11.5703125" style="217" customWidth="1"/>
    <col min="8963" max="8966" width="13.28515625" style="217" customWidth="1"/>
    <col min="8967" max="8967" width="10.28515625" style="217" customWidth="1"/>
    <col min="8968" max="9215" width="12.5703125" style="217"/>
    <col min="9216" max="9216" width="56.140625" style="217" customWidth="1"/>
    <col min="9217" max="9218" width="11.5703125" style="217" customWidth="1"/>
    <col min="9219" max="9222" width="13.28515625" style="217" customWidth="1"/>
    <col min="9223" max="9223" width="10.28515625" style="217" customWidth="1"/>
    <col min="9224" max="9471" width="12.5703125" style="217"/>
    <col min="9472" max="9472" width="56.140625" style="217" customWidth="1"/>
    <col min="9473" max="9474" width="11.5703125" style="217" customWidth="1"/>
    <col min="9475" max="9478" width="13.28515625" style="217" customWidth="1"/>
    <col min="9479" max="9479" width="10.28515625" style="217" customWidth="1"/>
    <col min="9480" max="9727" width="12.5703125" style="217"/>
    <col min="9728" max="9728" width="56.140625" style="217" customWidth="1"/>
    <col min="9729" max="9730" width="11.5703125" style="217" customWidth="1"/>
    <col min="9731" max="9734" width="13.28515625" style="217" customWidth="1"/>
    <col min="9735" max="9735" width="10.28515625" style="217" customWidth="1"/>
    <col min="9736" max="9983" width="12.5703125" style="217"/>
    <col min="9984" max="9984" width="56.140625" style="217" customWidth="1"/>
    <col min="9985" max="9986" width="11.5703125" style="217" customWidth="1"/>
    <col min="9987" max="9990" width="13.28515625" style="217" customWidth="1"/>
    <col min="9991" max="9991" width="10.28515625" style="217" customWidth="1"/>
    <col min="9992" max="10239" width="12.5703125" style="217"/>
    <col min="10240" max="10240" width="56.140625" style="217" customWidth="1"/>
    <col min="10241" max="10242" width="11.5703125" style="217" customWidth="1"/>
    <col min="10243" max="10246" width="13.28515625" style="217" customWidth="1"/>
    <col min="10247" max="10247" width="10.28515625" style="217" customWidth="1"/>
    <col min="10248" max="10495" width="12.5703125" style="217"/>
    <col min="10496" max="10496" width="56.140625" style="217" customWidth="1"/>
    <col min="10497" max="10498" width="11.5703125" style="217" customWidth="1"/>
    <col min="10499" max="10502" width="13.28515625" style="217" customWidth="1"/>
    <col min="10503" max="10503" width="10.28515625" style="217" customWidth="1"/>
    <col min="10504" max="10751" width="12.5703125" style="217"/>
    <col min="10752" max="10752" width="56.140625" style="217" customWidth="1"/>
    <col min="10753" max="10754" width="11.5703125" style="217" customWidth="1"/>
    <col min="10755" max="10758" width="13.28515625" style="217" customWidth="1"/>
    <col min="10759" max="10759" width="10.28515625" style="217" customWidth="1"/>
    <col min="10760" max="11007" width="12.5703125" style="217"/>
    <col min="11008" max="11008" width="56.140625" style="217" customWidth="1"/>
    <col min="11009" max="11010" width="11.5703125" style="217" customWidth="1"/>
    <col min="11011" max="11014" width="13.28515625" style="217" customWidth="1"/>
    <col min="11015" max="11015" width="10.28515625" style="217" customWidth="1"/>
    <col min="11016" max="11263" width="12.5703125" style="217"/>
    <col min="11264" max="11264" width="56.140625" style="217" customWidth="1"/>
    <col min="11265" max="11266" width="11.5703125" style="217" customWidth="1"/>
    <col min="11267" max="11270" width="13.28515625" style="217" customWidth="1"/>
    <col min="11271" max="11271" width="10.28515625" style="217" customWidth="1"/>
    <col min="11272" max="11519" width="12.5703125" style="217"/>
    <col min="11520" max="11520" width="56.140625" style="217" customWidth="1"/>
    <col min="11521" max="11522" width="11.5703125" style="217" customWidth="1"/>
    <col min="11523" max="11526" width="13.28515625" style="217" customWidth="1"/>
    <col min="11527" max="11527" width="10.28515625" style="217" customWidth="1"/>
    <col min="11528" max="11775" width="12.5703125" style="217"/>
    <col min="11776" max="11776" width="56.140625" style="217" customWidth="1"/>
    <col min="11777" max="11778" width="11.5703125" style="217" customWidth="1"/>
    <col min="11779" max="11782" width="13.28515625" style="217" customWidth="1"/>
    <col min="11783" max="11783" width="10.28515625" style="217" customWidth="1"/>
    <col min="11784" max="12031" width="12.5703125" style="217"/>
    <col min="12032" max="12032" width="56.140625" style="217" customWidth="1"/>
    <col min="12033" max="12034" width="11.5703125" style="217" customWidth="1"/>
    <col min="12035" max="12038" width="13.28515625" style="217" customWidth="1"/>
    <col min="12039" max="12039" width="10.28515625" style="217" customWidth="1"/>
    <col min="12040" max="12287" width="12.5703125" style="217"/>
    <col min="12288" max="12288" width="56.140625" style="217" customWidth="1"/>
    <col min="12289" max="12290" width="11.5703125" style="217" customWidth="1"/>
    <col min="12291" max="12294" width="13.28515625" style="217" customWidth="1"/>
    <col min="12295" max="12295" width="10.28515625" style="217" customWidth="1"/>
    <col min="12296" max="12543" width="12.5703125" style="217"/>
    <col min="12544" max="12544" width="56.140625" style="217" customWidth="1"/>
    <col min="12545" max="12546" width="11.5703125" style="217" customWidth="1"/>
    <col min="12547" max="12550" width="13.28515625" style="217" customWidth="1"/>
    <col min="12551" max="12551" width="10.28515625" style="217" customWidth="1"/>
    <col min="12552" max="12799" width="12.5703125" style="217"/>
    <col min="12800" max="12800" width="56.140625" style="217" customWidth="1"/>
    <col min="12801" max="12802" width="11.5703125" style="217" customWidth="1"/>
    <col min="12803" max="12806" width="13.28515625" style="217" customWidth="1"/>
    <col min="12807" max="12807" width="10.28515625" style="217" customWidth="1"/>
    <col min="12808" max="13055" width="12.5703125" style="217"/>
    <col min="13056" max="13056" width="56.140625" style="217" customWidth="1"/>
    <col min="13057" max="13058" width="11.5703125" style="217" customWidth="1"/>
    <col min="13059" max="13062" width="13.28515625" style="217" customWidth="1"/>
    <col min="13063" max="13063" width="10.28515625" style="217" customWidth="1"/>
    <col min="13064" max="13311" width="12.5703125" style="217"/>
    <col min="13312" max="13312" width="56.140625" style="217" customWidth="1"/>
    <col min="13313" max="13314" width="11.5703125" style="217" customWidth="1"/>
    <col min="13315" max="13318" width="13.28515625" style="217" customWidth="1"/>
    <col min="13319" max="13319" width="10.28515625" style="217" customWidth="1"/>
    <col min="13320" max="13567" width="12.5703125" style="217"/>
    <col min="13568" max="13568" width="56.140625" style="217" customWidth="1"/>
    <col min="13569" max="13570" width="11.5703125" style="217" customWidth="1"/>
    <col min="13571" max="13574" width="13.28515625" style="217" customWidth="1"/>
    <col min="13575" max="13575" width="10.28515625" style="217" customWidth="1"/>
    <col min="13576" max="13823" width="12.5703125" style="217"/>
    <col min="13824" max="13824" width="56.140625" style="217" customWidth="1"/>
    <col min="13825" max="13826" width="11.5703125" style="217" customWidth="1"/>
    <col min="13827" max="13830" width="13.28515625" style="217" customWidth="1"/>
    <col min="13831" max="13831" width="10.28515625" style="217" customWidth="1"/>
    <col min="13832" max="14079" width="12.5703125" style="217"/>
    <col min="14080" max="14080" width="56.140625" style="217" customWidth="1"/>
    <col min="14081" max="14082" width="11.5703125" style="217" customWidth="1"/>
    <col min="14083" max="14086" width="13.28515625" style="217" customWidth="1"/>
    <col min="14087" max="14087" width="10.28515625" style="217" customWidth="1"/>
    <col min="14088" max="14335" width="12.5703125" style="217"/>
    <col min="14336" max="14336" width="56.140625" style="217" customWidth="1"/>
    <col min="14337" max="14338" width="11.5703125" style="217" customWidth="1"/>
    <col min="14339" max="14342" width="13.28515625" style="217" customWidth="1"/>
    <col min="14343" max="14343" width="10.28515625" style="217" customWidth="1"/>
    <col min="14344" max="14591" width="12.5703125" style="217"/>
    <col min="14592" max="14592" width="56.140625" style="217" customWidth="1"/>
    <col min="14593" max="14594" width="11.5703125" style="217" customWidth="1"/>
    <col min="14595" max="14598" width="13.28515625" style="217" customWidth="1"/>
    <col min="14599" max="14599" width="10.28515625" style="217" customWidth="1"/>
    <col min="14600" max="14847" width="12.5703125" style="217"/>
    <col min="14848" max="14848" width="56.140625" style="217" customWidth="1"/>
    <col min="14849" max="14850" width="11.5703125" style="217" customWidth="1"/>
    <col min="14851" max="14854" width="13.28515625" style="217" customWidth="1"/>
    <col min="14855" max="14855" width="10.28515625" style="217" customWidth="1"/>
    <col min="14856" max="15103" width="12.5703125" style="217"/>
    <col min="15104" max="15104" width="56.140625" style="217" customWidth="1"/>
    <col min="15105" max="15106" width="11.5703125" style="217" customWidth="1"/>
    <col min="15107" max="15110" width="13.28515625" style="217" customWidth="1"/>
    <col min="15111" max="15111" width="10.28515625" style="217" customWidth="1"/>
    <col min="15112" max="15359" width="12.5703125" style="217"/>
    <col min="15360" max="15360" width="56.140625" style="217" customWidth="1"/>
    <col min="15361" max="15362" width="11.5703125" style="217" customWidth="1"/>
    <col min="15363" max="15366" width="13.28515625" style="217" customWidth="1"/>
    <col min="15367" max="15367" width="10.28515625" style="217" customWidth="1"/>
    <col min="15368" max="15615" width="12.5703125" style="217"/>
    <col min="15616" max="15616" width="56.140625" style="217" customWidth="1"/>
    <col min="15617" max="15618" width="11.5703125" style="217" customWidth="1"/>
    <col min="15619" max="15622" width="13.28515625" style="217" customWidth="1"/>
    <col min="15623" max="15623" width="10.28515625" style="217" customWidth="1"/>
    <col min="15624" max="15871" width="12.5703125" style="217"/>
    <col min="15872" max="15872" width="56.140625" style="217" customWidth="1"/>
    <col min="15873" max="15874" width="11.5703125" style="217" customWidth="1"/>
    <col min="15875" max="15878" width="13.28515625" style="217" customWidth="1"/>
    <col min="15879" max="15879" width="10.28515625" style="217" customWidth="1"/>
    <col min="15880" max="16127" width="12.5703125" style="217"/>
    <col min="16128" max="16128" width="56.140625" style="217" customWidth="1"/>
    <col min="16129" max="16130" width="11.5703125" style="217" customWidth="1"/>
    <col min="16131" max="16134" width="13.28515625" style="217" customWidth="1"/>
    <col min="16135" max="16135" width="10.28515625" style="217" customWidth="1"/>
    <col min="16136" max="16384" width="12.5703125" style="217"/>
  </cols>
  <sheetData>
    <row r="1" spans="1:17" s="209" customFormat="1" ht="20.25">
      <c r="A1" s="38" t="str">
        <f>HLOOKUP(INDICE!$F$2,Nombres!$C$3:$E$853,291)</f>
        <v>Grupo BBVA. Balances de situación consolidados (*)</v>
      </c>
      <c r="B1" s="208"/>
      <c r="D1" s="208"/>
    </row>
    <row r="2" spans="1:17" s="209" customFormat="1">
      <c r="A2" s="41" t="str">
        <f>HLOOKUP(INDICE!F2,Nombres!$C$3:$E$853,30)</f>
        <v>(Millones de euros)</v>
      </c>
    </row>
    <row r="3" spans="1:17" s="209" customFormat="1" ht="20.25">
      <c r="A3" s="38"/>
    </row>
    <row r="4" spans="1:17" s="211" customFormat="1" ht="15" customHeight="1">
      <c r="A4" s="210"/>
      <c r="B4" s="81">
        <v>41729</v>
      </c>
      <c r="C4" s="82">
        <v>41820</v>
      </c>
      <c r="D4" s="82">
        <v>41912</v>
      </c>
      <c r="E4" s="82">
        <v>42004</v>
      </c>
      <c r="F4" s="81">
        <v>42094</v>
      </c>
      <c r="G4" s="82">
        <v>42185</v>
      </c>
      <c r="H4" s="82">
        <v>42277</v>
      </c>
    </row>
    <row r="5" spans="1:17" ht="7.5" customHeight="1">
      <c r="A5" s="212"/>
      <c r="B5" s="213"/>
      <c r="C5" s="214"/>
      <c r="D5" s="214"/>
      <c r="E5" s="215"/>
      <c r="F5" s="213"/>
      <c r="G5" s="214"/>
      <c r="H5" s="216"/>
      <c r="I5" s="216"/>
      <c r="J5" s="216"/>
    </row>
    <row r="6" spans="1:17" ht="15" customHeight="1">
      <c r="A6" s="49" t="str">
        <f>HLOOKUP(INDICE!F2,Nombres!$C$3:$E$853,63)</f>
        <v>Caja y depósitos en bancos centrales</v>
      </c>
      <c r="B6" s="177">
        <v>27546.094000000001</v>
      </c>
      <c r="C6" s="84">
        <v>27210.223000000002</v>
      </c>
      <c r="D6" s="84">
        <v>23120.532999999999</v>
      </c>
      <c r="E6" s="84">
        <v>33908.392</v>
      </c>
      <c r="F6" s="177">
        <v>27553.317999999999</v>
      </c>
      <c r="G6" s="84">
        <v>30192.351999999999</v>
      </c>
      <c r="H6" s="84">
        <v>36128.428</v>
      </c>
      <c r="I6" s="218"/>
      <c r="J6" s="216"/>
      <c r="K6" s="219"/>
      <c r="L6" s="219"/>
      <c r="Q6" s="219"/>
    </row>
    <row r="7" spans="1:17" ht="15" customHeight="1">
      <c r="A7" s="49" t="str">
        <f>HLOOKUP(INDICE!F2,Nombres!$C$3:$E$853,64)</f>
        <v>Cartera de negociación</v>
      </c>
      <c r="B7" s="177">
        <v>76433.225999999995</v>
      </c>
      <c r="C7" s="84">
        <v>79589.286999999997</v>
      </c>
      <c r="D7" s="84">
        <v>88023.118000000002</v>
      </c>
      <c r="E7" s="84">
        <v>83426.687000000005</v>
      </c>
      <c r="F7" s="177">
        <v>94882.676000000007</v>
      </c>
      <c r="G7" s="84">
        <v>82693.035999999993</v>
      </c>
      <c r="H7" s="84">
        <v>83662.084000000003</v>
      </c>
      <c r="I7" s="218"/>
      <c r="J7" s="216"/>
      <c r="K7" s="219"/>
    </row>
    <row r="8" spans="1:17" ht="15" customHeight="1">
      <c r="A8" s="49" t="str">
        <f>HLOOKUP(INDICE!F2,Nombres!$C$3:$E$853,65)</f>
        <v>Otros activos financieros a valor razonable</v>
      </c>
      <c r="B8" s="177">
        <v>3384.569</v>
      </c>
      <c r="C8" s="84">
        <v>2989.5450000000001</v>
      </c>
      <c r="D8" s="84">
        <v>3227.0830000000001</v>
      </c>
      <c r="E8" s="84">
        <v>3235.5439999999999</v>
      </c>
      <c r="F8" s="177">
        <v>3602.8440000000001</v>
      </c>
      <c r="G8" s="84">
        <v>3498.5920000000001</v>
      </c>
      <c r="H8" s="84">
        <v>4968.1880000000001</v>
      </c>
      <c r="I8" s="218"/>
      <c r="J8" s="216"/>
      <c r="K8" s="219"/>
    </row>
    <row r="9" spans="1:17" ht="15" customHeight="1">
      <c r="A9" s="49" t="str">
        <f>HLOOKUP(INDICE!F2,Nombres!$C$3:$E$853,66)</f>
        <v>Activos financieros disponibles para la venta</v>
      </c>
      <c r="B9" s="177">
        <v>88236.263999999996</v>
      </c>
      <c r="C9" s="84">
        <v>92316.255000000005</v>
      </c>
      <c r="D9" s="84">
        <v>98322.123999999996</v>
      </c>
      <c r="E9" s="84">
        <v>98733.934999999998</v>
      </c>
      <c r="F9" s="177">
        <v>101182.75900000001</v>
      </c>
      <c r="G9" s="84">
        <v>107135.899</v>
      </c>
      <c r="H9" s="84">
        <v>117566.649</v>
      </c>
      <c r="I9" s="218"/>
      <c r="J9" s="216"/>
      <c r="K9" s="219"/>
    </row>
    <row r="10" spans="1:17" ht="15" customHeight="1">
      <c r="A10" s="49" t="str">
        <f>HLOOKUP(INDICE!F2,Nombres!$C$3:$E$853,67)</f>
        <v>Inversiones crediticias</v>
      </c>
      <c r="B10" s="177">
        <v>360937.63699999999</v>
      </c>
      <c r="C10" s="84">
        <v>372180.09600000002</v>
      </c>
      <c r="D10" s="84">
        <v>379715.10800000001</v>
      </c>
      <c r="E10" s="84">
        <v>386839.22600000002</v>
      </c>
      <c r="F10" s="177">
        <v>398558.473</v>
      </c>
      <c r="G10" s="84">
        <v>415020.402</v>
      </c>
      <c r="H10" s="84">
        <v>451657.59700000001</v>
      </c>
      <c r="I10" s="218"/>
      <c r="J10" s="216"/>
      <c r="K10" s="219"/>
    </row>
    <row r="11" spans="1:17" ht="15" customHeight="1">
      <c r="A11" s="49" t="str">
        <f>HLOOKUP(INDICE!F2,Nombres!$C$3:$E$853,68)</f>
        <v>. Depósitos en entidades de crédito</v>
      </c>
      <c r="B11" s="177">
        <v>21441.327000000001</v>
      </c>
      <c r="C11" s="84">
        <v>27874.334999999999</v>
      </c>
      <c r="D11" s="84">
        <v>27560.835999999999</v>
      </c>
      <c r="E11" s="84">
        <v>28253.821</v>
      </c>
      <c r="F11" s="177">
        <v>33671.557000000001</v>
      </c>
      <c r="G11" s="84">
        <v>29074.346000000001</v>
      </c>
      <c r="H11" s="84">
        <v>33041.857000000004</v>
      </c>
      <c r="I11" s="218"/>
      <c r="J11" s="216"/>
      <c r="K11" s="219"/>
    </row>
    <row r="12" spans="1:17" ht="15" customHeight="1">
      <c r="A12" s="49" t="str">
        <f>HLOOKUP(INDICE!F2,Nombres!$C$3:$E$853,69)</f>
        <v>. Crédito a la clientela</v>
      </c>
      <c r="B12" s="177">
        <v>334697.79499999998</v>
      </c>
      <c r="C12" s="84">
        <v>339062.61599999998</v>
      </c>
      <c r="D12" s="84">
        <v>346103.35200000001</v>
      </c>
      <c r="E12" s="84">
        <v>351754.59000000014</v>
      </c>
      <c r="F12" s="177">
        <v>360265.26</v>
      </c>
      <c r="G12" s="84">
        <v>374887.67800000001</v>
      </c>
      <c r="H12" s="84">
        <v>407454.19500000001</v>
      </c>
      <c r="I12" s="218"/>
      <c r="J12" s="216"/>
      <c r="K12" s="219"/>
    </row>
    <row r="13" spans="1:17" ht="15" customHeight="1">
      <c r="A13" s="49" t="str">
        <f>HLOOKUP(INDICE!F2,Nombres!$C$3:$E$853,300)</f>
        <v>. Valores representativos de deuda</v>
      </c>
      <c r="B13" s="177">
        <v>4798.5150000000003</v>
      </c>
      <c r="C13" s="84">
        <v>5243.1450000000004</v>
      </c>
      <c r="D13" s="84">
        <v>6050.92</v>
      </c>
      <c r="E13" s="84">
        <v>6830.8149999999996</v>
      </c>
      <c r="F13" s="177">
        <v>4621.6559999999999</v>
      </c>
      <c r="G13" s="84">
        <v>11058.378000000001</v>
      </c>
      <c r="H13" s="84">
        <v>11161.545</v>
      </c>
      <c r="I13" s="218"/>
      <c r="J13" s="216"/>
      <c r="K13" s="219"/>
    </row>
    <row r="14" spans="1:17" ht="15" customHeight="1">
      <c r="A14" s="49" t="str">
        <f>HLOOKUP(INDICE!F2,Nombres!$C$3:$E$853,71)</f>
        <v>Cartera de inversion a vencimiento</v>
      </c>
      <c r="B14" s="181" t="s">
        <v>500</v>
      </c>
      <c r="C14" s="84" t="s">
        <v>500</v>
      </c>
      <c r="D14" s="84" t="s">
        <v>500</v>
      </c>
      <c r="E14" s="220" t="s">
        <v>500</v>
      </c>
      <c r="F14" s="181" t="s">
        <v>500</v>
      </c>
      <c r="G14" s="84" t="s">
        <v>500</v>
      </c>
      <c r="H14" s="84" t="s">
        <v>500</v>
      </c>
      <c r="I14" s="218"/>
      <c r="J14" s="216"/>
      <c r="K14" s="219"/>
    </row>
    <row r="15" spans="1:17" ht="15" customHeight="1">
      <c r="A15" s="49" t="str">
        <f>HLOOKUP(INDICE!F2,Nombres!$C$3:$E$853,72)</f>
        <v>Participaciones</v>
      </c>
      <c r="B15" s="177">
        <v>1318.8389999999999</v>
      </c>
      <c r="C15" s="84">
        <v>1338.81</v>
      </c>
      <c r="D15" s="84">
        <v>1443.184</v>
      </c>
      <c r="E15" s="84">
        <v>661.42599999999993</v>
      </c>
      <c r="F15" s="177">
        <v>673.96900000000005</v>
      </c>
      <c r="G15" s="84">
        <v>1012.598</v>
      </c>
      <c r="H15" s="84">
        <v>778.90800000000002</v>
      </c>
      <c r="I15" s="218"/>
      <c r="J15" s="216"/>
      <c r="K15" s="219"/>
    </row>
    <row r="16" spans="1:17" ht="15" customHeight="1">
      <c r="A16" s="49" t="str">
        <f>HLOOKUP(INDICE!F2,Nombres!$C$3:$E$853,73)</f>
        <v>Activo material</v>
      </c>
      <c r="B16" s="177">
        <v>7473.518</v>
      </c>
      <c r="C16" s="84">
        <v>7466.19</v>
      </c>
      <c r="D16" s="84">
        <v>7762.0730000000003</v>
      </c>
      <c r="E16" s="84">
        <v>8014.1859999999997</v>
      </c>
      <c r="F16" s="177">
        <v>8056.8370000000004</v>
      </c>
      <c r="G16" s="84">
        <v>8752.9439999999995</v>
      </c>
      <c r="H16" s="84">
        <v>9348.6509999999998</v>
      </c>
      <c r="I16" s="218"/>
      <c r="J16" s="216"/>
      <c r="K16" s="219"/>
    </row>
    <row r="17" spans="1:11" ht="15" customHeight="1">
      <c r="A17" s="49" t="str">
        <f>HLOOKUP(INDICE!F2,Nombres!$C$3:$E$853,74)</f>
        <v>Activo intangible</v>
      </c>
      <c r="B17" s="177">
        <v>8138.8220000000001</v>
      </c>
      <c r="C17" s="84">
        <v>8218.9889999999996</v>
      </c>
      <c r="D17" s="84">
        <v>8621.0959999999995</v>
      </c>
      <c r="E17" s="84">
        <v>8839.9390000000003</v>
      </c>
      <c r="F17" s="177">
        <v>9493.4050000000007</v>
      </c>
      <c r="G17" s="84">
        <v>9212.0339999999997</v>
      </c>
      <c r="H17" s="84">
        <v>9796.8790000000008</v>
      </c>
      <c r="I17" s="218"/>
      <c r="J17" s="216"/>
      <c r="K17" s="219"/>
    </row>
    <row r="18" spans="1:11" ht="15" customHeight="1">
      <c r="A18" s="49" t="str">
        <f>HLOOKUP(INDICE!F2,Nombres!$C$3:$E$853,75)</f>
        <v>Otros activos</v>
      </c>
      <c r="B18" s="177">
        <v>25666.232999999949</v>
      </c>
      <c r="C18" s="84">
        <v>25822.005000000063</v>
      </c>
      <c r="D18" s="84">
        <v>27464.840000000084</v>
      </c>
      <c r="E18" s="84">
        <v>27851.212</v>
      </c>
      <c r="F18" s="177">
        <v>28593.281999999832</v>
      </c>
      <c r="G18" s="84">
        <v>31553.232999999949</v>
      </c>
      <c r="H18" s="84">
        <v>32569.39300000004</v>
      </c>
      <c r="I18" s="218"/>
      <c r="J18" s="216"/>
      <c r="K18" s="219"/>
    </row>
    <row r="19" spans="1:11" s="221" customFormat="1" ht="15" customHeight="1">
      <c r="A19" s="54" t="str">
        <f>HLOOKUP(INDICE!F2,Nombres!$C$3:$E$853,76)</f>
        <v>Total activo</v>
      </c>
      <c r="B19" s="184">
        <v>599135.20200000005</v>
      </c>
      <c r="C19" s="205">
        <v>617131.4</v>
      </c>
      <c r="D19" s="205">
        <v>637699.15800000005</v>
      </c>
      <c r="E19" s="205">
        <v>651510.54799999995</v>
      </c>
      <c r="F19" s="184">
        <v>672597.56400000001</v>
      </c>
      <c r="G19" s="205">
        <v>689071.09</v>
      </c>
      <c r="H19" s="205">
        <v>746476.777</v>
      </c>
      <c r="I19" s="218"/>
      <c r="J19" s="216"/>
      <c r="K19" s="219"/>
    </row>
    <row r="20" spans="1:11" ht="9.75" customHeight="1">
      <c r="A20" s="222"/>
      <c r="B20" s="223"/>
      <c r="C20" s="224"/>
      <c r="D20" s="224"/>
      <c r="E20" s="224"/>
      <c r="F20" s="223"/>
      <c r="G20" s="224"/>
      <c r="H20" s="224"/>
      <c r="I20" s="218"/>
      <c r="J20" s="216"/>
      <c r="K20" s="219"/>
    </row>
    <row r="21" spans="1:11" ht="15" customHeight="1">
      <c r="A21" s="49" t="str">
        <f>HLOOKUP(INDICE!F2,Nombres!$C$3:$E$853,77)</f>
        <v>Cartera de negociación</v>
      </c>
      <c r="B21" s="177">
        <v>48975.635999999999</v>
      </c>
      <c r="C21" s="84">
        <v>51868.74</v>
      </c>
      <c r="D21" s="84">
        <v>59083.521000000001</v>
      </c>
      <c r="E21" s="84">
        <v>56990.142</v>
      </c>
      <c r="F21" s="177">
        <v>67437.782000000007</v>
      </c>
      <c r="G21" s="178">
        <v>56977.112999999998</v>
      </c>
      <c r="H21" s="84">
        <v>58351.862999999998</v>
      </c>
      <c r="I21" s="218"/>
      <c r="J21" s="216"/>
      <c r="K21" s="219"/>
    </row>
    <row r="22" spans="1:11" ht="15" customHeight="1">
      <c r="A22" s="49" t="str">
        <f>HLOOKUP(INDICE!F2,Nombres!$C$3:$E$853,78)</f>
        <v>Otros pasivos financieros a valor razonable</v>
      </c>
      <c r="B22" s="177">
        <v>3039.65</v>
      </c>
      <c r="C22" s="84">
        <v>3394.7739999999999</v>
      </c>
      <c r="D22" s="84">
        <v>3614.7080000000001</v>
      </c>
      <c r="E22" s="84">
        <v>3590.1990000000001</v>
      </c>
      <c r="F22" s="177">
        <v>3903.2350000000001</v>
      </c>
      <c r="G22" s="84">
        <v>3746.4180000000001</v>
      </c>
      <c r="H22" s="84">
        <v>4766.951</v>
      </c>
      <c r="I22" s="218"/>
      <c r="J22" s="216"/>
      <c r="K22" s="219"/>
    </row>
    <row r="23" spans="1:11" ht="15" customHeight="1">
      <c r="A23" s="49" t="str">
        <f>HLOOKUP(INDICE!F2,Nombres!$C$3:$E$853,79)</f>
        <v>Pasivos financieros a coste amortizado</v>
      </c>
      <c r="B23" s="177">
        <v>476656.00599999999</v>
      </c>
      <c r="C23" s="84">
        <v>486888.53600000002</v>
      </c>
      <c r="D23" s="84">
        <v>497179.103</v>
      </c>
      <c r="E23" s="84">
        <v>509973.92300000001</v>
      </c>
      <c r="F23" s="177">
        <v>518819.42499999999</v>
      </c>
      <c r="G23" s="84">
        <v>546479.76100000006</v>
      </c>
      <c r="H23" s="84">
        <v>598205.89099999995</v>
      </c>
      <c r="I23" s="218"/>
      <c r="J23" s="216"/>
      <c r="K23" s="219"/>
    </row>
    <row r="24" spans="1:11" ht="15" customHeight="1">
      <c r="A24" s="49" t="str">
        <f>HLOOKUP(INDICE!F2,Nombres!$C$3:$E$853,80)</f>
        <v>. Depósitos de bancos centrales y entidades de crédito</v>
      </c>
      <c r="B24" s="177">
        <v>84461.046999999991</v>
      </c>
      <c r="C24" s="84">
        <v>81772.369000000006</v>
      </c>
      <c r="D24" s="84">
        <v>84199.317999999999</v>
      </c>
      <c r="E24" s="84">
        <v>97734.701000000001</v>
      </c>
      <c r="F24" s="177">
        <v>92546.854999999996</v>
      </c>
      <c r="G24" s="84">
        <v>94763.18299999999</v>
      </c>
      <c r="H24" s="84">
        <v>115154.409</v>
      </c>
      <c r="I24" s="218"/>
      <c r="J24" s="216"/>
      <c r="K24" s="219"/>
    </row>
    <row r="25" spans="1:11" ht="15" customHeight="1">
      <c r="A25" s="49" t="str">
        <f>HLOOKUP(INDICE!F2,Nombres!$C$3:$E$853,81)</f>
        <v>. Depósitos de la clientela</v>
      </c>
      <c r="B25" s="177">
        <v>309817.34000000003</v>
      </c>
      <c r="C25" s="84">
        <v>320796.46399999998</v>
      </c>
      <c r="D25" s="84">
        <v>329609.864</v>
      </c>
      <c r="E25" s="84">
        <v>330685.924</v>
      </c>
      <c r="F25" s="177">
        <v>339674.51199999999</v>
      </c>
      <c r="G25" s="84">
        <v>363372.821</v>
      </c>
      <c r="H25" s="84">
        <v>388855.549</v>
      </c>
      <c r="I25" s="218"/>
      <c r="J25" s="216"/>
      <c r="K25" s="219"/>
    </row>
    <row r="26" spans="1:11" ht="15" customHeight="1">
      <c r="A26" s="49" t="str">
        <f>HLOOKUP(INDICE!F2,Nombres!$C$3:$E$853,82)</f>
        <v>. Débitos representados por valores negociables</v>
      </c>
      <c r="B26" s="177">
        <v>62891.544999999998</v>
      </c>
      <c r="C26" s="157">
        <v>62644.603999999999</v>
      </c>
      <c r="D26" s="157">
        <v>61181.237999999998</v>
      </c>
      <c r="E26" s="157">
        <v>59393.042999999998</v>
      </c>
      <c r="F26" s="177">
        <v>58258.856</v>
      </c>
      <c r="G26" s="84">
        <v>62298.588000000003</v>
      </c>
      <c r="H26" s="157">
        <v>65860.301999999996</v>
      </c>
      <c r="I26" s="218"/>
      <c r="J26" s="216"/>
      <c r="K26" s="219"/>
    </row>
    <row r="27" spans="1:11" ht="15" customHeight="1">
      <c r="A27" s="49" t="str">
        <f>HLOOKUP(INDICE!F2,Nombres!$C$3:$E$853,83)</f>
        <v>. Pasivos subordinados</v>
      </c>
      <c r="B27" s="177">
        <v>12122.837</v>
      </c>
      <c r="C27" s="84">
        <v>13820.9</v>
      </c>
      <c r="D27" s="84">
        <v>14265.227000000001</v>
      </c>
      <c r="E27" s="84">
        <v>14118.194</v>
      </c>
      <c r="F27" s="177">
        <v>15723.075999999999</v>
      </c>
      <c r="G27" s="84">
        <v>16126.071</v>
      </c>
      <c r="H27" s="84">
        <v>16139.663</v>
      </c>
      <c r="I27" s="218"/>
      <c r="J27" s="216"/>
      <c r="K27" s="219"/>
    </row>
    <row r="28" spans="1:11" ht="15" customHeight="1">
      <c r="A28" s="49" t="str">
        <f>HLOOKUP(INDICE!F2,Nombres!$C$3:$E$853,84)</f>
        <v>. Otros pasivos financieros</v>
      </c>
      <c r="B28" s="177">
        <v>7363.2370000000001</v>
      </c>
      <c r="C28" s="84">
        <v>7854.1989999999996</v>
      </c>
      <c r="D28" s="84">
        <v>7923.4560000000001</v>
      </c>
      <c r="E28" s="84">
        <v>8042.0609999999997</v>
      </c>
      <c r="F28" s="177">
        <v>12616.126</v>
      </c>
      <c r="G28" s="84">
        <v>9919.098</v>
      </c>
      <c r="H28" s="84">
        <v>12195.968000000001</v>
      </c>
      <c r="I28" s="218"/>
      <c r="J28" s="216"/>
      <c r="K28" s="219"/>
    </row>
    <row r="29" spans="1:11" ht="15" customHeight="1">
      <c r="A29" s="49" t="str">
        <f>HLOOKUP(INDICE!F2,Nombres!$C$3:$E$853,85)</f>
        <v>Pasivos por contratos de seguros</v>
      </c>
      <c r="B29" s="177">
        <v>10102.003000000001</v>
      </c>
      <c r="C29" s="84">
        <v>10265.858</v>
      </c>
      <c r="D29" s="84">
        <v>10624.05</v>
      </c>
      <c r="E29" s="84">
        <v>10470.828</v>
      </c>
      <c r="F29" s="177">
        <v>11192.771000000001</v>
      </c>
      <c r="G29" s="84">
        <v>10333.217000000001</v>
      </c>
      <c r="H29" s="84">
        <v>10191.512000000001</v>
      </c>
      <c r="I29" s="218"/>
      <c r="J29" s="216"/>
      <c r="K29" s="219"/>
    </row>
    <row r="30" spans="1:11" ht="15" customHeight="1">
      <c r="A30" s="49" t="str">
        <f>HLOOKUP(INDICE!F2,Nombres!$C$3:$E$853,86)</f>
        <v>Otros pasivos</v>
      </c>
      <c r="B30" s="177">
        <v>16306.017999999945</v>
      </c>
      <c r="C30" s="84">
        <v>17846.333000000006</v>
      </c>
      <c r="D30" s="84">
        <v>18808.366999999904</v>
      </c>
      <c r="E30" s="84">
        <v>18876.650999999933</v>
      </c>
      <c r="F30" s="177">
        <v>18878.709000000075</v>
      </c>
      <c r="G30" s="84">
        <v>20537.678000000029</v>
      </c>
      <c r="H30" s="84">
        <v>21359.668000000078</v>
      </c>
      <c r="I30" s="218"/>
      <c r="J30" s="216"/>
      <c r="K30" s="219"/>
    </row>
    <row r="31" spans="1:11" s="221" customFormat="1" ht="15" customHeight="1">
      <c r="A31" s="54" t="str">
        <f>HLOOKUP(INDICE!F2,Nombres!$C$3:$E$853,87)</f>
        <v>Total pasivo</v>
      </c>
      <c r="B31" s="184">
        <v>555079.31299999997</v>
      </c>
      <c r="C31" s="205">
        <v>570264.24100000004</v>
      </c>
      <c r="D31" s="205">
        <v>589309.74899999995</v>
      </c>
      <c r="E31" s="205">
        <v>599901.7429999999</v>
      </c>
      <c r="F31" s="184">
        <v>620231.92200000002</v>
      </c>
      <c r="G31" s="185">
        <v>638074.18700000003</v>
      </c>
      <c r="H31" s="205">
        <v>692875.88500000001</v>
      </c>
      <c r="I31" s="218"/>
      <c r="J31" s="216"/>
      <c r="K31" s="219"/>
    </row>
    <row r="32" spans="1:11" ht="9.75" customHeight="1">
      <c r="A32" s="225"/>
      <c r="B32" s="223"/>
      <c r="C32" s="224"/>
      <c r="D32" s="224"/>
      <c r="E32" s="224"/>
      <c r="F32" s="223"/>
      <c r="G32" s="226"/>
      <c r="H32" s="224"/>
      <c r="I32" s="218"/>
      <c r="J32" s="216"/>
      <c r="K32" s="219"/>
    </row>
    <row r="33" spans="1:12" ht="15" customHeight="1">
      <c r="A33" s="49" t="str">
        <f>HLOOKUP(INDICE!F2,Nombres!$C$3:$E$853,88)</f>
        <v>Intereses minoritarios</v>
      </c>
      <c r="B33" s="177">
        <v>1862.829</v>
      </c>
      <c r="C33" s="84">
        <v>2047.84</v>
      </c>
      <c r="D33" s="84">
        <v>2252.88</v>
      </c>
      <c r="E33" s="84">
        <v>2510.8399999999997</v>
      </c>
      <c r="F33" s="177">
        <v>1691.644</v>
      </c>
      <c r="G33" s="178">
        <v>1727.9739999999999</v>
      </c>
      <c r="H33" s="84">
        <v>7328.62</v>
      </c>
      <c r="I33" s="218"/>
      <c r="J33" s="216"/>
      <c r="K33" s="219"/>
    </row>
    <row r="34" spans="1:12" s="227" customFormat="1" ht="15" customHeight="1">
      <c r="A34" s="49" t="str">
        <f>HLOOKUP(INDICE!F2,Nombres!$C$3:$E$853,89)</f>
        <v>Ajustes por valoración</v>
      </c>
      <c r="B34" s="177">
        <v>-3636.491</v>
      </c>
      <c r="C34" s="84">
        <v>-2145.585</v>
      </c>
      <c r="D34" s="84">
        <v>-878.79399999999998</v>
      </c>
      <c r="E34" s="84">
        <v>-348.40899999999999</v>
      </c>
      <c r="F34" s="177">
        <v>327.322</v>
      </c>
      <c r="G34" s="178">
        <v>-2908.5360000000001</v>
      </c>
      <c r="H34" s="84">
        <v>-3559.5450000000001</v>
      </c>
      <c r="I34" s="218"/>
      <c r="J34" s="216"/>
      <c r="K34" s="219"/>
    </row>
    <row r="35" spans="1:12" ht="15" customHeight="1">
      <c r="A35" s="49" t="str">
        <f>HLOOKUP(INDICE!F2,Nombres!$C$3:$E$853,90)</f>
        <v>Fondos propios</v>
      </c>
      <c r="B35" s="177">
        <v>45829.550999999999</v>
      </c>
      <c r="C35" s="84">
        <v>46964.904000000002</v>
      </c>
      <c r="D35" s="84">
        <v>47015.322999999997</v>
      </c>
      <c r="E35" s="84">
        <v>49446.374000000003</v>
      </c>
      <c r="F35" s="177">
        <v>50346.675999999999</v>
      </c>
      <c r="G35" s="178">
        <v>52177.464999999997</v>
      </c>
      <c r="H35" s="84">
        <v>49831.817000000003</v>
      </c>
      <c r="I35" s="218"/>
      <c r="J35" s="216"/>
      <c r="K35" s="219"/>
    </row>
    <row r="36" spans="1:12" s="221" customFormat="1" ht="15" customHeight="1">
      <c r="A36" s="54" t="str">
        <f>HLOOKUP(INDICE!F2,Nombres!$C$3:$E$853,91)</f>
        <v>Patrimonio neto</v>
      </c>
      <c r="B36" s="184">
        <v>44055.889000000003</v>
      </c>
      <c r="C36" s="205">
        <v>46867.159</v>
      </c>
      <c r="D36" s="205">
        <v>48389.409</v>
      </c>
      <c r="E36" s="205">
        <v>51608.805</v>
      </c>
      <c r="F36" s="184">
        <v>52365.642</v>
      </c>
      <c r="G36" s="185">
        <v>50996.902999999998</v>
      </c>
      <c r="H36" s="205">
        <v>53600.892</v>
      </c>
      <c r="I36" s="218"/>
      <c r="J36" s="216"/>
      <c r="K36" s="219"/>
    </row>
    <row r="37" spans="1:12" ht="11.25" customHeight="1">
      <c r="A37" s="212"/>
      <c r="B37" s="223"/>
      <c r="C37" s="224"/>
      <c r="D37" s="224"/>
      <c r="E37" s="224"/>
      <c r="F37" s="223"/>
      <c r="G37" s="226"/>
      <c r="H37" s="224"/>
      <c r="I37" s="216"/>
      <c r="J37" s="216"/>
      <c r="K37" s="219"/>
    </row>
    <row r="38" spans="1:12" s="221" customFormat="1" ht="15" customHeight="1">
      <c r="A38" s="54" t="str">
        <f>HLOOKUP(INDICE!F2,Nombres!$C$3:$E$853,92)</f>
        <v>Total patrimonio neto y pasivo</v>
      </c>
      <c r="B38" s="184">
        <v>599135.20200000005</v>
      </c>
      <c r="C38" s="205">
        <v>617131.4</v>
      </c>
      <c r="D38" s="205">
        <v>637699.15800000005</v>
      </c>
      <c r="E38" s="205">
        <v>651510.54799999995</v>
      </c>
      <c r="F38" s="184">
        <v>672597.56400000001</v>
      </c>
      <c r="G38" s="205">
        <v>689071.09</v>
      </c>
      <c r="H38" s="205">
        <v>746476.777</v>
      </c>
      <c r="I38" s="216"/>
      <c r="J38" s="216"/>
      <c r="K38" s="216"/>
      <c r="L38" s="216"/>
    </row>
    <row r="39" spans="1:12" s="229" customFormat="1" ht="33.75" customHeight="1">
      <c r="A39" s="255" t="str">
        <f>HLOOKUP(INDICE!F2,Nombres!$C$3:$E$853,316)</f>
        <v>(*) Desde el tercer trimestre de 2015, la participación total de BBVA en Garanti se consolida por el método de integración global. Para periodos anteriores, los activos y pasivos de Garanti se integran en la proporción correspondiente al porcentaje de participación del Grupo (25,01%).</v>
      </c>
      <c r="B39" s="255"/>
      <c r="C39" s="255"/>
      <c r="D39" s="255"/>
      <c r="E39" s="255"/>
      <c r="F39" s="255"/>
      <c r="G39" s="255"/>
      <c r="H39" s="255"/>
      <c r="I39" s="228"/>
      <c r="J39" s="228"/>
      <c r="K39" s="228"/>
      <c r="L39" s="228"/>
    </row>
    <row r="40" spans="1:12" ht="21" customHeight="1">
      <c r="A40" s="38" t="str">
        <f>HLOOKUP(INDICE!F2,Nombres!$C$3:$E$853,291)</f>
        <v>Grupo BBVA. Balances de situación consolidados (*)</v>
      </c>
      <c r="D40" s="208"/>
      <c r="E40" s="216"/>
      <c r="F40" s="216"/>
      <c r="G40" s="216"/>
      <c r="H40" s="84"/>
      <c r="I40" s="216"/>
      <c r="J40" s="216"/>
      <c r="K40" s="219"/>
    </row>
    <row r="41" spans="1:12">
      <c r="A41" s="41" t="str">
        <f>HLOOKUP(INDICE!F2,Nombres!$C$3:$E$853,31)</f>
        <v>(Millones de euros constantes)</v>
      </c>
      <c r="H41" s="84"/>
      <c r="I41" s="216"/>
      <c r="J41" s="216"/>
      <c r="K41" s="219"/>
    </row>
    <row r="42" spans="1:12" ht="12.75" customHeight="1">
      <c r="A42" s="38"/>
      <c r="H42" s="84"/>
      <c r="I42" s="216"/>
      <c r="J42" s="216"/>
      <c r="K42" s="219"/>
    </row>
    <row r="43" spans="1:12" s="211" customFormat="1" ht="15" customHeight="1">
      <c r="A43" s="210"/>
      <c r="B43" s="81">
        <v>41729</v>
      </c>
      <c r="C43" s="82">
        <v>41820</v>
      </c>
      <c r="D43" s="82">
        <v>41912</v>
      </c>
      <c r="E43" s="82">
        <v>42004</v>
      </c>
      <c r="F43" s="81">
        <v>42094</v>
      </c>
      <c r="G43" s="82">
        <v>42185</v>
      </c>
      <c r="H43" s="82">
        <v>42277</v>
      </c>
      <c r="I43" s="216"/>
      <c r="J43" s="216"/>
      <c r="K43" s="219"/>
    </row>
    <row r="44" spans="1:12" ht="7.5" customHeight="1">
      <c r="A44" s="212"/>
      <c r="B44" s="213"/>
      <c r="C44" s="214"/>
      <c r="D44" s="214"/>
      <c r="E44" s="215"/>
      <c r="F44" s="213"/>
      <c r="G44" s="214"/>
      <c r="H44" s="84"/>
      <c r="I44" s="216"/>
      <c r="J44" s="216"/>
      <c r="K44" s="219"/>
    </row>
    <row r="45" spans="1:12" ht="15" customHeight="1">
      <c r="A45" s="49" t="str">
        <f>HLOOKUP(INDICE!F2,Nombres!$C$3:$E$853,63)</f>
        <v>Caja y depósitos en bancos centrales</v>
      </c>
      <c r="B45" s="177">
        <v>23730.720785465499</v>
      </c>
      <c r="C45" s="178">
        <v>23108.033755521701</v>
      </c>
      <c r="D45" s="178">
        <v>19019.465152819201</v>
      </c>
      <c r="E45" s="179">
        <v>27766.0464272227</v>
      </c>
      <c r="F45" s="177">
        <v>24991.531532299501</v>
      </c>
      <c r="G45" s="84">
        <v>29043.206646011698</v>
      </c>
      <c r="H45" s="84">
        <v>36128.428</v>
      </c>
      <c r="I45" s="216"/>
      <c r="J45" s="216"/>
      <c r="K45" s="219"/>
    </row>
    <row r="46" spans="1:12" ht="15" customHeight="1">
      <c r="A46" s="49" t="str">
        <f>HLOOKUP(INDICE!F2,Nombres!$C$3:$E$853,64)</f>
        <v>Cartera de negociación</v>
      </c>
      <c r="B46" s="177">
        <v>74914.585601720901</v>
      </c>
      <c r="C46" s="178">
        <v>77657.5173558979</v>
      </c>
      <c r="D46" s="178">
        <v>85268.412969886995</v>
      </c>
      <c r="E46" s="179">
        <v>81858.965697438398</v>
      </c>
      <c r="F46" s="177">
        <v>91161.412846539504</v>
      </c>
      <c r="G46" s="84">
        <v>80628.532874292505</v>
      </c>
      <c r="H46" s="84">
        <v>83662.084000000003</v>
      </c>
      <c r="I46" s="216"/>
      <c r="J46" s="216"/>
      <c r="K46" s="219"/>
    </row>
    <row r="47" spans="1:12" ht="15" customHeight="1">
      <c r="A47" s="49" t="str">
        <f>HLOOKUP(INDICE!F2,Nombres!$C$3:$E$853,65)</f>
        <v>Otros activos financieros a valor razonable</v>
      </c>
      <c r="B47" s="177">
        <v>3371.2021103009001</v>
      </c>
      <c r="C47" s="178">
        <v>2923.5893057751</v>
      </c>
      <c r="D47" s="178">
        <v>3030.6571585575998</v>
      </c>
      <c r="E47" s="179">
        <v>3097.0653473337002</v>
      </c>
      <c r="F47" s="177">
        <v>3219.3212682210001</v>
      </c>
      <c r="G47" s="84">
        <v>3285.6907320549999</v>
      </c>
      <c r="H47" s="84">
        <v>4968.1880000000001</v>
      </c>
      <c r="I47" s="216"/>
      <c r="J47" s="216"/>
      <c r="K47" s="219"/>
    </row>
    <row r="48" spans="1:12" ht="15" customHeight="1">
      <c r="A48" s="49" t="str">
        <f>HLOOKUP(INDICE!F2,Nombres!$C$3:$E$853,66)</f>
        <v>Activos financieros disponibles para la venta</v>
      </c>
      <c r="B48" s="177">
        <v>87131.454626788502</v>
      </c>
      <c r="C48" s="178">
        <v>90838.360654553806</v>
      </c>
      <c r="D48" s="178">
        <v>95560.400872578102</v>
      </c>
      <c r="E48" s="179">
        <v>96403.910840905097</v>
      </c>
      <c r="F48" s="177">
        <v>97603.5346638013</v>
      </c>
      <c r="G48" s="84">
        <v>105290.0349768876</v>
      </c>
      <c r="H48" s="84">
        <v>117566.649</v>
      </c>
      <c r="I48" s="216"/>
      <c r="J48" s="216"/>
      <c r="K48" s="219"/>
    </row>
    <row r="49" spans="1:11" ht="15" customHeight="1">
      <c r="A49" s="49" t="str">
        <f>HLOOKUP(INDICE!F2,Nombres!$C$3:$E$853,67)</f>
        <v>Inversiones crediticias</v>
      </c>
      <c r="B49" s="177">
        <v>357088.11465061136</v>
      </c>
      <c r="C49" s="178">
        <v>364864.83256304305</v>
      </c>
      <c r="D49" s="178">
        <v>364113.95727777813</v>
      </c>
      <c r="E49" s="179">
        <v>370137.38721038133</v>
      </c>
      <c r="F49" s="177">
        <v>379960.10591030307</v>
      </c>
      <c r="G49" s="84">
        <v>405222.04794810101</v>
      </c>
      <c r="H49" s="84">
        <v>451657.59699997999</v>
      </c>
      <c r="I49" s="216"/>
      <c r="J49" s="216"/>
      <c r="K49" s="219"/>
    </row>
    <row r="50" spans="1:11" ht="15" customHeight="1">
      <c r="A50" s="49" t="str">
        <f>HLOOKUP(INDICE!F2,Nombres!$C$3:$E$853,68)</f>
        <v>. Depósitos en entidades de crédito</v>
      </c>
      <c r="B50" s="177">
        <v>20684.5261929199</v>
      </c>
      <c r="C50" s="178">
        <v>27068.003144149301</v>
      </c>
      <c r="D50" s="178">
        <v>26557.431056342299</v>
      </c>
      <c r="E50" s="179">
        <v>27286.9399349659</v>
      </c>
      <c r="F50" s="177">
        <v>32596.100888417401</v>
      </c>
      <c r="G50" s="84">
        <v>28422.594709421701</v>
      </c>
      <c r="H50" s="84">
        <v>33041.857000000004</v>
      </c>
      <c r="I50" s="216"/>
      <c r="J50" s="216"/>
      <c r="K50" s="219"/>
    </row>
    <row r="51" spans="1:11" ht="15" customHeight="1">
      <c r="A51" s="49" t="str">
        <f>HLOOKUP(INDICE!F2,Nombres!$C$3:$E$853,69)</f>
        <v>. Crédito a la clientela</v>
      </c>
      <c r="B51" s="177">
        <v>332463.84104338108</v>
      </c>
      <c r="C51" s="178">
        <v>333615.5953059544</v>
      </c>
      <c r="D51" s="178">
        <v>333219.41443307069</v>
      </c>
      <c r="E51" s="179">
        <v>338338.0650528408</v>
      </c>
      <c r="F51" s="177">
        <v>342850.88706358941</v>
      </c>
      <c r="G51" s="84">
        <v>365766.74192099035</v>
      </c>
      <c r="H51" s="84">
        <v>407454.19499997998</v>
      </c>
      <c r="I51" s="216"/>
      <c r="J51" s="216"/>
      <c r="K51" s="219"/>
    </row>
    <row r="52" spans="1:11" ht="15" customHeight="1">
      <c r="A52" s="49" t="str">
        <f>HLOOKUP(INDICE!F2,Nombres!$C$3:$E$853,300)</f>
        <v>. Valores representativos de deuda</v>
      </c>
      <c r="B52" s="177">
        <v>3939.7474143106001</v>
      </c>
      <c r="C52" s="178">
        <v>4181.2341129391998</v>
      </c>
      <c r="D52" s="178">
        <v>4337.1117883651004</v>
      </c>
      <c r="E52" s="179">
        <v>4512.3822225745998</v>
      </c>
      <c r="F52" s="177">
        <v>4513.1179582963996</v>
      </c>
      <c r="G52" s="84">
        <v>11032.7113176889</v>
      </c>
      <c r="H52" s="84">
        <v>11161.545</v>
      </c>
      <c r="I52" s="216"/>
      <c r="J52" s="216"/>
      <c r="K52" s="219"/>
    </row>
    <row r="53" spans="1:11" ht="15" customHeight="1">
      <c r="A53" s="49" t="str">
        <f>HLOOKUP(INDICE!F2,Nombres!$C$3:$E$853,71)</f>
        <v>Cartera de inversion a vencimiento</v>
      </c>
      <c r="B53" s="249" t="s">
        <v>500</v>
      </c>
      <c r="C53" s="248" t="s">
        <v>500</v>
      </c>
      <c r="D53" s="248" t="s">
        <v>500</v>
      </c>
      <c r="E53" s="220" t="s">
        <v>500</v>
      </c>
      <c r="F53" s="249" t="s">
        <v>500</v>
      </c>
      <c r="G53" s="248" t="s">
        <v>500</v>
      </c>
      <c r="H53" s="248" t="s">
        <v>500</v>
      </c>
      <c r="I53" s="216"/>
      <c r="J53" s="216"/>
      <c r="K53" s="219"/>
    </row>
    <row r="54" spans="1:11" ht="15" customHeight="1">
      <c r="A54" s="49" t="str">
        <f>HLOOKUP(INDICE!F2,Nombres!$C$3:$E$853,72)</f>
        <v>Participaciones</v>
      </c>
      <c r="B54" s="177">
        <v>1331.4898183570999</v>
      </c>
      <c r="C54" s="178">
        <v>1350.8203037554999</v>
      </c>
      <c r="D54" s="178">
        <v>1440.8968134234001</v>
      </c>
      <c r="E54" s="179">
        <v>676.93165568399991</v>
      </c>
      <c r="F54" s="177">
        <v>746.37580426909972</v>
      </c>
      <c r="G54" s="84">
        <v>1065.2153669598001</v>
      </c>
      <c r="H54" s="84">
        <v>778.90800000000002</v>
      </c>
      <c r="I54" s="216"/>
      <c r="J54" s="216"/>
      <c r="K54" s="219"/>
    </row>
    <row r="55" spans="1:11" ht="15" customHeight="1">
      <c r="A55" s="49" t="str">
        <f>HLOOKUP(INDICE!F2,Nombres!$C$3:$E$853,73)</f>
        <v>Activo material</v>
      </c>
      <c r="B55" s="177">
        <v>7321.7143703886004</v>
      </c>
      <c r="C55" s="178">
        <v>7223.8736664574999</v>
      </c>
      <c r="D55" s="178">
        <v>7348.4917951791995</v>
      </c>
      <c r="E55" s="179">
        <v>7550.5128805397999</v>
      </c>
      <c r="F55" s="177">
        <v>7615.8846791278002</v>
      </c>
      <c r="G55" s="84">
        <v>8519.8812119782997</v>
      </c>
      <c r="H55" s="84">
        <v>9348.6509999999998</v>
      </c>
      <c r="I55" s="216"/>
      <c r="J55" s="216"/>
      <c r="K55" s="219"/>
    </row>
    <row r="56" spans="1:11" ht="15" customHeight="1">
      <c r="A56" s="49" t="str">
        <f>HLOOKUP(INDICE!F2,Nombres!$C$3:$E$853,74)</f>
        <v>Activo intangible</v>
      </c>
      <c r="B56" s="177">
        <v>8169.2616781478</v>
      </c>
      <c r="C56" s="178">
        <v>8222.7815902539005</v>
      </c>
      <c r="D56" s="178">
        <v>8559.3295035323008</v>
      </c>
      <c r="E56" s="179">
        <v>8773.8351218724001</v>
      </c>
      <c r="F56" s="177">
        <v>9331.5642042304989</v>
      </c>
      <c r="G56" s="84">
        <v>9128.080512646</v>
      </c>
      <c r="H56" s="84">
        <v>9796.8790000000008</v>
      </c>
      <c r="I56" s="216"/>
      <c r="J56" s="216"/>
      <c r="K56" s="219"/>
    </row>
    <row r="57" spans="1:11" ht="15" customHeight="1">
      <c r="A57" s="49" t="str">
        <f>HLOOKUP(INDICE!F2,Nombres!$C$3:$E$853,75)</f>
        <v>Otros activos</v>
      </c>
      <c r="B57" s="177">
        <v>25675.574017093</v>
      </c>
      <c r="C57" s="178">
        <v>25686.6287442465</v>
      </c>
      <c r="D57" s="178">
        <v>27013.065766717802</v>
      </c>
      <c r="E57" s="179">
        <v>27296.031195825701</v>
      </c>
      <c r="F57" s="177">
        <v>27802.852637615899</v>
      </c>
      <c r="G57" s="84">
        <v>31138.592411524798</v>
      </c>
      <c r="H57" s="84">
        <v>32570.717985819902</v>
      </c>
      <c r="I57" s="216"/>
      <c r="J57" s="216"/>
      <c r="K57" s="219"/>
    </row>
    <row r="58" spans="1:11" s="221" customFormat="1" ht="15" customHeight="1">
      <c r="A58" s="54" t="str">
        <f>HLOOKUP(INDICE!F2,Nombres!$C$3:$E$853,76)</f>
        <v>Total activo</v>
      </c>
      <c r="B58" s="184">
        <v>588734.11765887367</v>
      </c>
      <c r="C58" s="185">
        <v>601876.43793950498</v>
      </c>
      <c r="D58" s="185">
        <v>611407.61563463206</v>
      </c>
      <c r="E58" s="186">
        <v>623560.68637720309</v>
      </c>
      <c r="F58" s="184">
        <v>642432.10453296581</v>
      </c>
      <c r="G58" s="205">
        <v>673320.86505254102</v>
      </c>
      <c r="H58" s="205">
        <v>746478.10198579985</v>
      </c>
      <c r="I58" s="216"/>
      <c r="J58" s="216"/>
      <c r="K58" s="219"/>
    </row>
    <row r="59" spans="1:11" ht="9.75" customHeight="1">
      <c r="A59" s="222"/>
      <c r="B59" s="223"/>
      <c r="C59" s="226"/>
      <c r="D59" s="226"/>
      <c r="E59" s="230"/>
      <c r="F59" s="223"/>
      <c r="G59" s="224"/>
      <c r="H59" s="224"/>
      <c r="I59" s="216"/>
      <c r="J59" s="216"/>
      <c r="K59" s="219"/>
    </row>
    <row r="60" spans="1:11" ht="15" customHeight="1">
      <c r="A60" s="49" t="str">
        <f>HLOOKUP(INDICE!F2,Nombres!$C$3:$E$853,77)</f>
        <v>Cartera de negociación</v>
      </c>
      <c r="B60" s="177">
        <v>48588.077989058998</v>
      </c>
      <c r="C60" s="178">
        <v>51322.978463603999</v>
      </c>
      <c r="D60" s="178">
        <v>58178.3943382793</v>
      </c>
      <c r="E60" s="179">
        <v>56478.0388620843</v>
      </c>
      <c r="F60" s="177">
        <v>65627.406477618104</v>
      </c>
      <c r="G60" s="84">
        <v>55987.7683541324</v>
      </c>
      <c r="H60" s="84">
        <v>58351.862999999998</v>
      </c>
      <c r="I60" s="216"/>
      <c r="J60" s="216"/>
      <c r="K60" s="219"/>
    </row>
    <row r="61" spans="1:11" ht="15" customHeight="1">
      <c r="A61" s="49" t="str">
        <f>HLOOKUP(INDICE!F2,Nombres!$C$3:$E$853,78)</f>
        <v>Otros pasivos financieros a valor razonable</v>
      </c>
      <c r="B61" s="177">
        <v>2892.2137268953002</v>
      </c>
      <c r="C61" s="178">
        <v>3166.3520243726998</v>
      </c>
      <c r="D61" s="178">
        <v>3292.0080750483999</v>
      </c>
      <c r="E61" s="179">
        <v>3340.0619204533</v>
      </c>
      <c r="F61" s="177">
        <v>3472.1476601165</v>
      </c>
      <c r="G61" s="84">
        <v>3485.6812002404999</v>
      </c>
      <c r="H61" s="84">
        <v>4766.951</v>
      </c>
      <c r="I61" s="216"/>
      <c r="J61" s="216"/>
      <c r="K61" s="219"/>
    </row>
    <row r="62" spans="1:11" ht="15" customHeight="1">
      <c r="A62" s="49" t="str">
        <f>HLOOKUP(INDICE!F2,Nombres!$C$3:$E$853,79)</f>
        <v>Pasivos financieros a coste amortizado</v>
      </c>
      <c r="B62" s="177">
        <v>467715.52500668139</v>
      </c>
      <c r="C62" s="178">
        <v>474541.51742543129</v>
      </c>
      <c r="D62" s="178">
        <v>475925.13067025202</v>
      </c>
      <c r="E62" s="179">
        <v>486575.51676999673</v>
      </c>
      <c r="F62" s="177">
        <v>495033.46115795273</v>
      </c>
      <c r="G62" s="84">
        <v>534221.09466334234</v>
      </c>
      <c r="H62" s="84">
        <v>598205.89100000006</v>
      </c>
      <c r="I62" s="216"/>
      <c r="J62" s="216"/>
      <c r="K62" s="219"/>
    </row>
    <row r="63" spans="1:11" ht="15" customHeight="1">
      <c r="A63" s="49" t="str">
        <f>HLOOKUP(INDICE!F2,Nombres!$C$3:$E$853,80)</f>
        <v>. Depósitos de bancos centrales y entidades de crédito</v>
      </c>
      <c r="B63" s="177">
        <v>84131.150245035795</v>
      </c>
      <c r="C63" s="178">
        <v>81424.683712525293</v>
      </c>
      <c r="D63" s="178">
        <v>82594.586530081506</v>
      </c>
      <c r="E63" s="179">
        <v>96192.392784006093</v>
      </c>
      <c r="F63" s="177">
        <v>89422.673377130806</v>
      </c>
      <c r="G63" s="84">
        <v>93205.750857191102</v>
      </c>
      <c r="H63" s="84">
        <v>115154.40900001</v>
      </c>
      <c r="I63" s="216"/>
      <c r="J63" s="216"/>
      <c r="K63" s="219"/>
    </row>
    <row r="64" spans="1:11" ht="15" customHeight="1">
      <c r="A64" s="49" t="str">
        <f>HLOOKUP(INDICE!F2,Nombres!$C$3:$E$853,81)</f>
        <v>. Depósitos de la clientela</v>
      </c>
      <c r="B64" s="177">
        <v>302300.99889024318</v>
      </c>
      <c r="C64" s="178">
        <v>310172.31863467046</v>
      </c>
      <c r="D64" s="178">
        <v>311829.78218479338</v>
      </c>
      <c r="E64" s="179">
        <v>310557.00039964222</v>
      </c>
      <c r="F64" s="177">
        <v>322591.62999338342</v>
      </c>
      <c r="G64" s="84">
        <v>354538.60813938989</v>
      </c>
      <c r="H64" s="84">
        <v>388855.549</v>
      </c>
      <c r="I64" s="216"/>
      <c r="J64" s="216"/>
      <c r="K64" s="219"/>
    </row>
    <row r="65" spans="1:11" ht="15" customHeight="1">
      <c r="A65" s="49" t="str">
        <f>HLOOKUP(INDICE!F2,Nombres!$C$3:$E$853,208)</f>
        <v xml:space="preserve"> .Otros valores negociables</v>
      </c>
      <c r="B65" s="177">
        <v>62557.806602930301</v>
      </c>
      <c r="C65" s="178">
        <v>62100.233632969801</v>
      </c>
      <c r="D65" s="178">
        <v>60438.052800476398</v>
      </c>
      <c r="E65" s="179">
        <v>58737.418438187</v>
      </c>
      <c r="F65" s="177">
        <v>56537.760680930201</v>
      </c>
      <c r="G65" s="157">
        <v>61364.960054241797</v>
      </c>
      <c r="H65" s="157">
        <v>65860.301999999996</v>
      </c>
      <c r="I65" s="216"/>
      <c r="J65" s="216"/>
      <c r="K65" s="219"/>
    </row>
    <row r="66" spans="1:11" ht="15" customHeight="1">
      <c r="A66" s="49" t="str">
        <f>HLOOKUP(INDICE!F2,Nombres!$C$3:$E$853,83)</f>
        <v>. Pasivos subordinados</v>
      </c>
      <c r="B66" s="177">
        <v>12022.513227527099</v>
      </c>
      <c r="C66" s="178">
        <v>13619.7242224856</v>
      </c>
      <c r="D66" s="178">
        <v>13858.126115711699</v>
      </c>
      <c r="E66" s="179">
        <v>13827.208654152999</v>
      </c>
      <c r="F66" s="177">
        <v>14839.7186122766</v>
      </c>
      <c r="G66" s="84">
        <v>15582.7876224315</v>
      </c>
      <c r="H66" s="84">
        <v>16139.662999990001</v>
      </c>
      <c r="I66" s="216"/>
      <c r="J66" s="216"/>
      <c r="K66" s="219"/>
    </row>
    <row r="67" spans="1:11" ht="15" customHeight="1">
      <c r="A67" s="49" t="str">
        <f>HLOOKUP(INDICE!F2,Nombres!$C$3:$E$853,84)</f>
        <v>. Otros pasivos financieros</v>
      </c>
      <c r="B67" s="177">
        <v>6703.0560409448999</v>
      </c>
      <c r="C67" s="178">
        <v>7224.5572227801003</v>
      </c>
      <c r="D67" s="178">
        <v>7204.5830391891996</v>
      </c>
      <c r="E67" s="179">
        <v>7261.4964940085001</v>
      </c>
      <c r="F67" s="177">
        <v>11641.678494231601</v>
      </c>
      <c r="G67" s="84">
        <v>9528.9879900880005</v>
      </c>
      <c r="H67" s="84">
        <v>12195.968000000001</v>
      </c>
      <c r="I67" s="216"/>
      <c r="J67" s="216"/>
      <c r="K67" s="219"/>
    </row>
    <row r="68" spans="1:11" ht="15" customHeight="1">
      <c r="A68" s="49" t="str">
        <f>HLOOKUP(INDICE!F2,Nombres!$C$3:$E$853,85)</f>
        <v>Pasivos por contratos de seguros</v>
      </c>
      <c r="B68" s="177">
        <v>9812.1598769969005</v>
      </c>
      <c r="C68" s="178">
        <v>9880.3557432743</v>
      </c>
      <c r="D68" s="178">
        <v>10038.3616431805</v>
      </c>
      <c r="E68" s="179">
        <v>10138.2182283612</v>
      </c>
      <c r="F68" s="177">
        <v>10437.4014916125</v>
      </c>
      <c r="G68" s="84">
        <v>9888.1386575982997</v>
      </c>
      <c r="H68" s="84">
        <v>10191.512000000001</v>
      </c>
      <c r="I68" s="216"/>
      <c r="J68" s="216"/>
      <c r="K68" s="219"/>
    </row>
    <row r="69" spans="1:11" ht="15" customHeight="1">
      <c r="A69" s="49" t="str">
        <f>HLOOKUP(INDICE!F2,Nombres!$C$3:$E$853,86)</f>
        <v>Otros pasivos</v>
      </c>
      <c r="B69" s="177">
        <v>16699.203786410599</v>
      </c>
      <c r="C69" s="178">
        <v>17523.099570046168</v>
      </c>
      <c r="D69" s="178">
        <v>17757.113304327799</v>
      </c>
      <c r="E69" s="179">
        <v>17741.703595768795</v>
      </c>
      <c r="F69" s="177">
        <v>16937.073303116129</v>
      </c>
      <c r="G69" s="84">
        <v>19518.467685224852</v>
      </c>
      <c r="H69" s="84">
        <v>21360.992985809808</v>
      </c>
      <c r="I69" s="216"/>
      <c r="J69" s="216"/>
      <c r="K69" s="219"/>
    </row>
    <row r="70" spans="1:11" s="221" customFormat="1" ht="15" customHeight="1">
      <c r="A70" s="54" t="str">
        <f>HLOOKUP(INDICE!F2,Nombres!$C$3:$E$853,87)</f>
        <v>Total pasivo</v>
      </c>
      <c r="B70" s="184">
        <v>545707.18038604327</v>
      </c>
      <c r="C70" s="185">
        <v>556434.30322672846</v>
      </c>
      <c r="D70" s="185">
        <v>565191.00803108804</v>
      </c>
      <c r="E70" s="186">
        <v>574273.53937666432</v>
      </c>
      <c r="F70" s="184">
        <v>591507.49009041605</v>
      </c>
      <c r="G70" s="205">
        <v>623101.1505605384</v>
      </c>
      <c r="H70" s="205">
        <v>692877.20998580987</v>
      </c>
      <c r="I70" s="216"/>
      <c r="J70" s="216"/>
      <c r="K70" s="219"/>
    </row>
    <row r="71" spans="1:11" ht="9.75" customHeight="1">
      <c r="A71" s="225"/>
      <c r="B71" s="223"/>
      <c r="C71" s="226"/>
      <c r="D71" s="226"/>
      <c r="E71" s="230"/>
      <c r="F71" s="223"/>
      <c r="G71" s="224"/>
      <c r="H71" s="224"/>
      <c r="I71" s="216"/>
      <c r="J71" s="216"/>
      <c r="K71" s="219"/>
    </row>
    <row r="72" spans="1:11" ht="15" customHeight="1">
      <c r="A72" s="49" t="str">
        <f>HLOOKUP(INDICE!F2,Nombres!$C$3:$E$853,88)</f>
        <v>Intereses minoritarios</v>
      </c>
      <c r="B72" s="177">
        <v>1304.0095845840999</v>
      </c>
      <c r="C72" s="178">
        <v>1389.8415289771999</v>
      </c>
      <c r="D72" s="178">
        <v>1492.9398583642001</v>
      </c>
      <c r="E72" s="179">
        <v>1587.0803013109</v>
      </c>
      <c r="F72" s="177">
        <v>1541.2772620513001</v>
      </c>
      <c r="G72" s="84">
        <v>1663.6368147623</v>
      </c>
      <c r="H72" s="84">
        <v>7328.62</v>
      </c>
      <c r="I72" s="216"/>
      <c r="J72" s="216"/>
      <c r="K72" s="219"/>
    </row>
    <row r="73" spans="1:11" s="227" customFormat="1" ht="15" customHeight="1">
      <c r="A73" s="49" t="str">
        <f>HLOOKUP(INDICE!F2,Nombres!$C$3:$E$853,89)</f>
        <v>Ajustes por valoración</v>
      </c>
      <c r="B73" s="177">
        <v>-3444.1431147247999</v>
      </c>
      <c r="C73" s="178">
        <v>-1967.9953562642002</v>
      </c>
      <c r="D73" s="178">
        <v>-681.84440280859997</v>
      </c>
      <c r="E73" s="179">
        <v>-159.0536233757</v>
      </c>
      <c r="F73" s="177">
        <v>482.59560938790003</v>
      </c>
      <c r="G73" s="84">
        <v>-2734.2156117073</v>
      </c>
      <c r="H73" s="84">
        <v>-3559.5450000000001</v>
      </c>
      <c r="I73" s="216"/>
      <c r="J73" s="216"/>
      <c r="K73" s="219"/>
    </row>
    <row r="74" spans="1:11" s="227" customFormat="1" ht="15" customHeight="1">
      <c r="A74" s="49" t="str">
        <f>HLOOKUP(INDICE!F2,Nombres!$C$3:$E$853,90)</f>
        <v>Fondos propios</v>
      </c>
      <c r="B74" s="177">
        <v>45167.070802971</v>
      </c>
      <c r="C74" s="178">
        <v>46020.288540063397</v>
      </c>
      <c r="D74" s="178">
        <v>45405.512147988498</v>
      </c>
      <c r="E74" s="179">
        <v>47859.120322603601</v>
      </c>
      <c r="F74" s="177">
        <v>48900.741571110593</v>
      </c>
      <c r="G74" s="84">
        <v>51290.2932889476</v>
      </c>
      <c r="H74" s="84">
        <v>49831.816999989998</v>
      </c>
      <c r="I74" s="216"/>
      <c r="J74" s="216"/>
      <c r="K74" s="219"/>
    </row>
    <row r="75" spans="1:11" s="221" customFormat="1" ht="15" customHeight="1">
      <c r="A75" s="54" t="str">
        <f>HLOOKUP(INDICE!F2,Nombres!$C$3:$E$853,91)</f>
        <v>Patrimonio neto</v>
      </c>
      <c r="B75" s="184">
        <v>43026.937272830299</v>
      </c>
      <c r="C75" s="185">
        <v>45442.134712776395</v>
      </c>
      <c r="D75" s="185">
        <v>46216.6076035441</v>
      </c>
      <c r="E75" s="186">
        <v>49287.147000538804</v>
      </c>
      <c r="F75" s="184">
        <v>50924.614442549791</v>
      </c>
      <c r="G75" s="205">
        <v>50219.714492002597</v>
      </c>
      <c r="H75" s="205">
        <v>53600.891999989995</v>
      </c>
      <c r="I75" s="216"/>
      <c r="J75" s="216"/>
      <c r="K75" s="219"/>
    </row>
    <row r="76" spans="1:11" ht="11.25" customHeight="1">
      <c r="A76" s="212"/>
      <c r="B76" s="223"/>
      <c r="C76" s="226"/>
      <c r="D76" s="226"/>
      <c r="E76" s="230"/>
      <c r="F76" s="223"/>
      <c r="G76" s="224"/>
      <c r="H76" s="224"/>
      <c r="I76" s="216"/>
      <c r="J76" s="216"/>
      <c r="K76" s="219"/>
    </row>
    <row r="77" spans="1:11" s="221" customFormat="1" ht="15" customHeight="1">
      <c r="A77" s="54" t="str">
        <f>HLOOKUP(INDICE!F2,Nombres!$C$3:$E$853,92)</f>
        <v>Total patrimonio neto y pasivo</v>
      </c>
      <c r="B77" s="184">
        <v>588734.11765887355</v>
      </c>
      <c r="C77" s="185">
        <v>601876.43793950486</v>
      </c>
      <c r="D77" s="185">
        <v>611407.61563463218</v>
      </c>
      <c r="E77" s="186">
        <v>623560.68637720309</v>
      </c>
      <c r="F77" s="184">
        <v>642432.10453296581</v>
      </c>
      <c r="G77" s="205">
        <v>673320.86505254102</v>
      </c>
      <c r="H77" s="205">
        <v>746478.10198579985</v>
      </c>
      <c r="I77" s="216"/>
      <c r="J77" s="216"/>
      <c r="K77" s="219"/>
    </row>
    <row r="78" spans="1:11" ht="33.75" customHeight="1">
      <c r="A78" s="255" t="str">
        <f>HLOOKUP(INDICE!F2,Nombres!$C$3:$E$853,316)</f>
        <v>(*) Desde el tercer trimestre de 2015, la participación total de BBVA en Garanti se consolida por el método de integración global. Para periodos anteriores, los activos y pasivos de Garanti se integran en la proporción correspondiente al porcentaje de participación del Grupo (25,01%).</v>
      </c>
      <c r="B78" s="255"/>
      <c r="C78" s="255"/>
      <c r="D78" s="255"/>
      <c r="E78" s="255"/>
      <c r="F78" s="255"/>
      <c r="G78" s="255"/>
      <c r="H78" s="255"/>
      <c r="I78" s="216"/>
      <c r="J78" s="219"/>
      <c r="K78" s="219"/>
    </row>
    <row r="79" spans="1:11">
      <c r="B79" s="216"/>
      <c r="C79" s="216"/>
      <c r="D79" s="216"/>
      <c r="E79" s="216"/>
      <c r="F79" s="216"/>
      <c r="G79" s="216"/>
      <c r="H79" s="231"/>
      <c r="I79" s="216"/>
    </row>
    <row r="80" spans="1:11">
      <c r="B80" s="232"/>
      <c r="C80" s="232"/>
      <c r="D80" s="232"/>
      <c r="E80" s="232"/>
      <c r="F80" s="232"/>
      <c r="G80" s="232"/>
      <c r="H80" s="232"/>
      <c r="I80" s="216"/>
    </row>
    <row r="81" spans="2:9">
      <c r="B81" s="232"/>
      <c r="C81" s="232"/>
      <c r="D81" s="232"/>
      <c r="E81" s="232"/>
      <c r="F81" s="232"/>
      <c r="G81" s="233"/>
      <c r="H81" s="232"/>
      <c r="I81" s="216"/>
    </row>
    <row r="82" spans="2:9">
      <c r="B82" s="232"/>
      <c r="C82" s="232"/>
      <c r="D82" s="232"/>
      <c r="E82" s="232"/>
      <c r="F82" s="232"/>
      <c r="G82" s="233"/>
      <c r="H82" s="232"/>
      <c r="I82" s="216"/>
    </row>
    <row r="83" spans="2:9">
      <c r="B83" s="232"/>
      <c r="C83" s="232"/>
      <c r="D83" s="232"/>
      <c r="E83" s="232"/>
      <c r="F83" s="232"/>
      <c r="G83" s="233"/>
      <c r="H83" s="232"/>
      <c r="I83" s="216"/>
    </row>
    <row r="84" spans="2:9">
      <c r="H84" s="231"/>
      <c r="I84" s="216"/>
    </row>
    <row r="85" spans="2:9">
      <c r="H85" s="231"/>
      <c r="I85" s="216"/>
    </row>
    <row r="86" spans="2:9">
      <c r="H86" s="231"/>
      <c r="I86" s="216"/>
    </row>
    <row r="87" spans="2:9">
      <c r="H87" s="231"/>
      <c r="I87" s="216"/>
    </row>
    <row r="88" spans="2:9">
      <c r="H88" s="231"/>
    </row>
    <row r="89" spans="2:9">
      <c r="H89" s="231"/>
    </row>
    <row r="90" spans="2:9">
      <c r="H90" s="231"/>
    </row>
    <row r="91" spans="2:9">
      <c r="H91" s="231"/>
    </row>
    <row r="92" spans="2:9">
      <c r="H92" s="231"/>
    </row>
    <row r="93" spans="2:9">
      <c r="H93" s="231"/>
    </row>
    <row r="94" spans="2:9">
      <c r="H94" s="231"/>
    </row>
    <row r="95" spans="2:9">
      <c r="H95" s="231"/>
    </row>
    <row r="96" spans="2:9">
      <c r="H96" s="231"/>
    </row>
    <row r="97" spans="8:8">
      <c r="H97" s="231"/>
    </row>
    <row r="98" spans="8:8">
      <c r="H98" s="231"/>
    </row>
    <row r="99" spans="8:8">
      <c r="H99" s="231"/>
    </row>
    <row r="100" spans="8:8">
      <c r="H100" s="231"/>
    </row>
    <row r="101" spans="8:8">
      <c r="H101" s="231"/>
    </row>
    <row r="102" spans="8:8">
      <c r="H102" s="231"/>
    </row>
    <row r="103" spans="8:8">
      <c r="H103" s="231"/>
    </row>
    <row r="104" spans="8:8">
      <c r="H104" s="231"/>
    </row>
    <row r="105" spans="8:8">
      <c r="H105" s="231"/>
    </row>
    <row r="106" spans="8:8">
      <c r="H106" s="231"/>
    </row>
    <row r="107" spans="8:8">
      <c r="H107" s="231"/>
    </row>
    <row r="108" spans="8:8">
      <c r="H108" s="231"/>
    </row>
    <row r="109" spans="8:8">
      <c r="H109" s="231"/>
    </row>
    <row r="110" spans="8:8">
      <c r="H110" s="231"/>
    </row>
    <row r="111" spans="8:8">
      <c r="H111" s="231"/>
    </row>
    <row r="112" spans="8:8">
      <c r="H112" s="231"/>
    </row>
    <row r="113" spans="8:8">
      <c r="H113" s="231"/>
    </row>
    <row r="114" spans="8:8">
      <c r="H114" s="231"/>
    </row>
    <row r="115" spans="8:8">
      <c r="H115" s="231"/>
    </row>
    <row r="116" spans="8:8">
      <c r="H116" s="231"/>
    </row>
    <row r="117" spans="8:8">
      <c r="H117" s="231"/>
    </row>
    <row r="118" spans="8:8">
      <c r="H118" s="231"/>
    </row>
    <row r="119" spans="8:8">
      <c r="H119" s="231"/>
    </row>
    <row r="120" spans="8:8">
      <c r="H120" s="231"/>
    </row>
    <row r="121" spans="8:8">
      <c r="H121" s="231"/>
    </row>
    <row r="122" spans="8:8">
      <c r="H122" s="231"/>
    </row>
    <row r="123" spans="8:8">
      <c r="H123" s="231"/>
    </row>
    <row r="124" spans="8:8">
      <c r="H124" s="231"/>
    </row>
    <row r="125" spans="8:8">
      <c r="H125" s="231"/>
    </row>
    <row r="126" spans="8:8">
      <c r="H126" s="231"/>
    </row>
    <row r="127" spans="8:8">
      <c r="H127" s="231"/>
    </row>
    <row r="128" spans="8:8">
      <c r="H128" s="231"/>
    </row>
    <row r="129" spans="8:8">
      <c r="H129" s="231"/>
    </row>
    <row r="130" spans="8:8">
      <c r="H130" s="231"/>
    </row>
    <row r="131" spans="8:8">
      <c r="H131" s="231"/>
    </row>
    <row r="132" spans="8:8">
      <c r="H132" s="231"/>
    </row>
    <row r="133" spans="8:8">
      <c r="H133" s="231"/>
    </row>
    <row r="134" spans="8:8">
      <c r="H134" s="231"/>
    </row>
    <row r="135" spans="8:8">
      <c r="H135" s="231"/>
    </row>
    <row r="136" spans="8:8">
      <c r="H136" s="231"/>
    </row>
    <row r="137" spans="8:8">
      <c r="H137" s="231"/>
    </row>
    <row r="138" spans="8:8">
      <c r="H138" s="231"/>
    </row>
    <row r="139" spans="8:8">
      <c r="H139" s="231"/>
    </row>
    <row r="140" spans="8:8">
      <c r="H140" s="231"/>
    </row>
  </sheetData>
  <mergeCells count="2">
    <mergeCell ref="A39:H39"/>
    <mergeCell ref="A78:H78"/>
  </mergeCells>
  <pageMargins left="0.7" right="0.7" top="0.75" bottom="0.75" header="0.3" footer="0.3"/>
  <pageSetup paperSize="9" scale="6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I106"/>
  <sheetViews>
    <sheetView showGridLines="0" workbookViewId="0"/>
  </sheetViews>
  <sheetFormatPr baseColWidth="10" defaultColWidth="9.140625" defaultRowHeight="15"/>
  <cols>
    <col min="1" max="1" width="46.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55.710937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55.710937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55.710937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55.710937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55.710937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55.710937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55.710937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55.710937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55.710937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55.710937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55.710937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55.710937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55.710937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55.710937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55.710937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55.710937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55.710937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55.710937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55.710937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55.710937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55.710937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55.710937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55.710937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55.710937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55.710937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55.710937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55.710937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55.710937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55.710937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55.710937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55.710937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55.710937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55.710937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55.710937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55.710937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55.710937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55.710937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55.710937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55.710937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55.710937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55.710937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55.710937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55.710937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55.710937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55.710937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55.710937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55.710937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55.710937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55.710937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55.710937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55.710937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55.710937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55.710937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55.710937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55.710937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55.710937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55.710937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55.710937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55.710937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55.710937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55.710937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55.710937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55.710937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HLOOKUP(INDICE!$F$2,Nombres!$C$3:$E$853,301)</f>
        <v>Actividad bancaria en España</v>
      </c>
    </row>
    <row r="2" spans="1:8" ht="18">
      <c r="A2" s="144" t="str">
        <f>HLOOKUP(INDICE!$F$2,Nombres!$C$3:$E$853,93)</f>
        <v xml:space="preserve">Cuentas de resultados  </v>
      </c>
      <c r="C2" s="145"/>
      <c r="D2" s="145"/>
      <c r="E2" s="145"/>
    </row>
    <row r="3" spans="1:8">
      <c r="A3" s="41" t="str">
        <f>HLOOKUP(INDICE!$F$2,Nombres!$C$3:$E$853,30)</f>
        <v>(Millones de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930.96706586999994</v>
      </c>
      <c r="C6" s="83">
        <v>937.72312753000006</v>
      </c>
      <c r="D6" s="83">
        <v>965.53561285000001</v>
      </c>
      <c r="E6" s="148">
        <v>995.90663482000014</v>
      </c>
      <c r="F6" s="83">
        <v>967.68306816999996</v>
      </c>
      <c r="G6" s="83">
        <v>1014.4242852300001</v>
      </c>
      <c r="H6" s="83">
        <v>1017.4001934800001</v>
      </c>
    </row>
    <row r="7" spans="1:8">
      <c r="A7" s="49" t="str">
        <f>HLOOKUP(INDICE!$F$2,Nombres!$C$3:$E$853,39)</f>
        <v>Comisiones</v>
      </c>
      <c r="B7" s="149">
        <v>346.78753734999998</v>
      </c>
      <c r="C7" s="84">
        <v>386.16494346000002</v>
      </c>
      <c r="D7" s="84">
        <v>352.89010238999998</v>
      </c>
      <c r="E7" s="150">
        <v>366.90888502000001</v>
      </c>
      <c r="F7" s="84">
        <v>377.61749039</v>
      </c>
      <c r="G7" s="84">
        <v>432.18116391000001</v>
      </c>
      <c r="H7" s="84">
        <v>409.58559514999996</v>
      </c>
    </row>
    <row r="8" spans="1:8">
      <c r="A8" s="49" t="str">
        <f>HLOOKUP(INDICE!$F$2,Nombres!$C$3:$E$853,40)</f>
        <v>Resultados de operaciones financieras</v>
      </c>
      <c r="B8" s="149">
        <v>436.62793154000002</v>
      </c>
      <c r="C8" s="84">
        <v>205.80925380000002</v>
      </c>
      <c r="D8" s="84">
        <v>151.02561763</v>
      </c>
      <c r="E8" s="150">
        <v>355.59571202000001</v>
      </c>
      <c r="F8" s="84">
        <v>336.71862877000001</v>
      </c>
      <c r="G8" s="84">
        <v>338.05108863999999</v>
      </c>
      <c r="H8" s="84">
        <v>139.59145182999998</v>
      </c>
    </row>
    <row r="9" spans="1:8">
      <c r="A9" s="49" t="str">
        <f>HLOOKUP(INDICE!$F$2,Nombres!$C$3:$E$853,95)</f>
        <v>Otros ingresos netos</v>
      </c>
      <c r="B9" s="149">
        <v>39.040752609999998</v>
      </c>
      <c r="C9" s="84">
        <v>101.18833848</v>
      </c>
      <c r="D9" s="84">
        <v>24.842185870000002</v>
      </c>
      <c r="E9" s="150">
        <v>23.707379500000002</v>
      </c>
      <c r="F9" s="84">
        <v>103.95034973</v>
      </c>
      <c r="G9" s="84">
        <v>140.31485931</v>
      </c>
      <c r="H9" s="84">
        <v>108.26512258</v>
      </c>
    </row>
    <row r="10" spans="1:8">
      <c r="A10" s="54" t="str">
        <f>HLOOKUP(INDICE!$F$2,Nombres!$C$3:$E$853,44)</f>
        <v>Margen bruto</v>
      </c>
      <c r="B10" s="147">
        <v>1753.4232873700003</v>
      </c>
      <c r="C10" s="83">
        <v>1630.8856632699999</v>
      </c>
      <c r="D10" s="83">
        <v>1494.2935187399999</v>
      </c>
      <c r="E10" s="148">
        <v>1742.1186113600002</v>
      </c>
      <c r="F10" s="83">
        <v>1785.9695370600002</v>
      </c>
      <c r="G10" s="83">
        <v>1924.9713970899998</v>
      </c>
      <c r="H10" s="83">
        <v>1674.84236304</v>
      </c>
    </row>
    <row r="11" spans="1:8">
      <c r="A11" s="49" t="str">
        <f>HLOOKUP(INDICE!$F$2,Nombres!$C$3:$E$853,45)</f>
        <v>Gastos de explotación</v>
      </c>
      <c r="B11" s="149">
        <v>-705.83880510000006</v>
      </c>
      <c r="C11" s="84">
        <v>-713.59036386000002</v>
      </c>
      <c r="D11" s="84">
        <v>-718.26929180000002</v>
      </c>
      <c r="E11" s="150">
        <v>-708.35720705999995</v>
      </c>
      <c r="F11" s="84">
        <v>-704.85753147999992</v>
      </c>
      <c r="G11" s="84">
        <v>-798.42592227</v>
      </c>
      <c r="H11" s="84">
        <v>-872.13964740000006</v>
      </c>
    </row>
    <row r="12" spans="1:8">
      <c r="A12" s="49" t="str">
        <f>HLOOKUP(INDICE!$F$2,Nombres!$C$3:$E$853,46)</f>
        <v xml:space="preserve">  Gastos de administración</v>
      </c>
      <c r="B12" s="149">
        <v>-679.54151790000003</v>
      </c>
      <c r="C12" s="84">
        <v>-687.48215316999995</v>
      </c>
      <c r="D12" s="84">
        <v>-691.76784381999994</v>
      </c>
      <c r="E12" s="150">
        <v>-681.91633009999998</v>
      </c>
      <c r="F12" s="84">
        <v>-679.44226925999999</v>
      </c>
      <c r="G12" s="84">
        <v>-767.83183416999998</v>
      </c>
      <c r="H12" s="84">
        <v>-839.85150211000007</v>
      </c>
    </row>
    <row r="13" spans="1:8">
      <c r="A13" s="88" t="str">
        <f>HLOOKUP(INDICE!$F$2,Nombres!$C$3:$E$853,47)</f>
        <v xml:space="preserve">  Gastos de personal</v>
      </c>
      <c r="B13" s="149">
        <v>-437.72404273000001</v>
      </c>
      <c r="C13" s="84">
        <v>-419.37679239000005</v>
      </c>
      <c r="D13" s="84">
        <v>-436.23613212999999</v>
      </c>
      <c r="E13" s="150">
        <v>-413.83921851999997</v>
      </c>
      <c r="F13" s="84">
        <v>-410.66000136000002</v>
      </c>
      <c r="G13" s="84">
        <v>-458.24162359000002</v>
      </c>
      <c r="H13" s="84">
        <v>-501.56321010000005</v>
      </c>
    </row>
    <row r="14" spans="1:8">
      <c r="A14" s="88" t="str">
        <f>HLOOKUP(INDICE!$F$2,Nombres!$C$3:$E$853,48)</f>
        <v xml:space="preserve">  Otros gastos generales de administración</v>
      </c>
      <c r="B14" s="149">
        <v>-241.81747517000002</v>
      </c>
      <c r="C14" s="84">
        <v>-268.10536078000001</v>
      </c>
      <c r="D14" s="84">
        <v>-255.53171169000001</v>
      </c>
      <c r="E14" s="150">
        <v>-268.07711158000001</v>
      </c>
      <c r="F14" s="84">
        <v>-268.78226789999997</v>
      </c>
      <c r="G14" s="84">
        <v>-309.59021058000002</v>
      </c>
      <c r="H14" s="84">
        <v>-338.28829201000002</v>
      </c>
    </row>
    <row r="15" spans="1:8" ht="13.5" customHeight="1">
      <c r="A15" s="49" t="str">
        <f>HLOOKUP(INDICE!$F$2,Nombres!$C$3:$E$853,49)</f>
        <v xml:space="preserve">  Amortizaciones</v>
      </c>
      <c r="B15" s="149">
        <v>-26.2972872</v>
      </c>
      <c r="C15" s="84">
        <v>-26.10821069</v>
      </c>
      <c r="D15" s="84">
        <v>-26.501447979999998</v>
      </c>
      <c r="E15" s="150">
        <v>-26.440876960000004</v>
      </c>
      <c r="F15" s="84">
        <v>-25.415262219999999</v>
      </c>
      <c r="G15" s="84">
        <v>-30.5940881</v>
      </c>
      <c r="H15" s="84">
        <v>-32.288145290000003</v>
      </c>
    </row>
    <row r="16" spans="1:8" ht="12.75" customHeight="1">
      <c r="A16" s="54" t="str">
        <f>HLOOKUP(INDICE!$F$2,Nombres!$C$3:$E$853,50)</f>
        <v>Margen neto</v>
      </c>
      <c r="B16" s="147">
        <v>1047.5844822700001</v>
      </c>
      <c r="C16" s="83">
        <v>917.29529940999998</v>
      </c>
      <c r="D16" s="83">
        <v>776.02422693999995</v>
      </c>
      <c r="E16" s="148">
        <v>1033.7614043000001</v>
      </c>
      <c r="F16" s="83">
        <v>1081.11200558</v>
      </c>
      <c r="G16" s="83">
        <v>1126.54547482</v>
      </c>
      <c r="H16" s="83">
        <v>802.70271563999995</v>
      </c>
    </row>
    <row r="17" spans="1:8" ht="13.5" customHeight="1">
      <c r="A17" s="49" t="str">
        <f>HLOOKUP(INDICE!$F$2,Nombres!$C$3:$E$853,51)</f>
        <v>Pérdidas por deterioro de activos financieros</v>
      </c>
      <c r="B17" s="149">
        <v>-462.86292189</v>
      </c>
      <c r="C17" s="84">
        <v>-396.05198036000002</v>
      </c>
      <c r="D17" s="84">
        <v>-385.82296559999997</v>
      </c>
      <c r="E17" s="150">
        <v>-445.36181323</v>
      </c>
      <c r="F17" s="84">
        <v>-420.75555208000003</v>
      </c>
      <c r="G17" s="84">
        <v>-354.44911894000001</v>
      </c>
      <c r="H17" s="84">
        <v>-302.77550180999998</v>
      </c>
    </row>
    <row r="18" spans="1:8" ht="13.5" customHeight="1">
      <c r="A18" s="49" t="str">
        <f>HLOOKUP(INDICE!$F$2,Nombres!$C$3:$E$853,160)</f>
        <v>Dotaciones a provisiones y otros resultados</v>
      </c>
      <c r="B18" s="149">
        <v>-34.866818770000002</v>
      </c>
      <c r="C18" s="84">
        <v>-203.32414678000001</v>
      </c>
      <c r="D18" s="84">
        <v>-75.989574609999991</v>
      </c>
      <c r="E18" s="150">
        <v>-308.97495177999997</v>
      </c>
      <c r="F18" s="84">
        <v>-164.19889054000001</v>
      </c>
      <c r="G18" s="84">
        <v>-115.88539314000001</v>
      </c>
      <c r="H18" s="84">
        <v>-87.365240720000003</v>
      </c>
    </row>
    <row r="19" spans="1:8" ht="12.75" customHeight="1">
      <c r="A19" s="54" t="str">
        <f>HLOOKUP(INDICE!$F$2,Nombres!$C$3:$E$853,54)</f>
        <v>Beneficio antes de impuestos</v>
      </c>
      <c r="B19" s="147">
        <v>549.85474161000002</v>
      </c>
      <c r="C19" s="83">
        <v>317.91917226999999</v>
      </c>
      <c r="D19" s="83">
        <v>314.21168673</v>
      </c>
      <c r="E19" s="148">
        <v>279.42463928999996</v>
      </c>
      <c r="F19" s="83">
        <v>496.15756296000001</v>
      </c>
      <c r="G19" s="83">
        <v>656.21096274000001</v>
      </c>
      <c r="H19" s="83">
        <v>412.56197311</v>
      </c>
    </row>
    <row r="20" spans="1:8" ht="13.5" customHeight="1">
      <c r="A20" s="49" t="str">
        <f>HLOOKUP(INDICE!$F$2,Nombres!$C$3:$E$853,55)</f>
        <v>Impuesto sobre beneficios</v>
      </c>
      <c r="B20" s="149">
        <v>-164.61867627999999</v>
      </c>
      <c r="C20" s="84">
        <v>-93.405189960000001</v>
      </c>
      <c r="D20" s="84">
        <v>-87.099492479999995</v>
      </c>
      <c r="E20" s="150">
        <v>-85.803145840000013</v>
      </c>
      <c r="F20" s="84">
        <v>-147.9297009</v>
      </c>
      <c r="G20" s="84">
        <v>-193.36756187999998</v>
      </c>
      <c r="H20" s="84">
        <v>-119.12411025999999</v>
      </c>
    </row>
    <row r="21" spans="1:8" ht="13.5" customHeight="1">
      <c r="A21" s="54" t="str">
        <f>HLOOKUP(INDICE!$F$2,Nombres!$C$3:$E$853,56)</f>
        <v>Beneficio después de impuestos</v>
      </c>
      <c r="B21" s="147">
        <v>385.23606532999997</v>
      </c>
      <c r="C21" s="83">
        <v>224.51398231000002</v>
      </c>
      <c r="D21" s="83">
        <v>227.11219424999999</v>
      </c>
      <c r="E21" s="148">
        <v>193.62149344999997</v>
      </c>
      <c r="F21" s="83">
        <v>348.22786206000001</v>
      </c>
      <c r="G21" s="83">
        <v>462.84340085999997</v>
      </c>
      <c r="H21" s="83">
        <v>293.43786284999999</v>
      </c>
    </row>
    <row r="22" spans="1:8" ht="12" customHeight="1">
      <c r="A22" s="49" t="str">
        <f>HLOOKUP(INDICE!$F$2,Nombres!$C$3:$E$853,57)</f>
        <v>Resultado atribuido a la minoría</v>
      </c>
      <c r="B22" s="149">
        <v>-0.86899999999999999</v>
      </c>
      <c r="C22" s="84">
        <v>-0.85957499999999998</v>
      </c>
      <c r="D22" s="84">
        <v>-0.92912100000000009</v>
      </c>
      <c r="E22" s="150">
        <v>-0.91599999999999993</v>
      </c>
      <c r="F22" s="84">
        <v>-0.83504299999999998</v>
      </c>
      <c r="G22" s="84">
        <v>-1.0490000000000002</v>
      </c>
      <c r="H22" s="84">
        <v>-1.127</v>
      </c>
    </row>
    <row r="23" spans="1:8" ht="14.25" customHeight="1">
      <c r="A23" s="54" t="str">
        <f>HLOOKUP(INDICE!$F$2,Nombres!$C$3:$E$853,58)</f>
        <v>Beneficio atribuido al Grupo</v>
      </c>
      <c r="B23" s="147">
        <v>384.36706533</v>
      </c>
      <c r="C23" s="83">
        <v>223.65440731000001</v>
      </c>
      <c r="D23" s="83">
        <v>226.18307325000001</v>
      </c>
      <c r="E23" s="148">
        <v>192.70549345000001</v>
      </c>
      <c r="F23" s="83">
        <v>347.39281906000002</v>
      </c>
      <c r="G23" s="83">
        <v>461.79440086</v>
      </c>
      <c r="H23" s="83">
        <v>292.31086285000003</v>
      </c>
    </row>
    <row r="24" spans="1:8" ht="12.75" customHeight="1">
      <c r="A24" s="144" t="str">
        <f>HLOOKUP(INDICE!$F$2,Nombres!$C$3:$E$853,94)</f>
        <v>Balances</v>
      </c>
      <c r="F24" s="151"/>
      <c r="G24" s="74"/>
      <c r="H24" s="74"/>
    </row>
    <row r="25" spans="1:8" ht="13.5" customHeight="1">
      <c r="A25" s="41" t="str">
        <f>HLOOKUP(INDICE!$F$2,Nombres!$C$3:$E$853,30)</f>
        <v>(Millones de euros)</v>
      </c>
      <c r="C25" s="152"/>
      <c r="D25" s="152"/>
      <c r="E25" s="152"/>
      <c r="F25" s="151"/>
      <c r="G25" s="74"/>
      <c r="H25" s="74"/>
    </row>
    <row r="26" spans="1:8">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4468.3791074600003</v>
      </c>
      <c r="C27" s="84">
        <v>5835.3615392700003</v>
      </c>
      <c r="D27" s="84">
        <v>829.72919295999998</v>
      </c>
      <c r="E27" s="150">
        <v>7876.2097887600003</v>
      </c>
      <c r="F27" s="84">
        <v>3902.2760986200001</v>
      </c>
      <c r="G27" s="84">
        <v>7921.9088917500003</v>
      </c>
      <c r="H27" s="84">
        <v>3624.211734</v>
      </c>
    </row>
    <row r="28" spans="1:8">
      <c r="A28" s="49" t="str">
        <f>HLOOKUP(INDICE!$F$2,Nombres!$C$3:$E$853,101)</f>
        <v>Cartera de títulos</v>
      </c>
      <c r="B28" s="149">
        <v>108376.84343969</v>
      </c>
      <c r="C28" s="84">
        <v>112019.25883751</v>
      </c>
      <c r="D28" s="84">
        <v>121611.69363081999</v>
      </c>
      <c r="E28" s="150">
        <v>116016.06585664999</v>
      </c>
      <c r="F28" s="84">
        <v>125945.47243682001</v>
      </c>
      <c r="G28" s="84">
        <v>122871.70113897001</v>
      </c>
      <c r="H28" s="84">
        <v>124655.09554851009</v>
      </c>
    </row>
    <row r="29" spans="1:8">
      <c r="A29" s="49" t="str">
        <f>HLOOKUP(INDICE!$F$2,Nombres!$C$3:$E$853,102)</f>
        <v>Inversiones crediticias</v>
      </c>
      <c r="B29" s="149">
        <v>189842.09171675</v>
      </c>
      <c r="C29" s="84">
        <v>195026.00084105998</v>
      </c>
      <c r="D29" s="84">
        <v>190641.6535809999</v>
      </c>
      <c r="E29" s="150">
        <v>191278.05562189</v>
      </c>
      <c r="F29" s="84">
        <v>195471.77333097998</v>
      </c>
      <c r="G29" s="84">
        <v>216897.33652239002</v>
      </c>
      <c r="H29" s="84">
        <v>212068.79283724001</v>
      </c>
    </row>
    <row r="30" spans="1:8">
      <c r="A30" s="49" t="str">
        <f>HLOOKUP(INDICE!$F$2,Nombres!$C$3:$E$853,103)</f>
        <v xml:space="preserve">  . Crédito a la clientela neto</v>
      </c>
      <c r="B30" s="149">
        <v>174565.79447774001</v>
      </c>
      <c r="C30" s="84">
        <v>173369.98566877999</v>
      </c>
      <c r="D30" s="84">
        <v>168774.0526376499</v>
      </c>
      <c r="E30" s="150">
        <v>169215.57456459999</v>
      </c>
      <c r="F30" s="84">
        <v>168212.04072135</v>
      </c>
      <c r="G30" s="84">
        <v>187961.50955794001</v>
      </c>
      <c r="H30" s="84">
        <v>184034.91303324001</v>
      </c>
    </row>
    <row r="31" spans="1:8">
      <c r="A31" s="49" t="str">
        <f>HLOOKUP(INDICE!$F$2,Nombres!$C$3:$E$853,104)</f>
        <v xml:space="preserve">  . Depósitos en entidades de crédito y otros</v>
      </c>
      <c r="B31" s="154">
        <v>15276.29723901</v>
      </c>
      <c r="C31" s="84">
        <v>21656.01517228</v>
      </c>
      <c r="D31" s="84">
        <v>21867.60094335</v>
      </c>
      <c r="E31" s="150">
        <v>22062.481057289999</v>
      </c>
      <c r="F31" s="84">
        <v>27259.732609629998</v>
      </c>
      <c r="G31" s="84">
        <v>28935.826964450003</v>
      </c>
      <c r="H31" s="84">
        <v>28033.879804000004</v>
      </c>
    </row>
    <row r="32" spans="1:8">
      <c r="A32" s="49" t="str">
        <f>HLOOKUP(INDICE!$F$2,Nombres!$C$3:$E$853,105)</f>
        <v>Posiciones inter-áreas activo</v>
      </c>
      <c r="B32" s="154">
        <v>8515.7650068555959</v>
      </c>
      <c r="C32" s="84">
        <v>6521.2267507917713</v>
      </c>
      <c r="D32" s="84">
        <v>4594.6430261746282</v>
      </c>
      <c r="E32" s="150">
        <v>0</v>
      </c>
      <c r="F32" s="84">
        <v>0</v>
      </c>
      <c r="G32" s="84">
        <v>1571.6913670505164</v>
      </c>
      <c r="H32" s="84">
        <v>583.47302202164428</v>
      </c>
    </row>
    <row r="33" spans="1:9">
      <c r="A33" s="49" t="str">
        <f>HLOOKUP(INDICE!$F$2,Nombres!$C$3:$E$853,106)</f>
        <v>Activo material</v>
      </c>
      <c r="B33" s="155">
        <v>746.08893407000005</v>
      </c>
      <c r="C33" s="84">
        <v>737.89761983000005</v>
      </c>
      <c r="D33" s="84">
        <v>725.10536341</v>
      </c>
      <c r="E33" s="150">
        <v>699.83059522999997</v>
      </c>
      <c r="F33" s="84">
        <v>705.69388877999995</v>
      </c>
      <c r="G33" s="84">
        <v>700.77091137000002</v>
      </c>
      <c r="H33" s="84">
        <v>719.44473700000003</v>
      </c>
    </row>
    <row r="34" spans="1:9">
      <c r="A34" s="49" t="str">
        <f>HLOOKUP(INDICE!$F$2,Nombres!$C$3:$E$853,107)</f>
        <v>Otros activos</v>
      </c>
      <c r="B34" s="149">
        <v>1793.4190929598003</v>
      </c>
      <c r="C34" s="84">
        <v>1664.8412667999</v>
      </c>
      <c r="D34" s="84">
        <v>2216.8511115996998</v>
      </c>
      <c r="E34" s="150">
        <v>2575.9262588599004</v>
      </c>
      <c r="F34" s="84">
        <v>3500.85925352</v>
      </c>
      <c r="G34" s="84">
        <v>2290.4142882000001</v>
      </c>
      <c r="H34" s="84">
        <v>2090.2687859699995</v>
      </c>
    </row>
    <row r="35" spans="1:9">
      <c r="A35" s="54" t="str">
        <f>HLOOKUP(INDICE!$F$2,Nombres!$C$3:$E$853,108)</f>
        <v>Total activo / pasivo</v>
      </c>
      <c r="B35" s="147">
        <v>313742.58729778545</v>
      </c>
      <c r="C35" s="83">
        <v>321804.58685526164</v>
      </c>
      <c r="D35" s="83">
        <v>320619.67590596428</v>
      </c>
      <c r="E35" s="148">
        <v>318446.08812138997</v>
      </c>
      <c r="F35" s="83">
        <v>329526.07500872004</v>
      </c>
      <c r="G35" s="83">
        <v>352253.82311973057</v>
      </c>
      <c r="H35" s="83">
        <v>343741.2866647417</v>
      </c>
    </row>
    <row r="36" spans="1:9">
      <c r="A36" s="49" t="str">
        <f>HLOOKUP(INDICE!$F$2,Nombres!$C$3:$E$853,109)</f>
        <v>Depósitos de bancos centrales y entidades de crédito</v>
      </c>
      <c r="B36" s="149">
        <v>57305.744961662596</v>
      </c>
      <c r="C36" s="84">
        <v>54519.351111149997</v>
      </c>
      <c r="D36" s="84">
        <v>53132.915473950001</v>
      </c>
      <c r="E36" s="150">
        <v>64764.891638860005</v>
      </c>
      <c r="F36" s="84">
        <v>58264.212331567898</v>
      </c>
      <c r="G36" s="84">
        <v>61816.285598504299</v>
      </c>
      <c r="H36" s="84">
        <v>64886.391057016903</v>
      </c>
    </row>
    <row r="37" spans="1:9">
      <c r="A37" s="49" t="str">
        <f>HLOOKUP(INDICE!$F$2,Nombres!$C$3:$E$853,110)</f>
        <v>Depósitos de la clientela</v>
      </c>
      <c r="B37" s="149">
        <v>156122.73763786739</v>
      </c>
      <c r="C37" s="84">
        <v>162241.48718699001</v>
      </c>
      <c r="D37" s="84">
        <v>160777.13669786</v>
      </c>
      <c r="E37" s="150">
        <v>154261.31826525999</v>
      </c>
      <c r="F37" s="84">
        <v>159815.62833488002</v>
      </c>
      <c r="G37" s="84">
        <v>187967.68699510989</v>
      </c>
      <c r="H37" s="84">
        <v>181116.03682899999</v>
      </c>
    </row>
    <row r="38" spans="1:9" ht="13.5" customHeight="1">
      <c r="A38" s="49" t="str">
        <f>HLOOKUP(INDICE!$F$2,Nombres!$C$3:$E$853,111)</f>
        <v>Débitos representados por valores negociables</v>
      </c>
      <c r="B38" s="149">
        <v>48236.199898715102</v>
      </c>
      <c r="C38" s="84">
        <v>48274.780764283503</v>
      </c>
      <c r="D38" s="84">
        <v>44980.798059350695</v>
      </c>
      <c r="E38" s="150">
        <v>41688.887677108702</v>
      </c>
      <c r="F38" s="84">
        <v>39183.581542798202</v>
      </c>
      <c r="G38" s="84">
        <v>43677.423985859597</v>
      </c>
      <c r="H38" s="84">
        <v>41666.6669604333</v>
      </c>
    </row>
    <row r="39" spans="1:9" ht="13.5" customHeight="1">
      <c r="A39" s="49" t="str">
        <f>HLOOKUP(INDICE!$F$2,Nombres!$C$3:$E$853,112)</f>
        <v>Pasivos subordinados</v>
      </c>
      <c r="B39" s="149">
        <v>2173.4543842014</v>
      </c>
      <c r="C39" s="84">
        <v>2204.2107345073</v>
      </c>
      <c r="D39" s="84">
        <v>2144.4676859142</v>
      </c>
      <c r="E39" s="150">
        <v>2128.4431883354</v>
      </c>
      <c r="F39" s="84">
        <v>2052.1183655028999</v>
      </c>
      <c r="G39" s="84">
        <v>2201.6670272246001</v>
      </c>
      <c r="H39" s="84">
        <v>2130.5300162789999</v>
      </c>
    </row>
    <row r="40" spans="1:9">
      <c r="A40" s="49" t="str">
        <f>HLOOKUP(INDICE!$F$2,Nombres!$C$3:$E$853,113)</f>
        <v>Posiciones inter-áreas pasivo</v>
      </c>
      <c r="B40" s="149">
        <v>0</v>
      </c>
      <c r="C40" s="84">
        <v>0</v>
      </c>
      <c r="D40" s="84">
        <v>0</v>
      </c>
      <c r="E40" s="150">
        <v>44.986545213963836</v>
      </c>
      <c r="F40" s="84">
        <v>5769.0024472445948</v>
      </c>
      <c r="G40" s="84">
        <v>0</v>
      </c>
      <c r="H40" s="84">
        <v>0</v>
      </c>
    </row>
    <row r="41" spans="1:9">
      <c r="A41" s="49" t="str">
        <f>HLOOKUP(INDICE!$F$2,Nombres!$C$3:$E$853,114)</f>
        <v>Cartera de negociación</v>
      </c>
      <c r="B41" s="149">
        <v>40193.268577950003</v>
      </c>
      <c r="C41" s="84">
        <v>42694.393230789996</v>
      </c>
      <c r="D41" s="84">
        <v>49105.890321660001</v>
      </c>
      <c r="E41" s="150">
        <v>43977.070041080005</v>
      </c>
      <c r="F41" s="84">
        <v>51937.853900030001</v>
      </c>
      <c r="G41" s="84">
        <v>41361.214414980001</v>
      </c>
      <c r="H41" s="84">
        <v>41346.566250000003</v>
      </c>
    </row>
    <row r="42" spans="1:9" ht="12.75" customHeight="1">
      <c r="A42" s="49" t="str">
        <f>HLOOKUP(INDICE!$F$2,Nombres!$C$3:$E$853,115)</f>
        <v>Otros pasivos</v>
      </c>
      <c r="B42" s="149">
        <v>1404.3831073688973</v>
      </c>
      <c r="C42" s="84">
        <v>3647.1800776108016</v>
      </c>
      <c r="D42" s="84">
        <v>2628.936483109399</v>
      </c>
      <c r="E42" s="150">
        <v>3422.302587861901</v>
      </c>
      <c r="F42" s="84">
        <v>4638.0243267262995</v>
      </c>
      <c r="G42" s="84">
        <v>6535.9623680221021</v>
      </c>
      <c r="H42" s="84">
        <v>4248.4251182925</v>
      </c>
    </row>
    <row r="43" spans="1:9" ht="15" customHeight="1">
      <c r="A43" s="49" t="str">
        <f>HLOOKUP(INDICE!$F$2,Nombres!$C$3:$E$853,116)</f>
        <v>Dotación de capital económico</v>
      </c>
      <c r="B43" s="149">
        <v>8306.7987300200002</v>
      </c>
      <c r="C43" s="84">
        <v>8223.18374993</v>
      </c>
      <c r="D43" s="84">
        <v>7849.53118412</v>
      </c>
      <c r="E43" s="150">
        <v>8158.1881776700002</v>
      </c>
      <c r="F43" s="84">
        <v>7865.6537599699996</v>
      </c>
      <c r="G43" s="84">
        <v>8693.5827300300007</v>
      </c>
      <c r="H43" s="84">
        <v>8346.6704337200008</v>
      </c>
    </row>
    <row r="44" spans="1:9" ht="13.5" customHeight="1">
      <c r="A44" s="144" t="str">
        <f>HLOOKUP(INDICE!$F$2,Nombres!$C$3:$E$853,117)</f>
        <v>Indicadores relevantes</v>
      </c>
      <c r="F44" s="151"/>
      <c r="G44" s="74"/>
      <c r="H44" s="74"/>
    </row>
    <row r="45" spans="1:9" ht="12.75" customHeight="1">
      <c r="A45" s="144" t="str">
        <f>HLOOKUP(INDICE!$F$2,Nombres!$C$3:$E$853,201)</f>
        <v>Anexo:</v>
      </c>
      <c r="F45" s="151"/>
      <c r="G45" s="74"/>
      <c r="H45" s="74"/>
    </row>
    <row r="46" spans="1:9" ht="12" customHeight="1">
      <c r="A46" s="41" t="str">
        <f>HLOOKUP(INDICE!$F$2,Nombres!$C$3:$E$853,30)</f>
        <v>(Millones de euros)</v>
      </c>
      <c r="B46" s="81">
        <v>41729</v>
      </c>
      <c r="C46" s="82">
        <v>41820</v>
      </c>
      <c r="D46" s="82">
        <v>41912</v>
      </c>
      <c r="E46" s="82">
        <v>42004</v>
      </c>
      <c r="F46" s="81">
        <v>42094</v>
      </c>
      <c r="G46" s="82">
        <v>42185</v>
      </c>
      <c r="H46" s="82">
        <v>42277</v>
      </c>
    </row>
    <row r="47" spans="1:9">
      <c r="A47" s="49" t="str">
        <f>HLOOKUP(INDICE!$F$2,Nombres!$C$3:$E$853,118)</f>
        <v>Crédito a la clientela bruto (*)</v>
      </c>
      <c r="B47" s="149">
        <v>173188.08553813002</v>
      </c>
      <c r="C47" s="84">
        <v>170437.99506644002</v>
      </c>
      <c r="D47" s="84">
        <v>167053.2555492</v>
      </c>
      <c r="E47" s="150">
        <v>165975.36747177987</v>
      </c>
      <c r="F47" s="84">
        <v>165744.40633904</v>
      </c>
      <c r="G47" s="84">
        <v>188883.48224601999</v>
      </c>
      <c r="H47" s="84">
        <v>185073.87006245001</v>
      </c>
      <c r="I47" s="74"/>
    </row>
    <row r="48" spans="1:9">
      <c r="A48" s="49" t="str">
        <f>HLOOKUP(INDICE!$F$2,Nombres!$C$3:$E$853,121)</f>
        <v>Depósitos de clientes en gestión (**)</v>
      </c>
      <c r="B48" s="149">
        <v>135415.52187332738</v>
      </c>
      <c r="C48" s="84">
        <v>141509.60913268002</v>
      </c>
      <c r="D48" s="84">
        <v>139352.18084797001</v>
      </c>
      <c r="E48" s="150">
        <v>138140.29478063001</v>
      </c>
      <c r="F48" s="84">
        <v>136250.03044324002</v>
      </c>
      <c r="G48" s="84">
        <v>159725.05555261989</v>
      </c>
      <c r="H48" s="84">
        <v>158592.862999</v>
      </c>
      <c r="I48" s="74"/>
    </row>
    <row r="49" spans="1:9">
      <c r="A49" s="49" t="str">
        <f>HLOOKUP(INDICE!$F$2,Nombres!$C$3:$E$853,122)</f>
        <v>Fondos de inversión</v>
      </c>
      <c r="B49" s="149">
        <v>24542.408812450001</v>
      </c>
      <c r="C49" s="84">
        <v>26644.315381019998</v>
      </c>
      <c r="D49" s="84">
        <v>28491.355230919999</v>
      </c>
      <c r="E49" s="150">
        <v>29649.23055226</v>
      </c>
      <c r="F49" s="84">
        <v>31812.973934000001</v>
      </c>
      <c r="G49" s="84">
        <v>33386.837236470004</v>
      </c>
      <c r="H49" s="84">
        <v>32427.456658570001</v>
      </c>
      <c r="I49" s="74"/>
    </row>
    <row r="50" spans="1:9">
      <c r="A50" s="49" t="str">
        <f>HLOOKUP(INDICE!$F$2,Nombres!$C$3:$E$853,206)</f>
        <v>Fondos de pensiones</v>
      </c>
      <c r="B50" s="149">
        <v>20993.6833845</v>
      </c>
      <c r="C50" s="84">
        <v>21362.830039029999</v>
      </c>
      <c r="D50" s="84">
        <v>21675.982309700001</v>
      </c>
      <c r="E50" s="150">
        <v>21879.061787449999</v>
      </c>
      <c r="F50" s="84">
        <v>22594.603139899998</v>
      </c>
      <c r="G50" s="84">
        <v>22671.909683419999</v>
      </c>
      <c r="H50" s="84">
        <v>22396.905404000001</v>
      </c>
      <c r="I50" s="74"/>
    </row>
    <row r="51" spans="1:9">
      <c r="A51" s="49" t="str">
        <f>HLOOKUP(INDICE!$F$2,Nombres!$C$3:$E$853,308)</f>
        <v>Otros recursos fuera de balance</v>
      </c>
      <c r="B51" s="149">
        <v>205.13681819000001</v>
      </c>
      <c r="C51" s="84">
        <v>221.82827198000001</v>
      </c>
      <c r="D51" s="84">
        <v>210.00606578</v>
      </c>
      <c r="E51" s="150">
        <v>173.79032283999999</v>
      </c>
      <c r="F51" s="84">
        <v>179.99777728999999</v>
      </c>
      <c r="G51" s="84">
        <v>129.29031552999999</v>
      </c>
      <c r="H51" s="84">
        <v>119.209379</v>
      </c>
      <c r="I51" s="74"/>
    </row>
    <row r="52" spans="1:9">
      <c r="A52" s="156" t="str">
        <f>HLOOKUP(INDICE!$F$2,Nombres!$C$3:$E$853,307)</f>
        <v>(*) No incluye las adquisiciones temporales de activos.</v>
      </c>
      <c r="B52" s="157"/>
      <c r="C52" s="84"/>
      <c r="D52" s="84"/>
      <c r="E52" s="84"/>
      <c r="F52" s="84"/>
      <c r="G52" s="84"/>
      <c r="H52" s="84"/>
    </row>
    <row r="53" spans="1:9">
      <c r="A53" s="156" t="str">
        <f>HLOOKUP(INDICE!$F$2,Nombres!$C$3:$E$853,285)</f>
        <v>(**) No incluye las cesiones temporales de activos.</v>
      </c>
      <c r="B53" s="169"/>
      <c r="C53" s="169"/>
      <c r="D53" s="169"/>
      <c r="E53"/>
    </row>
    <row r="54" spans="1:9">
      <c r="A54"/>
      <c r="C54"/>
      <c r="D54"/>
      <c r="E54"/>
    </row>
    <row r="55" spans="1:9">
      <c r="A55"/>
      <c r="C55"/>
      <c r="D55"/>
      <c r="E55"/>
    </row>
    <row r="56" spans="1:9">
      <c r="A56"/>
      <c r="C56"/>
      <c r="D56"/>
      <c r="E56"/>
    </row>
    <row r="57" spans="1:9">
      <c r="A57"/>
      <c r="C57"/>
      <c r="D57"/>
      <c r="E57"/>
    </row>
    <row r="58" spans="1:9">
      <c r="A58"/>
      <c r="C58"/>
      <c r="D58"/>
      <c r="E58"/>
    </row>
    <row r="59" spans="1:9">
      <c r="A59"/>
      <c r="C59"/>
      <c r="D59"/>
      <c r="E59"/>
    </row>
    <row r="60" spans="1:9" ht="17.25" customHeight="1">
      <c r="A60"/>
      <c r="C60"/>
      <c r="D60"/>
      <c r="E60"/>
    </row>
    <row r="61" spans="1:9" ht="15.75" customHeight="1">
      <c r="A61"/>
      <c r="C61"/>
      <c r="D61"/>
      <c r="E61"/>
    </row>
    <row r="62" spans="1:9">
      <c r="A62"/>
      <c r="C62"/>
      <c r="D62"/>
      <c r="E62"/>
    </row>
    <row r="63" spans="1:9">
      <c r="A63"/>
      <c r="C63"/>
      <c r="D63"/>
      <c r="E63"/>
    </row>
    <row r="64" spans="1:9">
      <c r="A64"/>
      <c r="C64"/>
      <c r="D64"/>
      <c r="E64"/>
    </row>
    <row r="65" spans="1:5">
      <c r="A65"/>
      <c r="C65"/>
      <c r="D65"/>
      <c r="E65"/>
    </row>
    <row r="66" spans="1:5" ht="13.5" customHeight="1">
      <c r="A66"/>
      <c r="C66"/>
      <c r="D66"/>
      <c r="E66"/>
    </row>
    <row r="67" spans="1:5" ht="14.25" customHeight="1">
      <c r="A67"/>
      <c r="C67"/>
      <c r="D67"/>
      <c r="E67"/>
    </row>
    <row r="68" spans="1:5">
      <c r="A68"/>
      <c r="C68"/>
      <c r="D68"/>
      <c r="E68"/>
    </row>
    <row r="69" spans="1:5" ht="16.5" customHeight="1">
      <c r="A69"/>
      <c r="C69"/>
      <c r="D69"/>
      <c r="E69"/>
    </row>
    <row r="70" spans="1:5" ht="12.75" customHeight="1">
      <c r="A70"/>
      <c r="C70"/>
      <c r="D70"/>
      <c r="E70"/>
    </row>
    <row r="71" spans="1:5" ht="13.5" customHeight="1">
      <c r="A71"/>
      <c r="C71"/>
      <c r="D71"/>
      <c r="E71"/>
    </row>
    <row r="72" spans="1:5" ht="12.75" customHeight="1">
      <c r="A72"/>
      <c r="C72"/>
      <c r="D72"/>
      <c r="E72"/>
    </row>
    <row r="73" spans="1:5" ht="12.75" customHeight="1">
      <c r="A73"/>
      <c r="C73"/>
      <c r="D73"/>
      <c r="E73"/>
    </row>
    <row r="74" spans="1:5" ht="15" customHeight="1">
      <c r="A74"/>
      <c r="C74"/>
      <c r="D74"/>
      <c r="E74"/>
    </row>
    <row r="75" spans="1:5" ht="15.75" customHeight="1">
      <c r="A75"/>
      <c r="C75"/>
      <c r="D75"/>
      <c r="E75"/>
    </row>
    <row r="76" spans="1:5">
      <c r="A76"/>
      <c r="C76"/>
      <c r="D76"/>
      <c r="E76"/>
    </row>
    <row r="77" spans="1:5">
      <c r="A77"/>
      <c r="C77"/>
      <c r="D77"/>
      <c r="E77"/>
    </row>
    <row r="78" spans="1:5">
      <c r="A78"/>
      <c r="C78"/>
      <c r="D78"/>
      <c r="E78"/>
    </row>
    <row r="79" spans="1:5">
      <c r="A79"/>
      <c r="C79"/>
      <c r="D79"/>
      <c r="E79"/>
    </row>
    <row r="80" spans="1:5">
      <c r="A80"/>
      <c r="C80"/>
      <c r="D80"/>
      <c r="E80"/>
    </row>
    <row r="81" spans="1:5">
      <c r="A81"/>
      <c r="C81"/>
      <c r="D81"/>
      <c r="E81"/>
    </row>
    <row r="82" spans="1:5">
      <c r="A82"/>
      <c r="C82"/>
      <c r="D82"/>
      <c r="E82"/>
    </row>
    <row r="83" spans="1:5">
      <c r="A83"/>
      <c r="C83"/>
      <c r="D83"/>
      <c r="E83"/>
    </row>
    <row r="84" spans="1:5">
      <c r="A84"/>
      <c r="C84"/>
      <c r="D84"/>
      <c r="E84"/>
    </row>
    <row r="85" spans="1:5">
      <c r="A85"/>
      <c r="C85"/>
      <c r="D85"/>
      <c r="E85"/>
    </row>
    <row r="86" spans="1:5">
      <c r="A86"/>
      <c r="C86"/>
      <c r="D86"/>
      <c r="E86"/>
    </row>
    <row r="87" spans="1:5">
      <c r="A87"/>
      <c r="C87"/>
      <c r="D87"/>
      <c r="E87"/>
    </row>
    <row r="88" spans="1:5">
      <c r="A88"/>
      <c r="C88"/>
      <c r="D88"/>
      <c r="E88"/>
    </row>
    <row r="89" spans="1:5">
      <c r="A89"/>
      <c r="C89"/>
      <c r="D89"/>
      <c r="E89"/>
    </row>
    <row r="90" spans="1:5">
      <c r="A90"/>
      <c r="C90"/>
      <c r="D90"/>
      <c r="E90"/>
    </row>
    <row r="91" spans="1:5">
      <c r="A91"/>
      <c r="C91"/>
      <c r="D91"/>
      <c r="E91"/>
    </row>
    <row r="92" spans="1:5">
      <c r="A92"/>
      <c r="C92"/>
      <c r="D92"/>
      <c r="E92"/>
    </row>
    <row r="93" spans="1:5">
      <c r="A93"/>
      <c r="C93"/>
      <c r="D93"/>
      <c r="E93"/>
    </row>
    <row r="94" spans="1:5" ht="12" customHeight="1">
      <c r="A94"/>
      <c r="C94"/>
      <c r="D94"/>
      <c r="E94"/>
    </row>
    <row r="95" spans="1:5" ht="12" customHeight="1">
      <c r="A95"/>
      <c r="C95"/>
      <c r="D95"/>
      <c r="E95"/>
    </row>
    <row r="96" spans="1:5">
      <c r="A96"/>
      <c r="C96"/>
      <c r="D96"/>
      <c r="E96"/>
    </row>
    <row r="97" spans="1:5" ht="12" customHeight="1">
      <c r="A97"/>
      <c r="C97"/>
      <c r="D97"/>
      <c r="E97"/>
    </row>
    <row r="98" spans="1:5" ht="11.25" customHeight="1">
      <c r="A98"/>
      <c r="C98"/>
      <c r="D98"/>
      <c r="E98"/>
    </row>
    <row r="99" spans="1:5">
      <c r="A99"/>
      <c r="C99"/>
      <c r="D99"/>
      <c r="E99"/>
    </row>
    <row r="100" spans="1:5">
      <c r="A100"/>
      <c r="C100"/>
      <c r="D100"/>
      <c r="E100"/>
    </row>
    <row r="101" spans="1:5">
      <c r="A101"/>
      <c r="C101"/>
      <c r="D101"/>
      <c r="E101"/>
    </row>
    <row r="102" spans="1:5">
      <c r="A102"/>
      <c r="C102"/>
      <c r="D102"/>
      <c r="E102"/>
    </row>
    <row r="103" spans="1:5">
      <c r="A103"/>
      <c r="C103"/>
      <c r="D103"/>
      <c r="E103"/>
    </row>
    <row r="104" spans="1:5">
      <c r="A104"/>
      <c r="C104"/>
      <c r="D104"/>
      <c r="E104"/>
    </row>
    <row r="105" spans="1:5">
      <c r="A105"/>
      <c r="C105"/>
      <c r="D105"/>
      <c r="E105"/>
    </row>
    <row r="106" spans="1:5">
      <c r="A106"/>
      <c r="C106"/>
      <c r="D106"/>
      <c r="E106"/>
    </row>
  </sheetData>
  <mergeCells count="2">
    <mergeCell ref="B4:E4"/>
    <mergeCell ref="F4:H4"/>
  </mergeCells>
  <pageMargins left="0.7" right="0.7" top="0.75" bottom="0.75" header="0.3" footer="0.3"/>
  <pageSetup paperSize="9"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H105"/>
  <sheetViews>
    <sheetView showGridLines="0" workbookViewId="0"/>
  </sheetViews>
  <sheetFormatPr baseColWidth="10" defaultColWidth="9.140625" defaultRowHeight="15"/>
  <cols>
    <col min="1" max="1" width="45.710937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HLOOKUP(INDICE!$F$2,Nombres!$C$3:$E$853,279)</f>
        <v>Actividad inmobiliaria en España</v>
      </c>
    </row>
    <row r="2" spans="1:8" ht="18">
      <c r="A2" s="144" t="str">
        <f>HLOOKUP(INDICE!$F$2,Nombres!$C$3:$E$853,93)</f>
        <v xml:space="preserve">Cuentas de resultados  </v>
      </c>
      <c r="C2" s="145"/>
      <c r="D2" s="145"/>
      <c r="E2" s="145"/>
    </row>
    <row r="3" spans="1:8">
      <c r="A3" s="41" t="str">
        <f>HLOOKUP(INDICE!$F$2,Nombres!$C$3:$E$853,30)</f>
        <v>(Millones de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-7.3170118699999982</v>
      </c>
      <c r="C6" s="83">
        <v>-14.30579127</v>
      </c>
      <c r="D6" s="83">
        <v>-8.7484138399999996</v>
      </c>
      <c r="E6" s="148">
        <v>-8.0659005099999987</v>
      </c>
      <c r="F6" s="83">
        <v>-9.4670519600000009</v>
      </c>
      <c r="G6" s="83">
        <v>-4.5528338999999995</v>
      </c>
      <c r="H6" s="83">
        <v>40.383564850000006</v>
      </c>
    </row>
    <row r="7" spans="1:8">
      <c r="A7" s="49" t="str">
        <f>HLOOKUP(INDICE!$F$2,Nombres!$C$3:$E$853,39)</f>
        <v>Comisiones</v>
      </c>
      <c r="B7" s="149">
        <v>1.4505388099999998</v>
      </c>
      <c r="C7" s="84">
        <v>-0.77394092000000003</v>
      </c>
      <c r="D7" s="84">
        <v>2.8978965200000002</v>
      </c>
      <c r="E7" s="150">
        <v>1.06139936</v>
      </c>
      <c r="F7" s="84">
        <v>1.23537381</v>
      </c>
      <c r="G7" s="84">
        <v>-0.16756781000000004</v>
      </c>
      <c r="H7" s="84">
        <v>1.08181087</v>
      </c>
    </row>
    <row r="8" spans="1:8">
      <c r="A8" s="49" t="str">
        <f>HLOOKUP(INDICE!$F$2,Nombres!$C$3:$E$853,40)</f>
        <v>Resultados de operaciones financieras</v>
      </c>
      <c r="B8" s="149">
        <v>4.2207629999999996E-2</v>
      </c>
      <c r="C8" s="84">
        <v>1.6830000000000022E-3</v>
      </c>
      <c r="D8" s="84">
        <v>1.93294242</v>
      </c>
      <c r="E8" s="150">
        <v>-3.6683594899999994</v>
      </c>
      <c r="F8" s="84">
        <v>0.71921942999999999</v>
      </c>
      <c r="G8" s="84">
        <v>1.0527227300000002</v>
      </c>
      <c r="H8" s="84">
        <v>2.1554162300000002</v>
      </c>
    </row>
    <row r="9" spans="1:8">
      <c r="A9" s="49" t="str">
        <f>HLOOKUP(INDICE!$F$2,Nombres!$C$3:$E$853,95)</f>
        <v>Otros ingresos netos</v>
      </c>
      <c r="B9" s="149">
        <v>-52.125888740000001</v>
      </c>
      <c r="C9" s="84">
        <v>-45.22224293</v>
      </c>
      <c r="D9" s="84">
        <v>-32.213872420000001</v>
      </c>
      <c r="E9" s="150">
        <v>-54.77996538</v>
      </c>
      <c r="F9" s="84">
        <v>-38.686077610000005</v>
      </c>
      <c r="G9" s="84">
        <v>-6.1533183100000022</v>
      </c>
      <c r="H9" s="84">
        <v>-9.5979532200000008</v>
      </c>
    </row>
    <row r="10" spans="1:8">
      <c r="A10" s="54" t="str">
        <f>HLOOKUP(INDICE!$F$2,Nombres!$C$3:$E$853,44)</f>
        <v>Margen bruto</v>
      </c>
      <c r="B10" s="147">
        <v>-57.950154169999998</v>
      </c>
      <c r="C10" s="83">
        <v>-60.300292120000002</v>
      </c>
      <c r="D10" s="83">
        <v>-36.131447319999999</v>
      </c>
      <c r="E10" s="148">
        <v>-65.452826020000003</v>
      </c>
      <c r="F10" s="83">
        <v>-46.198536330000003</v>
      </c>
      <c r="G10" s="83">
        <v>-9.8209972899999993</v>
      </c>
      <c r="H10" s="83">
        <v>34.022838730000004</v>
      </c>
    </row>
    <row r="11" spans="1:8">
      <c r="A11" s="49" t="str">
        <f>HLOOKUP(INDICE!$F$2,Nombres!$C$3:$E$853,45)</f>
        <v>Gastos de explotación</v>
      </c>
      <c r="B11" s="149">
        <v>-36.109033910000001</v>
      </c>
      <c r="C11" s="84">
        <v>-39.085115189999996</v>
      </c>
      <c r="D11" s="84">
        <v>-40.168763769999998</v>
      </c>
      <c r="E11" s="150">
        <v>-37.633671470000003</v>
      </c>
      <c r="F11" s="84">
        <v>-32.50525742</v>
      </c>
      <c r="G11" s="84">
        <v>-36.526142460000003</v>
      </c>
      <c r="H11" s="84">
        <v>-31.456670360000004</v>
      </c>
    </row>
    <row r="12" spans="1:8">
      <c r="A12" s="49" t="str">
        <f>HLOOKUP(INDICE!$F$2,Nombres!$C$3:$E$853,46)</f>
        <v xml:space="preserve">  Gastos de administración</v>
      </c>
      <c r="B12" s="149">
        <v>-30.716251619999998</v>
      </c>
      <c r="C12" s="84">
        <v>-32.915291490000001</v>
      </c>
      <c r="D12" s="84">
        <v>-33.653925690000001</v>
      </c>
      <c r="E12" s="150">
        <v>-32.668377989999996</v>
      </c>
      <c r="F12" s="84">
        <v>-27.339490919999999</v>
      </c>
      <c r="G12" s="84">
        <v>-29.8423409</v>
      </c>
      <c r="H12" s="84">
        <v>-24.157323420000001</v>
      </c>
    </row>
    <row r="13" spans="1:8">
      <c r="A13" s="88" t="str">
        <f>HLOOKUP(INDICE!$F$2,Nombres!$C$3:$E$853,47)</f>
        <v xml:space="preserve">  Gastos de personal</v>
      </c>
      <c r="B13" s="149">
        <v>-18.398556129999999</v>
      </c>
      <c r="C13" s="84">
        <v>-21.452683929999999</v>
      </c>
      <c r="D13" s="84">
        <v>-20.84773899</v>
      </c>
      <c r="E13" s="150">
        <v>-20.295229470000002</v>
      </c>
      <c r="F13" s="84">
        <v>-18.34481967</v>
      </c>
      <c r="G13" s="84">
        <v>-18.05342469</v>
      </c>
      <c r="H13" s="84">
        <v>-12.46387264</v>
      </c>
    </row>
    <row r="14" spans="1:8">
      <c r="A14" s="88" t="str">
        <f>HLOOKUP(INDICE!$F$2,Nombres!$C$3:$E$853,48)</f>
        <v xml:space="preserve">  Otros gastos generales de administración</v>
      </c>
      <c r="B14" s="149">
        <v>-12.31769549</v>
      </c>
      <c r="C14" s="84">
        <v>-11.46260756</v>
      </c>
      <c r="D14" s="84">
        <v>-12.806186700000001</v>
      </c>
      <c r="E14" s="150">
        <v>-12.373148520000001</v>
      </c>
      <c r="F14" s="84">
        <v>-8.9946712499999997</v>
      </c>
      <c r="G14" s="84">
        <v>-11.78891621</v>
      </c>
      <c r="H14" s="84">
        <v>-11.693450779999999</v>
      </c>
    </row>
    <row r="15" spans="1:8" ht="13.5" customHeight="1">
      <c r="A15" s="49" t="str">
        <f>HLOOKUP(INDICE!$F$2,Nombres!$C$3:$E$853,49)</f>
        <v xml:space="preserve">  Amortizaciones</v>
      </c>
      <c r="B15" s="149">
        <v>-5.3927822899999995</v>
      </c>
      <c r="C15" s="84">
        <v>-6.1698236999999994</v>
      </c>
      <c r="D15" s="84">
        <v>-6.5148380800000005</v>
      </c>
      <c r="E15" s="150">
        <v>-4.9652934799999997</v>
      </c>
      <c r="F15" s="84">
        <v>-5.1657665000000001</v>
      </c>
      <c r="G15" s="84">
        <v>-6.68380156</v>
      </c>
      <c r="H15" s="84">
        <v>-7.2993469400000004</v>
      </c>
    </row>
    <row r="16" spans="1:8" ht="12.75" customHeight="1">
      <c r="A16" s="54" t="str">
        <f>HLOOKUP(INDICE!$F$2,Nombres!$C$3:$E$853,50)</f>
        <v>Margen neto</v>
      </c>
      <c r="B16" s="147">
        <v>-94.059188079999998</v>
      </c>
      <c r="C16" s="83">
        <v>-99.385407310000005</v>
      </c>
      <c r="D16" s="83">
        <v>-76.300211090000005</v>
      </c>
      <c r="E16" s="148">
        <v>-103.08649749</v>
      </c>
      <c r="F16" s="83">
        <v>-78.703793750000003</v>
      </c>
      <c r="G16" s="83">
        <v>-46.347139749999997</v>
      </c>
      <c r="H16" s="83">
        <v>2.5661683699999962</v>
      </c>
    </row>
    <row r="17" spans="1:8" ht="13.5" customHeight="1">
      <c r="A17" s="49" t="str">
        <f>HLOOKUP(INDICE!$F$2,Nombres!$C$3:$E$853,51)</f>
        <v>Pérdidas por deterioro de activos financieros</v>
      </c>
      <c r="B17" s="149">
        <v>-75.82084608000001</v>
      </c>
      <c r="C17" s="84">
        <v>-50.205105180000004</v>
      </c>
      <c r="D17" s="84">
        <v>-92.178420950000003</v>
      </c>
      <c r="E17" s="150">
        <v>-79.28412904999999</v>
      </c>
      <c r="F17" s="84">
        <v>-57.330779899999996</v>
      </c>
      <c r="G17" s="84">
        <v>-58.472046759999998</v>
      </c>
      <c r="H17" s="84">
        <v>-63.040709339999992</v>
      </c>
    </row>
    <row r="18" spans="1:8" ht="13.5" customHeight="1">
      <c r="A18" s="49" t="str">
        <f>HLOOKUP(INDICE!$F$2,Nombres!$C$3:$E$853,160)</f>
        <v>Dotaciones a provisiones y otros resultados</v>
      </c>
      <c r="B18" s="149">
        <v>-183.19216410999999</v>
      </c>
      <c r="C18" s="84">
        <v>-158.11883839000001</v>
      </c>
      <c r="D18" s="84">
        <v>-120.60086228</v>
      </c>
      <c r="E18" s="150">
        <v>-154.37542243000001</v>
      </c>
      <c r="F18" s="84">
        <v>-84.720380349999999</v>
      </c>
      <c r="G18" s="84">
        <v>-111.38776024000001</v>
      </c>
      <c r="H18" s="84">
        <v>-98.382057809999992</v>
      </c>
    </row>
    <row r="19" spans="1:8" ht="12.75" customHeight="1">
      <c r="A19" s="54" t="str">
        <f>HLOOKUP(INDICE!$F$2,Nombres!$C$3:$E$853,54)</f>
        <v>Beneficio antes de impuestos</v>
      </c>
      <c r="B19" s="147">
        <v>-353.07219827000006</v>
      </c>
      <c r="C19" s="83">
        <v>-307.70935087999999</v>
      </c>
      <c r="D19" s="83">
        <v>-289.07949431999998</v>
      </c>
      <c r="E19" s="148">
        <v>-336.74604897</v>
      </c>
      <c r="F19" s="83">
        <v>-220.754954</v>
      </c>
      <c r="G19" s="83">
        <v>-216.20694675000001</v>
      </c>
      <c r="H19" s="83">
        <v>-158.85659877999998</v>
      </c>
    </row>
    <row r="20" spans="1:8" ht="13.5" customHeight="1">
      <c r="A20" s="49" t="str">
        <f>HLOOKUP(INDICE!$F$2,Nombres!$C$3:$E$853,55)</f>
        <v>Impuesto sobre beneficios</v>
      </c>
      <c r="B20" s="149">
        <v>106.60805947</v>
      </c>
      <c r="C20" s="84">
        <v>88.162953290000004</v>
      </c>
      <c r="D20" s="84">
        <v>117.77444834000001</v>
      </c>
      <c r="E20" s="150">
        <v>69.913561759999993</v>
      </c>
      <c r="F20" s="84">
        <v>67.438686180000005</v>
      </c>
      <c r="G20" s="84">
        <v>68.970384060000001</v>
      </c>
      <c r="H20" s="84">
        <v>52.903279509999997</v>
      </c>
    </row>
    <row r="21" spans="1:8" ht="13.5" customHeight="1">
      <c r="A21" s="54" t="str">
        <f>HLOOKUP(INDICE!$F$2,Nombres!$C$3:$E$853,56)</f>
        <v>Beneficio después de impuestos</v>
      </c>
      <c r="B21" s="147">
        <v>-246.4641388</v>
      </c>
      <c r="C21" s="83">
        <v>-219.54639759000003</v>
      </c>
      <c r="D21" s="83">
        <v>-171.30504598000002</v>
      </c>
      <c r="E21" s="148">
        <v>-266.83248721000001</v>
      </c>
      <c r="F21" s="83">
        <v>-153.31626782000001</v>
      </c>
      <c r="G21" s="83">
        <v>-147.23656269</v>
      </c>
      <c r="H21" s="83">
        <v>-105.95331926999999</v>
      </c>
    </row>
    <row r="22" spans="1:8" ht="12" customHeight="1">
      <c r="A22" s="49" t="str">
        <f>HLOOKUP(INDICE!$F$2,Nombres!$C$3:$E$853,57)</f>
        <v>Resultado atribuido a la minoría</v>
      </c>
      <c r="B22" s="149">
        <v>1.427</v>
      </c>
      <c r="C22" s="84">
        <v>-0.5</v>
      </c>
      <c r="D22" s="84">
        <v>0.40799999999999997</v>
      </c>
      <c r="E22" s="150">
        <v>1.4209999999999998</v>
      </c>
      <c r="F22" s="84">
        <v>-0.50800000000000001</v>
      </c>
      <c r="G22" s="84">
        <v>0.80400000000000016</v>
      </c>
      <c r="H22" s="84">
        <v>-1.0080000000000002</v>
      </c>
    </row>
    <row r="23" spans="1:8" ht="14.25" customHeight="1">
      <c r="A23" s="54" t="str">
        <f>HLOOKUP(INDICE!$F$2,Nombres!$C$3:$E$853,58)</f>
        <v>Beneficio atribuido al Grupo</v>
      </c>
      <c r="B23" s="147">
        <v>-245.03713879999998</v>
      </c>
      <c r="C23" s="83">
        <v>-220.04639759000003</v>
      </c>
      <c r="D23" s="83">
        <v>-170.89704597999997</v>
      </c>
      <c r="E23" s="148">
        <v>-265.41148720999996</v>
      </c>
      <c r="F23" s="83">
        <v>-153.82426782000002</v>
      </c>
      <c r="G23" s="83">
        <v>-146.43256269</v>
      </c>
      <c r="H23" s="83">
        <v>-106.96131926999999</v>
      </c>
    </row>
    <row r="24" spans="1:8" ht="13.5" customHeight="1">
      <c r="A24" s="144" t="str">
        <f>HLOOKUP(INDICE!$F$2,Nombres!$C$3:$E$853,94)</f>
        <v>Balances</v>
      </c>
      <c r="F24" s="151"/>
      <c r="G24" s="74"/>
      <c r="H24" s="74"/>
    </row>
    <row r="25" spans="1:8" ht="12.75" customHeight="1">
      <c r="A25" s="41" t="str">
        <f>HLOOKUP(INDICE!$F$2,Nombres!$C$3:$E$853,30)</f>
        <v>(Millones de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5.1004065000000001</v>
      </c>
      <c r="C27" s="84">
        <v>5.5763284999999998</v>
      </c>
      <c r="D27" s="84">
        <v>5.52900262</v>
      </c>
      <c r="E27" s="150">
        <v>5.9799869900000004</v>
      </c>
      <c r="F27" s="84">
        <v>6.0896976199999999</v>
      </c>
      <c r="G27" s="84">
        <v>6.8096796199999998</v>
      </c>
      <c r="H27" s="84">
        <v>6.5888989999999996</v>
      </c>
    </row>
    <row r="28" spans="1:8">
      <c r="A28" s="49" t="str">
        <f>HLOOKUP(INDICE!$F$2,Nombres!$C$3:$E$853,101)</f>
        <v>Cartera de títulos</v>
      </c>
      <c r="B28" s="149">
        <v>602.86160031999998</v>
      </c>
      <c r="C28" s="84">
        <v>373.42798882</v>
      </c>
      <c r="D28" s="84">
        <v>379.75575856</v>
      </c>
      <c r="E28" s="150">
        <v>345.86104270999999</v>
      </c>
      <c r="F28" s="84">
        <v>345.84389070999998</v>
      </c>
      <c r="G28" s="84">
        <v>555.35901471</v>
      </c>
      <c r="H28" s="84">
        <v>535.41224251000006</v>
      </c>
    </row>
    <row r="29" spans="1:8">
      <c r="A29" s="49" t="str">
        <f>HLOOKUP(INDICE!$F$2,Nombres!$C$3:$E$853,102)</f>
        <v>Inversiones crediticias</v>
      </c>
      <c r="B29" s="149">
        <v>10067.15445799</v>
      </c>
      <c r="C29" s="84">
        <v>9711.4264571200001</v>
      </c>
      <c r="D29" s="84">
        <v>9364.6337533799997</v>
      </c>
      <c r="E29" s="150">
        <v>8813.8633596300006</v>
      </c>
      <c r="F29" s="84">
        <v>8776.6093235799999</v>
      </c>
      <c r="G29" s="84">
        <v>8531.5996163700001</v>
      </c>
      <c r="H29" s="84">
        <v>8336.6026739999998</v>
      </c>
    </row>
    <row r="30" spans="1:8">
      <c r="A30" s="49" t="str">
        <f>HLOOKUP(INDICE!$F$2,Nombres!$C$3:$E$853,103)</f>
        <v xml:space="preserve">  . Crédito a la clientela neto</v>
      </c>
      <c r="B30" s="149">
        <v>10067.15445799</v>
      </c>
      <c r="C30" s="84">
        <v>9711.4264571200001</v>
      </c>
      <c r="D30" s="84">
        <v>9364.6337533799997</v>
      </c>
      <c r="E30" s="150">
        <v>8813.8633596300006</v>
      </c>
      <c r="F30" s="84">
        <v>8776.6093235799999</v>
      </c>
      <c r="G30" s="84">
        <v>8531.5996163700001</v>
      </c>
      <c r="H30" s="84">
        <v>8336.6026739999998</v>
      </c>
    </row>
    <row r="31" spans="1:8">
      <c r="A31" s="49" t="str">
        <f>HLOOKUP(INDICE!$F$2,Nombres!$C$3:$E$853,104)</f>
        <v xml:space="preserve">  . Depósitos en entidades de crédito y otros</v>
      </c>
      <c r="B31" s="154">
        <v>0</v>
      </c>
      <c r="C31" s="84">
        <v>0</v>
      </c>
      <c r="D31" s="84">
        <v>0</v>
      </c>
      <c r="E31" s="150">
        <v>0</v>
      </c>
      <c r="F31" s="84">
        <v>0</v>
      </c>
      <c r="G31" s="84">
        <v>0</v>
      </c>
      <c r="H31" s="84">
        <v>0</v>
      </c>
    </row>
    <row r="32" spans="1:8">
      <c r="A32" s="49" t="str">
        <f>HLOOKUP(INDICE!$F$2,Nombres!$C$3:$E$853,105)</f>
        <v>Posiciones inter-áreas activo</v>
      </c>
      <c r="B32" s="154">
        <v>0</v>
      </c>
      <c r="C32" s="84">
        <v>0</v>
      </c>
      <c r="D32" s="84">
        <v>0</v>
      </c>
      <c r="E32" s="150">
        <v>0</v>
      </c>
      <c r="F32" s="84">
        <v>0</v>
      </c>
      <c r="G32" s="84">
        <v>0</v>
      </c>
      <c r="H32" s="84">
        <v>0</v>
      </c>
    </row>
    <row r="33" spans="1:8">
      <c r="A33" s="49" t="str">
        <f>HLOOKUP(INDICE!$F$2,Nombres!$C$3:$E$853,106)</f>
        <v>Activo material</v>
      </c>
      <c r="B33" s="155">
        <v>1600.0452249</v>
      </c>
      <c r="C33" s="84">
        <v>1448.7829479100001</v>
      </c>
      <c r="D33" s="84">
        <v>1429.54000741</v>
      </c>
      <c r="E33" s="150">
        <v>1373.2818794499999</v>
      </c>
      <c r="F33" s="84">
        <v>1279.3054546999999</v>
      </c>
      <c r="G33" s="84">
        <v>1608.2906608999999</v>
      </c>
      <c r="H33" s="84">
        <v>1492.953139</v>
      </c>
    </row>
    <row r="34" spans="1:8">
      <c r="A34" s="49" t="str">
        <f>HLOOKUP(INDICE!$F$2,Nombres!$C$3:$E$853,107)</f>
        <v>Otros activos</v>
      </c>
      <c r="B34" s="149">
        <v>7080.0219248000003</v>
      </c>
      <c r="C34" s="84">
        <v>7255.54346945</v>
      </c>
      <c r="D34" s="84">
        <v>7209.9447894699997</v>
      </c>
      <c r="E34" s="150">
        <v>6826.2780076099998</v>
      </c>
      <c r="F34" s="84">
        <v>6761.9045348</v>
      </c>
      <c r="G34" s="84">
        <v>7216.69349556</v>
      </c>
      <c r="H34" s="84">
        <v>6888.7787130300003</v>
      </c>
    </row>
    <row r="35" spans="1:8">
      <c r="A35" s="54" t="str">
        <f>HLOOKUP(INDICE!$F$2,Nombres!$C$3:$E$853,108)</f>
        <v>Total activo / pasivo</v>
      </c>
      <c r="B35" s="147">
        <v>19355.183614510002</v>
      </c>
      <c r="C35" s="83">
        <v>18794.757191799999</v>
      </c>
      <c r="D35" s="83">
        <v>18389.403311439997</v>
      </c>
      <c r="E35" s="148">
        <v>17365.26427639</v>
      </c>
      <c r="F35" s="83">
        <v>17169.75290141</v>
      </c>
      <c r="G35" s="83">
        <v>17918.752467159997</v>
      </c>
      <c r="H35" s="83">
        <v>17260.335667539999</v>
      </c>
    </row>
    <row r="36" spans="1:8">
      <c r="A36" s="49" t="str">
        <f>HLOOKUP(INDICE!$F$2,Nombres!$C$3:$E$853,109)</f>
        <v>Depósitos de bancos centrales y entidades de crédito</v>
      </c>
      <c r="B36" s="149">
        <v>0</v>
      </c>
      <c r="C36" s="84">
        <v>0</v>
      </c>
      <c r="D36" s="84">
        <v>0</v>
      </c>
      <c r="E36" s="150">
        <v>0</v>
      </c>
      <c r="F36" s="84">
        <v>0</v>
      </c>
      <c r="G36" s="84">
        <v>0</v>
      </c>
      <c r="H36" s="84">
        <v>0</v>
      </c>
    </row>
    <row r="37" spans="1:8">
      <c r="A37" s="49" t="str">
        <f>HLOOKUP(INDICE!$F$2,Nombres!$C$3:$E$853,110)</f>
        <v>Depósitos de la clientela</v>
      </c>
      <c r="B37" s="149">
        <v>100.10953115</v>
      </c>
      <c r="C37" s="84">
        <v>68.524568349999996</v>
      </c>
      <c r="D37" s="84">
        <v>105.71797235</v>
      </c>
      <c r="E37" s="150">
        <v>52.673648380000003</v>
      </c>
      <c r="F37" s="84">
        <v>27.658391000000002</v>
      </c>
      <c r="G37" s="84">
        <v>173.81181789999999</v>
      </c>
      <c r="H37" s="84">
        <v>181.72760500000001</v>
      </c>
    </row>
    <row r="38" spans="1:8">
      <c r="A38" s="49" t="str">
        <f>HLOOKUP(INDICE!$F$2,Nombres!$C$3:$E$853,111)</f>
        <v>Débitos representados por valores negociables</v>
      </c>
      <c r="B38" s="149">
        <v>0</v>
      </c>
      <c r="C38" s="84">
        <v>0</v>
      </c>
      <c r="D38" s="84">
        <v>0</v>
      </c>
      <c r="E38" s="150">
        <v>0</v>
      </c>
      <c r="F38" s="84">
        <v>0</v>
      </c>
      <c r="G38" s="84">
        <v>0</v>
      </c>
      <c r="H38" s="84">
        <v>0</v>
      </c>
    </row>
    <row r="39" spans="1:8" ht="13.5" customHeight="1">
      <c r="A39" s="49" t="str">
        <f>HLOOKUP(INDICE!$F$2,Nombres!$C$3:$E$853,112)</f>
        <v>Pasivos subordinados</v>
      </c>
      <c r="B39" s="149">
        <v>911.89361062</v>
      </c>
      <c r="C39" s="84">
        <v>875.96001153999998</v>
      </c>
      <c r="D39" s="84">
        <v>900.52625822000005</v>
      </c>
      <c r="E39" s="150">
        <v>870.64573243999996</v>
      </c>
      <c r="F39" s="84">
        <v>775.65151185000002</v>
      </c>
      <c r="G39" s="84">
        <v>869.61179039000001</v>
      </c>
      <c r="H39" s="84">
        <v>842.10429615999999</v>
      </c>
    </row>
    <row r="40" spans="1:8" ht="13.5" customHeight="1">
      <c r="A40" s="49" t="str">
        <f>HLOOKUP(INDICE!$F$2,Nombres!$C$3:$E$853,113)</f>
        <v>Posiciones inter-áreas pasivo</v>
      </c>
      <c r="B40" s="149">
        <v>14695.306451078002</v>
      </c>
      <c r="C40" s="84">
        <v>14346.429061914399</v>
      </c>
      <c r="D40" s="84">
        <v>13781.050388855097</v>
      </c>
      <c r="E40" s="150">
        <v>12959.162506008</v>
      </c>
      <c r="F40" s="84">
        <v>13263.833848547099</v>
      </c>
      <c r="G40" s="84">
        <v>13396.854499981197</v>
      </c>
      <c r="H40" s="84">
        <v>12868.083238761099</v>
      </c>
    </row>
    <row r="41" spans="1:8">
      <c r="A41" s="49" t="str">
        <f>HLOOKUP(INDICE!$F$2,Nombres!$C$3:$E$853,114)</f>
        <v>Cartera de negociación</v>
      </c>
      <c r="B41" s="235">
        <v>0</v>
      </c>
      <c r="C41" s="236">
        <v>0</v>
      </c>
      <c r="D41" s="236">
        <v>0</v>
      </c>
      <c r="E41" s="237">
        <v>0</v>
      </c>
      <c r="F41" s="84">
        <v>0</v>
      </c>
      <c r="G41" s="236">
        <v>0</v>
      </c>
      <c r="H41" s="236">
        <v>0</v>
      </c>
    </row>
    <row r="42" spans="1:8">
      <c r="A42" s="49" t="str">
        <f>HLOOKUP(INDICE!$F$2,Nombres!$C$3:$E$853,115)</f>
        <v>Otros pasivos</v>
      </c>
      <c r="B42" s="149">
        <v>0.2959316619999563</v>
      </c>
      <c r="C42" s="84">
        <v>-4.4001376431346273E-9</v>
      </c>
      <c r="D42" s="84">
        <v>-3.5100188144898681E-8</v>
      </c>
      <c r="E42" s="150">
        <v>-7.9997753352212264E-9</v>
      </c>
      <c r="F42" s="84">
        <v>1.2899901320750917E-8</v>
      </c>
      <c r="G42" s="84">
        <v>2.371888880000006E-2</v>
      </c>
      <c r="H42" s="84">
        <v>1.8488999294213881E-6</v>
      </c>
    </row>
    <row r="43" spans="1:8" ht="12.75" customHeight="1">
      <c r="A43" s="49" t="str">
        <f>HLOOKUP(INDICE!$F$2,Nombres!$C$3:$E$853,116)</f>
        <v>Dotación de capital económico</v>
      </c>
      <c r="B43" s="149">
        <v>3647.57809</v>
      </c>
      <c r="C43" s="84">
        <v>3503.8435500000001</v>
      </c>
      <c r="D43" s="84">
        <v>3602.1086920500002</v>
      </c>
      <c r="E43" s="150">
        <v>3482.7823895699999</v>
      </c>
      <c r="F43" s="84">
        <v>3102.6091500000002</v>
      </c>
      <c r="G43" s="84">
        <v>3478.45064</v>
      </c>
      <c r="H43" s="84">
        <v>3368.42052577</v>
      </c>
    </row>
    <row r="44" spans="1:8" ht="15" customHeight="1">
      <c r="A44"/>
      <c r="C44"/>
      <c r="D44"/>
      <c r="E44"/>
    </row>
    <row r="45" spans="1:8" ht="13.5" customHeight="1">
      <c r="A45"/>
      <c r="C45"/>
      <c r="D45"/>
      <c r="E45"/>
    </row>
    <row r="46" spans="1:8" ht="12.75" customHeight="1">
      <c r="A46"/>
      <c r="C46"/>
      <c r="D46"/>
      <c r="E46"/>
    </row>
    <row r="47" spans="1:8" ht="12" customHeight="1">
      <c r="A47"/>
      <c r="C47"/>
      <c r="D47"/>
      <c r="E47"/>
    </row>
    <row r="48" spans="1:8">
      <c r="A48"/>
      <c r="C48"/>
      <c r="D48"/>
      <c r="E48"/>
    </row>
    <row r="49" spans="1:5">
      <c r="A49"/>
      <c r="C49"/>
      <c r="D49"/>
      <c r="E49"/>
    </row>
    <row r="50" spans="1:5">
      <c r="A50"/>
      <c r="C50"/>
      <c r="D50"/>
      <c r="E50"/>
    </row>
    <row r="51" spans="1:5">
      <c r="A51"/>
      <c r="C51"/>
      <c r="D51"/>
      <c r="E51"/>
    </row>
    <row r="52" spans="1:5">
      <c r="A52"/>
      <c r="C52"/>
      <c r="D52"/>
      <c r="E52"/>
    </row>
    <row r="53" spans="1:5">
      <c r="A53"/>
      <c r="C53"/>
      <c r="D53"/>
      <c r="E53"/>
    </row>
    <row r="54" spans="1:5">
      <c r="A54"/>
      <c r="C54"/>
      <c r="D54"/>
      <c r="E54"/>
    </row>
    <row r="55" spans="1:5">
      <c r="A55"/>
      <c r="C55"/>
      <c r="D55"/>
      <c r="E55"/>
    </row>
    <row r="56" spans="1:5">
      <c r="A56"/>
      <c r="C56"/>
      <c r="D56"/>
      <c r="E56"/>
    </row>
    <row r="57" spans="1:5">
      <c r="A57"/>
      <c r="C57"/>
      <c r="D57"/>
      <c r="E57"/>
    </row>
    <row r="58" spans="1:5">
      <c r="A58"/>
      <c r="C58"/>
      <c r="D58"/>
      <c r="E58"/>
    </row>
    <row r="59" spans="1:5">
      <c r="A59"/>
      <c r="C59"/>
      <c r="D59"/>
      <c r="E59"/>
    </row>
    <row r="60" spans="1:5" ht="17.25" customHeight="1">
      <c r="A60"/>
      <c r="C60"/>
      <c r="D60"/>
      <c r="E60"/>
    </row>
    <row r="61" spans="1:5" ht="15.75" customHeight="1">
      <c r="A61"/>
      <c r="C61"/>
      <c r="D61"/>
      <c r="E61"/>
    </row>
    <row r="62" spans="1:5">
      <c r="A62"/>
      <c r="C62"/>
      <c r="D62"/>
      <c r="E62"/>
    </row>
    <row r="63" spans="1:5">
      <c r="A63"/>
      <c r="C63"/>
      <c r="D63"/>
      <c r="E63"/>
    </row>
    <row r="64" spans="1:5">
      <c r="A64"/>
      <c r="C64"/>
      <c r="D64"/>
      <c r="E64"/>
    </row>
    <row r="65" spans="1:5">
      <c r="A65"/>
      <c r="C65"/>
      <c r="D65"/>
      <c r="E65"/>
    </row>
    <row r="66" spans="1:5" ht="13.5" customHeight="1">
      <c r="A66"/>
      <c r="C66"/>
      <c r="D66"/>
      <c r="E66"/>
    </row>
    <row r="67" spans="1:5" ht="14.25" customHeight="1">
      <c r="A67"/>
      <c r="C67"/>
      <c r="D67"/>
      <c r="E67"/>
    </row>
    <row r="68" spans="1:5">
      <c r="A68"/>
      <c r="C68"/>
      <c r="D68"/>
      <c r="E68"/>
    </row>
    <row r="69" spans="1:5" ht="16.5" customHeight="1">
      <c r="A69"/>
      <c r="C69"/>
      <c r="D69"/>
      <c r="E69"/>
    </row>
    <row r="70" spans="1:5" ht="12.75" customHeight="1">
      <c r="A70"/>
      <c r="C70"/>
      <c r="D70"/>
      <c r="E70"/>
    </row>
    <row r="71" spans="1:5" ht="13.5" customHeight="1">
      <c r="A71"/>
      <c r="C71"/>
      <c r="D71"/>
      <c r="E71"/>
    </row>
    <row r="72" spans="1:5" ht="12.75" customHeight="1">
      <c r="A72"/>
      <c r="C72"/>
      <c r="D72"/>
      <c r="E72"/>
    </row>
    <row r="73" spans="1:5" ht="12.75" customHeight="1">
      <c r="A73"/>
      <c r="C73"/>
      <c r="D73"/>
      <c r="E73"/>
    </row>
    <row r="74" spans="1:5" ht="15" customHeight="1">
      <c r="A74"/>
      <c r="C74"/>
      <c r="D74"/>
      <c r="E74"/>
    </row>
    <row r="75" spans="1:5" ht="15.75" customHeight="1">
      <c r="A75"/>
      <c r="C75"/>
      <c r="D75"/>
      <c r="E75"/>
    </row>
    <row r="76" spans="1:5">
      <c r="A76"/>
      <c r="C76"/>
      <c r="D76"/>
      <c r="E76"/>
    </row>
    <row r="77" spans="1:5">
      <c r="A77"/>
      <c r="C77"/>
      <c r="D77"/>
      <c r="E77"/>
    </row>
    <row r="78" spans="1:5">
      <c r="A78"/>
      <c r="C78"/>
      <c r="D78"/>
      <c r="E78"/>
    </row>
    <row r="79" spans="1:5">
      <c r="A79"/>
      <c r="C79"/>
      <c r="D79"/>
      <c r="E79"/>
    </row>
    <row r="80" spans="1:5">
      <c r="A80"/>
      <c r="C80"/>
      <c r="D80"/>
      <c r="E80"/>
    </row>
    <row r="81" spans="1:5">
      <c r="A81"/>
      <c r="C81"/>
      <c r="D81"/>
      <c r="E81"/>
    </row>
    <row r="82" spans="1:5">
      <c r="A82"/>
      <c r="C82"/>
      <c r="D82"/>
      <c r="E82"/>
    </row>
    <row r="83" spans="1:5">
      <c r="A83"/>
      <c r="C83"/>
      <c r="D83"/>
      <c r="E83"/>
    </row>
    <row r="84" spans="1:5">
      <c r="A84"/>
      <c r="C84"/>
      <c r="D84"/>
      <c r="E84"/>
    </row>
    <row r="85" spans="1:5">
      <c r="A85"/>
      <c r="C85"/>
      <c r="D85"/>
      <c r="E85"/>
    </row>
    <row r="86" spans="1:5">
      <c r="A86"/>
      <c r="C86"/>
      <c r="D86"/>
      <c r="E86"/>
    </row>
    <row r="87" spans="1:5">
      <c r="A87"/>
      <c r="C87"/>
      <c r="D87"/>
      <c r="E87"/>
    </row>
    <row r="88" spans="1:5">
      <c r="A88"/>
      <c r="C88"/>
      <c r="D88"/>
      <c r="E88"/>
    </row>
    <row r="89" spans="1:5">
      <c r="A89"/>
      <c r="C89"/>
      <c r="D89"/>
      <c r="E89"/>
    </row>
    <row r="90" spans="1:5">
      <c r="A90"/>
      <c r="C90"/>
      <c r="D90"/>
      <c r="E90"/>
    </row>
    <row r="91" spans="1:5">
      <c r="A91"/>
      <c r="C91"/>
      <c r="D91"/>
      <c r="E91"/>
    </row>
    <row r="92" spans="1:5">
      <c r="A92"/>
      <c r="C92"/>
      <c r="D92"/>
      <c r="E92"/>
    </row>
    <row r="93" spans="1:5">
      <c r="A93"/>
      <c r="C93"/>
      <c r="D93"/>
      <c r="E93"/>
    </row>
    <row r="94" spans="1:5" ht="12" customHeight="1">
      <c r="A94"/>
      <c r="C94"/>
      <c r="D94"/>
      <c r="E94"/>
    </row>
    <row r="95" spans="1:5" ht="12" customHeight="1">
      <c r="A95"/>
      <c r="C95"/>
      <c r="D95"/>
      <c r="E95"/>
    </row>
    <row r="96" spans="1:5">
      <c r="A96"/>
      <c r="C96"/>
      <c r="D96"/>
      <c r="E96"/>
    </row>
    <row r="97" spans="1:5" ht="12" customHeight="1">
      <c r="A97"/>
      <c r="C97"/>
      <c r="D97"/>
      <c r="E97"/>
    </row>
    <row r="98" spans="1:5" ht="11.25" customHeight="1">
      <c r="A98"/>
      <c r="C98"/>
      <c r="D98"/>
      <c r="E98"/>
    </row>
    <row r="99" spans="1:5">
      <c r="A99"/>
      <c r="C99"/>
      <c r="D99"/>
      <c r="E99"/>
    </row>
    <row r="100" spans="1:5">
      <c r="A100"/>
      <c r="C100"/>
      <c r="D100"/>
      <c r="E100"/>
    </row>
    <row r="101" spans="1:5">
      <c r="A101"/>
      <c r="C101"/>
      <c r="D101"/>
      <c r="E101"/>
    </row>
    <row r="102" spans="1:5">
      <c r="A102"/>
      <c r="C102"/>
      <c r="D102"/>
      <c r="E102"/>
    </row>
    <row r="103" spans="1:5">
      <c r="A103"/>
      <c r="C103"/>
      <c r="D103"/>
      <c r="E103"/>
    </row>
    <row r="104" spans="1:5">
      <c r="A104"/>
      <c r="C104"/>
      <c r="D104"/>
      <c r="E104"/>
    </row>
    <row r="105" spans="1:5">
      <c r="A105"/>
      <c r="C105"/>
      <c r="D105"/>
      <c r="E105"/>
    </row>
  </sheetData>
  <mergeCells count="2">
    <mergeCell ref="B4:E4"/>
    <mergeCell ref="F4:H4"/>
  </mergeCells>
  <pageMargins left="0.7" right="0.7" top="0.75" bottom="0.75" header="0.3" footer="0.3"/>
  <pageSetup paperSize="9" scale="7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E21"/>
  <sheetViews>
    <sheetView showGridLines="0" workbookViewId="0"/>
  </sheetViews>
  <sheetFormatPr baseColWidth="10" defaultColWidth="9.140625" defaultRowHeight="15"/>
  <cols>
    <col min="1" max="1" width="55.28515625" style="159" customWidth="1"/>
    <col min="2" max="2" width="9.7109375" customWidth="1"/>
    <col min="3" max="3" width="12.140625" style="143" customWidth="1"/>
    <col min="4" max="4" width="10.5703125" style="143" bestFit="1" customWidth="1"/>
    <col min="5" max="5" width="9.140625" style="143" customWidth="1"/>
    <col min="6" max="6" width="9.28515625" bestFit="1" customWidth="1"/>
    <col min="7" max="8" width="9.7109375" bestFit="1" customWidth="1"/>
    <col min="257" max="257" width="55.28515625" customWidth="1"/>
    <col min="258" max="258" width="9.7109375" customWidth="1"/>
    <col min="259" max="259" width="12.140625" customWidth="1"/>
    <col min="260" max="260" width="10.5703125" bestFit="1" customWidth="1"/>
    <col min="261" max="261" width="9.140625" customWidth="1"/>
    <col min="262" max="262" width="9.28515625" bestFit="1" customWidth="1"/>
    <col min="263" max="264" width="9.7109375" bestFit="1" customWidth="1"/>
    <col min="513" max="513" width="55.28515625" customWidth="1"/>
    <col min="514" max="514" width="9.7109375" customWidth="1"/>
    <col min="515" max="515" width="12.140625" customWidth="1"/>
    <col min="516" max="516" width="10.5703125" bestFit="1" customWidth="1"/>
    <col min="517" max="517" width="9.140625" customWidth="1"/>
    <col min="518" max="518" width="9.28515625" bestFit="1" customWidth="1"/>
    <col min="519" max="520" width="9.7109375" bestFit="1" customWidth="1"/>
    <col min="769" max="769" width="55.28515625" customWidth="1"/>
    <col min="770" max="770" width="9.7109375" customWidth="1"/>
    <col min="771" max="771" width="12.140625" customWidth="1"/>
    <col min="772" max="772" width="10.5703125" bestFit="1" customWidth="1"/>
    <col min="773" max="773" width="9.140625" customWidth="1"/>
    <col min="774" max="774" width="9.28515625" bestFit="1" customWidth="1"/>
    <col min="775" max="776" width="9.7109375" bestFit="1" customWidth="1"/>
    <col min="1025" max="1025" width="55.28515625" customWidth="1"/>
    <col min="1026" max="1026" width="9.7109375" customWidth="1"/>
    <col min="1027" max="1027" width="12.140625" customWidth="1"/>
    <col min="1028" max="1028" width="10.5703125" bestFit="1" customWidth="1"/>
    <col min="1029" max="1029" width="9.140625" customWidth="1"/>
    <col min="1030" max="1030" width="9.28515625" bestFit="1" customWidth="1"/>
    <col min="1031" max="1032" width="9.7109375" bestFit="1" customWidth="1"/>
    <col min="1281" max="1281" width="55.28515625" customWidth="1"/>
    <col min="1282" max="1282" width="9.7109375" customWidth="1"/>
    <col min="1283" max="1283" width="12.140625" customWidth="1"/>
    <col min="1284" max="1284" width="10.5703125" bestFit="1" customWidth="1"/>
    <col min="1285" max="1285" width="9.140625" customWidth="1"/>
    <col min="1286" max="1286" width="9.28515625" bestFit="1" customWidth="1"/>
    <col min="1287" max="1288" width="9.7109375" bestFit="1" customWidth="1"/>
    <col min="1537" max="1537" width="55.28515625" customWidth="1"/>
    <col min="1538" max="1538" width="9.7109375" customWidth="1"/>
    <col min="1539" max="1539" width="12.140625" customWidth="1"/>
    <col min="1540" max="1540" width="10.5703125" bestFit="1" customWidth="1"/>
    <col min="1541" max="1541" width="9.140625" customWidth="1"/>
    <col min="1542" max="1542" width="9.28515625" bestFit="1" customWidth="1"/>
    <col min="1543" max="1544" width="9.7109375" bestFit="1" customWidth="1"/>
    <col min="1793" max="1793" width="55.28515625" customWidth="1"/>
    <col min="1794" max="1794" width="9.7109375" customWidth="1"/>
    <col min="1795" max="1795" width="12.140625" customWidth="1"/>
    <col min="1796" max="1796" width="10.5703125" bestFit="1" customWidth="1"/>
    <col min="1797" max="1797" width="9.140625" customWidth="1"/>
    <col min="1798" max="1798" width="9.28515625" bestFit="1" customWidth="1"/>
    <col min="1799" max="1800" width="9.7109375" bestFit="1" customWidth="1"/>
    <col min="2049" max="2049" width="55.28515625" customWidth="1"/>
    <col min="2050" max="2050" width="9.7109375" customWidth="1"/>
    <col min="2051" max="2051" width="12.140625" customWidth="1"/>
    <col min="2052" max="2052" width="10.5703125" bestFit="1" customWidth="1"/>
    <col min="2053" max="2053" width="9.140625" customWidth="1"/>
    <col min="2054" max="2054" width="9.28515625" bestFit="1" customWidth="1"/>
    <col min="2055" max="2056" width="9.7109375" bestFit="1" customWidth="1"/>
    <col min="2305" max="2305" width="55.28515625" customWidth="1"/>
    <col min="2306" max="2306" width="9.7109375" customWidth="1"/>
    <col min="2307" max="2307" width="12.140625" customWidth="1"/>
    <col min="2308" max="2308" width="10.5703125" bestFit="1" customWidth="1"/>
    <col min="2309" max="2309" width="9.140625" customWidth="1"/>
    <col min="2310" max="2310" width="9.28515625" bestFit="1" customWidth="1"/>
    <col min="2311" max="2312" width="9.7109375" bestFit="1" customWidth="1"/>
    <col min="2561" max="2561" width="55.28515625" customWidth="1"/>
    <col min="2562" max="2562" width="9.7109375" customWidth="1"/>
    <col min="2563" max="2563" width="12.140625" customWidth="1"/>
    <col min="2564" max="2564" width="10.5703125" bestFit="1" customWidth="1"/>
    <col min="2565" max="2565" width="9.140625" customWidth="1"/>
    <col min="2566" max="2566" width="9.28515625" bestFit="1" customWidth="1"/>
    <col min="2567" max="2568" width="9.7109375" bestFit="1" customWidth="1"/>
    <col min="2817" max="2817" width="55.28515625" customWidth="1"/>
    <col min="2818" max="2818" width="9.7109375" customWidth="1"/>
    <col min="2819" max="2819" width="12.140625" customWidth="1"/>
    <col min="2820" max="2820" width="10.5703125" bestFit="1" customWidth="1"/>
    <col min="2821" max="2821" width="9.140625" customWidth="1"/>
    <col min="2822" max="2822" width="9.28515625" bestFit="1" customWidth="1"/>
    <col min="2823" max="2824" width="9.7109375" bestFit="1" customWidth="1"/>
    <col min="3073" max="3073" width="55.28515625" customWidth="1"/>
    <col min="3074" max="3074" width="9.7109375" customWidth="1"/>
    <col min="3075" max="3075" width="12.140625" customWidth="1"/>
    <col min="3076" max="3076" width="10.5703125" bestFit="1" customWidth="1"/>
    <col min="3077" max="3077" width="9.140625" customWidth="1"/>
    <col min="3078" max="3078" width="9.28515625" bestFit="1" customWidth="1"/>
    <col min="3079" max="3080" width="9.7109375" bestFit="1" customWidth="1"/>
    <col min="3329" max="3329" width="55.28515625" customWidth="1"/>
    <col min="3330" max="3330" width="9.7109375" customWidth="1"/>
    <col min="3331" max="3331" width="12.140625" customWidth="1"/>
    <col min="3332" max="3332" width="10.5703125" bestFit="1" customWidth="1"/>
    <col min="3333" max="3333" width="9.140625" customWidth="1"/>
    <col min="3334" max="3334" width="9.28515625" bestFit="1" customWidth="1"/>
    <col min="3335" max="3336" width="9.7109375" bestFit="1" customWidth="1"/>
    <col min="3585" max="3585" width="55.28515625" customWidth="1"/>
    <col min="3586" max="3586" width="9.7109375" customWidth="1"/>
    <col min="3587" max="3587" width="12.140625" customWidth="1"/>
    <col min="3588" max="3588" width="10.5703125" bestFit="1" customWidth="1"/>
    <col min="3589" max="3589" width="9.140625" customWidth="1"/>
    <col min="3590" max="3590" width="9.28515625" bestFit="1" customWidth="1"/>
    <col min="3591" max="3592" width="9.7109375" bestFit="1" customWidth="1"/>
    <col min="3841" max="3841" width="55.28515625" customWidth="1"/>
    <col min="3842" max="3842" width="9.7109375" customWidth="1"/>
    <col min="3843" max="3843" width="12.140625" customWidth="1"/>
    <col min="3844" max="3844" width="10.5703125" bestFit="1" customWidth="1"/>
    <col min="3845" max="3845" width="9.140625" customWidth="1"/>
    <col min="3846" max="3846" width="9.28515625" bestFit="1" customWidth="1"/>
    <col min="3847" max="3848" width="9.7109375" bestFit="1" customWidth="1"/>
    <col min="4097" max="4097" width="55.28515625" customWidth="1"/>
    <col min="4098" max="4098" width="9.7109375" customWidth="1"/>
    <col min="4099" max="4099" width="12.140625" customWidth="1"/>
    <col min="4100" max="4100" width="10.5703125" bestFit="1" customWidth="1"/>
    <col min="4101" max="4101" width="9.140625" customWidth="1"/>
    <col min="4102" max="4102" width="9.28515625" bestFit="1" customWidth="1"/>
    <col min="4103" max="4104" width="9.7109375" bestFit="1" customWidth="1"/>
    <col min="4353" max="4353" width="55.28515625" customWidth="1"/>
    <col min="4354" max="4354" width="9.7109375" customWidth="1"/>
    <col min="4355" max="4355" width="12.140625" customWidth="1"/>
    <col min="4356" max="4356" width="10.5703125" bestFit="1" customWidth="1"/>
    <col min="4357" max="4357" width="9.140625" customWidth="1"/>
    <col min="4358" max="4358" width="9.28515625" bestFit="1" customWidth="1"/>
    <col min="4359" max="4360" width="9.7109375" bestFit="1" customWidth="1"/>
    <col min="4609" max="4609" width="55.28515625" customWidth="1"/>
    <col min="4610" max="4610" width="9.7109375" customWidth="1"/>
    <col min="4611" max="4611" width="12.140625" customWidth="1"/>
    <col min="4612" max="4612" width="10.5703125" bestFit="1" customWidth="1"/>
    <col min="4613" max="4613" width="9.140625" customWidth="1"/>
    <col min="4614" max="4614" width="9.28515625" bestFit="1" customWidth="1"/>
    <col min="4615" max="4616" width="9.7109375" bestFit="1" customWidth="1"/>
    <col min="4865" max="4865" width="55.28515625" customWidth="1"/>
    <col min="4866" max="4866" width="9.7109375" customWidth="1"/>
    <col min="4867" max="4867" width="12.140625" customWidth="1"/>
    <col min="4868" max="4868" width="10.5703125" bestFit="1" customWidth="1"/>
    <col min="4869" max="4869" width="9.140625" customWidth="1"/>
    <col min="4870" max="4870" width="9.28515625" bestFit="1" customWidth="1"/>
    <col min="4871" max="4872" width="9.7109375" bestFit="1" customWidth="1"/>
    <col min="5121" max="5121" width="55.28515625" customWidth="1"/>
    <col min="5122" max="5122" width="9.7109375" customWidth="1"/>
    <col min="5123" max="5123" width="12.140625" customWidth="1"/>
    <col min="5124" max="5124" width="10.5703125" bestFit="1" customWidth="1"/>
    <col min="5125" max="5125" width="9.140625" customWidth="1"/>
    <col min="5126" max="5126" width="9.28515625" bestFit="1" customWidth="1"/>
    <col min="5127" max="5128" width="9.7109375" bestFit="1" customWidth="1"/>
    <col min="5377" max="5377" width="55.28515625" customWidth="1"/>
    <col min="5378" max="5378" width="9.7109375" customWidth="1"/>
    <col min="5379" max="5379" width="12.140625" customWidth="1"/>
    <col min="5380" max="5380" width="10.5703125" bestFit="1" customWidth="1"/>
    <col min="5381" max="5381" width="9.140625" customWidth="1"/>
    <col min="5382" max="5382" width="9.28515625" bestFit="1" customWidth="1"/>
    <col min="5383" max="5384" width="9.7109375" bestFit="1" customWidth="1"/>
    <col min="5633" max="5633" width="55.28515625" customWidth="1"/>
    <col min="5634" max="5634" width="9.7109375" customWidth="1"/>
    <col min="5635" max="5635" width="12.140625" customWidth="1"/>
    <col min="5636" max="5636" width="10.5703125" bestFit="1" customWidth="1"/>
    <col min="5637" max="5637" width="9.140625" customWidth="1"/>
    <col min="5638" max="5638" width="9.28515625" bestFit="1" customWidth="1"/>
    <col min="5639" max="5640" width="9.7109375" bestFit="1" customWidth="1"/>
    <col min="5889" max="5889" width="55.28515625" customWidth="1"/>
    <col min="5890" max="5890" width="9.7109375" customWidth="1"/>
    <col min="5891" max="5891" width="12.140625" customWidth="1"/>
    <col min="5892" max="5892" width="10.5703125" bestFit="1" customWidth="1"/>
    <col min="5893" max="5893" width="9.140625" customWidth="1"/>
    <col min="5894" max="5894" width="9.28515625" bestFit="1" customWidth="1"/>
    <col min="5895" max="5896" width="9.7109375" bestFit="1" customWidth="1"/>
    <col min="6145" max="6145" width="55.28515625" customWidth="1"/>
    <col min="6146" max="6146" width="9.7109375" customWidth="1"/>
    <col min="6147" max="6147" width="12.140625" customWidth="1"/>
    <col min="6148" max="6148" width="10.5703125" bestFit="1" customWidth="1"/>
    <col min="6149" max="6149" width="9.140625" customWidth="1"/>
    <col min="6150" max="6150" width="9.28515625" bestFit="1" customWidth="1"/>
    <col min="6151" max="6152" width="9.7109375" bestFit="1" customWidth="1"/>
    <col min="6401" max="6401" width="55.28515625" customWidth="1"/>
    <col min="6402" max="6402" width="9.7109375" customWidth="1"/>
    <col min="6403" max="6403" width="12.140625" customWidth="1"/>
    <col min="6404" max="6404" width="10.5703125" bestFit="1" customWidth="1"/>
    <col min="6405" max="6405" width="9.140625" customWidth="1"/>
    <col min="6406" max="6406" width="9.28515625" bestFit="1" customWidth="1"/>
    <col min="6407" max="6408" width="9.7109375" bestFit="1" customWidth="1"/>
    <col min="6657" max="6657" width="55.28515625" customWidth="1"/>
    <col min="6658" max="6658" width="9.7109375" customWidth="1"/>
    <col min="6659" max="6659" width="12.140625" customWidth="1"/>
    <col min="6660" max="6660" width="10.5703125" bestFit="1" customWidth="1"/>
    <col min="6661" max="6661" width="9.140625" customWidth="1"/>
    <col min="6662" max="6662" width="9.28515625" bestFit="1" customWidth="1"/>
    <col min="6663" max="6664" width="9.7109375" bestFit="1" customWidth="1"/>
    <col min="6913" max="6913" width="55.28515625" customWidth="1"/>
    <col min="6914" max="6914" width="9.7109375" customWidth="1"/>
    <col min="6915" max="6915" width="12.140625" customWidth="1"/>
    <col min="6916" max="6916" width="10.5703125" bestFit="1" customWidth="1"/>
    <col min="6917" max="6917" width="9.140625" customWidth="1"/>
    <col min="6918" max="6918" width="9.28515625" bestFit="1" customWidth="1"/>
    <col min="6919" max="6920" width="9.7109375" bestFit="1" customWidth="1"/>
    <col min="7169" max="7169" width="55.28515625" customWidth="1"/>
    <col min="7170" max="7170" width="9.7109375" customWidth="1"/>
    <col min="7171" max="7171" width="12.140625" customWidth="1"/>
    <col min="7172" max="7172" width="10.5703125" bestFit="1" customWidth="1"/>
    <col min="7173" max="7173" width="9.140625" customWidth="1"/>
    <col min="7174" max="7174" width="9.28515625" bestFit="1" customWidth="1"/>
    <col min="7175" max="7176" width="9.7109375" bestFit="1" customWidth="1"/>
    <col min="7425" max="7425" width="55.28515625" customWidth="1"/>
    <col min="7426" max="7426" width="9.7109375" customWidth="1"/>
    <col min="7427" max="7427" width="12.140625" customWidth="1"/>
    <col min="7428" max="7428" width="10.5703125" bestFit="1" customWidth="1"/>
    <col min="7429" max="7429" width="9.140625" customWidth="1"/>
    <col min="7430" max="7430" width="9.28515625" bestFit="1" customWidth="1"/>
    <col min="7431" max="7432" width="9.7109375" bestFit="1" customWidth="1"/>
    <col min="7681" max="7681" width="55.28515625" customWidth="1"/>
    <col min="7682" max="7682" width="9.7109375" customWidth="1"/>
    <col min="7683" max="7683" width="12.140625" customWidth="1"/>
    <col min="7684" max="7684" width="10.5703125" bestFit="1" customWidth="1"/>
    <col min="7685" max="7685" width="9.140625" customWidth="1"/>
    <col min="7686" max="7686" width="9.28515625" bestFit="1" customWidth="1"/>
    <col min="7687" max="7688" width="9.7109375" bestFit="1" customWidth="1"/>
    <col min="7937" max="7937" width="55.28515625" customWidth="1"/>
    <col min="7938" max="7938" width="9.7109375" customWidth="1"/>
    <col min="7939" max="7939" width="12.140625" customWidth="1"/>
    <col min="7940" max="7940" width="10.5703125" bestFit="1" customWidth="1"/>
    <col min="7941" max="7941" width="9.140625" customWidth="1"/>
    <col min="7942" max="7942" width="9.28515625" bestFit="1" customWidth="1"/>
    <col min="7943" max="7944" width="9.7109375" bestFit="1" customWidth="1"/>
    <col min="8193" max="8193" width="55.28515625" customWidth="1"/>
    <col min="8194" max="8194" width="9.7109375" customWidth="1"/>
    <col min="8195" max="8195" width="12.140625" customWidth="1"/>
    <col min="8196" max="8196" width="10.5703125" bestFit="1" customWidth="1"/>
    <col min="8197" max="8197" width="9.140625" customWidth="1"/>
    <col min="8198" max="8198" width="9.28515625" bestFit="1" customWidth="1"/>
    <col min="8199" max="8200" width="9.7109375" bestFit="1" customWidth="1"/>
    <col min="8449" max="8449" width="55.28515625" customWidth="1"/>
    <col min="8450" max="8450" width="9.7109375" customWidth="1"/>
    <col min="8451" max="8451" width="12.140625" customWidth="1"/>
    <col min="8452" max="8452" width="10.5703125" bestFit="1" customWidth="1"/>
    <col min="8453" max="8453" width="9.140625" customWidth="1"/>
    <col min="8454" max="8454" width="9.28515625" bestFit="1" customWidth="1"/>
    <col min="8455" max="8456" width="9.7109375" bestFit="1" customWidth="1"/>
    <col min="8705" max="8705" width="55.28515625" customWidth="1"/>
    <col min="8706" max="8706" width="9.7109375" customWidth="1"/>
    <col min="8707" max="8707" width="12.140625" customWidth="1"/>
    <col min="8708" max="8708" width="10.5703125" bestFit="1" customWidth="1"/>
    <col min="8709" max="8709" width="9.140625" customWidth="1"/>
    <col min="8710" max="8710" width="9.28515625" bestFit="1" customWidth="1"/>
    <col min="8711" max="8712" width="9.7109375" bestFit="1" customWidth="1"/>
    <col min="8961" max="8961" width="55.28515625" customWidth="1"/>
    <col min="8962" max="8962" width="9.7109375" customWidth="1"/>
    <col min="8963" max="8963" width="12.140625" customWidth="1"/>
    <col min="8964" max="8964" width="10.5703125" bestFit="1" customWidth="1"/>
    <col min="8965" max="8965" width="9.140625" customWidth="1"/>
    <col min="8966" max="8966" width="9.28515625" bestFit="1" customWidth="1"/>
    <col min="8967" max="8968" width="9.7109375" bestFit="1" customWidth="1"/>
    <col min="9217" max="9217" width="55.28515625" customWidth="1"/>
    <col min="9218" max="9218" width="9.7109375" customWidth="1"/>
    <col min="9219" max="9219" width="12.140625" customWidth="1"/>
    <col min="9220" max="9220" width="10.5703125" bestFit="1" customWidth="1"/>
    <col min="9221" max="9221" width="9.140625" customWidth="1"/>
    <col min="9222" max="9222" width="9.28515625" bestFit="1" customWidth="1"/>
    <col min="9223" max="9224" width="9.7109375" bestFit="1" customWidth="1"/>
    <col min="9473" max="9473" width="55.28515625" customWidth="1"/>
    <col min="9474" max="9474" width="9.7109375" customWidth="1"/>
    <col min="9475" max="9475" width="12.140625" customWidth="1"/>
    <col min="9476" max="9476" width="10.5703125" bestFit="1" customWidth="1"/>
    <col min="9477" max="9477" width="9.140625" customWidth="1"/>
    <col min="9478" max="9478" width="9.28515625" bestFit="1" customWidth="1"/>
    <col min="9479" max="9480" width="9.7109375" bestFit="1" customWidth="1"/>
    <col min="9729" max="9729" width="55.28515625" customWidth="1"/>
    <col min="9730" max="9730" width="9.7109375" customWidth="1"/>
    <col min="9731" max="9731" width="12.140625" customWidth="1"/>
    <col min="9732" max="9732" width="10.5703125" bestFit="1" customWidth="1"/>
    <col min="9733" max="9733" width="9.140625" customWidth="1"/>
    <col min="9734" max="9734" width="9.28515625" bestFit="1" customWidth="1"/>
    <col min="9735" max="9736" width="9.7109375" bestFit="1" customWidth="1"/>
    <col min="9985" max="9985" width="55.28515625" customWidth="1"/>
    <col min="9986" max="9986" width="9.7109375" customWidth="1"/>
    <col min="9987" max="9987" width="12.140625" customWidth="1"/>
    <col min="9988" max="9988" width="10.5703125" bestFit="1" customWidth="1"/>
    <col min="9989" max="9989" width="9.140625" customWidth="1"/>
    <col min="9990" max="9990" width="9.28515625" bestFit="1" customWidth="1"/>
    <col min="9991" max="9992" width="9.7109375" bestFit="1" customWidth="1"/>
    <col min="10241" max="10241" width="55.28515625" customWidth="1"/>
    <col min="10242" max="10242" width="9.7109375" customWidth="1"/>
    <col min="10243" max="10243" width="12.140625" customWidth="1"/>
    <col min="10244" max="10244" width="10.5703125" bestFit="1" customWidth="1"/>
    <col min="10245" max="10245" width="9.140625" customWidth="1"/>
    <col min="10246" max="10246" width="9.28515625" bestFit="1" customWidth="1"/>
    <col min="10247" max="10248" width="9.7109375" bestFit="1" customWidth="1"/>
    <col min="10497" max="10497" width="55.28515625" customWidth="1"/>
    <col min="10498" max="10498" width="9.7109375" customWidth="1"/>
    <col min="10499" max="10499" width="12.140625" customWidth="1"/>
    <col min="10500" max="10500" width="10.5703125" bestFit="1" customWidth="1"/>
    <col min="10501" max="10501" width="9.140625" customWidth="1"/>
    <col min="10502" max="10502" width="9.28515625" bestFit="1" customWidth="1"/>
    <col min="10503" max="10504" width="9.7109375" bestFit="1" customWidth="1"/>
    <col min="10753" max="10753" width="55.28515625" customWidth="1"/>
    <col min="10754" max="10754" width="9.7109375" customWidth="1"/>
    <col min="10755" max="10755" width="12.140625" customWidth="1"/>
    <col min="10756" max="10756" width="10.5703125" bestFit="1" customWidth="1"/>
    <col min="10757" max="10757" width="9.140625" customWidth="1"/>
    <col min="10758" max="10758" width="9.28515625" bestFit="1" customWidth="1"/>
    <col min="10759" max="10760" width="9.7109375" bestFit="1" customWidth="1"/>
    <col min="11009" max="11009" width="55.28515625" customWidth="1"/>
    <col min="11010" max="11010" width="9.7109375" customWidth="1"/>
    <col min="11011" max="11011" width="12.140625" customWidth="1"/>
    <col min="11012" max="11012" width="10.5703125" bestFit="1" customWidth="1"/>
    <col min="11013" max="11013" width="9.140625" customWidth="1"/>
    <col min="11014" max="11014" width="9.28515625" bestFit="1" customWidth="1"/>
    <col min="11015" max="11016" width="9.7109375" bestFit="1" customWidth="1"/>
    <col min="11265" max="11265" width="55.28515625" customWidth="1"/>
    <col min="11266" max="11266" width="9.7109375" customWidth="1"/>
    <col min="11267" max="11267" width="12.140625" customWidth="1"/>
    <col min="11268" max="11268" width="10.5703125" bestFit="1" customWidth="1"/>
    <col min="11269" max="11269" width="9.140625" customWidth="1"/>
    <col min="11270" max="11270" width="9.28515625" bestFit="1" customWidth="1"/>
    <col min="11271" max="11272" width="9.7109375" bestFit="1" customWidth="1"/>
    <col min="11521" max="11521" width="55.28515625" customWidth="1"/>
    <col min="11522" max="11522" width="9.7109375" customWidth="1"/>
    <col min="11523" max="11523" width="12.140625" customWidth="1"/>
    <col min="11524" max="11524" width="10.5703125" bestFit="1" customWidth="1"/>
    <col min="11525" max="11525" width="9.140625" customWidth="1"/>
    <col min="11526" max="11526" width="9.28515625" bestFit="1" customWidth="1"/>
    <col min="11527" max="11528" width="9.7109375" bestFit="1" customWidth="1"/>
    <col min="11777" max="11777" width="55.28515625" customWidth="1"/>
    <col min="11778" max="11778" width="9.7109375" customWidth="1"/>
    <col min="11779" max="11779" width="12.140625" customWidth="1"/>
    <col min="11780" max="11780" width="10.5703125" bestFit="1" customWidth="1"/>
    <col min="11781" max="11781" width="9.140625" customWidth="1"/>
    <col min="11782" max="11782" width="9.28515625" bestFit="1" customWidth="1"/>
    <col min="11783" max="11784" width="9.7109375" bestFit="1" customWidth="1"/>
    <col min="12033" max="12033" width="55.28515625" customWidth="1"/>
    <col min="12034" max="12034" width="9.7109375" customWidth="1"/>
    <col min="12035" max="12035" width="12.140625" customWidth="1"/>
    <col min="12036" max="12036" width="10.5703125" bestFit="1" customWidth="1"/>
    <col min="12037" max="12037" width="9.140625" customWidth="1"/>
    <col min="12038" max="12038" width="9.28515625" bestFit="1" customWidth="1"/>
    <col min="12039" max="12040" width="9.7109375" bestFit="1" customWidth="1"/>
    <col min="12289" max="12289" width="55.28515625" customWidth="1"/>
    <col min="12290" max="12290" width="9.7109375" customWidth="1"/>
    <col min="12291" max="12291" width="12.140625" customWidth="1"/>
    <col min="12292" max="12292" width="10.5703125" bestFit="1" customWidth="1"/>
    <col min="12293" max="12293" width="9.140625" customWidth="1"/>
    <col min="12294" max="12294" width="9.28515625" bestFit="1" customWidth="1"/>
    <col min="12295" max="12296" width="9.7109375" bestFit="1" customWidth="1"/>
    <col min="12545" max="12545" width="55.28515625" customWidth="1"/>
    <col min="12546" max="12546" width="9.7109375" customWidth="1"/>
    <col min="12547" max="12547" width="12.140625" customWidth="1"/>
    <col min="12548" max="12548" width="10.5703125" bestFit="1" customWidth="1"/>
    <col min="12549" max="12549" width="9.140625" customWidth="1"/>
    <col min="12550" max="12550" width="9.28515625" bestFit="1" customWidth="1"/>
    <col min="12551" max="12552" width="9.7109375" bestFit="1" customWidth="1"/>
    <col min="12801" max="12801" width="55.28515625" customWidth="1"/>
    <col min="12802" max="12802" width="9.7109375" customWidth="1"/>
    <col min="12803" max="12803" width="12.140625" customWidth="1"/>
    <col min="12804" max="12804" width="10.5703125" bestFit="1" customWidth="1"/>
    <col min="12805" max="12805" width="9.140625" customWidth="1"/>
    <col min="12806" max="12806" width="9.28515625" bestFit="1" customWidth="1"/>
    <col min="12807" max="12808" width="9.7109375" bestFit="1" customWidth="1"/>
    <col min="13057" max="13057" width="55.28515625" customWidth="1"/>
    <col min="13058" max="13058" width="9.7109375" customWidth="1"/>
    <col min="13059" max="13059" width="12.140625" customWidth="1"/>
    <col min="13060" max="13060" width="10.5703125" bestFit="1" customWidth="1"/>
    <col min="13061" max="13061" width="9.140625" customWidth="1"/>
    <col min="13062" max="13062" width="9.28515625" bestFit="1" customWidth="1"/>
    <col min="13063" max="13064" width="9.7109375" bestFit="1" customWidth="1"/>
    <col min="13313" max="13313" width="55.28515625" customWidth="1"/>
    <col min="13314" max="13314" width="9.7109375" customWidth="1"/>
    <col min="13315" max="13315" width="12.140625" customWidth="1"/>
    <col min="13316" max="13316" width="10.5703125" bestFit="1" customWidth="1"/>
    <col min="13317" max="13317" width="9.140625" customWidth="1"/>
    <col min="13318" max="13318" width="9.28515625" bestFit="1" customWidth="1"/>
    <col min="13319" max="13320" width="9.7109375" bestFit="1" customWidth="1"/>
    <col min="13569" max="13569" width="55.28515625" customWidth="1"/>
    <col min="13570" max="13570" width="9.7109375" customWidth="1"/>
    <col min="13571" max="13571" width="12.140625" customWidth="1"/>
    <col min="13572" max="13572" width="10.5703125" bestFit="1" customWidth="1"/>
    <col min="13573" max="13573" width="9.140625" customWidth="1"/>
    <col min="13574" max="13574" width="9.28515625" bestFit="1" customWidth="1"/>
    <col min="13575" max="13576" width="9.7109375" bestFit="1" customWidth="1"/>
    <col min="13825" max="13825" width="55.28515625" customWidth="1"/>
    <col min="13826" max="13826" width="9.7109375" customWidth="1"/>
    <col min="13827" max="13827" width="12.140625" customWidth="1"/>
    <col min="13828" max="13828" width="10.5703125" bestFit="1" customWidth="1"/>
    <col min="13829" max="13829" width="9.140625" customWidth="1"/>
    <col min="13830" max="13830" width="9.28515625" bestFit="1" customWidth="1"/>
    <col min="13831" max="13832" width="9.7109375" bestFit="1" customWidth="1"/>
    <col min="14081" max="14081" width="55.28515625" customWidth="1"/>
    <col min="14082" max="14082" width="9.7109375" customWidth="1"/>
    <col min="14083" max="14083" width="12.140625" customWidth="1"/>
    <col min="14084" max="14084" width="10.5703125" bestFit="1" customWidth="1"/>
    <col min="14085" max="14085" width="9.140625" customWidth="1"/>
    <col min="14086" max="14086" width="9.28515625" bestFit="1" customWidth="1"/>
    <col min="14087" max="14088" width="9.7109375" bestFit="1" customWidth="1"/>
    <col min="14337" max="14337" width="55.28515625" customWidth="1"/>
    <col min="14338" max="14338" width="9.7109375" customWidth="1"/>
    <col min="14339" max="14339" width="12.140625" customWidth="1"/>
    <col min="14340" max="14340" width="10.5703125" bestFit="1" customWidth="1"/>
    <col min="14341" max="14341" width="9.140625" customWidth="1"/>
    <col min="14342" max="14342" width="9.28515625" bestFit="1" customWidth="1"/>
    <col min="14343" max="14344" width="9.7109375" bestFit="1" customWidth="1"/>
    <col min="14593" max="14593" width="55.28515625" customWidth="1"/>
    <col min="14594" max="14594" width="9.7109375" customWidth="1"/>
    <col min="14595" max="14595" width="12.140625" customWidth="1"/>
    <col min="14596" max="14596" width="10.5703125" bestFit="1" customWidth="1"/>
    <col min="14597" max="14597" width="9.140625" customWidth="1"/>
    <col min="14598" max="14598" width="9.28515625" bestFit="1" customWidth="1"/>
    <col min="14599" max="14600" width="9.7109375" bestFit="1" customWidth="1"/>
    <col min="14849" max="14849" width="55.28515625" customWidth="1"/>
    <col min="14850" max="14850" width="9.7109375" customWidth="1"/>
    <col min="14851" max="14851" width="12.140625" customWidth="1"/>
    <col min="14852" max="14852" width="10.5703125" bestFit="1" customWidth="1"/>
    <col min="14853" max="14853" width="9.140625" customWidth="1"/>
    <col min="14854" max="14854" width="9.28515625" bestFit="1" customWidth="1"/>
    <col min="14855" max="14856" width="9.7109375" bestFit="1" customWidth="1"/>
    <col min="15105" max="15105" width="55.28515625" customWidth="1"/>
    <col min="15106" max="15106" width="9.7109375" customWidth="1"/>
    <col min="15107" max="15107" width="12.140625" customWidth="1"/>
    <col min="15108" max="15108" width="10.5703125" bestFit="1" customWidth="1"/>
    <col min="15109" max="15109" width="9.140625" customWidth="1"/>
    <col min="15110" max="15110" width="9.28515625" bestFit="1" customWidth="1"/>
    <col min="15111" max="15112" width="9.7109375" bestFit="1" customWidth="1"/>
    <col min="15361" max="15361" width="55.28515625" customWidth="1"/>
    <col min="15362" max="15362" width="9.7109375" customWidth="1"/>
    <col min="15363" max="15363" width="12.140625" customWidth="1"/>
    <col min="15364" max="15364" width="10.5703125" bestFit="1" customWidth="1"/>
    <col min="15365" max="15365" width="9.140625" customWidth="1"/>
    <col min="15366" max="15366" width="9.28515625" bestFit="1" customWidth="1"/>
    <col min="15367" max="15368" width="9.7109375" bestFit="1" customWidth="1"/>
    <col min="15617" max="15617" width="55.28515625" customWidth="1"/>
    <col min="15618" max="15618" width="9.7109375" customWidth="1"/>
    <col min="15619" max="15619" width="12.140625" customWidth="1"/>
    <col min="15620" max="15620" width="10.5703125" bestFit="1" customWidth="1"/>
    <col min="15621" max="15621" width="9.140625" customWidth="1"/>
    <col min="15622" max="15622" width="9.28515625" bestFit="1" customWidth="1"/>
    <col min="15623" max="15624" width="9.7109375" bestFit="1" customWidth="1"/>
    <col min="15873" max="15873" width="55.28515625" customWidth="1"/>
    <col min="15874" max="15874" width="9.7109375" customWidth="1"/>
    <col min="15875" max="15875" width="12.140625" customWidth="1"/>
    <col min="15876" max="15876" width="10.5703125" bestFit="1" customWidth="1"/>
    <col min="15877" max="15877" width="9.140625" customWidth="1"/>
    <col min="15878" max="15878" width="9.28515625" bestFit="1" customWidth="1"/>
    <col min="15879" max="15880" width="9.7109375" bestFit="1" customWidth="1"/>
    <col min="16129" max="16129" width="55.28515625" customWidth="1"/>
    <col min="16130" max="16130" width="9.7109375" customWidth="1"/>
    <col min="16131" max="16131" width="12.140625" customWidth="1"/>
    <col min="16132" max="16132" width="10.5703125" bestFit="1" customWidth="1"/>
    <col min="16133" max="16133" width="9.140625" customWidth="1"/>
    <col min="16134" max="16134" width="9.28515625" bestFit="1" customWidth="1"/>
    <col min="16135" max="16136" width="9.7109375" bestFit="1" customWidth="1"/>
  </cols>
  <sheetData>
    <row r="1" spans="1:4" ht="20.25">
      <c r="A1" s="38" t="str">
        <f>HLOOKUP(INDICE!$F$2,Nombres!$C$3:$E$853,262)</f>
        <v>Cobertura de la exposición inmobiliaria en España</v>
      </c>
    </row>
    <row r="2" spans="1:4">
      <c r="A2" s="194" t="str">
        <f>HLOOKUP(INDICE!$F$2,Nombres!$C$3:$E$853,243)</f>
        <v xml:space="preserve"> (Millones de euros a 30-09-15)</v>
      </c>
      <c r="B2" s="195"/>
      <c r="C2" s="195"/>
      <c r="D2" s="195"/>
    </row>
    <row r="3" spans="1:4">
      <c r="A3"/>
      <c r="B3" s="196"/>
      <c r="C3" s="196"/>
      <c r="D3" s="196"/>
    </row>
    <row r="4" spans="1:4">
      <c r="A4"/>
      <c r="B4" s="197"/>
      <c r="C4" s="197"/>
      <c r="D4" s="197"/>
    </row>
    <row r="5" spans="1:4" ht="51">
      <c r="A5" s="198"/>
      <c r="B5" s="199" t="str">
        <f>HLOOKUP(INDICE!$F$2,Nombres!$C$3:$E$853,244)</f>
        <v>Importe del riesgo</v>
      </c>
      <c r="C5" s="200" t="str">
        <f>HLOOKUP(INDICE!$F$2,Nombres!$C$3:$E$853,245)</f>
        <v>Provisiones</v>
      </c>
      <c r="D5" s="201" t="str">
        <f>HLOOKUP(INDICE!$F$2,Nombres!$C$3:$E$853,246)</f>
        <v>%  cobertura sobre riesgo</v>
      </c>
    </row>
    <row r="6" spans="1:4">
      <c r="A6" s="202" t="str">
        <f>HLOOKUP(INDICE!$F$2,Nombres!$C$3:$E$853,247)</f>
        <v>Dudosos más subestándar</v>
      </c>
      <c r="B6" s="83">
        <v>7668</v>
      </c>
      <c r="C6" s="83">
        <v>4198</v>
      </c>
      <c r="D6" s="83">
        <v>54.747000521648403</v>
      </c>
    </row>
    <row r="7" spans="1:4">
      <c r="A7" s="203" t="str">
        <f>HLOOKUP(INDICE!$F$2,Nombres!$C$3:$E$853,248)</f>
        <v xml:space="preserve">  Dudosos</v>
      </c>
      <c r="B7" s="204">
        <v>6760</v>
      </c>
      <c r="C7" s="204">
        <v>3912</v>
      </c>
      <c r="D7" s="204">
        <v>57.869822485207102</v>
      </c>
    </row>
    <row r="8" spans="1:4">
      <c r="A8" s="203" t="str">
        <f>HLOOKUP(INDICE!$F$2,Nombres!$C$3:$E$853,249)</f>
        <v xml:space="preserve">  Subestándar</v>
      </c>
      <c r="B8" s="204">
        <v>908</v>
      </c>
      <c r="C8" s="204">
        <v>286</v>
      </c>
      <c r="D8" s="204">
        <v>31.497797356828194</v>
      </c>
    </row>
    <row r="9" spans="1:4">
      <c r="A9" s="202" t="str">
        <f>HLOOKUP(INDICE!$F$2,Nombres!$C$3:$E$853,250)</f>
        <v>Inmuebles adjudicados y otros activos</v>
      </c>
      <c r="B9" s="83">
        <v>15265</v>
      </c>
      <c r="C9" s="83">
        <v>8629</v>
      </c>
      <c r="D9" s="83">
        <v>56.528005240746801</v>
      </c>
    </row>
    <row r="10" spans="1:4">
      <c r="A10" s="203" t="str">
        <f>HLOOKUP(INDICE!$F$2,Nombres!$C$3:$E$853,251)</f>
        <v xml:space="preserve">  Procedentes de finalidad inmobiliaria</v>
      </c>
      <c r="B10" s="204">
        <v>9101</v>
      </c>
      <c r="C10" s="204">
        <v>5384</v>
      </c>
      <c r="D10" s="204">
        <v>59.158334248983621</v>
      </c>
    </row>
    <row r="11" spans="1:4">
      <c r="A11" s="203" t="str">
        <f>HLOOKUP(INDICE!$F$2,Nombres!$C$3:$E$853,252)</f>
        <v xml:space="preserve">  Procedentes de financiación a adquisición de vivienda</v>
      </c>
      <c r="B11" s="204">
        <v>4837</v>
      </c>
      <c r="C11" s="204">
        <v>2596</v>
      </c>
      <c r="D11" s="204">
        <v>53.669629935910692</v>
      </c>
    </row>
    <row r="12" spans="1:4">
      <c r="A12" s="203" t="str">
        <f>HLOOKUP(INDICE!$F$2,Nombres!$C$3:$E$853,253)</f>
        <v xml:space="preserve">  Resto de activos</v>
      </c>
      <c r="B12" s="204">
        <v>1327</v>
      </c>
      <c r="C12" s="204">
        <v>649</v>
      </c>
      <c r="D12" s="204">
        <v>48.907309721175587</v>
      </c>
    </row>
    <row r="13" spans="1:4">
      <c r="A13" s="202" t="str">
        <f>HLOOKUP(INDICE!$F$2,Nombres!$C$3:$E$853,254)</f>
        <v>Subtotal</v>
      </c>
      <c r="B13" s="83">
        <v>22933</v>
      </c>
      <c r="C13" s="83">
        <v>12827</v>
      </c>
      <c r="D13" s="83">
        <v>55.932499018881089</v>
      </c>
    </row>
    <row r="14" spans="1:4">
      <c r="A14" s="202" t="str">
        <f>HLOOKUP(INDICE!$F$2,Nombres!$C$3:$E$853,255)</f>
        <v>Riesgo vivo</v>
      </c>
      <c r="B14" s="83">
        <v>2729.4588368200002</v>
      </c>
      <c r="C14" s="205"/>
      <c r="D14" s="205"/>
    </row>
    <row r="15" spans="1:4">
      <c r="A15" s="206" t="str">
        <f>HLOOKUP(INDICE!$F$2,Nombres!$C$3:$E$853,256)</f>
        <v xml:space="preserve">  Con garantía hipotecaria</v>
      </c>
      <c r="B15" s="204">
        <v>2369.4109706300001</v>
      </c>
      <c r="C15" s="204"/>
      <c r="D15" s="204"/>
    </row>
    <row r="16" spans="1:4">
      <c r="A16" s="207" t="str">
        <f>HLOOKUP(INDICE!$F$2,Nombres!$C$3:$E$853,257)</f>
        <v xml:space="preserve">    Edificios terminados</v>
      </c>
      <c r="B16" s="204">
        <v>1832.54256878</v>
      </c>
      <c r="C16" s="204"/>
      <c r="D16" s="204"/>
    </row>
    <row r="17" spans="1:4">
      <c r="A17" s="207" t="str">
        <f>HLOOKUP(INDICE!$F$2,Nombres!$C$3:$E$853,258)</f>
        <v xml:space="preserve">    Edificios en construcción</v>
      </c>
      <c r="B17" s="204">
        <v>305.59569582</v>
      </c>
      <c r="C17" s="204"/>
      <c r="D17" s="204"/>
    </row>
    <row r="18" spans="1:4">
      <c r="A18" s="207" t="str">
        <f>HLOOKUP(INDICE!$F$2,Nombres!$C$3:$E$853,259)</f>
        <v xml:space="preserve">    Suelo</v>
      </c>
      <c r="B18" s="204">
        <v>231.27270602999999</v>
      </c>
      <c r="C18" s="204"/>
      <c r="D18" s="204"/>
    </row>
    <row r="19" spans="1:4">
      <c r="A19" s="206" t="str">
        <f>HLOOKUP(INDICE!$F$2,Nombres!$C$3:$E$853,260)</f>
        <v xml:space="preserve">  Sin garantía hipotecaria y otros</v>
      </c>
      <c r="B19" s="204">
        <v>360.04786619000004</v>
      </c>
      <c r="C19" s="204"/>
      <c r="D19" s="204"/>
    </row>
    <row r="20" spans="1:4">
      <c r="A20" s="202" t="str">
        <f>HLOOKUP(INDICE!$F$2,Nombres!$C$3:$E$853,261)</f>
        <v>Exposición Inmobiliaria</v>
      </c>
      <c r="B20" s="83">
        <v>25662.458836819998</v>
      </c>
      <c r="C20" s="83">
        <v>12827</v>
      </c>
      <c r="D20" s="83">
        <v>49.983519044543264</v>
      </c>
    </row>
    <row r="21" spans="1:4">
      <c r="A21" s="206"/>
    </row>
  </sheetData>
  <pageMargins left="0.7" right="0.7" top="0.75" bottom="0.75" header="0.3" footer="0.3"/>
  <pageSetup paperSize="9" scale="9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H106"/>
  <sheetViews>
    <sheetView showGridLines="0" workbookViewId="0"/>
  </sheetViews>
  <sheetFormatPr baseColWidth="10" defaultColWidth="9.140625" defaultRowHeight="15"/>
  <cols>
    <col min="1" max="1" width="44.8554687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HLOOKUP(INDICE!$F$2,Nombres!$C$3:$E$853,20)</f>
        <v>Estados Unidos</v>
      </c>
    </row>
    <row r="2" spans="1:8" ht="18">
      <c r="A2" s="144" t="str">
        <f>HLOOKUP(INDICE!$F$2,Nombres!$C$3:$E$853,93)</f>
        <v xml:space="preserve">Cuentas de resultados  </v>
      </c>
      <c r="C2" s="145"/>
      <c r="D2" s="145"/>
      <c r="E2" s="145"/>
    </row>
    <row r="3" spans="1:8">
      <c r="A3" s="41" t="str">
        <f>HLOOKUP(INDICE!$F$2,Nombres!$C$3:$E$853,30)</f>
        <v>(Millones de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345.34143186</v>
      </c>
      <c r="C6" s="83">
        <v>347.26771948999999</v>
      </c>
      <c r="D6" s="83">
        <v>361.74554666</v>
      </c>
      <c r="E6" s="148">
        <v>388.56140845000004</v>
      </c>
      <c r="F6" s="83">
        <v>434.9317504</v>
      </c>
      <c r="G6" s="83">
        <v>446.46030080000003</v>
      </c>
      <c r="H6" s="83">
        <v>460.57331319999997</v>
      </c>
    </row>
    <row r="7" spans="1:8">
      <c r="A7" s="49" t="str">
        <f>HLOOKUP(INDICE!$F$2,Nombres!$C$3:$E$853,39)</f>
        <v>Comisiones</v>
      </c>
      <c r="B7" s="149">
        <v>132.99566440999999</v>
      </c>
      <c r="C7" s="84">
        <v>135.01826684000002</v>
      </c>
      <c r="D7" s="84">
        <v>136.12118593999998</v>
      </c>
      <c r="E7" s="150">
        <v>149.32055228999999</v>
      </c>
      <c r="F7" s="84">
        <v>155.91009808999999</v>
      </c>
      <c r="G7" s="84">
        <v>161.40457663000001</v>
      </c>
      <c r="H7" s="84">
        <v>152.29097856000001</v>
      </c>
    </row>
    <row r="8" spans="1:8">
      <c r="A8" s="49" t="str">
        <f>HLOOKUP(INDICE!$F$2,Nombres!$C$3:$E$853,40)</f>
        <v>Resultados de operaciones financieras</v>
      </c>
      <c r="B8" s="149">
        <v>36.850872449999997</v>
      </c>
      <c r="C8" s="84">
        <v>37.567325629999999</v>
      </c>
      <c r="D8" s="84">
        <v>33.063775379999996</v>
      </c>
      <c r="E8" s="150">
        <v>37.261303310000002</v>
      </c>
      <c r="F8" s="84">
        <v>55.806650050000002</v>
      </c>
      <c r="G8" s="84">
        <v>61.642763549999998</v>
      </c>
      <c r="H8" s="84">
        <v>40.675848169999995</v>
      </c>
    </row>
    <row r="9" spans="1:8">
      <c r="A9" s="49" t="str">
        <f>HLOOKUP(INDICE!$F$2,Nombres!$C$3:$E$853,95)</f>
        <v>Otros ingresos netos</v>
      </c>
      <c r="B9" s="149">
        <v>2.1021965100000002</v>
      </c>
      <c r="C9" s="84">
        <v>-0.53554945999999992</v>
      </c>
      <c r="D9" s="84">
        <v>-2.2739817699999998</v>
      </c>
      <c r="E9" s="150">
        <v>-3.2246465299999998</v>
      </c>
      <c r="F9" s="84">
        <v>6.9636718200000001</v>
      </c>
      <c r="G9" s="84">
        <v>8.8586987999999991</v>
      </c>
      <c r="H9" s="84">
        <v>-6.3478629699999995</v>
      </c>
    </row>
    <row r="10" spans="1:8">
      <c r="A10" s="54" t="str">
        <f>HLOOKUP(INDICE!$F$2,Nombres!$C$3:$E$853,44)</f>
        <v>Margen bruto</v>
      </c>
      <c r="B10" s="147">
        <v>517.29016522999996</v>
      </c>
      <c r="C10" s="83">
        <v>519.31776250000007</v>
      </c>
      <c r="D10" s="83">
        <v>528.65652621000004</v>
      </c>
      <c r="E10" s="148">
        <v>571.91861752</v>
      </c>
      <c r="F10" s="83">
        <v>653.61217035999994</v>
      </c>
      <c r="G10" s="83">
        <v>678.36633977999998</v>
      </c>
      <c r="H10" s="83">
        <v>647.19227696000007</v>
      </c>
    </row>
    <row r="11" spans="1:8">
      <c r="A11" s="49" t="str">
        <f>HLOOKUP(INDICE!$F$2,Nombres!$C$3:$E$853,45)</f>
        <v>Gastos de explotación</v>
      </c>
      <c r="B11" s="149">
        <v>-351.26554152</v>
      </c>
      <c r="C11" s="84">
        <v>-361.41302487000002</v>
      </c>
      <c r="D11" s="84">
        <v>-381.44859229999997</v>
      </c>
      <c r="E11" s="150">
        <v>-403.15437943999996</v>
      </c>
      <c r="F11" s="84">
        <v>-430.67032977000002</v>
      </c>
      <c r="G11" s="84">
        <v>-451.8660367</v>
      </c>
      <c r="H11" s="84">
        <v>-451.52943469000002</v>
      </c>
    </row>
    <row r="12" spans="1:8">
      <c r="A12" s="49" t="str">
        <f>HLOOKUP(INDICE!$F$2,Nombres!$C$3:$E$853,46)</f>
        <v xml:space="preserve">  Gastos de administración</v>
      </c>
      <c r="B12" s="149">
        <v>-307.78487727999999</v>
      </c>
      <c r="C12" s="84">
        <v>-318.23279543000001</v>
      </c>
      <c r="D12" s="84">
        <v>-336.68804722000004</v>
      </c>
      <c r="E12" s="150">
        <v>-355.51091895000002</v>
      </c>
      <c r="F12" s="84">
        <v>-378.70282073999999</v>
      </c>
      <c r="G12" s="84">
        <v>-399.57165899999995</v>
      </c>
      <c r="H12" s="84">
        <v>-403.24229032000005</v>
      </c>
    </row>
    <row r="13" spans="1:8">
      <c r="A13" s="88" t="str">
        <f>HLOOKUP(INDICE!$F$2,Nombres!$C$3:$E$853,47)</f>
        <v xml:space="preserve">  Gastos de personal</v>
      </c>
      <c r="B13" s="149">
        <v>-206.21145100999999</v>
      </c>
      <c r="C13" s="84">
        <v>-207.49791112999998</v>
      </c>
      <c r="D13" s="84">
        <v>-215.99092746000002</v>
      </c>
      <c r="E13" s="150">
        <v>-231.12649232999999</v>
      </c>
      <c r="F13" s="84">
        <v>-246.35778195</v>
      </c>
      <c r="G13" s="84">
        <v>-261.81837951</v>
      </c>
      <c r="H13" s="84">
        <v>-261.37905910999996</v>
      </c>
    </row>
    <row r="14" spans="1:8">
      <c r="A14" s="88" t="str">
        <f>HLOOKUP(INDICE!$F$2,Nombres!$C$3:$E$853,48)</f>
        <v xml:space="preserve">  Otros gastos generales de administración</v>
      </c>
      <c r="B14" s="149">
        <v>-101.57342627</v>
      </c>
      <c r="C14" s="84">
        <v>-110.7348843</v>
      </c>
      <c r="D14" s="84">
        <v>-120.69711975999999</v>
      </c>
      <c r="E14" s="150">
        <v>-124.38442662</v>
      </c>
      <c r="F14" s="84">
        <v>-132.34503878999999</v>
      </c>
      <c r="G14" s="84">
        <v>-137.75327949000001</v>
      </c>
      <c r="H14" s="84">
        <v>-141.86323120999998</v>
      </c>
    </row>
    <row r="15" spans="1:8" ht="13.5" customHeight="1">
      <c r="A15" s="49" t="str">
        <f>HLOOKUP(INDICE!$F$2,Nombres!$C$3:$E$853,49)</f>
        <v xml:space="preserve">  Amortizaciones</v>
      </c>
      <c r="B15" s="149">
        <v>-43.480664239999996</v>
      </c>
      <c r="C15" s="84">
        <v>-43.180229440000005</v>
      </c>
      <c r="D15" s="84">
        <v>-44.76054508</v>
      </c>
      <c r="E15" s="150">
        <v>-47.643460489999995</v>
      </c>
      <c r="F15" s="84">
        <v>-51.967509030000002</v>
      </c>
      <c r="G15" s="84">
        <v>-52.294377699999998</v>
      </c>
      <c r="H15" s="84">
        <v>-48.287144369999993</v>
      </c>
    </row>
    <row r="16" spans="1:8" ht="12.75" customHeight="1">
      <c r="A16" s="54" t="str">
        <f>HLOOKUP(INDICE!$F$2,Nombres!$C$3:$E$853,50)</f>
        <v>Margen neto</v>
      </c>
      <c r="B16" s="147">
        <v>166.02462371000001</v>
      </c>
      <c r="C16" s="83">
        <v>157.90473763</v>
      </c>
      <c r="D16" s="83">
        <v>147.20793391000001</v>
      </c>
      <c r="E16" s="148">
        <v>168.76423807999998</v>
      </c>
      <c r="F16" s="83">
        <v>222.94184059000003</v>
      </c>
      <c r="G16" s="83">
        <v>226.50030307999998</v>
      </c>
      <c r="H16" s="83">
        <v>195.66284226999997</v>
      </c>
    </row>
    <row r="17" spans="1:8" ht="13.5" customHeight="1">
      <c r="A17" s="49" t="str">
        <f>HLOOKUP(INDICE!$F$2,Nombres!$C$3:$E$853,51)</f>
        <v>Pérdidas por deterioro de activos financieros</v>
      </c>
      <c r="B17" s="149">
        <v>-19.346875439999998</v>
      </c>
      <c r="C17" s="84">
        <v>-22.183915389999999</v>
      </c>
      <c r="D17" s="84">
        <v>-11.70968373</v>
      </c>
      <c r="E17" s="150">
        <v>-15.064388360000001</v>
      </c>
      <c r="F17" s="84">
        <v>-29.687150920000001</v>
      </c>
      <c r="G17" s="84">
        <v>-32.735266869999997</v>
      </c>
      <c r="H17" s="84">
        <v>-24.863066460000002</v>
      </c>
    </row>
    <row r="18" spans="1:8" ht="13.5" customHeight="1">
      <c r="A18" s="49" t="str">
        <f>HLOOKUP(INDICE!$F$2,Nombres!$C$3:$E$853,160)</f>
        <v>Dotaciones a provisiones y otros resultados</v>
      </c>
      <c r="B18" s="149">
        <v>-3.391</v>
      </c>
      <c r="C18" s="84">
        <v>-12.741</v>
      </c>
      <c r="D18" s="84">
        <v>-5.0903196399999997</v>
      </c>
      <c r="E18" s="150">
        <v>10.951440220000002</v>
      </c>
      <c r="F18" s="84">
        <v>-2.2080000000000002</v>
      </c>
      <c r="G18" s="84">
        <v>5.6486305300000001</v>
      </c>
      <c r="H18" s="84">
        <v>-5.1429405299999997</v>
      </c>
    </row>
    <row r="19" spans="1:8" ht="12.75" customHeight="1">
      <c r="A19" s="54" t="str">
        <f>HLOOKUP(INDICE!$F$2,Nombres!$C$3:$E$853,54)</f>
        <v>Beneficio antes de impuestos</v>
      </c>
      <c r="B19" s="147">
        <v>143.28674827</v>
      </c>
      <c r="C19" s="83">
        <v>122.97982223999999</v>
      </c>
      <c r="D19" s="83">
        <v>130.40793054</v>
      </c>
      <c r="E19" s="148">
        <v>164.65128994000003</v>
      </c>
      <c r="F19" s="83">
        <v>191.04668967000001</v>
      </c>
      <c r="G19" s="83">
        <v>199.41366674</v>
      </c>
      <c r="H19" s="83">
        <v>165.65683528</v>
      </c>
    </row>
    <row r="20" spans="1:8" ht="13.5" customHeight="1">
      <c r="A20" s="49" t="str">
        <f>HLOOKUP(INDICE!$F$2,Nombres!$C$3:$E$853,55)</f>
        <v>Impuesto sobre beneficios</v>
      </c>
      <c r="B20" s="149">
        <v>-37.669454639999998</v>
      </c>
      <c r="C20" s="84">
        <v>-32.591973510000003</v>
      </c>
      <c r="D20" s="84">
        <v>-24.818161549999999</v>
      </c>
      <c r="E20" s="150">
        <v>-37.810803870000001</v>
      </c>
      <c r="F20" s="84">
        <v>-54.630857849999998</v>
      </c>
      <c r="G20" s="84">
        <v>-49.81540743</v>
      </c>
      <c r="H20" s="84">
        <v>-42.07028802</v>
      </c>
    </row>
    <row r="21" spans="1:8" ht="13.5" customHeight="1">
      <c r="A21" s="54" t="str">
        <f>HLOOKUP(INDICE!$F$2,Nombres!$C$3:$E$853,56)</f>
        <v>Beneficio después de impuestos</v>
      </c>
      <c r="B21" s="147">
        <v>105.61729363000001</v>
      </c>
      <c r="C21" s="83">
        <v>90.387848730000002</v>
      </c>
      <c r="D21" s="83">
        <v>105.58976899000001</v>
      </c>
      <c r="E21" s="148">
        <v>126.84048607</v>
      </c>
      <c r="F21" s="83">
        <v>136.41583181999999</v>
      </c>
      <c r="G21" s="83">
        <v>149.59825931</v>
      </c>
      <c r="H21" s="83">
        <v>123.58654726</v>
      </c>
    </row>
    <row r="22" spans="1:8" ht="12" customHeight="1">
      <c r="A22" s="49" t="str">
        <f>HLOOKUP(INDICE!$F$2,Nombres!$C$3:$E$853,57)</f>
        <v>Resultado atribuido a la minoría</v>
      </c>
      <c r="B22" s="149">
        <v>-1E-3</v>
      </c>
      <c r="C22" s="84">
        <v>-1E-3</v>
      </c>
      <c r="D22" s="84">
        <v>-1E-3</v>
      </c>
      <c r="E22" s="150">
        <v>-1E-3</v>
      </c>
      <c r="F22" s="84">
        <v>-1E-3</v>
      </c>
      <c r="G22" s="84">
        <v>-2E-3</v>
      </c>
      <c r="H22" s="84">
        <v>-1E-3</v>
      </c>
    </row>
    <row r="23" spans="1:8" ht="14.25" customHeight="1">
      <c r="A23" s="54" t="str">
        <f>HLOOKUP(INDICE!$F$2,Nombres!$C$3:$E$853,58)</f>
        <v>Beneficio atribuido al Grupo</v>
      </c>
      <c r="B23" s="147">
        <v>105.61629363</v>
      </c>
      <c r="C23" s="83">
        <v>90.386848729999997</v>
      </c>
      <c r="D23" s="83">
        <v>105.58876899000001</v>
      </c>
      <c r="E23" s="148">
        <v>126.83948606999999</v>
      </c>
      <c r="F23" s="83">
        <v>136.41483182000002</v>
      </c>
      <c r="G23" s="83">
        <v>149.59625930999999</v>
      </c>
      <c r="H23" s="83">
        <v>123.58554726</v>
      </c>
    </row>
    <row r="24" spans="1:8" ht="13.5" customHeight="1">
      <c r="A24" s="144" t="str">
        <f>HLOOKUP(INDICE!$F$2,Nombres!$C$3:$E$853,94)</f>
        <v>Balances</v>
      </c>
      <c r="F24" s="151"/>
      <c r="G24" s="74"/>
      <c r="H24" s="74"/>
    </row>
    <row r="25" spans="1:8" ht="12.75" customHeight="1">
      <c r="A25" s="41" t="str">
        <f>HLOOKUP(INDICE!$F$2,Nombres!$C$3:$E$853,30)</f>
        <v>(Millones de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Caja y depósitos en bancos centrales</v>
      </c>
      <c r="B27" s="149">
        <v>4478.5773062400003</v>
      </c>
      <c r="C27" s="84">
        <v>3866.6367111200002</v>
      </c>
      <c r="D27" s="84">
        <v>4233.0937560399998</v>
      </c>
      <c r="E27" s="150">
        <v>3808.23050079</v>
      </c>
      <c r="F27" s="84">
        <v>4838.9370026699999</v>
      </c>
      <c r="G27" s="84">
        <v>4608.4817787299999</v>
      </c>
      <c r="H27" s="84">
        <v>6813.1966138199996</v>
      </c>
    </row>
    <row r="28" spans="1:8">
      <c r="A28" s="49" t="str">
        <f>HLOOKUP(INDICE!$F$2,Nombres!$C$3:$E$853,101)</f>
        <v>Cartera de títulos</v>
      </c>
      <c r="B28" s="149">
        <v>7358.0018285899996</v>
      </c>
      <c r="C28" s="84">
        <v>7834.2011141800003</v>
      </c>
      <c r="D28" s="84">
        <v>8906.8753815500004</v>
      </c>
      <c r="E28" s="150">
        <v>11892.19928816</v>
      </c>
      <c r="F28" s="84">
        <v>14179.31012677</v>
      </c>
      <c r="G28" s="84">
        <v>14897.04780971</v>
      </c>
      <c r="H28" s="84">
        <v>14532.890936600001</v>
      </c>
    </row>
    <row r="29" spans="1:8">
      <c r="A29" s="49" t="str">
        <f>HLOOKUP(INDICE!$F$2,Nombres!$C$3:$E$853,102)</f>
        <v>Inversiones crediticias</v>
      </c>
      <c r="B29" s="149">
        <v>41079.960999460003</v>
      </c>
      <c r="C29" s="84">
        <v>42369.50217467</v>
      </c>
      <c r="D29" s="84">
        <v>46908.318890959999</v>
      </c>
      <c r="E29" s="150">
        <v>50969.730156370002</v>
      </c>
      <c r="F29" s="84">
        <v>59242.649006929998</v>
      </c>
      <c r="G29" s="84">
        <v>58721.723772489997</v>
      </c>
      <c r="H29" s="84">
        <v>59514.220056339997</v>
      </c>
    </row>
    <row r="30" spans="1:8">
      <c r="A30" s="49" t="str">
        <f>HLOOKUP(INDICE!$F$2,Nombres!$C$3:$E$853,103)</f>
        <v xml:space="preserve">  . Crédito a la clientela neto</v>
      </c>
      <c r="B30" s="149">
        <v>39618.728365720002</v>
      </c>
      <c r="C30" s="84">
        <v>40857.419084410001</v>
      </c>
      <c r="D30" s="84">
        <v>45184.272038859999</v>
      </c>
      <c r="E30" s="150">
        <v>48976.098561010003</v>
      </c>
      <c r="F30" s="84">
        <v>57096.15649827</v>
      </c>
      <c r="G30" s="84">
        <v>56413.845672000003</v>
      </c>
      <c r="H30" s="84">
        <v>57303.818501479996</v>
      </c>
    </row>
    <row r="31" spans="1:8">
      <c r="A31" s="49" t="str">
        <f>HLOOKUP(INDICE!$F$2,Nombres!$C$3:$E$853,104)</f>
        <v xml:space="preserve">  . Depósitos en entidades de crédito y otros</v>
      </c>
      <c r="B31" s="154">
        <v>1461.23263374</v>
      </c>
      <c r="C31" s="84">
        <v>1512.0830902600001</v>
      </c>
      <c r="D31" s="84">
        <v>1724.0468520999998</v>
      </c>
      <c r="E31" s="150">
        <v>1993.6315953600001</v>
      </c>
      <c r="F31" s="84">
        <v>2146.4925086599997</v>
      </c>
      <c r="G31" s="84">
        <v>2307.8781004900002</v>
      </c>
      <c r="H31" s="84">
        <v>2210.40155486</v>
      </c>
    </row>
    <row r="32" spans="1:8">
      <c r="A32" s="49" t="str">
        <f>HLOOKUP(INDICE!$F$2,Nombres!$C$3:$E$853,105)</f>
        <v>Posiciones inter-áreas activo</v>
      </c>
      <c r="B32" s="154">
        <v>0</v>
      </c>
      <c r="C32" s="84">
        <v>8.944924080002238</v>
      </c>
      <c r="D32" s="84">
        <v>723.61973817999387</v>
      </c>
      <c r="E32" s="150">
        <v>0</v>
      </c>
      <c r="F32" s="84">
        <v>0</v>
      </c>
      <c r="G32" s="84">
        <v>100.40761531001772</v>
      </c>
      <c r="H32" s="84">
        <v>0</v>
      </c>
    </row>
    <row r="33" spans="1:8">
      <c r="A33" s="49" t="str">
        <f>HLOOKUP(INDICE!$F$2,Nombres!$C$3:$E$853,106)</f>
        <v>Activo material</v>
      </c>
      <c r="B33" s="155">
        <v>657.53561150999997</v>
      </c>
      <c r="C33" s="84">
        <v>653.41392438000003</v>
      </c>
      <c r="D33" s="84">
        <v>705.06631009</v>
      </c>
      <c r="E33" s="150">
        <v>724.76428475</v>
      </c>
      <c r="F33" s="84">
        <v>810.94961962000002</v>
      </c>
      <c r="G33" s="84">
        <v>768.53848299000003</v>
      </c>
      <c r="H33" s="84">
        <v>756.71154002000003</v>
      </c>
    </row>
    <row r="34" spans="1:8">
      <c r="A34" s="49" t="str">
        <f>HLOOKUP(INDICE!$F$2,Nombres!$C$3:$E$853,107)</f>
        <v>Otros activos</v>
      </c>
      <c r="B34" s="149">
        <v>2179.5319649500002</v>
      </c>
      <c r="C34" s="84">
        <v>2112.1299308299999</v>
      </c>
      <c r="D34" s="84">
        <v>2543.1918024299998</v>
      </c>
      <c r="E34" s="150">
        <v>1866.1958546999999</v>
      </c>
      <c r="F34" s="84">
        <v>1858.2568237400001</v>
      </c>
      <c r="G34" s="84">
        <v>1712.9662783900001</v>
      </c>
      <c r="H34" s="84">
        <v>1829.82371328</v>
      </c>
    </row>
    <row r="35" spans="1:8">
      <c r="A35" s="54" t="str">
        <f>HLOOKUP(INDICE!$F$2,Nombres!$C$3:$E$853,108)</f>
        <v>Total activo / pasivo</v>
      </c>
      <c r="B35" s="147">
        <v>55753.60771075001</v>
      </c>
      <c r="C35" s="83">
        <v>56844.828779260002</v>
      </c>
      <c r="D35" s="83">
        <v>64020.165879249995</v>
      </c>
      <c r="E35" s="148">
        <v>69261.120084770009</v>
      </c>
      <c r="F35" s="83">
        <v>80930.10257973001</v>
      </c>
      <c r="G35" s="83">
        <v>80809.165737620002</v>
      </c>
      <c r="H35" s="83">
        <v>83446.842860060002</v>
      </c>
    </row>
    <row r="36" spans="1:8">
      <c r="A36" s="49" t="str">
        <f>HLOOKUP(INDICE!$F$2,Nombres!$C$3:$E$853,109)</f>
        <v>Depósitos de bancos centrales y entidades de crédito</v>
      </c>
      <c r="B36" s="149">
        <v>3682.8404240199998</v>
      </c>
      <c r="C36" s="84">
        <v>4761.1949211299998</v>
      </c>
      <c r="D36" s="84">
        <v>5081.6089288599997</v>
      </c>
      <c r="E36" s="150">
        <v>5765.3249268600002</v>
      </c>
      <c r="F36" s="84">
        <v>7548.2599239600004</v>
      </c>
      <c r="G36" s="84">
        <v>7805.8008176100002</v>
      </c>
      <c r="H36" s="84">
        <v>7093.43110832</v>
      </c>
    </row>
    <row r="37" spans="1:8">
      <c r="A37" s="49" t="str">
        <f>HLOOKUP(INDICE!$F$2,Nombres!$C$3:$E$853,110)</f>
        <v>Depósitos de la clientela</v>
      </c>
      <c r="B37" s="149">
        <v>42535.89442592</v>
      </c>
      <c r="C37" s="84">
        <v>44024.405609870002</v>
      </c>
      <c r="D37" s="84">
        <v>48820.521361450003</v>
      </c>
      <c r="E37" s="150">
        <v>51394.095885169998</v>
      </c>
      <c r="F37" s="84">
        <v>59337.183222150001</v>
      </c>
      <c r="G37" s="84">
        <v>57568.712793810002</v>
      </c>
      <c r="H37" s="84">
        <v>60135.077669159997</v>
      </c>
    </row>
    <row r="38" spans="1:8">
      <c r="A38" s="49" t="str">
        <f>HLOOKUP(INDICE!$F$2,Nombres!$C$3:$E$853,111)</f>
        <v>Débitos representados por valores negociables</v>
      </c>
      <c r="B38" s="149">
        <v>0</v>
      </c>
      <c r="C38" s="84">
        <v>0</v>
      </c>
      <c r="D38" s="84">
        <v>790.30200000000002</v>
      </c>
      <c r="E38" s="150">
        <v>821.92100000000005</v>
      </c>
      <c r="F38" s="84">
        <v>925.822</v>
      </c>
      <c r="G38" s="84">
        <v>895.822</v>
      </c>
      <c r="H38" s="84">
        <v>889.05</v>
      </c>
    </row>
    <row r="39" spans="1:8" ht="13.5" customHeight="1">
      <c r="A39" s="49" t="str">
        <f>HLOOKUP(INDICE!$F$2,Nombres!$C$3:$E$853,112)</f>
        <v>Pasivos subordinados</v>
      </c>
      <c r="B39" s="149">
        <v>651.27616771999999</v>
      </c>
      <c r="C39" s="84">
        <v>651.42261167000004</v>
      </c>
      <c r="D39" s="84">
        <v>711.58875927999998</v>
      </c>
      <c r="E39" s="150">
        <v>741.79042130000005</v>
      </c>
      <c r="F39" s="84">
        <v>846.00219244000004</v>
      </c>
      <c r="G39" s="84">
        <v>1404.79710834</v>
      </c>
      <c r="H39" s="84">
        <v>1453.08639733</v>
      </c>
    </row>
    <row r="40" spans="1:8" ht="13.5" customHeight="1">
      <c r="A40" s="49" t="str">
        <f>HLOOKUP(INDICE!$F$2,Nombres!$C$3:$E$853,113)</f>
        <v>Posiciones inter-áreas pasivo</v>
      </c>
      <c r="B40" s="149">
        <v>1668.7715331400104</v>
      </c>
      <c r="C40" s="84">
        <v>0</v>
      </c>
      <c r="D40" s="84">
        <v>0</v>
      </c>
      <c r="E40" s="150">
        <v>344.79671552999935</v>
      </c>
      <c r="F40" s="84">
        <v>223.41553900000872</v>
      </c>
      <c r="G40" s="84">
        <v>0</v>
      </c>
      <c r="H40" s="84">
        <v>1220.310811280011</v>
      </c>
    </row>
    <row r="41" spans="1:8">
      <c r="A41" s="49" t="str">
        <f>HLOOKUP(INDICE!$F$2,Nombres!$C$3:$E$853,114)</f>
        <v>Cartera de negociación</v>
      </c>
      <c r="B41" s="149">
        <v>177.67469152999999</v>
      </c>
      <c r="C41" s="84">
        <v>182.822</v>
      </c>
      <c r="D41" s="84">
        <v>367.48028278999999</v>
      </c>
      <c r="E41" s="150">
        <v>2341.1796915300001</v>
      </c>
      <c r="F41" s="84">
        <v>3492.0793874699998</v>
      </c>
      <c r="G41" s="84">
        <v>4580.68035564</v>
      </c>
      <c r="H41" s="84">
        <v>3936.8696869999999</v>
      </c>
    </row>
    <row r="42" spans="1:8">
      <c r="A42" s="49" t="str">
        <f>HLOOKUP(INDICE!$F$2,Nombres!$C$3:$E$853,115)</f>
        <v>Otros pasivos</v>
      </c>
      <c r="B42" s="149">
        <v>4750.7074996700003</v>
      </c>
      <c r="C42" s="84">
        <v>4833.6307137500007</v>
      </c>
      <c r="D42" s="84">
        <v>5788.2307121000003</v>
      </c>
      <c r="E42" s="150">
        <v>5299.9336877000005</v>
      </c>
      <c r="F42" s="84">
        <v>5634.8665547099999</v>
      </c>
      <c r="G42" s="84">
        <v>5623.8870222199994</v>
      </c>
      <c r="H42" s="84">
        <v>5751.6445519599993</v>
      </c>
    </row>
    <row r="43" spans="1:8" ht="12.75" customHeight="1">
      <c r="A43" s="49" t="str">
        <f>HLOOKUP(INDICE!$F$2,Nombres!$C$3:$E$853,116)</f>
        <v>Dotación de capital económico</v>
      </c>
      <c r="B43" s="149">
        <v>2286.4429687500001</v>
      </c>
      <c r="C43" s="84">
        <v>2391.3529228399998</v>
      </c>
      <c r="D43" s="84">
        <v>2460.43383477</v>
      </c>
      <c r="E43" s="150">
        <v>2552.0777566800002</v>
      </c>
      <c r="F43" s="84">
        <v>2922.4737599999999</v>
      </c>
      <c r="G43" s="84">
        <v>2929.4656399999999</v>
      </c>
      <c r="H43" s="84">
        <v>2967.3726350100001</v>
      </c>
    </row>
    <row r="44" spans="1:8" ht="15" customHeight="1">
      <c r="A44" s="144" t="str">
        <f>HLOOKUP(INDICE!$F$2,Nombres!$C$3:$E$853,117)</f>
        <v>Indicadores relevantes</v>
      </c>
      <c r="F44" s="151"/>
      <c r="G44" s="74"/>
      <c r="H44" s="74"/>
    </row>
    <row r="45" spans="1:8" ht="13.5" customHeight="1">
      <c r="A45" s="144" t="str">
        <f>HLOOKUP(INDICE!$F$2,Nombres!$C$3:$E$853,201)</f>
        <v>Anexo:</v>
      </c>
      <c r="F45" s="151"/>
      <c r="G45" s="74"/>
      <c r="H45" s="74"/>
    </row>
    <row r="46" spans="1:8" ht="12.75" customHeight="1">
      <c r="A46" s="41" t="str">
        <f>HLOOKUP(INDICE!$F$2,Nombres!$C$3:$E$853,30)</f>
        <v>(Millones de euros)</v>
      </c>
      <c r="B46" s="81">
        <v>41729</v>
      </c>
      <c r="C46" s="82">
        <v>41820</v>
      </c>
      <c r="D46" s="82">
        <v>41912</v>
      </c>
      <c r="E46" s="82">
        <v>42004</v>
      </c>
      <c r="F46" s="81">
        <v>42094</v>
      </c>
      <c r="G46" s="82">
        <v>42185</v>
      </c>
      <c r="H46" s="82">
        <v>42277</v>
      </c>
    </row>
    <row r="47" spans="1:8" ht="12" customHeight="1">
      <c r="A47" s="49" t="str">
        <f>HLOOKUP(INDICE!$F$2,Nombres!$C$3:$E$853,118)</f>
        <v>Crédito a la clientela bruto (*)</v>
      </c>
      <c r="B47" s="149">
        <v>40255.168965620003</v>
      </c>
      <c r="C47" s="84">
        <v>41496.616145710002</v>
      </c>
      <c r="D47" s="84">
        <v>45854.984444969996</v>
      </c>
      <c r="E47" s="150">
        <v>49666.930051650001</v>
      </c>
      <c r="F47" s="84">
        <v>57877.592292060006</v>
      </c>
      <c r="G47" s="84">
        <v>57175.81282988</v>
      </c>
      <c r="H47" s="84">
        <v>58057.936464089995</v>
      </c>
    </row>
    <row r="48" spans="1:8">
      <c r="A48" s="49" t="str">
        <f>HLOOKUP(INDICE!$F$2,Nombres!$C$3:$E$853,121)</f>
        <v>Depósitos de clientes en gestión (**)</v>
      </c>
      <c r="B48" s="149">
        <v>39541.260910379999</v>
      </c>
      <c r="C48" s="84">
        <v>42428.69990023</v>
      </c>
      <c r="D48" s="84">
        <v>47691.067746790002</v>
      </c>
      <c r="E48" s="150">
        <v>50093.342606359998</v>
      </c>
      <c r="F48" s="84">
        <v>58423.984330250001</v>
      </c>
      <c r="G48" s="84">
        <v>56457.662059369999</v>
      </c>
      <c r="H48" s="84">
        <v>57726.680641170002</v>
      </c>
    </row>
    <row r="49" spans="1:8">
      <c r="A49" s="49" t="str">
        <f>HLOOKUP(INDICE!$F$2,Nombres!$C$3:$E$853,122)</f>
        <v>Fondos de inversión</v>
      </c>
      <c r="B49" s="241">
        <v>0</v>
      </c>
      <c r="C49" s="236">
        <v>0</v>
      </c>
      <c r="D49" s="236">
        <v>0</v>
      </c>
      <c r="E49" s="237">
        <v>0</v>
      </c>
      <c r="F49" s="236">
        <v>0</v>
      </c>
      <c r="G49" s="236">
        <v>0</v>
      </c>
      <c r="H49" s="236">
        <v>0</v>
      </c>
    </row>
    <row r="50" spans="1:8">
      <c r="A50" s="49" t="str">
        <f>HLOOKUP(INDICE!$F$2,Nombres!$C$3:$E$853,206)</f>
        <v>Fondos de pensiones</v>
      </c>
      <c r="B50" s="241">
        <v>0</v>
      </c>
      <c r="C50" s="236">
        <v>0</v>
      </c>
      <c r="D50" s="236">
        <v>0</v>
      </c>
      <c r="E50" s="237">
        <v>0</v>
      </c>
      <c r="F50" s="236">
        <v>0</v>
      </c>
      <c r="G50" s="236">
        <v>0</v>
      </c>
      <c r="H50" s="236">
        <v>0</v>
      </c>
    </row>
    <row r="51" spans="1:8">
      <c r="A51" s="49" t="str">
        <f>HLOOKUP(INDICE!$F$2,Nombres!$C$3:$E$853,308)</f>
        <v>Otros recursos fuera de balance</v>
      </c>
      <c r="B51" s="241">
        <v>0</v>
      </c>
      <c r="C51" s="236">
        <v>0</v>
      </c>
      <c r="D51" s="236">
        <v>0</v>
      </c>
      <c r="E51" s="237">
        <v>0</v>
      </c>
      <c r="F51" s="236">
        <v>0</v>
      </c>
      <c r="G51" s="236">
        <v>0</v>
      </c>
      <c r="H51" s="236">
        <v>0</v>
      </c>
    </row>
    <row r="52" spans="1:8">
      <c r="A52" s="156" t="str">
        <f>HLOOKUP(INDICE!$F$2,Nombres!$C$3:$E$853,307)</f>
        <v>(*) No incluye las adquisiciones temporales de activos.</v>
      </c>
      <c r="B52" s="157"/>
      <c r="C52" s="84"/>
      <c r="D52" s="84"/>
      <c r="E52" s="84"/>
      <c r="F52" s="84"/>
      <c r="G52" s="84"/>
      <c r="H52" s="84"/>
    </row>
    <row r="53" spans="1:8">
      <c r="A53" s="156" t="str">
        <f>HLOOKUP(INDICE!$F$2,Nombres!$C$3:$E$853,285)</f>
        <v>(**) No incluye las cesiones temporales de activos.</v>
      </c>
      <c r="C53"/>
      <c r="D53"/>
      <c r="E53"/>
    </row>
    <row r="54" spans="1:8" ht="18">
      <c r="A54" s="144" t="str">
        <f>HLOOKUP(INDICE!$F$2,Nombres!$C$3:$E$853,93)</f>
        <v xml:space="preserve">Cuentas de resultados  </v>
      </c>
      <c r="C54" s="145"/>
      <c r="D54" s="145"/>
      <c r="E54" s="145"/>
      <c r="G54" s="74"/>
      <c r="H54" s="74"/>
    </row>
    <row r="55" spans="1:8">
      <c r="A55" s="41" t="str">
        <f>HLOOKUP(INDICE!$F$2,Nombres!$C$3:$E$853,31)</f>
        <v>(Millones de euros constantes)</v>
      </c>
      <c r="C55" s="145"/>
      <c r="D55" s="145"/>
      <c r="E55" s="145"/>
      <c r="G55" s="74"/>
      <c r="H55" s="74"/>
    </row>
    <row r="56" spans="1:8">
      <c r="A56" s="146"/>
      <c r="B56" s="252">
        <v>2014</v>
      </c>
      <c r="C56" s="252"/>
      <c r="D56" s="252"/>
      <c r="E56" s="252"/>
      <c r="F56" s="253">
        <v>2015</v>
      </c>
      <c r="G56" s="254"/>
      <c r="H56" s="254"/>
    </row>
    <row r="57" spans="1:8">
      <c r="A57" s="146"/>
      <c r="B57" s="146" t="str">
        <f>HLOOKUP(INDICE!$F$2,Nombres!$C$3:$E$857,34)</f>
        <v>1er Trim.</v>
      </c>
      <c r="C57" s="146" t="str">
        <f>HLOOKUP(INDICE!$F$2,Nombres!$C$3:$E$857,35)</f>
        <v>2º Trim.</v>
      </c>
      <c r="D57" s="146" t="str">
        <f>HLOOKUP(INDICE!$F$2,Nombres!$C$3:$E$857,36)</f>
        <v>3er Trim.</v>
      </c>
      <c r="E57" s="146" t="str">
        <f>HLOOKUP(INDICE!$F$2,Nombres!$C$3:$E$857,37)</f>
        <v>4º Trim.</v>
      </c>
      <c r="F57" s="146" t="str">
        <f>HLOOKUP(INDICE!$F$2,Nombres!$C$3:$E$857,34)</f>
        <v>1er Trim.</v>
      </c>
      <c r="G57" s="146" t="str">
        <f>HLOOKUP(INDICE!$F$2,Nombres!$C$3:$E$857,35)</f>
        <v>2º Trim.</v>
      </c>
      <c r="H57" s="146" t="str">
        <f>HLOOKUP(INDICE!$F$2,Nombres!$C$3:$E$857,36)</f>
        <v>3er Trim.</v>
      </c>
    </row>
    <row r="58" spans="1:8">
      <c r="A58" s="54" t="str">
        <f>HLOOKUP(INDICE!$F$2,Nombres!$C$3:$E$853,38)</f>
        <v>Margen de intereses</v>
      </c>
      <c r="B58" s="147">
        <v>424.51936128210002</v>
      </c>
      <c r="C58" s="83">
        <v>427.30204781600003</v>
      </c>
      <c r="D58" s="83">
        <v>429.16104495359997</v>
      </c>
      <c r="E58" s="148">
        <v>437.13396794020002</v>
      </c>
      <c r="F58" s="54">
        <v>439.38783381859997</v>
      </c>
      <c r="G58" s="54">
        <v>443.04147358430004</v>
      </c>
      <c r="H58" s="54">
        <v>459.53605699719998</v>
      </c>
    </row>
    <row r="59" spans="1:8">
      <c r="A59" s="49" t="str">
        <f>HLOOKUP(INDICE!$F$2,Nombres!$C$3:$E$853,39)</f>
        <v>Comisiones</v>
      </c>
      <c r="B59" s="149">
        <v>163.49083740169999</v>
      </c>
      <c r="C59" s="84">
        <v>166.0908950354</v>
      </c>
      <c r="D59" s="84">
        <v>160.7905224255</v>
      </c>
      <c r="E59" s="150">
        <v>167.63732723620001</v>
      </c>
      <c r="F59" s="73">
        <v>157.33576726230001</v>
      </c>
      <c r="G59" s="73">
        <v>160.3338749964</v>
      </c>
      <c r="H59" s="73">
        <v>151.93601102119999</v>
      </c>
    </row>
    <row r="60" spans="1:8">
      <c r="A60" s="49" t="str">
        <f>HLOOKUP(INDICE!$F$2,Nombres!$C$3:$E$853,40)</f>
        <v>Resultados de operaciones financieras</v>
      </c>
      <c r="B60" s="149">
        <v>45.310876298499998</v>
      </c>
      <c r="C60" s="84">
        <v>46.067667634499998</v>
      </c>
      <c r="D60" s="84">
        <v>37.608281758799997</v>
      </c>
      <c r="E60" s="150">
        <v>40.540883661400002</v>
      </c>
      <c r="F60" s="73">
        <v>56.2857345149</v>
      </c>
      <c r="G60" s="73">
        <v>61.268060165099996</v>
      </c>
      <c r="H60" s="73">
        <v>40.571467089799995</v>
      </c>
    </row>
    <row r="61" spans="1:8" ht="17.25" customHeight="1">
      <c r="A61" s="49" t="str">
        <f>HLOOKUP(INDICE!$F$2,Nombres!$C$3:$E$853,95)</f>
        <v>Otros ingresos netos</v>
      </c>
      <c r="B61" s="149">
        <v>2.5834704929000001</v>
      </c>
      <c r="C61" s="84">
        <v>-0.64295250810000004</v>
      </c>
      <c r="D61" s="84">
        <v>-2.6583438772000001</v>
      </c>
      <c r="E61" s="150">
        <v>-3.8541817059999994</v>
      </c>
      <c r="F61" s="73">
        <v>6.9833357426999996</v>
      </c>
      <c r="G61" s="73">
        <v>8.8536943900999994</v>
      </c>
      <c r="H61" s="73">
        <v>-6.3625224828000002</v>
      </c>
    </row>
    <row r="62" spans="1:8" ht="15.75" customHeight="1">
      <c r="A62" s="54" t="str">
        <f>HLOOKUP(INDICE!$F$2,Nombres!$C$3:$E$853,44)</f>
        <v>Margen bruto</v>
      </c>
      <c r="B62" s="147">
        <v>635.90454547520005</v>
      </c>
      <c r="C62" s="83">
        <v>638.81765797759999</v>
      </c>
      <c r="D62" s="83">
        <v>624.90150526050002</v>
      </c>
      <c r="E62" s="148">
        <v>641.4579971316</v>
      </c>
      <c r="F62" s="54">
        <v>659.99267133860008</v>
      </c>
      <c r="G62" s="54">
        <v>673.49710313599996</v>
      </c>
      <c r="H62" s="54">
        <v>645.68101262549999</v>
      </c>
    </row>
    <row r="63" spans="1:8">
      <c r="A63" s="49" t="str">
        <f>HLOOKUP(INDICE!$F$2,Nombres!$C$3:$E$853,45)</f>
        <v>Gastos de explotación</v>
      </c>
      <c r="B63" s="149">
        <v>-431.80639544619999</v>
      </c>
      <c r="C63" s="84">
        <v>-444.58407339390004</v>
      </c>
      <c r="D63" s="84">
        <v>-451.15583237510003</v>
      </c>
      <c r="E63" s="150">
        <v>-452.47582384319992</v>
      </c>
      <c r="F63" s="73">
        <v>-434.56829791789994</v>
      </c>
      <c r="G63" s="73">
        <v>-448.9580161737</v>
      </c>
      <c r="H63" s="73">
        <v>-450.53948706840004</v>
      </c>
    </row>
    <row r="64" spans="1:8">
      <c r="A64" s="49" t="str">
        <f>HLOOKUP(INDICE!$F$2,Nombres!$C$3:$E$853,46)</f>
        <v xml:space="preserve">  Gastos de administración</v>
      </c>
      <c r="B64" s="149">
        <v>-378.35699600479995</v>
      </c>
      <c r="C64" s="84">
        <v>-391.44932048960004</v>
      </c>
      <c r="D64" s="84">
        <v>-398.03716736399997</v>
      </c>
      <c r="E64" s="150">
        <v>-398.90177218809993</v>
      </c>
      <c r="F64" s="73">
        <v>-382.06725829850001</v>
      </c>
      <c r="G64" s="73">
        <v>-397.07457148860004</v>
      </c>
      <c r="H64" s="73">
        <v>-402.37494027299999</v>
      </c>
    </row>
    <row r="65" spans="1:8">
      <c r="A65" s="88" t="str">
        <f>HLOOKUP(INDICE!$F$2,Nombres!$C$3:$E$853,47)</f>
        <v xml:space="preserve">  Gastos de personal</v>
      </c>
      <c r="B65" s="149">
        <v>-253.49602247960001</v>
      </c>
      <c r="C65" s="84">
        <v>-255.22854175909998</v>
      </c>
      <c r="D65" s="84">
        <v>-255.1707260142</v>
      </c>
      <c r="E65" s="150">
        <v>-259.348164618</v>
      </c>
      <c r="F65" s="73">
        <v>-248.61244319630001</v>
      </c>
      <c r="G65" s="73">
        <v>-260.13597940070002</v>
      </c>
      <c r="H65" s="73">
        <v>-260.80679797289997</v>
      </c>
    </row>
    <row r="66" spans="1:8">
      <c r="A66" s="88" t="str">
        <f>HLOOKUP(INDICE!$F$2,Nombres!$C$3:$E$853,48)</f>
        <v xml:space="preserve">  Otros gastos generales de administración</v>
      </c>
      <c r="B66" s="149">
        <v>-124.86097352530001</v>
      </c>
      <c r="C66" s="84">
        <v>-136.22077873040001</v>
      </c>
      <c r="D66" s="84">
        <v>-142.86644134989999</v>
      </c>
      <c r="E66" s="150">
        <v>-139.5536075702</v>
      </c>
      <c r="F66" s="73">
        <v>-133.45481510209999</v>
      </c>
      <c r="G66" s="73">
        <v>-136.9385920878</v>
      </c>
      <c r="H66" s="73">
        <v>-141.56814230000001</v>
      </c>
    </row>
    <row r="67" spans="1:8" ht="13.5" customHeight="1">
      <c r="A67" s="49" t="str">
        <f>HLOOKUP(INDICE!$F$2,Nombres!$C$3:$E$853,49)</f>
        <v xml:space="preserve">  Amortizaciones</v>
      </c>
      <c r="B67" s="149">
        <v>-53.449399441300002</v>
      </c>
      <c r="C67" s="84">
        <v>-53.134752904400003</v>
      </c>
      <c r="D67" s="84">
        <v>-53.118665011000004</v>
      </c>
      <c r="E67" s="150">
        <v>-53.574051655100007</v>
      </c>
      <c r="F67" s="73">
        <v>-52.501039619400004</v>
      </c>
      <c r="G67" s="73">
        <v>-51.883444685100002</v>
      </c>
      <c r="H67" s="73">
        <v>-48.164546795600003</v>
      </c>
    </row>
    <row r="68" spans="1:8" ht="14.25" customHeight="1">
      <c r="A68" s="54" t="str">
        <f>HLOOKUP(INDICE!$F$2,Nombres!$C$3:$E$853,50)</f>
        <v>Margen neto</v>
      </c>
      <c r="B68" s="147">
        <v>204.0981500291</v>
      </c>
      <c r="C68" s="83">
        <v>194.23358458370001</v>
      </c>
      <c r="D68" s="83">
        <v>173.74567288539998</v>
      </c>
      <c r="E68" s="148">
        <v>188.98217328819999</v>
      </c>
      <c r="F68" s="54">
        <v>225.42437342060001</v>
      </c>
      <c r="G68" s="54">
        <v>224.53908696229999</v>
      </c>
      <c r="H68" s="54">
        <v>195.14152555699999</v>
      </c>
    </row>
    <row r="69" spans="1:8">
      <c r="A69" s="49" t="str">
        <f>HLOOKUP(INDICE!$F$2,Nombres!$C$3:$E$853,51)</f>
        <v>Pérdidas por deterioro de activos financieros</v>
      </c>
      <c r="B69" s="149">
        <v>-23.776020517100001</v>
      </c>
      <c r="C69" s="84">
        <v>-27.343666217500001</v>
      </c>
      <c r="D69" s="84">
        <v>-14.3110556266</v>
      </c>
      <c r="E69" s="150">
        <v>-16.414876076600002</v>
      </c>
      <c r="F69" s="73">
        <v>-29.791460912200002</v>
      </c>
      <c r="G69" s="73">
        <v>-32.706110229399997</v>
      </c>
      <c r="H69" s="73">
        <v>-24.787913108400002</v>
      </c>
    </row>
    <row r="70" spans="1:8" ht="16.5" customHeight="1">
      <c r="A70" s="49" t="str">
        <f>HLOOKUP(INDICE!$F$2,Nombres!$C$3:$E$853,160)</f>
        <v>Dotaciones a provisiones y otros resultados</v>
      </c>
      <c r="B70" s="149">
        <v>-4.1684010223999994</v>
      </c>
      <c r="C70" s="84">
        <v>-15.6740215443</v>
      </c>
      <c r="D70" s="84">
        <v>-5.9579330250999991</v>
      </c>
      <c r="E70" s="150">
        <v>13.532758578999999</v>
      </c>
      <c r="F70" s="73">
        <v>-2.2316741844000001</v>
      </c>
      <c r="G70" s="73">
        <v>5.6764092471000005</v>
      </c>
      <c r="H70" s="73">
        <v>-5.1470450626000002</v>
      </c>
    </row>
    <row r="71" spans="1:8" ht="12.75" customHeight="1">
      <c r="A71" s="54" t="str">
        <f>HLOOKUP(INDICE!$F$2,Nombres!$C$3:$E$853,54)</f>
        <v>Beneficio antes de impuestos</v>
      </c>
      <c r="B71" s="147">
        <v>176.1537284897</v>
      </c>
      <c r="C71" s="83">
        <v>151.2158968219</v>
      </c>
      <c r="D71" s="83">
        <v>153.47668423370001</v>
      </c>
      <c r="E71" s="148">
        <v>186.10005579040001</v>
      </c>
      <c r="F71" s="54">
        <v>193.40123832400002</v>
      </c>
      <c r="G71" s="54">
        <v>197.50938597999999</v>
      </c>
      <c r="H71" s="54">
        <v>165.20656738610001</v>
      </c>
    </row>
    <row r="72" spans="1:8" ht="13.5" customHeight="1">
      <c r="A72" s="49" t="str">
        <f>HLOOKUP(INDICE!$F$2,Nombres!$C$3:$E$853,55)</f>
        <v>Impuesto sobre beneficios</v>
      </c>
      <c r="B72" s="149">
        <v>-46.306483972199999</v>
      </c>
      <c r="C72" s="84">
        <v>-40.107802835299999</v>
      </c>
      <c r="D72" s="84">
        <v>-29.139015002400001</v>
      </c>
      <c r="E72" s="150">
        <v>-43.117441812300001</v>
      </c>
      <c r="F72" s="73">
        <v>-55.202966536200002</v>
      </c>
      <c r="G72" s="73">
        <v>-49.368229579200005</v>
      </c>
      <c r="H72" s="73">
        <v>-41.945357184599999</v>
      </c>
    </row>
    <row r="73" spans="1:8" ht="12.75" customHeight="1">
      <c r="A73" s="54" t="str">
        <f>HLOOKUP(INDICE!$F$2,Nombres!$C$3:$E$853,56)</f>
        <v>Beneficio después de impuestos</v>
      </c>
      <c r="B73" s="147">
        <v>129.84724451759999</v>
      </c>
      <c r="C73" s="83">
        <v>111.10809398660001</v>
      </c>
      <c r="D73" s="83">
        <v>124.3376692313</v>
      </c>
      <c r="E73" s="148">
        <v>142.98261397819999</v>
      </c>
      <c r="F73" s="54">
        <v>138.19827178769998</v>
      </c>
      <c r="G73" s="54">
        <v>148.1411564009</v>
      </c>
      <c r="H73" s="54">
        <v>123.26121020140002</v>
      </c>
    </row>
    <row r="74" spans="1:8" ht="12.75" customHeight="1">
      <c r="A74" s="49" t="str">
        <f>HLOOKUP(INDICE!$F$2,Nombres!$C$3:$E$853,57)</f>
        <v>Resultado atribuido a la minoría</v>
      </c>
      <c r="B74" s="149">
        <v>-1.2292542E-3</v>
      </c>
      <c r="C74" s="84">
        <v>-1.2307536E-3</v>
      </c>
      <c r="D74" s="84">
        <v>-1.1884383999999999E-3</v>
      </c>
      <c r="E74" s="150">
        <v>-1.1202186999999999E-3</v>
      </c>
      <c r="F74" s="73">
        <v>-1.0107219999999999E-3</v>
      </c>
      <c r="G74" s="73">
        <v>-1.992869E-3</v>
      </c>
      <c r="H74" s="73">
        <v>-9.964091E-4</v>
      </c>
    </row>
    <row r="75" spans="1:8" ht="15" customHeight="1">
      <c r="A75" s="54" t="str">
        <f>HLOOKUP(INDICE!$F$2,Nombres!$C$3:$E$853,58)</f>
        <v>Beneficio atribuido al Grupo</v>
      </c>
      <c r="B75" s="147">
        <v>129.84601526339998</v>
      </c>
      <c r="C75" s="83">
        <v>111.106863233</v>
      </c>
      <c r="D75" s="83">
        <v>124.33648079290001</v>
      </c>
      <c r="E75" s="148">
        <v>142.98149375950001</v>
      </c>
      <c r="F75" s="54">
        <v>138.19726106569999</v>
      </c>
      <c r="G75" s="54">
        <v>148.139163532</v>
      </c>
      <c r="H75" s="54">
        <v>123.26021379229999</v>
      </c>
    </row>
    <row r="76" spans="1:8" ht="15.75" customHeight="1">
      <c r="A76" s="144" t="str">
        <f>HLOOKUP(INDICE!$F$2,Nombres!$C$3:$E$853,94)</f>
        <v>Balances</v>
      </c>
      <c r="G76" s="74"/>
      <c r="H76" s="74"/>
    </row>
    <row r="77" spans="1:8">
      <c r="A77" s="41" t="str">
        <f>HLOOKUP(INDICE!$F$2,Nombres!$C$3:$E$853,31)</f>
        <v>(Millones de euros constantes)</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Caja y depósitos en bancos centrales</v>
      </c>
      <c r="B79" s="149">
        <v>5511.9744948644002</v>
      </c>
      <c r="C79" s="84">
        <v>4713.9600091324</v>
      </c>
      <c r="D79" s="84">
        <v>4754.5316825219998</v>
      </c>
      <c r="E79" s="150">
        <v>4127.0860896300001</v>
      </c>
      <c r="F79" s="158">
        <v>4647.1608809572999</v>
      </c>
      <c r="G79" s="84">
        <v>4602.7220466541003</v>
      </c>
      <c r="H79" s="84">
        <v>6813.1966138199996</v>
      </c>
    </row>
    <row r="80" spans="1:8">
      <c r="A80" s="49" t="str">
        <f>HLOOKUP(INDICE!$F$2,Nombres!$C$3:$E$853,101)</f>
        <v>Cartera de títulos</v>
      </c>
      <c r="B80" s="149">
        <v>9055.8040286243995</v>
      </c>
      <c r="C80" s="84">
        <v>9550.9647052019009</v>
      </c>
      <c r="D80" s="84">
        <v>10004.0357323601</v>
      </c>
      <c r="E80" s="150">
        <v>12887.9095546058</v>
      </c>
      <c r="F80" s="158">
        <v>13617.357552646199</v>
      </c>
      <c r="G80" s="84">
        <v>14878.4293127244</v>
      </c>
      <c r="H80" s="84">
        <v>14532.890936600001</v>
      </c>
    </row>
    <row r="81" spans="1:8">
      <c r="A81" s="49" t="str">
        <f>HLOOKUP(INDICE!$F$2,Nombres!$C$3:$E$853,102)</f>
        <v>Inversiones crediticias</v>
      </c>
      <c r="B81" s="149">
        <v>50558.845319821099</v>
      </c>
      <c r="C81" s="84">
        <v>51654.2291867889</v>
      </c>
      <c r="D81" s="84">
        <v>52686.545867945097</v>
      </c>
      <c r="E81" s="150">
        <v>55237.324599157</v>
      </c>
      <c r="F81" s="158">
        <v>56894.752049340597</v>
      </c>
      <c r="G81" s="84">
        <v>58648.332705278997</v>
      </c>
      <c r="H81" s="84">
        <v>59514.220056339997</v>
      </c>
    </row>
    <row r="82" spans="1:8">
      <c r="A82" s="49" t="str">
        <f>HLOOKUP(INDICE!$F$2,Nombres!$C$3:$E$853,103)</f>
        <v xml:space="preserve">  . Crédito a la clientela neto</v>
      </c>
      <c r="B82" s="149">
        <v>48760.444520304598</v>
      </c>
      <c r="C82" s="84">
        <v>49810.792693913303</v>
      </c>
      <c r="D82" s="84">
        <v>50750.128709982098</v>
      </c>
      <c r="E82" s="150">
        <v>53076.7701833069</v>
      </c>
      <c r="F82" s="158">
        <v>54833.329052511202</v>
      </c>
      <c r="G82" s="84">
        <v>56343.339016653998</v>
      </c>
      <c r="H82" s="84">
        <v>57303.818501479996</v>
      </c>
    </row>
    <row r="83" spans="1:8">
      <c r="A83" s="49" t="str">
        <f>HLOOKUP(INDICE!$F$2,Nombres!$C$3:$E$853,104)</f>
        <v xml:space="preserve">  . Depósitos en entidades de crédito y otros</v>
      </c>
      <c r="B83" s="149">
        <v>1798.4007995165002</v>
      </c>
      <c r="C83" s="84">
        <v>1843.4364928755999</v>
      </c>
      <c r="D83" s="84">
        <v>1936.4171579630001</v>
      </c>
      <c r="E83" s="150">
        <v>2160.5544158501998</v>
      </c>
      <c r="F83" s="158">
        <v>2061.4229968294003</v>
      </c>
      <c r="G83" s="84">
        <v>2304.9936886249002</v>
      </c>
      <c r="H83" s="84">
        <v>2210.40155486</v>
      </c>
    </row>
    <row r="84" spans="1:8">
      <c r="A84" s="49" t="str">
        <f>HLOOKUP(INDICE!$F$2,Nombres!$C$3:$E$853,105)</f>
        <v>Posiciones inter-áreas activo</v>
      </c>
      <c r="B84" s="149">
        <v>0</v>
      </c>
      <c r="C84" s="84">
        <v>10.905088206607616</v>
      </c>
      <c r="D84" s="84">
        <v>812.75614705360204</v>
      </c>
      <c r="E84" s="150">
        <v>0</v>
      </c>
      <c r="F84" s="158">
        <v>0</v>
      </c>
      <c r="G84" s="84">
        <v>100.2821247492102</v>
      </c>
      <c r="H84" s="84">
        <v>0</v>
      </c>
    </row>
    <row r="85" spans="1:8">
      <c r="A85" s="49" t="str">
        <f>HLOOKUP(INDICE!$F$2,Nombres!$C$3:$E$853,106)</f>
        <v>Activo material</v>
      </c>
      <c r="B85" s="149">
        <v>809.25688500640001</v>
      </c>
      <c r="C85" s="84">
        <v>796.60111333429995</v>
      </c>
      <c r="D85" s="84">
        <v>791.91728385850001</v>
      </c>
      <c r="E85" s="150">
        <v>785.44736124350004</v>
      </c>
      <c r="F85" s="158">
        <v>778.81016980499999</v>
      </c>
      <c r="G85" s="84">
        <v>767.57795499739996</v>
      </c>
      <c r="H85" s="84">
        <v>756.71154002000003</v>
      </c>
    </row>
    <row r="86" spans="1:8">
      <c r="A86" s="49" t="str">
        <f>HLOOKUP(INDICE!$F$2,Nombres!$C$3:$E$853,107)</f>
        <v>Otros activos</v>
      </c>
      <c r="B86" s="149">
        <v>2682.4421641238</v>
      </c>
      <c r="C86" s="84">
        <v>2574.9758179739001</v>
      </c>
      <c r="D86" s="84">
        <v>2856.4654355058001</v>
      </c>
      <c r="E86" s="150">
        <v>2022.4487333053</v>
      </c>
      <c r="F86" s="158">
        <v>1784.6106310728001</v>
      </c>
      <c r="G86" s="84">
        <v>1710.8253939746</v>
      </c>
      <c r="H86" s="84">
        <v>1829.82371328</v>
      </c>
    </row>
    <row r="87" spans="1:8">
      <c r="A87" s="54" t="str">
        <f>HLOOKUP(INDICE!$F$2,Nombres!$C$3:$E$853,108)</f>
        <v>Total activo / pasivo</v>
      </c>
      <c r="B87" s="147">
        <v>68618.322892440105</v>
      </c>
      <c r="C87" s="83">
        <v>69301.635920638204</v>
      </c>
      <c r="D87" s="83">
        <v>71906.252149244901</v>
      </c>
      <c r="E87" s="148">
        <v>75060.216337941703</v>
      </c>
      <c r="F87" s="147">
        <v>77722.691283821914</v>
      </c>
      <c r="G87" s="83">
        <v>80708.169538378701</v>
      </c>
      <c r="H87" s="83">
        <v>83446.842860060002</v>
      </c>
    </row>
    <row r="88" spans="1:8">
      <c r="A88" s="49" t="str">
        <f>HLOOKUP(INDICE!$F$2,Nombres!$C$3:$E$853,109)</f>
        <v>Depósitos de bancos centrales y entidades de crédito</v>
      </c>
      <c r="B88" s="149">
        <v>4532.6274613079004</v>
      </c>
      <c r="C88" s="84">
        <v>5804.549051465</v>
      </c>
      <c r="D88" s="84">
        <v>5707.5680442885996</v>
      </c>
      <c r="E88" s="150">
        <v>6248.0441514516997</v>
      </c>
      <c r="F88" s="158">
        <v>7249.1082687312</v>
      </c>
      <c r="G88" s="84">
        <v>7796.0450404352996</v>
      </c>
      <c r="H88" s="84">
        <v>7093.43110832</v>
      </c>
    </row>
    <row r="89" spans="1:8">
      <c r="A89" s="49" t="str">
        <f>HLOOKUP(INDICE!$F$2,Nombres!$C$3:$E$853,110)</f>
        <v>Depósitos de la clientela</v>
      </c>
      <c r="B89" s="149">
        <v>52350.724160828599</v>
      </c>
      <c r="C89" s="84">
        <v>53671.783251300098</v>
      </c>
      <c r="D89" s="84">
        <v>54834.295895066301</v>
      </c>
      <c r="E89" s="150">
        <v>55697.221628993502</v>
      </c>
      <c r="F89" s="158">
        <v>56985.539696842498</v>
      </c>
      <c r="G89" s="84">
        <v>57496.762772617301</v>
      </c>
      <c r="H89" s="84">
        <v>60135.077669159997</v>
      </c>
    </row>
    <row r="90" spans="1:8">
      <c r="A90" s="49" t="str">
        <f>HLOOKUP(INDICE!$F$2,Nombres!$C$3:$E$853,111)</f>
        <v>Débitos representados por valores negociables</v>
      </c>
      <c r="B90" s="149">
        <v>0</v>
      </c>
      <c r="C90" s="84">
        <v>0</v>
      </c>
      <c r="D90" s="84">
        <v>887.65241554099998</v>
      </c>
      <c r="E90" s="150">
        <v>890.73881561819996</v>
      </c>
      <c r="F90" s="158">
        <v>889.12994295149997</v>
      </c>
      <c r="G90" s="84">
        <v>894.70239164409998</v>
      </c>
      <c r="H90" s="84">
        <v>889.05</v>
      </c>
    </row>
    <row r="91" spans="1:8">
      <c r="A91" s="49" t="str">
        <f>HLOOKUP(INDICE!$F$2,Nombres!$C$3:$E$853,112)</f>
        <v>Pasivos subordinados</v>
      </c>
      <c r="B91" s="149">
        <v>801.55312281509998</v>
      </c>
      <c r="C91" s="84">
        <v>794.17343026449998</v>
      </c>
      <c r="D91" s="84">
        <v>799.24317671819995</v>
      </c>
      <c r="E91" s="150">
        <v>803.89906244719998</v>
      </c>
      <c r="F91" s="158">
        <v>812.47354361960004</v>
      </c>
      <c r="G91" s="84">
        <v>1403.0413772003999</v>
      </c>
      <c r="H91" s="84">
        <v>1453.08639733</v>
      </c>
    </row>
    <row r="92" spans="1:8">
      <c r="A92" s="49" t="str">
        <f>HLOOKUP(INDICE!$F$2,Nombres!$C$3:$E$853,113)</f>
        <v>Posiciones inter-áreas pasivo</v>
      </c>
      <c r="B92" s="149">
        <v>2053.8277000618109</v>
      </c>
      <c r="C92" s="84">
        <v>0</v>
      </c>
      <c r="D92" s="84">
        <v>0</v>
      </c>
      <c r="E92" s="150">
        <v>373.66586085580639</v>
      </c>
      <c r="F92" s="158">
        <v>214.56116342611494</v>
      </c>
      <c r="G92" s="84">
        <v>0</v>
      </c>
      <c r="H92" s="84">
        <v>1220.310811280011</v>
      </c>
    </row>
    <row r="93" spans="1:8">
      <c r="A93" s="49" t="str">
        <f>HLOOKUP(INDICE!$F$2,Nombres!$C$3:$E$853,114)</f>
        <v>Cartera de negociación</v>
      </c>
      <c r="B93" s="149">
        <v>218.67175692859999</v>
      </c>
      <c r="C93" s="84">
        <v>222.88507071559999</v>
      </c>
      <c r="D93" s="84">
        <v>412.74697607019999</v>
      </c>
      <c r="E93" s="150">
        <v>2537.2020249911998</v>
      </c>
      <c r="F93" s="158">
        <v>3353.6817515279999</v>
      </c>
      <c r="G93" s="84">
        <v>4574.9553700937004</v>
      </c>
      <c r="H93" s="84">
        <v>3936.8696869999999</v>
      </c>
    </row>
    <row r="94" spans="1:8">
      <c r="A94" s="49" t="str">
        <f>HLOOKUP(INDICE!$F$2,Nombres!$C$3:$E$853,115)</f>
        <v>Otros pasivos</v>
      </c>
      <c r="B94" s="149">
        <v>5846.8966326109003</v>
      </c>
      <c r="C94" s="84">
        <v>5892.8582087899003</v>
      </c>
      <c r="D94" s="84">
        <v>6501.2324064778004</v>
      </c>
      <c r="E94" s="150">
        <v>5743.6866266184015</v>
      </c>
      <c r="F94" s="158">
        <v>5411.5462565465004</v>
      </c>
      <c r="G94" s="84">
        <v>5616.8582253127988</v>
      </c>
      <c r="H94" s="84">
        <v>5751.6445519599993</v>
      </c>
    </row>
    <row r="95" spans="1:8" ht="12" customHeight="1">
      <c r="A95" s="49" t="str">
        <f>HLOOKUP(INDICE!$F$2,Nombres!$C$3:$E$853,116)</f>
        <v>Dotación de capital económico</v>
      </c>
      <c r="B95" s="149">
        <v>2814.0220578870999</v>
      </c>
      <c r="C95" s="84">
        <v>2915.3869081030002</v>
      </c>
      <c r="D95" s="84">
        <v>2763.5132350827998</v>
      </c>
      <c r="E95" s="150">
        <v>2765.7581669657998</v>
      </c>
      <c r="F95" s="158">
        <v>2806.6506601765</v>
      </c>
      <c r="G95" s="84">
        <v>2925.8043610752002</v>
      </c>
      <c r="H95" s="84">
        <v>2967.3726350100001</v>
      </c>
    </row>
    <row r="96" spans="1:8" ht="12" customHeight="1">
      <c r="A96" s="144" t="str">
        <f>HLOOKUP(INDICE!$F$2,Nombres!$C$3:$E$853,117)</f>
        <v>Indicadores relevantes</v>
      </c>
      <c r="G96" s="74"/>
      <c r="H96" s="74"/>
    </row>
    <row r="97" spans="1:8" ht="18">
      <c r="A97" s="144" t="str">
        <f>HLOOKUP(INDICE!$F$2,Nombres!$C$3:$E$853,201)</f>
        <v>Anexo:</v>
      </c>
      <c r="G97" s="74"/>
      <c r="H97" s="74"/>
    </row>
    <row r="98" spans="1:8" ht="12" customHeight="1">
      <c r="A98" s="41" t="str">
        <f>HLOOKUP(INDICE!$F$2,Nombres!$C$3:$E$853,31)</f>
        <v>(Millones de euros constantes)</v>
      </c>
      <c r="G98" s="74"/>
      <c r="H98" s="74"/>
    </row>
    <row r="99" spans="1:8" ht="11.25" customHeight="1">
      <c r="A99" s="153"/>
      <c r="B99" s="81">
        <v>41729</v>
      </c>
      <c r="C99" s="82">
        <v>41820</v>
      </c>
      <c r="D99" s="82">
        <v>41912</v>
      </c>
      <c r="E99" s="82">
        <v>42004</v>
      </c>
      <c r="F99" s="81">
        <v>42094</v>
      </c>
      <c r="G99" s="82">
        <v>42185</v>
      </c>
      <c r="H99" s="82">
        <v>42277</v>
      </c>
    </row>
    <row r="100" spans="1:8">
      <c r="A100" s="49" t="str">
        <f>HLOOKUP(INDICE!$F$2,Nombres!$C$3:$E$853,118)</f>
        <v>Crédito a la clientela bruto (*)</v>
      </c>
      <c r="B100" s="155">
        <v>49543.738882390804</v>
      </c>
      <c r="C100" s="157">
        <v>50590.061502968398</v>
      </c>
      <c r="D100" s="157">
        <v>51503.460331839196</v>
      </c>
      <c r="E100" s="157">
        <v>53825.443624871703</v>
      </c>
      <c r="F100" s="155">
        <v>55583.795084591606</v>
      </c>
      <c r="G100" s="157">
        <v>57104.353859456998</v>
      </c>
      <c r="H100" s="157">
        <v>58057.936464089995</v>
      </c>
    </row>
    <row r="101" spans="1:8">
      <c r="A101" s="49" t="str">
        <f>HLOOKUP(INDICE!$F$2,Nombres!$C$3:$E$853,121)</f>
        <v>Depósitos de clientes en gestión (**)</v>
      </c>
      <c r="B101" s="155">
        <v>48665.102046831802</v>
      </c>
      <c r="C101" s="157">
        <v>51726.399326310602</v>
      </c>
      <c r="D101" s="157">
        <v>53565.714733314897</v>
      </c>
      <c r="E101" s="157">
        <v>54287.558857293203</v>
      </c>
      <c r="F101" s="155">
        <v>56108.532584613196</v>
      </c>
      <c r="G101" s="157">
        <v>56387.100641812998</v>
      </c>
      <c r="H101" s="157">
        <v>57726.680641170002</v>
      </c>
    </row>
    <row r="102" spans="1:8">
      <c r="A102" s="49" t="str">
        <f>HLOOKUP(INDICE!$F$2,Nombres!$C$3:$E$853,122)</f>
        <v>Fondos de inversión</v>
      </c>
      <c r="B102" s="238">
        <v>0</v>
      </c>
      <c r="C102" s="239">
        <v>0</v>
      </c>
      <c r="D102" s="239">
        <v>0</v>
      </c>
      <c r="E102" s="239">
        <v>0</v>
      </c>
      <c r="F102" s="238">
        <v>0</v>
      </c>
      <c r="G102" s="239">
        <v>0</v>
      </c>
      <c r="H102" s="239">
        <v>0</v>
      </c>
    </row>
    <row r="103" spans="1:8">
      <c r="A103" s="49" t="str">
        <f>HLOOKUP(INDICE!$F$2,Nombres!$C$3:$E$853,206)</f>
        <v>Fondos de pensiones</v>
      </c>
      <c r="B103" s="240">
        <v>0</v>
      </c>
      <c r="C103" s="236">
        <v>0</v>
      </c>
      <c r="D103" s="236">
        <v>0</v>
      </c>
      <c r="E103" s="236">
        <v>0</v>
      </c>
      <c r="F103" s="240">
        <v>0</v>
      </c>
      <c r="G103" s="236">
        <v>0</v>
      </c>
      <c r="H103" s="236">
        <v>0</v>
      </c>
    </row>
    <row r="104" spans="1:8">
      <c r="A104" s="49" t="str">
        <f>HLOOKUP(INDICE!$F$2,Nombres!$C$3:$E$853,308)</f>
        <v>Otros recursos fuera de balance</v>
      </c>
      <c r="B104" s="240">
        <v>0</v>
      </c>
      <c r="C104" s="236">
        <v>0</v>
      </c>
      <c r="D104" s="236">
        <v>0</v>
      </c>
      <c r="E104" s="236">
        <v>0</v>
      </c>
      <c r="F104" s="240">
        <v>0</v>
      </c>
      <c r="G104" s="236">
        <v>0</v>
      </c>
      <c r="H104" s="236">
        <v>0</v>
      </c>
    </row>
    <row r="105" spans="1:8">
      <c r="A105" s="156" t="str">
        <f>HLOOKUP(INDICE!$F$2,Nombres!$C$3:$E$853,307)</f>
        <v>(*) No incluye las adquisiciones temporales de activos.</v>
      </c>
      <c r="B105" s="72"/>
      <c r="C105" s="73"/>
      <c r="D105" s="73"/>
      <c r="E105" s="73"/>
      <c r="F105" s="73"/>
    </row>
    <row r="106" spans="1:8">
      <c r="A106" s="156" t="str">
        <f>HLOOKUP(INDICE!$F$2,Nombres!$C$3:$E$853,285)</f>
        <v>(**) No incluye las cesiones temporales de activos.</v>
      </c>
      <c r="B106" s="72"/>
      <c r="C106" s="73"/>
      <c r="D106" s="73"/>
      <c r="E106" s="73"/>
      <c r="F106" s="73"/>
    </row>
  </sheetData>
  <mergeCells count="4">
    <mergeCell ref="B4:E4"/>
    <mergeCell ref="F4:H4"/>
    <mergeCell ref="B56:E56"/>
    <mergeCell ref="F56:H56"/>
  </mergeCells>
  <pageMargins left="0.7" right="0.7" top="0.75" bottom="0.75" header="0.3" footer="0.3"/>
  <pageSetup paperSize="9" scale="4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H105"/>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HLOOKUP(INDICE!$F$2,Nombres!$C$3:$E$853,295)</f>
        <v xml:space="preserve">Turquía </v>
      </c>
    </row>
    <row r="2" spans="1:8" ht="18">
      <c r="A2" s="144" t="str">
        <f>HLOOKUP(INDICE!$F$2,Nombres!$C$3:$E$853,304)</f>
        <v>Cuentas de resultados (*)</v>
      </c>
      <c r="B2" s="192"/>
      <c r="C2" s="145"/>
      <c r="D2" s="145"/>
      <c r="E2" s="145"/>
    </row>
    <row r="3" spans="1:8">
      <c r="A3" s="41" t="str">
        <f>HLOOKUP(INDICE!$F$2,Nombres!$C$3:$E$853,30)</f>
        <v>(Millones de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146.34886950000001</v>
      </c>
      <c r="C6" s="83">
        <v>167.27188501000001</v>
      </c>
      <c r="D6" s="83">
        <v>196.55727318000001</v>
      </c>
      <c r="E6" s="148">
        <v>224.46315089000001</v>
      </c>
      <c r="F6" s="83">
        <v>210.40501202999999</v>
      </c>
      <c r="G6" s="83">
        <v>214.60152532000001</v>
      </c>
      <c r="H6" s="83">
        <v>895.37266418000002</v>
      </c>
    </row>
    <row r="7" spans="1:8">
      <c r="A7" s="49" t="str">
        <f>HLOOKUP(INDICE!$F$2,Nombres!$C$3:$E$853,39)</f>
        <v>Comisiones</v>
      </c>
      <c r="B7" s="149">
        <v>41.73</v>
      </c>
      <c r="C7" s="84">
        <v>52.956000000000003</v>
      </c>
      <c r="D7" s="84">
        <v>47.693999999999996</v>
      </c>
      <c r="E7" s="150">
        <v>48.449999999999996</v>
      </c>
      <c r="F7" s="84">
        <v>49.620999999999995</v>
      </c>
      <c r="G7" s="84">
        <v>48.449999999999996</v>
      </c>
      <c r="H7" s="84">
        <v>169.39899998999999</v>
      </c>
    </row>
    <row r="8" spans="1:8">
      <c r="A8" s="49" t="str">
        <f>HLOOKUP(INDICE!$F$2,Nombres!$C$3:$E$853,40)</f>
        <v>Resultados de operaciones financieras</v>
      </c>
      <c r="B8" s="149">
        <v>17.852</v>
      </c>
      <c r="C8" s="84">
        <v>8.0510000000000002</v>
      </c>
      <c r="D8" s="84">
        <v>-2.7030000000000003</v>
      </c>
      <c r="E8" s="150">
        <v>-21.917000000000002</v>
      </c>
      <c r="F8" s="84">
        <v>-14.707000000000001</v>
      </c>
      <c r="G8" s="84">
        <v>-7.0299999999999994</v>
      </c>
      <c r="H8" s="84">
        <v>-217.45799999999997</v>
      </c>
    </row>
    <row r="9" spans="1:8">
      <c r="A9" s="49" t="str">
        <f>HLOOKUP(INDICE!$F$2,Nombres!$C$3:$E$853,95)</f>
        <v>Otros ingresos netos</v>
      </c>
      <c r="B9" s="149">
        <v>3.7839999999999998</v>
      </c>
      <c r="C9" s="84">
        <v>3.6260000000000003</v>
      </c>
      <c r="D9" s="84">
        <v>4.3250000000000002</v>
      </c>
      <c r="E9" s="150">
        <v>5.9110000000000005</v>
      </c>
      <c r="F9" s="84">
        <v>4.7380000000000004</v>
      </c>
      <c r="G9" s="84">
        <v>4.2690000000000001</v>
      </c>
      <c r="H9" s="84">
        <v>13.477</v>
      </c>
    </row>
    <row r="10" spans="1:8">
      <c r="A10" s="54" t="str">
        <f>HLOOKUP(INDICE!$F$2,Nombres!$C$3:$E$853,44)</f>
        <v>Margen bruto</v>
      </c>
      <c r="B10" s="147">
        <v>209.71486949999999</v>
      </c>
      <c r="C10" s="83">
        <v>231.90488501000002</v>
      </c>
      <c r="D10" s="83">
        <v>245.87327318000001</v>
      </c>
      <c r="E10" s="148">
        <v>256.90715089000003</v>
      </c>
      <c r="F10" s="83">
        <v>250.05701203000001</v>
      </c>
      <c r="G10" s="83">
        <v>260.29052531999997</v>
      </c>
      <c r="H10" s="83">
        <v>860.7906641699999</v>
      </c>
    </row>
    <row r="11" spans="1:8">
      <c r="A11" s="49" t="str">
        <f>HLOOKUP(INDICE!$F$2,Nombres!$C$3:$E$853,45)</f>
        <v>Gastos de explotación</v>
      </c>
      <c r="B11" s="149">
        <v>-91.783929000000001</v>
      </c>
      <c r="C11" s="84">
        <v>-94.406953000000001</v>
      </c>
      <c r="D11" s="84">
        <v>-101.82176263740001</v>
      </c>
      <c r="E11" s="150">
        <v>-106.6560903626</v>
      </c>
      <c r="F11" s="84">
        <v>-109.90620700000001</v>
      </c>
      <c r="G11" s="84">
        <v>-111.40645599999999</v>
      </c>
      <c r="H11" s="84">
        <v>-464.92638497999997</v>
      </c>
    </row>
    <row r="12" spans="1:8">
      <c r="A12" s="49" t="str">
        <f>HLOOKUP(INDICE!$F$2,Nombres!$C$3:$E$853,46)</f>
        <v xml:space="preserve">  Gastos de administración</v>
      </c>
      <c r="B12" s="149">
        <v>-83.521676999999997</v>
      </c>
      <c r="C12" s="84">
        <v>-85.716701</v>
      </c>
      <c r="D12" s="84">
        <v>-92.8525056374</v>
      </c>
      <c r="E12" s="150">
        <v>-97.385829362599992</v>
      </c>
      <c r="F12" s="84">
        <v>-100.33795500000001</v>
      </c>
      <c r="G12" s="84">
        <v>-102.403205</v>
      </c>
      <c r="H12" s="84">
        <v>-402.68612797999992</v>
      </c>
    </row>
    <row r="13" spans="1:8">
      <c r="A13" s="88" t="str">
        <f>HLOOKUP(INDICE!$F$2,Nombres!$C$3:$E$853,47)</f>
        <v xml:space="preserve">  Gastos de personal</v>
      </c>
      <c r="B13" s="149">
        <v>-46.930352999999997</v>
      </c>
      <c r="C13" s="84">
        <v>-50.525183999999996</v>
      </c>
      <c r="D13" s="84">
        <v>-52.746526000000003</v>
      </c>
      <c r="E13" s="150">
        <v>-51.644427</v>
      </c>
      <c r="F13" s="84">
        <v>-56.248039999999996</v>
      </c>
      <c r="G13" s="84">
        <v>-55.285052999999998</v>
      </c>
      <c r="H13" s="84">
        <v>-236.58512297999999</v>
      </c>
    </row>
    <row r="14" spans="1:8">
      <c r="A14" s="88" t="str">
        <f>HLOOKUP(INDICE!$F$2,Nombres!$C$3:$E$853,48)</f>
        <v xml:space="preserve">  Otros gastos generales de administración</v>
      </c>
      <c r="B14" s="149">
        <v>-36.591324</v>
      </c>
      <c r="C14" s="84">
        <v>-35.191516999999997</v>
      </c>
      <c r="D14" s="84">
        <v>-40.105979637399997</v>
      </c>
      <c r="E14" s="150">
        <v>-45.741402362599999</v>
      </c>
      <c r="F14" s="84">
        <v>-44.089914999999998</v>
      </c>
      <c r="G14" s="84">
        <v>-47.118152000000002</v>
      </c>
      <c r="H14" s="84">
        <v>-166.10100499999999</v>
      </c>
    </row>
    <row r="15" spans="1:8" ht="13.5" customHeight="1">
      <c r="A15" s="49" t="str">
        <f>HLOOKUP(INDICE!$F$2,Nombres!$C$3:$E$853,49)</f>
        <v xml:space="preserve">  Amortizaciones</v>
      </c>
      <c r="B15" s="149">
        <v>-8.2622520000000002</v>
      </c>
      <c r="C15" s="84">
        <v>-8.690252000000001</v>
      </c>
      <c r="D15" s="84">
        <v>-8.9692569999999989</v>
      </c>
      <c r="E15" s="150">
        <v>-9.2702609999999996</v>
      </c>
      <c r="F15" s="84">
        <v>-9.5682520000000011</v>
      </c>
      <c r="G15" s="84">
        <v>-9.0032510000000006</v>
      </c>
      <c r="H15" s="84">
        <v>-62.240257</v>
      </c>
    </row>
    <row r="16" spans="1:8" ht="12.75" customHeight="1">
      <c r="A16" s="54" t="str">
        <f>HLOOKUP(INDICE!$F$2,Nombres!$C$3:$E$853,50)</f>
        <v>Margen neto</v>
      </c>
      <c r="B16" s="147">
        <v>117.93094049999999</v>
      </c>
      <c r="C16" s="83">
        <v>137.49793201</v>
      </c>
      <c r="D16" s="83">
        <v>144.0515105426</v>
      </c>
      <c r="E16" s="148">
        <v>150.2510605274</v>
      </c>
      <c r="F16" s="83">
        <v>140.15080502999999</v>
      </c>
      <c r="G16" s="83">
        <v>148.88406932000001</v>
      </c>
      <c r="H16" s="83">
        <v>395.86427918999999</v>
      </c>
    </row>
    <row r="17" spans="1:8" ht="13.5" customHeight="1">
      <c r="A17" s="49" t="str">
        <f>HLOOKUP(INDICE!$F$2,Nombres!$C$3:$E$853,51)</f>
        <v>Pérdidas por deterioro de activos financieros</v>
      </c>
      <c r="B17" s="149">
        <v>-25.16</v>
      </c>
      <c r="C17" s="84">
        <v>-25.331000000000003</v>
      </c>
      <c r="D17" s="84">
        <v>-50.100999999999999</v>
      </c>
      <c r="E17" s="150">
        <v>-45.805</v>
      </c>
      <c r="F17" s="84">
        <v>-33.067999999999998</v>
      </c>
      <c r="G17" s="84">
        <v>-37.912999999999997</v>
      </c>
      <c r="H17" s="84">
        <v>-152.727</v>
      </c>
    </row>
    <row r="18" spans="1:8" ht="13.5" customHeight="1">
      <c r="A18" s="49" t="str">
        <f>HLOOKUP(INDICE!$F$2,Nombres!$C$3:$E$853,160)</f>
        <v>Dotaciones a provisiones y otros resultados</v>
      </c>
      <c r="B18" s="149">
        <v>-4.5600000000000005</v>
      </c>
      <c r="C18" s="84">
        <v>-4.3740000000000006</v>
      </c>
      <c r="D18" s="84">
        <v>6.8929999999999998</v>
      </c>
      <c r="E18" s="150">
        <v>-9.0239999999999991</v>
      </c>
      <c r="F18" s="84">
        <v>-0.47799999999999987</v>
      </c>
      <c r="G18" s="84">
        <v>1.0269999999999997</v>
      </c>
      <c r="H18" s="84">
        <v>-1.7940000000000007</v>
      </c>
    </row>
    <row r="19" spans="1:8" ht="12.75" customHeight="1">
      <c r="A19" s="54" t="str">
        <f>HLOOKUP(INDICE!$F$2,Nombres!$C$3:$E$853,54)</f>
        <v>Beneficio antes de impuestos</v>
      </c>
      <c r="B19" s="147">
        <v>88.210940499999992</v>
      </c>
      <c r="C19" s="83">
        <v>107.79293201000002</v>
      </c>
      <c r="D19" s="83">
        <v>100.8435105426</v>
      </c>
      <c r="E19" s="148">
        <v>95.422060527399992</v>
      </c>
      <c r="F19" s="83">
        <v>106.60480502999999</v>
      </c>
      <c r="G19" s="83">
        <v>111.99806932</v>
      </c>
      <c r="H19" s="83">
        <v>241.34327919</v>
      </c>
    </row>
    <row r="20" spans="1:8" ht="13.5" customHeight="1">
      <c r="A20" s="49" t="str">
        <f>HLOOKUP(INDICE!$F$2,Nombres!$C$3:$E$853,55)</f>
        <v>Impuesto sobre beneficios</v>
      </c>
      <c r="B20" s="149">
        <v>-18.557582149999998</v>
      </c>
      <c r="C20" s="84">
        <v>-22.917379599999997</v>
      </c>
      <c r="D20" s="84">
        <v>-19.907787159999998</v>
      </c>
      <c r="E20" s="150">
        <v>-20.399074159999998</v>
      </c>
      <c r="F20" s="84">
        <v>-20.910441509999998</v>
      </c>
      <c r="G20" s="84">
        <v>-23.258720789999998</v>
      </c>
      <c r="H20" s="84">
        <v>-41.106282059999998</v>
      </c>
    </row>
    <row r="21" spans="1:8" ht="13.5" customHeight="1">
      <c r="A21" s="54" t="str">
        <f>HLOOKUP(INDICE!$F$2,Nombres!$C$3:$E$853,56)</f>
        <v>Beneficio después de impuestos</v>
      </c>
      <c r="B21" s="147">
        <v>69.653358349999991</v>
      </c>
      <c r="C21" s="83">
        <v>84.875552409999997</v>
      </c>
      <c r="D21" s="83">
        <v>80.935723382600003</v>
      </c>
      <c r="E21" s="148">
        <v>75.022986367399994</v>
      </c>
      <c r="F21" s="83">
        <v>85.694363519999996</v>
      </c>
      <c r="G21" s="83">
        <v>88.739348530000001</v>
      </c>
      <c r="H21" s="83">
        <v>200.23699712999996</v>
      </c>
    </row>
    <row r="22" spans="1:8" ht="12" customHeight="1">
      <c r="A22" s="49" t="str">
        <f>HLOOKUP(INDICE!$F$2,Nombres!$C$3:$E$853,57)</f>
        <v>Resultado atribuido a la minoría</v>
      </c>
      <c r="B22" s="241">
        <v>0</v>
      </c>
      <c r="C22" s="236">
        <v>0</v>
      </c>
      <c r="D22" s="236">
        <v>0</v>
      </c>
      <c r="E22" s="237">
        <v>0</v>
      </c>
      <c r="F22" s="236">
        <v>0</v>
      </c>
      <c r="G22" s="236">
        <v>0</v>
      </c>
      <c r="H22" s="84">
        <v>-125.18200000000002</v>
      </c>
    </row>
    <row r="23" spans="1:8" ht="14.25" customHeight="1">
      <c r="A23" s="54" t="str">
        <f>HLOOKUP(INDICE!$F$2,Nombres!$C$3:$E$853,58)</f>
        <v>Beneficio atribuido al Grupo</v>
      </c>
      <c r="B23" s="147">
        <v>69.653358349999991</v>
      </c>
      <c r="C23" s="83">
        <v>84.875552409999997</v>
      </c>
      <c r="D23" s="83">
        <v>80.935723382600003</v>
      </c>
      <c r="E23" s="148">
        <v>75.022986367399994</v>
      </c>
      <c r="F23" s="83">
        <v>85.694363519999996</v>
      </c>
      <c r="G23" s="83">
        <v>88.739348530000001</v>
      </c>
      <c r="H23" s="83">
        <v>75.054997130000004</v>
      </c>
    </row>
    <row r="24" spans="1:8" ht="39" customHeight="1">
      <c r="A24" s="251" t="str">
        <f>HLOOKUP(INDICE!$F$2,Nombres!$C$3:$E$853,289)</f>
        <v>(*) Desde el tercer trimestre de 2015, la participación total de BBVA en Garanti se consolida por el método de integración global. Para periodos anteriores, los ingresos y gastos de Garanti se integran en la proporción correspondiente al porcentaje de participación del Grupo (25,01%).</v>
      </c>
      <c r="B24" s="251"/>
      <c r="C24" s="251"/>
      <c r="D24" s="251"/>
      <c r="E24" s="251"/>
      <c r="F24" s="251"/>
      <c r="G24" s="251"/>
      <c r="H24" s="251"/>
    </row>
    <row r="25" spans="1:8" ht="12.75" customHeight="1">
      <c r="A25" s="144" t="str">
        <f>HLOOKUP(INDICE!$F$2,Nombres!$C$3:$E$853,293)</f>
        <v>Balances (*)</v>
      </c>
      <c r="B25" s="192"/>
      <c r="C25" s="170"/>
      <c r="D25" s="170"/>
      <c r="E25" s="170"/>
      <c r="F25" s="170"/>
      <c r="G25" s="170"/>
      <c r="H25" s="170"/>
    </row>
    <row r="26" spans="1:8" ht="13.5" customHeight="1">
      <c r="A26" s="41" t="str">
        <f>HLOOKUP(INDICE!$F$2,Nombres!$C$3:$E$853,30)</f>
        <v>(Millones de euros)</v>
      </c>
      <c r="B26" s="81">
        <v>41729</v>
      </c>
      <c r="C26" s="82">
        <v>41820</v>
      </c>
      <c r="D26" s="82">
        <v>41912</v>
      </c>
      <c r="E26" s="82">
        <v>42004</v>
      </c>
      <c r="F26" s="81">
        <v>42094</v>
      </c>
      <c r="G26" s="82">
        <v>42185</v>
      </c>
      <c r="H26" s="82">
        <v>42277</v>
      </c>
    </row>
    <row r="27" spans="1:8">
      <c r="A27" s="49" t="str">
        <f>HLOOKUP(INDICE!$F$2,Nombres!$C$3:$E$853,100)</f>
        <v>Caja y depósitos en bancos centrales</v>
      </c>
      <c r="B27" s="149">
        <v>2023.8420000000001</v>
      </c>
      <c r="C27" s="84">
        <v>2205.8809999999999</v>
      </c>
      <c r="D27" s="84">
        <v>2226.152</v>
      </c>
      <c r="E27" s="150">
        <v>2478.34</v>
      </c>
      <c r="F27" s="84">
        <v>2430.1469999999999</v>
      </c>
      <c r="G27" s="84">
        <v>2316.5509999999999</v>
      </c>
      <c r="H27" s="84">
        <v>10434.996999999999</v>
      </c>
    </row>
    <row r="28" spans="1:8">
      <c r="A28" s="49" t="str">
        <f>HLOOKUP(INDICE!$F$2,Nombres!$C$3:$E$853,101)</f>
        <v>Cartera de títulos</v>
      </c>
      <c r="B28" s="149">
        <v>3847.7910000000002</v>
      </c>
      <c r="C28" s="84">
        <v>4122.3959999999997</v>
      </c>
      <c r="D28" s="84">
        <v>4282.2110000000002</v>
      </c>
      <c r="E28" s="150">
        <v>4508.1210000000001</v>
      </c>
      <c r="F28" s="84">
        <v>4469.3050000000003</v>
      </c>
      <c r="G28" s="84">
        <v>4298.3500000000004</v>
      </c>
      <c r="H28" s="84">
        <v>15810.384</v>
      </c>
    </row>
    <row r="29" spans="1:8">
      <c r="A29" s="49" t="str">
        <f>HLOOKUP(INDICE!$F$2,Nombres!$C$3:$E$853,102)</f>
        <v>Inversiones crediticias</v>
      </c>
      <c r="B29" s="149">
        <v>12747.96</v>
      </c>
      <c r="C29" s="84">
        <v>13095.614</v>
      </c>
      <c r="D29" s="84">
        <v>13997.549000000001</v>
      </c>
      <c r="E29" s="150">
        <v>14464.214</v>
      </c>
      <c r="F29" s="84">
        <v>15748.941000000001</v>
      </c>
      <c r="G29" s="84">
        <v>15036.8</v>
      </c>
      <c r="H29" s="84">
        <v>57719.224000000002</v>
      </c>
    </row>
    <row r="30" spans="1:8">
      <c r="A30" s="49" t="str">
        <f>HLOOKUP(INDICE!$F$2,Nombres!$C$3:$E$853,103)</f>
        <v xml:space="preserve">  . Crédito a la clientela neto</v>
      </c>
      <c r="B30" s="149">
        <v>11334.891</v>
      </c>
      <c r="C30" s="84">
        <v>11823.876</v>
      </c>
      <c r="D30" s="84">
        <v>12633.233</v>
      </c>
      <c r="E30" s="150">
        <v>13097.802</v>
      </c>
      <c r="F30" s="84">
        <v>14176.656000000001</v>
      </c>
      <c r="G30" s="84">
        <v>13796.26</v>
      </c>
      <c r="H30" s="84">
        <v>52230.521000000001</v>
      </c>
    </row>
    <row r="31" spans="1:8">
      <c r="A31" s="49" t="str">
        <f>HLOOKUP(INDICE!$F$2,Nombres!$C$3:$E$853,104)</f>
        <v xml:space="preserve">  . Depósitos en entidades de crédito y otros</v>
      </c>
      <c r="B31" s="154">
        <v>1413.069</v>
      </c>
      <c r="C31" s="84">
        <v>1271.7379999999998</v>
      </c>
      <c r="D31" s="84">
        <v>1364.3159999999998</v>
      </c>
      <c r="E31" s="150">
        <v>1366.412</v>
      </c>
      <c r="F31" s="84">
        <v>1572.2849999999999</v>
      </c>
      <c r="G31" s="84">
        <v>1240.54</v>
      </c>
      <c r="H31" s="84">
        <v>5488.7029999999995</v>
      </c>
    </row>
    <row r="32" spans="1:8">
      <c r="A32" s="49" t="str">
        <f>HLOOKUP(INDICE!$F$2,Nombres!$C$3:$E$853,106)</f>
        <v>Activo material</v>
      </c>
      <c r="B32" s="155">
        <v>175.142</v>
      </c>
      <c r="C32" s="84">
        <v>180.999</v>
      </c>
      <c r="D32" s="84">
        <v>181.238</v>
      </c>
      <c r="E32" s="150">
        <v>194.404</v>
      </c>
      <c r="F32" s="84">
        <v>192.62200000000001</v>
      </c>
      <c r="G32" s="84">
        <v>182.77</v>
      </c>
      <c r="H32" s="84">
        <v>850.61900000000003</v>
      </c>
    </row>
    <row r="33" spans="1:8">
      <c r="A33" s="49" t="str">
        <f>HLOOKUP(INDICE!$F$2,Nombres!$C$3:$E$853,107)</f>
        <v>Otros activos</v>
      </c>
      <c r="B33" s="149">
        <v>635.71299999999997</v>
      </c>
      <c r="C33" s="84">
        <v>618.89999999999986</v>
      </c>
      <c r="D33" s="84">
        <v>669.11000000000013</v>
      </c>
      <c r="E33" s="150">
        <v>697.22199999999998</v>
      </c>
      <c r="F33" s="84">
        <v>779.40499999999997</v>
      </c>
      <c r="G33" s="84">
        <v>664.51600000000008</v>
      </c>
      <c r="H33" s="84">
        <v>2550.0667915699887</v>
      </c>
    </row>
    <row r="34" spans="1:8">
      <c r="A34" s="54" t="str">
        <f>HLOOKUP(INDICE!$F$2,Nombres!$C$3:$E$853,108)</f>
        <v>Total activo / pasivo</v>
      </c>
      <c r="B34" s="147">
        <v>19430.447999999997</v>
      </c>
      <c r="C34" s="83">
        <v>20223.79</v>
      </c>
      <c r="D34" s="83">
        <v>21356.260000000006</v>
      </c>
      <c r="E34" s="148">
        <v>22342.300999999996</v>
      </c>
      <c r="F34" s="83">
        <v>23620.42</v>
      </c>
      <c r="G34" s="83">
        <v>22498.987000000001</v>
      </c>
      <c r="H34" s="83">
        <v>87365.290791569991</v>
      </c>
    </row>
    <row r="35" spans="1:8">
      <c r="A35" s="49" t="str">
        <f>HLOOKUP(INDICE!$F$2,Nombres!$C$3:$E$853,109)</f>
        <v>Depósitos de bancos centrales y entidades de crédito</v>
      </c>
      <c r="B35" s="149">
        <v>4407.1009999999997</v>
      </c>
      <c r="C35" s="84">
        <v>4218.8</v>
      </c>
      <c r="D35" s="84">
        <v>4619.1540000000005</v>
      </c>
      <c r="E35" s="150">
        <v>4373.9040000000005</v>
      </c>
      <c r="F35" s="84">
        <v>4348.66</v>
      </c>
      <c r="G35" s="84">
        <v>4230.7110000000002</v>
      </c>
      <c r="H35" s="84">
        <v>15888.111999999999</v>
      </c>
    </row>
    <row r="36" spans="1:8">
      <c r="A36" s="49" t="str">
        <f>HLOOKUP(INDICE!$F$2,Nombres!$C$3:$E$853,110)</f>
        <v>Depósitos de la clientela</v>
      </c>
      <c r="B36" s="149">
        <v>10132.687</v>
      </c>
      <c r="C36" s="84">
        <v>10354.254000000001</v>
      </c>
      <c r="D36" s="84">
        <v>10709.601000000001</v>
      </c>
      <c r="E36" s="150">
        <v>11625.644</v>
      </c>
      <c r="F36" s="84">
        <v>12507.075999999999</v>
      </c>
      <c r="G36" s="84">
        <v>12018.362999999999</v>
      </c>
      <c r="H36" s="84">
        <v>46388.406999999999</v>
      </c>
    </row>
    <row r="37" spans="1:8">
      <c r="A37" s="49" t="str">
        <f>HLOOKUP(INDICE!$F$2,Nombres!$C$3:$E$853,111)</f>
        <v>Débitos representados por valores negociables</v>
      </c>
      <c r="B37" s="149">
        <v>940.41499999999996</v>
      </c>
      <c r="C37" s="84">
        <v>1139.0139999999999</v>
      </c>
      <c r="D37" s="84">
        <v>1291.1489999999999</v>
      </c>
      <c r="E37" s="150">
        <v>1297.318</v>
      </c>
      <c r="F37" s="84">
        <v>1306.1030000000001</v>
      </c>
      <c r="G37" s="84">
        <v>1257.7339999999999</v>
      </c>
      <c r="H37" s="84">
        <v>7830.4350000000004</v>
      </c>
    </row>
    <row r="38" spans="1:8" ht="13.5" customHeight="1">
      <c r="A38" s="49" t="str">
        <f>HLOOKUP(INDICE!$F$2,Nombres!$C$3:$E$853,112)</f>
        <v>Pasivos subordinados</v>
      </c>
      <c r="B38" s="149">
        <v>23.295999999999999</v>
      </c>
      <c r="C38" s="84">
        <v>23.667000000000002</v>
      </c>
      <c r="D38" s="84">
        <v>23.154</v>
      </c>
      <c r="E38" s="150">
        <v>23.353999999999999</v>
      </c>
      <c r="F38" s="84">
        <v>22.931999999999999</v>
      </c>
      <c r="G38" s="84">
        <v>22.875</v>
      </c>
      <c r="H38" s="84">
        <v>51.216999999999999</v>
      </c>
    </row>
    <row r="39" spans="1:8">
      <c r="A39" s="49" t="str">
        <f>HLOOKUP(INDICE!$F$2,Nombres!$C$3:$E$853,114)</f>
        <v>Cartera de negociación</v>
      </c>
      <c r="B39" s="149">
        <v>165.523</v>
      </c>
      <c r="C39" s="84">
        <v>119.95399999999999</v>
      </c>
      <c r="D39" s="84">
        <v>167.76599999999999</v>
      </c>
      <c r="E39" s="150">
        <v>191.74600000000001</v>
      </c>
      <c r="F39" s="84">
        <v>372.90800000000002</v>
      </c>
      <c r="G39" s="84">
        <v>241.804</v>
      </c>
      <c r="H39" s="84">
        <v>1105.3219999999999</v>
      </c>
    </row>
    <row r="40" spans="1:8">
      <c r="A40" s="49" t="str">
        <f>HLOOKUP(INDICE!$F$2,Nombres!$C$3:$E$853,115)</f>
        <v>Otros pasivos</v>
      </c>
      <c r="B40" s="149">
        <v>2972.8192699999918</v>
      </c>
      <c r="C40" s="84">
        <v>3547.5556199999992</v>
      </c>
      <c r="D40" s="84">
        <v>3684.7637486900071</v>
      </c>
      <c r="E40" s="150">
        <v>3912.6794688299947</v>
      </c>
      <c r="F40" s="84">
        <v>4119.981060000001</v>
      </c>
      <c r="G40" s="84">
        <v>3725.3404000000046</v>
      </c>
      <c r="H40" s="84">
        <v>14554.683574230001</v>
      </c>
    </row>
    <row r="41" spans="1:8" ht="12.75" customHeight="1">
      <c r="A41" s="49" t="str">
        <f>HLOOKUP(INDICE!$F$2,Nombres!$C$3:$E$853,116)</f>
        <v>Dotación de capital económico</v>
      </c>
      <c r="B41" s="149">
        <v>788.60672999999997</v>
      </c>
      <c r="C41" s="84">
        <v>820.54538000000002</v>
      </c>
      <c r="D41" s="84">
        <v>860.67225130999998</v>
      </c>
      <c r="E41" s="150">
        <v>917.65553117000002</v>
      </c>
      <c r="F41" s="84">
        <v>942.75994000000003</v>
      </c>
      <c r="G41" s="84">
        <v>1002.1596</v>
      </c>
      <c r="H41" s="84">
        <v>1547.1142173400001</v>
      </c>
    </row>
    <row r="42" spans="1:8" ht="48" customHeight="1">
      <c r="A42" s="251" t="str">
        <f>HLOOKUP(INDICE!$F$2,Nombres!$C$3:$E$853,316)</f>
        <v>(*) Desde el tercer trimestre de 2015, la participación total de BBVA en Garanti se consolida por el método de integración global. Para periodos anteriores, los activos y pasivos de Garanti se integran en la proporción correspondiente al porcentaje de participación del Grupo (25,01%).</v>
      </c>
      <c r="B42" s="251"/>
      <c r="C42" s="251"/>
      <c r="D42" s="251"/>
      <c r="E42" s="251"/>
      <c r="F42" s="251"/>
      <c r="G42" s="251"/>
      <c r="H42" s="251"/>
    </row>
    <row r="43" spans="1:8" ht="13.5" customHeight="1">
      <c r="A43" s="144" t="str">
        <f>HLOOKUP(INDICE!$F$2,Nombres!$C$3:$E$853,117)</f>
        <v>Indicadores relevantes</v>
      </c>
      <c r="B43" s="170"/>
      <c r="C43" s="170"/>
      <c r="D43" s="170"/>
      <c r="E43" s="170"/>
      <c r="F43" s="170"/>
      <c r="G43" s="170"/>
      <c r="H43" s="170"/>
    </row>
    <row r="44" spans="1:8" ht="12.75" customHeight="1">
      <c r="A44" s="144" t="str">
        <f>HLOOKUP(INDICE!$F$2,Nombres!$C$3:$E$853,201)</f>
        <v>Anexo:</v>
      </c>
    </row>
    <row r="45" spans="1:8" ht="12" customHeight="1">
      <c r="A45" s="41" t="str">
        <f>HLOOKUP(INDICE!$F$2,Nombres!$C$3:$E$853,30)</f>
        <v>(Millones de euros)</v>
      </c>
      <c r="B45" s="81">
        <v>41729</v>
      </c>
      <c r="C45" s="82">
        <v>41820</v>
      </c>
      <c r="D45" s="82">
        <v>41912</v>
      </c>
      <c r="E45" s="82">
        <v>42004</v>
      </c>
      <c r="F45" s="81">
        <v>42094</v>
      </c>
      <c r="G45" s="82">
        <v>42185</v>
      </c>
      <c r="H45" s="82">
        <v>42277</v>
      </c>
    </row>
    <row r="46" spans="1:8">
      <c r="A46" s="49" t="str">
        <f>HLOOKUP(INDICE!$F$2,Nombres!$C$3:$E$853,314)</f>
        <v>Crédito a la clientela bruto (**)</v>
      </c>
      <c r="B46" s="149">
        <v>11775.187</v>
      </c>
      <c r="C46" s="84">
        <v>12270.794</v>
      </c>
      <c r="D46" s="84">
        <v>13117.258</v>
      </c>
      <c r="E46" s="150">
        <v>13634.606</v>
      </c>
      <c r="F46" s="84">
        <v>14741.394</v>
      </c>
      <c r="G46" s="84">
        <v>14355.491</v>
      </c>
      <c r="H46" s="84">
        <v>54322.978999999999</v>
      </c>
    </row>
    <row r="47" spans="1:8">
      <c r="A47" s="49" t="str">
        <f>HLOOKUP(INDICE!$F$2,Nombres!$C$3:$E$853,315)</f>
        <v>Depósitos de clientes en gestión (***)</v>
      </c>
      <c r="B47" s="149">
        <v>9055.4374859500003</v>
      </c>
      <c r="C47" s="84">
        <v>8873.3461335699994</v>
      </c>
      <c r="D47" s="84">
        <v>9372.6080181199995</v>
      </c>
      <c r="E47" s="150">
        <v>10011.45487369</v>
      </c>
      <c r="F47" s="84">
        <v>11088.068025930001</v>
      </c>
      <c r="G47" s="84">
        <v>10964.57896957</v>
      </c>
      <c r="H47" s="84">
        <v>41731.379849919998</v>
      </c>
    </row>
    <row r="48" spans="1:8">
      <c r="A48" s="49" t="str">
        <f>HLOOKUP(INDICE!$F$2,Nombres!$C$3:$E$853,122)</f>
        <v>Fondos de inversión</v>
      </c>
      <c r="B48" s="149">
        <v>350.24700000000001</v>
      </c>
      <c r="C48" s="84">
        <v>373.54899999999998</v>
      </c>
      <c r="D48" s="84">
        <v>340.44600000000003</v>
      </c>
      <c r="E48" s="150">
        <v>343.76100000000002</v>
      </c>
      <c r="F48" s="84">
        <v>365.12599999999998</v>
      </c>
      <c r="G48" s="84">
        <v>352.35899999999998</v>
      </c>
      <c r="H48" s="84">
        <v>1231.5920000000001</v>
      </c>
    </row>
    <row r="49" spans="1:8">
      <c r="A49" s="49" t="str">
        <f>HLOOKUP(INDICE!$F$2,Nombres!$C$3:$E$853,206)</f>
        <v>Fondos de pensiones</v>
      </c>
      <c r="B49" s="149">
        <v>384.97699999999998</v>
      </c>
      <c r="C49" s="84">
        <v>444.32499999999999</v>
      </c>
      <c r="D49" s="84">
        <v>470.173</v>
      </c>
      <c r="E49" s="150">
        <v>537.91899999999998</v>
      </c>
      <c r="F49" s="84">
        <v>572.24800000000005</v>
      </c>
      <c r="G49" s="84">
        <v>563.24800000000005</v>
      </c>
      <c r="H49" s="84">
        <v>2052.3449999999998</v>
      </c>
    </row>
    <row r="50" spans="1:8">
      <c r="A50" s="49" t="str">
        <f>HLOOKUP(INDICE!$F$2,Nombres!$C$3:$E$853,308)</f>
        <v>Otros recursos fuera de balance</v>
      </c>
      <c r="B50" s="241">
        <v>0</v>
      </c>
      <c r="C50" s="236">
        <v>0</v>
      </c>
      <c r="D50" s="236">
        <v>0</v>
      </c>
      <c r="E50" s="237">
        <v>0</v>
      </c>
      <c r="F50" s="236">
        <v>0</v>
      </c>
      <c r="G50" s="236">
        <v>0</v>
      </c>
      <c r="H50" s="236">
        <v>0</v>
      </c>
    </row>
    <row r="51" spans="1:8">
      <c r="A51" s="156" t="str">
        <f>HLOOKUP(INDICE!$F$2,Nombres!$C$3:$E$853,312)</f>
        <v>(**) No incluye las adquisiciones temporales de activos.</v>
      </c>
      <c r="B51" s="157"/>
      <c r="C51" s="84"/>
      <c r="D51" s="84"/>
      <c r="E51" s="84"/>
      <c r="F51" s="84"/>
      <c r="G51" s="84"/>
      <c r="H51" s="84"/>
    </row>
    <row r="52" spans="1:8">
      <c r="A52" s="156" t="str">
        <f>HLOOKUP(INDICE!$F$2,Nombres!$C$3:$E$853,313)</f>
        <v>(***) No incluye las cesiones temporales de activos.</v>
      </c>
      <c r="C52"/>
      <c r="D52"/>
      <c r="E52"/>
    </row>
    <row r="53" spans="1:8" ht="18">
      <c r="A53" s="144" t="str">
        <f>HLOOKUP(INDICE!$F$2,Nombres!$C$3:$E$853,304)</f>
        <v>Cuentas de resultados (*)</v>
      </c>
      <c r="B53" s="192"/>
      <c r="C53" s="145"/>
      <c r="D53" s="145"/>
      <c r="E53" s="145"/>
      <c r="G53" s="74"/>
      <c r="H53" s="74"/>
    </row>
    <row r="54" spans="1:8">
      <c r="A54" s="41" t="str">
        <f>HLOOKUP(INDICE!$F$2,Nombres!$C$3:$E$853,31)</f>
        <v>(Millones de euros constantes)</v>
      </c>
      <c r="C54" s="145"/>
      <c r="D54" s="145"/>
      <c r="E54" s="145"/>
      <c r="G54" s="74"/>
      <c r="H54" s="74"/>
    </row>
    <row r="55" spans="1:8">
      <c r="A55" s="146"/>
      <c r="B55" s="252">
        <v>2014</v>
      </c>
      <c r="C55" s="252"/>
      <c r="D55" s="252"/>
      <c r="E55" s="252"/>
      <c r="F55" s="253">
        <v>2015</v>
      </c>
      <c r="G55" s="254"/>
      <c r="H55" s="254"/>
    </row>
    <row r="56" spans="1:8">
      <c r="A56" s="146"/>
      <c r="B56" s="146" t="str">
        <f>HLOOKUP(INDICE!$F$2,Nombres!$C$3:$E$857,34)</f>
        <v>1er Trim.</v>
      </c>
      <c r="C56" s="146" t="str">
        <f>HLOOKUP(INDICE!$F$2,Nombres!$C$3:$E$857,35)</f>
        <v>2º Trim.</v>
      </c>
      <c r="D56" s="146" t="str">
        <f>HLOOKUP(INDICE!$F$2,Nombres!$C$3:$E$857,36)</f>
        <v>3er Trim.</v>
      </c>
      <c r="E56" s="146" t="str">
        <f>HLOOKUP(INDICE!$F$2,Nombres!$C$3:$E$857,37)</f>
        <v>4º Trim.</v>
      </c>
      <c r="F56" s="146" t="str">
        <f>HLOOKUP(INDICE!$F$2,Nombres!$C$3:$E$857,34)</f>
        <v>1er Trim.</v>
      </c>
      <c r="G56" s="146" t="str">
        <f>HLOOKUP(INDICE!$F$2,Nombres!$C$3:$E$857,35)</f>
        <v>2º Trim.</v>
      </c>
      <c r="H56" s="146" t="str">
        <f>HLOOKUP(INDICE!$F$2,Nombres!$C$3:$E$857,36)</f>
        <v>3er Trim.</v>
      </c>
    </row>
    <row r="57" spans="1:8">
      <c r="A57" s="54" t="str">
        <f>HLOOKUP(INDICE!$F$2,Nombres!$C$3:$E$853,38)</f>
        <v>Margen de intereses</v>
      </c>
      <c r="B57" s="147">
        <v>149.65989312319999</v>
      </c>
      <c r="C57" s="83">
        <v>163.71514744019998</v>
      </c>
      <c r="D57" s="83">
        <v>190.4848293842</v>
      </c>
      <c r="E57" s="148">
        <v>215.05755859679999</v>
      </c>
      <c r="F57" s="54">
        <v>196.4553140246</v>
      </c>
      <c r="G57" s="54">
        <v>213.13464473049999</v>
      </c>
      <c r="H57" s="54">
        <v>910.78924277479996</v>
      </c>
    </row>
    <row r="58" spans="1:8">
      <c r="A58" s="49" t="str">
        <f>HLOOKUP(INDICE!$F$2,Nombres!$C$3:$E$853,39)</f>
        <v>Comisiones</v>
      </c>
      <c r="B58" s="149">
        <v>42.674099868799999</v>
      </c>
      <c r="C58" s="84">
        <v>51.937717043899994</v>
      </c>
      <c r="D58" s="84">
        <v>46.004945171399996</v>
      </c>
      <c r="E58" s="150">
        <v>46.128916290600003</v>
      </c>
      <c r="F58" s="73">
        <v>46.3311795352</v>
      </c>
      <c r="G58" s="73">
        <v>48.182447039799996</v>
      </c>
      <c r="H58" s="73">
        <v>172.956373415</v>
      </c>
    </row>
    <row r="59" spans="1:8">
      <c r="A59" s="49" t="str">
        <f>HLOOKUP(INDICE!$F$2,Nombres!$C$3:$E$853,40)</f>
        <v>Resultados de operaciones financieras</v>
      </c>
      <c r="B59" s="149">
        <v>18.255883797200003</v>
      </c>
      <c r="C59" s="84">
        <v>7.6268221307000008</v>
      </c>
      <c r="D59" s="84">
        <v>-2.9700153790999999</v>
      </c>
      <c r="E59" s="150">
        <v>-21.657150511499999</v>
      </c>
      <c r="F59" s="73">
        <v>-13.7319412632</v>
      </c>
      <c r="G59" s="73">
        <v>-7.2165827739999999</v>
      </c>
      <c r="H59" s="73">
        <v>-218.2464759627</v>
      </c>
    </row>
    <row r="60" spans="1:8" ht="17.25" customHeight="1">
      <c r="A60" s="49" t="str">
        <f>HLOOKUP(INDICE!$F$2,Nombres!$C$3:$E$853,95)</f>
        <v>Otros ingresos netos</v>
      </c>
      <c r="B60" s="149">
        <v>3.8696092476000001</v>
      </c>
      <c r="C60" s="84">
        <v>3.5345852830000002</v>
      </c>
      <c r="D60" s="84">
        <v>4.1854789001999997</v>
      </c>
      <c r="E60" s="150">
        <v>5.6786504209000004</v>
      </c>
      <c r="F60" s="73">
        <v>4.4238755493999999</v>
      </c>
      <c r="G60" s="73">
        <v>4.2564094946999997</v>
      </c>
      <c r="H60" s="73">
        <v>13.8037149558</v>
      </c>
    </row>
    <row r="61" spans="1:8" ht="15.75" customHeight="1">
      <c r="A61" s="54" t="str">
        <f>HLOOKUP(INDICE!$F$2,Nombres!$C$3:$E$853,44)</f>
        <v>Margen bruto</v>
      </c>
      <c r="B61" s="147">
        <v>214.45948603689999</v>
      </c>
      <c r="C61" s="83">
        <v>226.81427189779998</v>
      </c>
      <c r="D61" s="83">
        <v>237.70523807660004</v>
      </c>
      <c r="E61" s="148">
        <v>245.20797479689998</v>
      </c>
      <c r="F61" s="54">
        <v>233.47842784600002</v>
      </c>
      <c r="G61" s="54">
        <v>258.35691849099999</v>
      </c>
      <c r="H61" s="54">
        <v>879.30285518309995</v>
      </c>
    </row>
    <row r="62" spans="1:8">
      <c r="A62" s="49" t="str">
        <f>HLOOKUP(INDICE!$F$2,Nombres!$C$3:$E$853,45)</f>
        <v>Gastos de explotación</v>
      </c>
      <c r="B62" s="149">
        <v>-93.834501245699997</v>
      </c>
      <c r="C62" s="84">
        <v>-92.211428133200002</v>
      </c>
      <c r="D62" s="84">
        <v>-98.423564993900001</v>
      </c>
      <c r="E62" s="150">
        <v>-101.816261989</v>
      </c>
      <c r="F62" s="73">
        <v>-102.69009609880001</v>
      </c>
      <c r="G62" s="73">
        <v>-110.6699759243</v>
      </c>
      <c r="H62" s="73">
        <v>-472.87897595689998</v>
      </c>
    </row>
    <row r="63" spans="1:8">
      <c r="A63" s="49" t="str">
        <f>HLOOKUP(INDICE!$F$2,Nombres!$C$3:$E$853,46)</f>
        <v xml:space="preserve">  Gastos de administración</v>
      </c>
      <c r="B63" s="149">
        <v>-85.385329688500008</v>
      </c>
      <c r="C63" s="84">
        <v>-83.721376974700007</v>
      </c>
      <c r="D63" s="84">
        <v>-89.762033100899998</v>
      </c>
      <c r="E63" s="150">
        <v>-92.978185198099993</v>
      </c>
      <c r="F63" s="73">
        <v>-93.756192503899996</v>
      </c>
      <c r="G63" s="73">
        <v>-101.70601074219999</v>
      </c>
      <c r="H63" s="73">
        <v>-409.96508473400002</v>
      </c>
    </row>
    <row r="64" spans="1:8">
      <c r="A64" s="88" t="str">
        <f>HLOOKUP(INDICE!$F$2,Nombres!$C$3:$E$853,47)</f>
        <v xml:space="preserve">  Gastos de personal</v>
      </c>
      <c r="B64" s="149">
        <v>-47.9680257674</v>
      </c>
      <c r="C64" s="84">
        <v>-49.411971968899998</v>
      </c>
      <c r="D64" s="84">
        <v>-50.982913255699998</v>
      </c>
      <c r="E64" s="150">
        <v>-49.220457283800002</v>
      </c>
      <c r="F64" s="73">
        <v>-52.583763035200008</v>
      </c>
      <c r="G64" s="73">
        <v>-54.971982546199996</v>
      </c>
      <c r="H64" s="73">
        <v>-240.5624703986</v>
      </c>
    </row>
    <row r="65" spans="1:8">
      <c r="A65" s="88" t="str">
        <f>HLOOKUP(INDICE!$F$2,Nombres!$C$3:$E$853,48)</f>
        <v xml:space="preserve">  Otros gastos generales de administración</v>
      </c>
      <c r="B65" s="149">
        <v>-37.417303921200002</v>
      </c>
      <c r="C65" s="84">
        <v>-34.3094050057</v>
      </c>
      <c r="D65" s="84">
        <v>-38.779119845099999</v>
      </c>
      <c r="E65" s="150">
        <v>-43.757727914300006</v>
      </c>
      <c r="F65" s="73">
        <v>-41.172429468799997</v>
      </c>
      <c r="G65" s="73">
        <v>-46.734028195800001</v>
      </c>
      <c r="H65" s="73">
        <v>-169.4026143355</v>
      </c>
    </row>
    <row r="66" spans="1:8" ht="13.5" customHeight="1">
      <c r="A66" s="49" t="str">
        <f>HLOOKUP(INDICE!$F$2,Nombres!$C$3:$E$853,49)</f>
        <v xml:space="preserve">  Amortizaciones</v>
      </c>
      <c r="B66" s="149">
        <v>-8.4491715569999997</v>
      </c>
      <c r="C66" s="84">
        <v>-8.4900511586</v>
      </c>
      <c r="D66" s="84">
        <v>-8.6615318929000011</v>
      </c>
      <c r="E66" s="150">
        <v>-8.8380767909000006</v>
      </c>
      <c r="F66" s="73">
        <v>-8.9339035949000003</v>
      </c>
      <c r="G66" s="73">
        <v>-8.963965182199999</v>
      </c>
      <c r="H66" s="73">
        <v>-62.913891222999993</v>
      </c>
    </row>
    <row r="67" spans="1:8" ht="14.25" customHeight="1">
      <c r="A67" s="54" t="str">
        <f>HLOOKUP(INDICE!$F$2,Nombres!$C$3:$E$853,50)</f>
        <v>Margen neto</v>
      </c>
      <c r="B67" s="147">
        <v>120.62498479129999</v>
      </c>
      <c r="C67" s="83">
        <v>134.60284376450002</v>
      </c>
      <c r="D67" s="83">
        <v>139.28167308259998</v>
      </c>
      <c r="E67" s="148">
        <v>143.39171280799999</v>
      </c>
      <c r="F67" s="54">
        <v>130.7883317472</v>
      </c>
      <c r="G67" s="54">
        <v>147.68694256660001</v>
      </c>
      <c r="H67" s="54">
        <v>406.42387922610004</v>
      </c>
    </row>
    <row r="68" spans="1:8">
      <c r="A68" s="49" t="str">
        <f>HLOOKUP(INDICE!$F$2,Nombres!$C$3:$E$853,51)</f>
        <v>Pérdidas por deterioro de activos financieros</v>
      </c>
      <c r="B68" s="149">
        <v>-25.7292200503</v>
      </c>
      <c r="C68" s="84">
        <v>-24.722222060900002</v>
      </c>
      <c r="D68" s="84">
        <v>-48.894823737700001</v>
      </c>
      <c r="E68" s="150">
        <v>-43.917409029399998</v>
      </c>
      <c r="F68" s="73">
        <v>-30.8756261435</v>
      </c>
      <c r="G68" s="73">
        <v>-37.530648167099997</v>
      </c>
      <c r="H68" s="73">
        <v>-155.3017256894</v>
      </c>
    </row>
    <row r="69" spans="1:8" ht="16.5" customHeight="1">
      <c r="A69" s="49" t="str">
        <f>HLOOKUP(INDICE!$F$2,Nombres!$C$3:$E$853,160)</f>
        <v>Dotaciones a provisiones y otros resultados</v>
      </c>
      <c r="B69" s="149">
        <v>-4.6631654781999998</v>
      </c>
      <c r="C69" s="84">
        <v>-4.2638350532000002</v>
      </c>
      <c r="D69" s="84">
        <v>6.9112763324000008</v>
      </c>
      <c r="E69" s="150">
        <v>-8.8124523520999993</v>
      </c>
      <c r="F69" s="73">
        <v>-0.44630909939999996</v>
      </c>
      <c r="G69" s="73">
        <v>0.97539497580000045</v>
      </c>
      <c r="H69" s="73">
        <v>-1.7740858765</v>
      </c>
    </row>
    <row r="70" spans="1:8" ht="12.75" customHeight="1">
      <c r="A70" s="54" t="str">
        <f>HLOOKUP(INDICE!$F$2,Nombres!$C$3:$E$853,54)</f>
        <v>Beneficio antes de impuestos</v>
      </c>
      <c r="B70" s="147">
        <v>90.23259926290001</v>
      </c>
      <c r="C70" s="83">
        <v>105.61678665049999</v>
      </c>
      <c r="D70" s="83">
        <v>97.298125677600012</v>
      </c>
      <c r="E70" s="148">
        <v>90.661851426200002</v>
      </c>
      <c r="F70" s="54">
        <v>99.466396504299993</v>
      </c>
      <c r="G70" s="54">
        <v>111.1316893753</v>
      </c>
      <c r="H70" s="54">
        <v>249.34806766029999</v>
      </c>
    </row>
    <row r="71" spans="1:8" ht="13.5" customHeight="1">
      <c r="A71" s="49" t="str">
        <f>HLOOKUP(INDICE!$F$2,Nombres!$C$3:$E$853,55)</f>
        <v>Impuesto sobre beneficios</v>
      </c>
      <c r="B71" s="149">
        <v>-18.985221156000001</v>
      </c>
      <c r="C71" s="84">
        <v>-22.4569690718</v>
      </c>
      <c r="D71" s="84">
        <v>-19.173281455400002</v>
      </c>
      <c r="E71" s="150">
        <v>-19.396671308999998</v>
      </c>
      <c r="F71" s="73">
        <v>-19.502914687299999</v>
      </c>
      <c r="G71" s="73">
        <v>-23.041487281400002</v>
      </c>
      <c r="H71" s="73">
        <v>-42.731042391300008</v>
      </c>
    </row>
    <row r="72" spans="1:8" ht="12.75" customHeight="1">
      <c r="A72" s="54" t="str">
        <f>HLOOKUP(INDICE!$F$2,Nombres!$C$3:$E$853,56)</f>
        <v>Beneficio después de impuestos</v>
      </c>
      <c r="B72" s="147">
        <v>71.247378106900001</v>
      </c>
      <c r="C72" s="83">
        <v>83.159817578900004</v>
      </c>
      <c r="D72" s="83">
        <v>78.124844222000007</v>
      </c>
      <c r="E72" s="148">
        <v>71.265180117400007</v>
      </c>
      <c r="F72" s="54">
        <v>79.963481817000002</v>
      </c>
      <c r="G72" s="54">
        <v>88.090202093999991</v>
      </c>
      <c r="H72" s="54">
        <v>206.61702526889999</v>
      </c>
    </row>
    <row r="73" spans="1:8" ht="12.75" customHeight="1">
      <c r="A73" s="49" t="str">
        <f>HLOOKUP(INDICE!$F$2,Nombres!$C$3:$E$853,57)</f>
        <v>Resultado atribuido a la minoría</v>
      </c>
      <c r="B73" s="241">
        <v>0</v>
      </c>
      <c r="C73" s="236">
        <v>0</v>
      </c>
      <c r="D73" s="236">
        <v>0</v>
      </c>
      <c r="E73" s="237">
        <v>0</v>
      </c>
      <c r="F73" s="242">
        <v>0</v>
      </c>
      <c r="G73" s="242">
        <v>0</v>
      </c>
      <c r="H73" s="73">
        <v>-125.18200000009999</v>
      </c>
    </row>
    <row r="74" spans="1:8" ht="15" customHeight="1">
      <c r="A74" s="54" t="str">
        <f>HLOOKUP(INDICE!$F$2,Nombres!$C$3:$E$853,58)</f>
        <v>Beneficio atribuido al Grupo</v>
      </c>
      <c r="B74" s="147">
        <v>71.247378106900001</v>
      </c>
      <c r="C74" s="83">
        <v>83.159817578900004</v>
      </c>
      <c r="D74" s="83">
        <v>78.124844222000007</v>
      </c>
      <c r="E74" s="148">
        <v>71.265180117400007</v>
      </c>
      <c r="F74" s="54">
        <v>79.963481817000002</v>
      </c>
      <c r="G74" s="54">
        <v>88.090202093999991</v>
      </c>
      <c r="H74" s="54">
        <v>81.435025268899992</v>
      </c>
    </row>
    <row r="75" spans="1:8" ht="48.75" customHeight="1">
      <c r="A75" s="251" t="str">
        <f>HLOOKUP(INDICE!$F$2,Nombres!$C$3:$E$853,289)</f>
        <v>(*) Desde el tercer trimestre de 2015, la participación total de BBVA en Garanti se consolida por el método de integración global. Para periodos anteriores, los ingresos y gastos de Garanti se integran en la proporción correspondiente al porcentaje de participación del Grupo (25,01%).</v>
      </c>
      <c r="B75" s="251"/>
      <c r="C75" s="251"/>
      <c r="D75" s="251"/>
      <c r="E75" s="251"/>
      <c r="F75" s="251"/>
      <c r="G75" s="251"/>
      <c r="H75" s="251"/>
    </row>
    <row r="76" spans="1:8" ht="15.75" customHeight="1">
      <c r="A76" s="144" t="str">
        <f>HLOOKUP(INDICE!$F$2,Nombres!$C$3:$E$853,293)</f>
        <v>Balances (*)</v>
      </c>
      <c r="G76" s="74"/>
      <c r="H76" s="74"/>
    </row>
    <row r="77" spans="1:8">
      <c r="A77" s="41" t="str">
        <f>HLOOKUP(INDICE!$F$2,Nombres!$C$3:$E$853,31)</f>
        <v>(Millones de euros constantes)</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Caja y depósitos en bancos centrales</v>
      </c>
      <c r="B79" s="149">
        <v>1772.523346036</v>
      </c>
      <c r="C79" s="84">
        <v>1884.8496767904001</v>
      </c>
      <c r="D79" s="84">
        <v>1889.6947350839</v>
      </c>
      <c r="E79" s="150">
        <v>2070.2186251193002</v>
      </c>
      <c r="F79" s="158">
        <v>2016.4108500422001</v>
      </c>
      <c r="G79" s="84">
        <v>2046.6535464660999</v>
      </c>
      <c r="H79" s="84">
        <v>10434.996999999999</v>
      </c>
    </row>
    <row r="80" spans="1:8">
      <c r="A80" s="49" t="str">
        <f>HLOOKUP(INDICE!$F$2,Nombres!$C$3:$E$853,101)</f>
        <v>Cartera de títulos</v>
      </c>
      <c r="B80" s="149">
        <v>3370.0931793782001</v>
      </c>
      <c r="C80" s="84">
        <v>3522.8389712656999</v>
      </c>
      <c r="D80" s="84">
        <v>3635.5912434067</v>
      </c>
      <c r="E80" s="150">
        <v>3766.58764483</v>
      </c>
      <c r="F80" s="158">
        <v>3709.3961530072002</v>
      </c>
      <c r="G80" s="84">
        <v>3798.1227147932</v>
      </c>
      <c r="H80" s="84">
        <v>15810.384</v>
      </c>
    </row>
    <row r="81" spans="1:8">
      <c r="A81" s="49" t="str">
        <f>HLOOKUP(INDICE!$F$2,Nombres!$C$3:$E$853,102)</f>
        <v>Inversiones crediticias</v>
      </c>
      <c r="B81" s="149">
        <v>11164.931212186</v>
      </c>
      <c r="C81" s="84">
        <v>11189.7531259715</v>
      </c>
      <c r="D81" s="84">
        <v>11881.9804979078</v>
      </c>
      <c r="E81" s="150">
        <v>12082.3152676837</v>
      </c>
      <c r="F81" s="158">
        <v>13067.6603139952</v>
      </c>
      <c r="G81" s="84">
        <v>13284.887769577301</v>
      </c>
      <c r="H81" s="84">
        <v>57719.224000000002</v>
      </c>
    </row>
    <row r="82" spans="1:8">
      <c r="A82" s="49" t="str">
        <f>HLOOKUP(INDICE!$F$2,Nombres!$C$3:$E$853,103)</f>
        <v xml:space="preserve">  . Crédito a la clientela neto</v>
      </c>
      <c r="B82" s="149">
        <v>9927.3356923481006</v>
      </c>
      <c r="C82" s="84">
        <v>10103.0966117434</v>
      </c>
      <c r="D82" s="84">
        <v>10723.8651660748</v>
      </c>
      <c r="E82" s="150">
        <v>10940.917569229699</v>
      </c>
      <c r="F82" s="158">
        <v>11763.0591794306</v>
      </c>
      <c r="G82" s="84">
        <v>12188.8809946204</v>
      </c>
      <c r="H82" s="84">
        <v>52230.521000000001</v>
      </c>
    </row>
    <row r="83" spans="1:8">
      <c r="A83" s="49" t="str">
        <f>HLOOKUP(INDICE!$F$2,Nombres!$C$3:$E$853,104)</f>
        <v xml:space="preserve">  . Depósitos en entidades de crédito y otros</v>
      </c>
      <c r="B83" s="149">
        <v>1237.5955198379002</v>
      </c>
      <c r="C83" s="84">
        <v>1086.6565142282</v>
      </c>
      <c r="D83" s="84">
        <v>1158.115331833</v>
      </c>
      <c r="E83" s="150">
        <v>1141.397698454</v>
      </c>
      <c r="F83" s="158">
        <v>1304.6011345646</v>
      </c>
      <c r="G83" s="84">
        <v>1096.0067749568</v>
      </c>
      <c r="H83" s="84">
        <v>5488.7029999999995</v>
      </c>
    </row>
    <row r="84" spans="1:8">
      <c r="A84" s="49" t="str">
        <f>HLOOKUP(INDICE!$F$2,Nombres!$C$3:$E$853,106)</f>
        <v>Activo material</v>
      </c>
      <c r="B84" s="149">
        <v>153.3930434646</v>
      </c>
      <c r="C84" s="84">
        <v>154.6574392043</v>
      </c>
      <c r="D84" s="84">
        <v>153.8459612808</v>
      </c>
      <c r="E84" s="150">
        <v>162.3904636158</v>
      </c>
      <c r="F84" s="158">
        <v>159.8278173118</v>
      </c>
      <c r="G84" s="84">
        <v>161.47577527440001</v>
      </c>
      <c r="H84" s="84">
        <v>850.61900000000003</v>
      </c>
    </row>
    <row r="85" spans="1:8">
      <c r="A85" s="49" t="str">
        <f>HLOOKUP(INDICE!$F$2,Nombres!$C$3:$E$853,107)</f>
        <v>Otros activos</v>
      </c>
      <c r="B85" s="149">
        <v>556.77080220620007</v>
      </c>
      <c r="C85" s="84">
        <v>528.828828466</v>
      </c>
      <c r="D85" s="84">
        <v>567.9817210110001</v>
      </c>
      <c r="E85" s="150">
        <v>582.40676026820006</v>
      </c>
      <c r="F85" s="158">
        <v>646.71013670249988</v>
      </c>
      <c r="G85" s="84">
        <v>587.09436057460005</v>
      </c>
      <c r="H85" s="84">
        <v>2550.0667915699887</v>
      </c>
    </row>
    <row r="86" spans="1:8">
      <c r="A86" s="54" t="str">
        <f>HLOOKUP(INDICE!$F$2,Nombres!$C$3:$E$853,108)</f>
        <v>Total activo / pasivo</v>
      </c>
      <c r="B86" s="147">
        <v>17017.711583271001</v>
      </c>
      <c r="C86" s="83">
        <v>17280.928041697902</v>
      </c>
      <c r="D86" s="83">
        <v>18129.094158690204</v>
      </c>
      <c r="E86" s="148">
        <v>18663.918761517099</v>
      </c>
      <c r="F86" s="147">
        <v>19600.005271059003</v>
      </c>
      <c r="G86" s="83">
        <v>19878.234166685601</v>
      </c>
      <c r="H86" s="83">
        <v>87365.290791569991</v>
      </c>
    </row>
    <row r="87" spans="1:8">
      <c r="A87" s="49" t="str">
        <f>HLOOKUP(INDICE!$F$2,Nombres!$C$3:$E$853,109)</f>
        <v>Depósitos de bancos centrales y entidades de crédito</v>
      </c>
      <c r="B87" s="149">
        <v>3859.8316522923001</v>
      </c>
      <c r="C87" s="84">
        <v>3604.8199410770999</v>
      </c>
      <c r="D87" s="84">
        <v>3921.0220121275001</v>
      </c>
      <c r="E87" s="150">
        <v>3653.6300609617001</v>
      </c>
      <c r="F87" s="158">
        <v>3608.2941514008999</v>
      </c>
      <c r="G87" s="84">
        <v>3737.7979902982001</v>
      </c>
      <c r="H87" s="84">
        <v>15888.111999999999</v>
      </c>
    </row>
    <row r="88" spans="1:8">
      <c r="A88" s="49" t="str">
        <f>HLOOKUP(INDICE!$F$2,Nombres!$C$3:$E$853,110)</f>
        <v>Depósitos de la clientela</v>
      </c>
      <c r="B88" s="149">
        <v>8874.4201699418009</v>
      </c>
      <c r="C88" s="84">
        <v>8847.3550047827994</v>
      </c>
      <c r="D88" s="84">
        <v>9090.9680132123995</v>
      </c>
      <c r="E88" s="150">
        <v>9711.1876247029995</v>
      </c>
      <c r="F88" s="158">
        <v>10377.7276636773</v>
      </c>
      <c r="G88" s="84">
        <v>10618.123778266699</v>
      </c>
      <c r="H88" s="84">
        <v>46388.406999999999</v>
      </c>
    </row>
    <row r="89" spans="1:8">
      <c r="A89" s="49" t="str">
        <f>HLOOKUP(INDICE!$F$2,Nombres!$C$3:$E$853,111)</f>
        <v>Débitos representados por valores negociables</v>
      </c>
      <c r="B89" s="149">
        <v>823.63521582340002</v>
      </c>
      <c r="C89" s="84">
        <v>973.2484072167</v>
      </c>
      <c r="D89" s="84">
        <v>1096.0066821621999</v>
      </c>
      <c r="E89" s="150">
        <v>1083.6817734058</v>
      </c>
      <c r="F89" s="158">
        <v>1083.7370169264</v>
      </c>
      <c r="G89" s="84">
        <v>1111.1975309894001</v>
      </c>
      <c r="H89" s="84">
        <v>7830.4350000000004</v>
      </c>
    </row>
    <row r="90" spans="1:8">
      <c r="A90" s="49" t="str">
        <f>HLOOKUP(INDICE!$F$2,Nombres!$C$3:$E$853,112)</f>
        <v>Pasivos subordinados</v>
      </c>
      <c r="B90" s="149">
        <v>20.403126266400001</v>
      </c>
      <c r="C90" s="84">
        <v>20.222639979499998</v>
      </c>
      <c r="D90" s="84">
        <v>19.654539266</v>
      </c>
      <c r="E90" s="150">
        <v>19.5081731203</v>
      </c>
      <c r="F90" s="158">
        <v>19.027792809699999</v>
      </c>
      <c r="G90" s="84">
        <v>20.2098722952</v>
      </c>
      <c r="H90" s="84">
        <v>51.216999999999999</v>
      </c>
    </row>
    <row r="91" spans="1:8">
      <c r="A91" s="49" t="str">
        <f>HLOOKUP(INDICE!$F$2,Nombres!$C$3:$E$853,114)</f>
        <v>Cartera de negociación</v>
      </c>
      <c r="B91" s="149">
        <v>144.96852116220001</v>
      </c>
      <c r="C91" s="84">
        <v>102.4965798834</v>
      </c>
      <c r="D91" s="84">
        <v>142.41009909749999</v>
      </c>
      <c r="E91" s="150">
        <v>160.1701705545</v>
      </c>
      <c r="F91" s="158">
        <v>309.41985701589999</v>
      </c>
      <c r="G91" s="84">
        <v>213.6318234089</v>
      </c>
      <c r="H91" s="84">
        <v>1105.3219999999999</v>
      </c>
    </row>
    <row r="92" spans="1:8">
      <c r="A92" s="49" t="str">
        <f>HLOOKUP(INDICE!$F$2,Nombres!$C$3:$E$853,115)</f>
        <v>Otros pasivos</v>
      </c>
      <c r="B92" s="149">
        <v>2603.7746500508024</v>
      </c>
      <c r="C92" s="84">
        <v>3031.5762105583026</v>
      </c>
      <c r="D92" s="84">
        <v>3128.354543226505</v>
      </c>
      <c r="E92" s="150">
        <v>3269.103576394099</v>
      </c>
      <c r="F92" s="158">
        <v>3419.4443031685005</v>
      </c>
      <c r="G92" s="84">
        <v>3291.8094682716996</v>
      </c>
      <c r="H92" s="84">
        <v>14554.683574230001</v>
      </c>
    </row>
    <row r="93" spans="1:8" ht="12" customHeight="1">
      <c r="A93" s="49" t="str">
        <f>HLOOKUP(INDICE!$F$2,Nombres!$C$3:$E$853,116)</f>
        <v>Dotación de capital económico</v>
      </c>
      <c r="B93" s="149">
        <v>690.67824773409995</v>
      </c>
      <c r="C93" s="84">
        <v>701.20925819989998</v>
      </c>
      <c r="D93" s="84">
        <v>730.67826959809997</v>
      </c>
      <c r="E93" s="150">
        <v>766.63738237760003</v>
      </c>
      <c r="F93" s="158">
        <v>782.35448606030002</v>
      </c>
      <c r="G93" s="84">
        <v>885.46370315549996</v>
      </c>
      <c r="H93" s="84">
        <v>1547.1142173400001</v>
      </c>
    </row>
    <row r="94" spans="1:8" ht="39" customHeight="1">
      <c r="A94" s="251" t="str">
        <f>HLOOKUP(INDICE!$F$2,Nombres!$C$3:$E$853,316)</f>
        <v>(*) Desde el tercer trimestre de 2015, la participación total de BBVA en Garanti se consolida por el método de integración global. Para periodos anteriores, los activos y pasivos de Garanti se integran en la proporción correspondiente al porcentaje de participación del Grupo (25,01%).</v>
      </c>
      <c r="B94" s="251"/>
      <c r="C94" s="251"/>
      <c r="D94" s="251"/>
      <c r="E94" s="251"/>
      <c r="F94" s="251"/>
      <c r="G94" s="251"/>
      <c r="H94" s="251"/>
    </row>
    <row r="95" spans="1:8" ht="12" customHeight="1">
      <c r="A95" s="144" t="str">
        <f>HLOOKUP(INDICE!$F$2,Nombres!$C$3:$E$853,117)</f>
        <v>Indicadores relevantes</v>
      </c>
      <c r="G95" s="74"/>
      <c r="H95" s="74"/>
    </row>
    <row r="96" spans="1:8" ht="18">
      <c r="A96" s="144" t="str">
        <f>HLOOKUP(INDICE!$F$2,Nombres!$C$3:$E$853,201)</f>
        <v>Anexo:</v>
      </c>
      <c r="G96" s="74"/>
      <c r="H96" s="74"/>
    </row>
    <row r="97" spans="1:8" ht="12" customHeight="1">
      <c r="A97" s="41" t="str">
        <f>HLOOKUP(INDICE!$F$2,Nombres!$C$3:$E$853,31)</f>
        <v>(Millones de euros constantes)</v>
      </c>
      <c r="G97" s="74"/>
      <c r="H97" s="74"/>
    </row>
    <row r="98" spans="1:8" ht="11.25" customHeight="1">
      <c r="A98" s="153"/>
      <c r="B98" s="81">
        <v>41729</v>
      </c>
      <c r="C98" s="82">
        <v>41820</v>
      </c>
      <c r="D98" s="82">
        <v>41912</v>
      </c>
      <c r="E98" s="82">
        <v>42004</v>
      </c>
      <c r="F98" s="81">
        <v>42094</v>
      </c>
      <c r="G98" s="82">
        <v>42185</v>
      </c>
      <c r="H98" s="82">
        <v>42277</v>
      </c>
    </row>
    <row r="99" spans="1:8">
      <c r="A99" s="49" t="str">
        <f>HLOOKUP(INDICE!$F$2,Nombres!$C$3:$E$853,314)</f>
        <v>Crédito a la clientela bruto (**)</v>
      </c>
      <c r="B99" s="149">
        <v>10312.9561800968</v>
      </c>
      <c r="C99" s="157">
        <v>10484.972718320199</v>
      </c>
      <c r="D99" s="157">
        <v>11134.735355598599</v>
      </c>
      <c r="E99" s="193">
        <v>11389.3232112476</v>
      </c>
      <c r="F99" s="149">
        <v>12231.6496929391</v>
      </c>
      <c r="G99" s="157">
        <v>12682.9569331359</v>
      </c>
      <c r="H99" s="157">
        <v>54322.978999999999</v>
      </c>
    </row>
    <row r="100" spans="1:8">
      <c r="A100" s="49" t="str">
        <f>HLOOKUP(INDICE!$F$2,Nombres!$C$3:$E$853,315)</f>
        <v>Depósitos de clientes en gestión (***)</v>
      </c>
      <c r="B100" s="149">
        <v>7930.9424117177996</v>
      </c>
      <c r="C100" s="157">
        <v>7581.9700119401004</v>
      </c>
      <c r="D100" s="157">
        <v>7956.0461396374003</v>
      </c>
      <c r="E100" s="193">
        <v>8362.8155717353002</v>
      </c>
      <c r="F100" s="149">
        <v>9200.3079128509999</v>
      </c>
      <c r="G100" s="157">
        <v>9687.1143495560991</v>
      </c>
      <c r="H100" s="157">
        <v>41731.379849919998</v>
      </c>
    </row>
    <row r="101" spans="1:8">
      <c r="A101" s="49" t="str">
        <f>HLOOKUP(INDICE!$F$2,Nombres!$C$3:$E$853,122)</f>
        <v>Fondos de inversión</v>
      </c>
      <c r="B101" s="149">
        <v>306.75368155180001</v>
      </c>
      <c r="C101" s="157">
        <v>319.184811835</v>
      </c>
      <c r="D101" s="157">
        <v>288.99150362609998</v>
      </c>
      <c r="E101" s="193">
        <v>287.15205532319999</v>
      </c>
      <c r="F101" s="149">
        <v>302.96275411840003</v>
      </c>
      <c r="G101" s="157">
        <v>311.30624664829998</v>
      </c>
      <c r="H101" s="157">
        <v>1231.5920000000001</v>
      </c>
    </row>
    <row r="102" spans="1:8">
      <c r="A102" s="49" t="str">
        <f>HLOOKUP(INDICE!$F$2,Nombres!$C$3:$E$853,206)</f>
        <v>Fondos de pensiones</v>
      </c>
      <c r="B102" s="158">
        <v>337.17094525509998</v>
      </c>
      <c r="C102" s="84">
        <v>379.66047698850002</v>
      </c>
      <c r="D102" s="84">
        <v>399.11175996899999</v>
      </c>
      <c r="E102" s="150">
        <v>449.337029062</v>
      </c>
      <c r="F102" s="158">
        <v>474.82192481150003</v>
      </c>
      <c r="G102" s="84">
        <v>497.62492461419998</v>
      </c>
      <c r="H102" s="84">
        <v>2052.3449999999998</v>
      </c>
    </row>
    <row r="103" spans="1:8">
      <c r="A103" s="49" t="str">
        <f>HLOOKUP(INDICE!$F$2,Nombres!$C$3:$E$853,308)</f>
        <v>Otros recursos fuera de balance</v>
      </c>
      <c r="B103" s="235">
        <v>0</v>
      </c>
      <c r="C103" s="236">
        <v>0</v>
      </c>
      <c r="D103" s="236">
        <v>0</v>
      </c>
      <c r="E103" s="237">
        <v>0</v>
      </c>
      <c r="F103" s="235">
        <v>0</v>
      </c>
      <c r="G103" s="236">
        <v>0</v>
      </c>
      <c r="H103" s="236">
        <v>0</v>
      </c>
    </row>
    <row r="104" spans="1:8">
      <c r="A104" s="156" t="str">
        <f>HLOOKUP(INDICE!$F$2,Nombres!$C$3:$E$853,312)</f>
        <v>(**) No incluye las adquisiciones temporales de activos.</v>
      </c>
      <c r="B104" s="72"/>
      <c r="C104" s="73"/>
      <c r="D104" s="73"/>
      <c r="E104" s="73"/>
      <c r="F104" s="73"/>
    </row>
    <row r="105" spans="1:8">
      <c r="A105" s="156" t="str">
        <f>HLOOKUP(INDICE!$F$2,Nombres!$C$3:$E$853,313)</f>
        <v>(***) No incluye las cesiones temporales de activos.</v>
      </c>
      <c r="B105" s="72"/>
      <c r="C105" s="73"/>
      <c r="D105" s="73"/>
      <c r="E105" s="73"/>
      <c r="F105" s="73"/>
    </row>
  </sheetData>
  <mergeCells count="8">
    <mergeCell ref="A75:H75"/>
    <mergeCell ref="A94:H94"/>
    <mergeCell ref="B4:E4"/>
    <mergeCell ref="F4:H4"/>
    <mergeCell ref="B55:E55"/>
    <mergeCell ref="F55:H55"/>
    <mergeCell ref="A24:H24"/>
    <mergeCell ref="A42:H42"/>
  </mergeCells>
  <pageMargins left="0.7" right="0.7" top="0.75" bottom="0.75" header="0.3" footer="0.3"/>
  <pageSetup paperSize="9" scale="4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H105"/>
  <sheetViews>
    <sheetView showGridLines="0" zoomScaleNormal="10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HLOOKUP(INDICE!$F$2,Nombres!$C$3:$E$853,309)</f>
        <v>Turquía en continuidad</v>
      </c>
    </row>
    <row r="2" spans="1:8" ht="18">
      <c r="A2" s="144" t="str">
        <f>HLOOKUP(INDICE!$F$2,Nombres!$C$3:$E$853,304)</f>
        <v>Cuentas de resultados (*)</v>
      </c>
      <c r="B2" s="192"/>
      <c r="C2" s="145"/>
      <c r="D2" s="145"/>
      <c r="E2" s="145"/>
    </row>
    <row r="3" spans="1:8">
      <c r="A3" s="41" t="str">
        <f>HLOOKUP(INDICE!$F$2,Nombres!$C$3:$E$853,30)</f>
        <v>(Millones de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1er Trim.</v>
      </c>
      <c r="C5" s="146" t="str">
        <f>HLOOKUP(INDICE!$F$2,Nombres!$C$3:$E$857,35)</f>
        <v>2º Trim.</v>
      </c>
      <c r="D5" s="146" t="str">
        <f>HLOOKUP(INDICE!$F$2,Nombres!$C$3:$E$857,36)</f>
        <v>3er Trim.</v>
      </c>
      <c r="E5" s="146" t="str">
        <f>HLOOKUP(INDICE!$F$2,Nombres!$C$3:$E$857,37)</f>
        <v>4º Trim.</v>
      </c>
      <c r="F5" s="146" t="str">
        <f>HLOOKUP(INDICE!$F$2,Nombres!$C$3:$E$857,34)</f>
        <v>1er Trim.</v>
      </c>
      <c r="G5" s="146" t="str">
        <f>HLOOKUP(INDICE!$F$2,Nombres!$C$3:$E$857,35)</f>
        <v>2º Trim.</v>
      </c>
      <c r="H5" s="146" t="str">
        <f>HLOOKUP(INDICE!$F$2,Nombres!$C$3:$E$857,36)</f>
        <v>3er Trim.</v>
      </c>
    </row>
    <row r="6" spans="1:8">
      <c r="A6" s="54" t="str">
        <f>HLOOKUP(INDICE!$F$2,Nombres!$C$3:$E$853,38)</f>
        <v>Margen de intereses</v>
      </c>
      <c r="B6" s="147">
        <v>146.34886950000001</v>
      </c>
      <c r="C6" s="83">
        <v>167.27188501000001</v>
      </c>
      <c r="D6" s="83">
        <v>196.55727318000001</v>
      </c>
      <c r="E6" s="148">
        <v>224.46315089000001</v>
      </c>
      <c r="F6" s="83">
        <v>210.40501202999999</v>
      </c>
      <c r="G6" s="83">
        <v>214.60152532000001</v>
      </c>
      <c r="H6" s="83">
        <v>223.84066418000009</v>
      </c>
    </row>
    <row r="7" spans="1:8">
      <c r="A7" s="49" t="str">
        <f>HLOOKUP(INDICE!$F$2,Nombres!$C$3:$E$853,39)</f>
        <v>Comisiones</v>
      </c>
      <c r="B7" s="149">
        <v>41.73</v>
      </c>
      <c r="C7" s="84">
        <v>52.956000000000003</v>
      </c>
      <c r="D7" s="84">
        <v>47.693999999999996</v>
      </c>
      <c r="E7" s="150">
        <v>48.449999999999996</v>
      </c>
      <c r="F7" s="84">
        <v>49.620999999999995</v>
      </c>
      <c r="G7" s="84">
        <v>48.449999999999996</v>
      </c>
      <c r="H7" s="84">
        <v>42.349749997499998</v>
      </c>
    </row>
    <row r="8" spans="1:8">
      <c r="A8" s="49" t="str">
        <f>HLOOKUP(INDICE!$F$2,Nombres!$C$3:$E$853,40)</f>
        <v>Resultados de operaciones financieras</v>
      </c>
      <c r="B8" s="149">
        <v>17.852</v>
      </c>
      <c r="C8" s="84">
        <v>8.0510000000000002</v>
      </c>
      <c r="D8" s="84">
        <v>-2.7030000000000003</v>
      </c>
      <c r="E8" s="150">
        <v>-21.917000000000002</v>
      </c>
      <c r="F8" s="84">
        <v>-14.707000000000001</v>
      </c>
      <c r="G8" s="84">
        <v>-7.0299999999999994</v>
      </c>
      <c r="H8" s="84">
        <v>-54.3645</v>
      </c>
    </row>
    <row r="9" spans="1:8">
      <c r="A9" s="49" t="str">
        <f>HLOOKUP(INDICE!$F$2,Nombres!$C$3:$E$853,95)</f>
        <v>Otros ingresos netos</v>
      </c>
      <c r="B9" s="149">
        <v>3.7839999999999998</v>
      </c>
      <c r="C9" s="84">
        <v>3.6260000000000003</v>
      </c>
      <c r="D9" s="84">
        <v>4.3250000000000002</v>
      </c>
      <c r="E9" s="150">
        <v>5.9110000000000005</v>
      </c>
      <c r="F9" s="84">
        <v>4.7380000000000004</v>
      </c>
      <c r="G9" s="84">
        <v>4.2690000000000001</v>
      </c>
      <c r="H9" s="84">
        <v>3.369250000000001</v>
      </c>
    </row>
    <row r="10" spans="1:8">
      <c r="A10" s="54" t="str">
        <f>HLOOKUP(INDICE!$F$2,Nombres!$C$3:$E$853,44)</f>
        <v>Margen bruto</v>
      </c>
      <c r="B10" s="147">
        <v>209.71486949999999</v>
      </c>
      <c r="C10" s="83">
        <v>231.90488501000002</v>
      </c>
      <c r="D10" s="83">
        <v>245.87327318000001</v>
      </c>
      <c r="E10" s="148">
        <v>256.90715089000003</v>
      </c>
      <c r="F10" s="83">
        <v>250.05701203000001</v>
      </c>
      <c r="G10" s="83">
        <v>260.29052531999997</v>
      </c>
      <c r="H10" s="83">
        <v>215.19516417750003</v>
      </c>
    </row>
    <row r="11" spans="1:8">
      <c r="A11" s="49" t="str">
        <f>HLOOKUP(INDICE!$F$2,Nombres!$C$3:$E$853,45)</f>
        <v>Gastos de explotación</v>
      </c>
      <c r="B11" s="149">
        <v>-91.783929000000001</v>
      </c>
      <c r="C11" s="84">
        <v>-94.406953000000001</v>
      </c>
      <c r="D11" s="84">
        <v>-101.82176263740001</v>
      </c>
      <c r="E11" s="150">
        <v>-106.6560903626</v>
      </c>
      <c r="F11" s="84">
        <v>-109.90620700000001</v>
      </c>
      <c r="G11" s="84">
        <v>-111.40645599999999</v>
      </c>
      <c r="H11" s="84">
        <v>-116.35588924499999</v>
      </c>
    </row>
    <row r="12" spans="1:8">
      <c r="A12" s="49" t="str">
        <f>HLOOKUP(INDICE!$F$2,Nombres!$C$3:$E$853,46)</f>
        <v xml:space="preserve">  Gastos de administración</v>
      </c>
      <c r="B12" s="149">
        <v>-83.521676999999997</v>
      </c>
      <c r="C12" s="84">
        <v>-85.716701</v>
      </c>
      <c r="D12" s="84">
        <v>-92.8525056374</v>
      </c>
      <c r="E12" s="150">
        <v>-97.385829362599992</v>
      </c>
      <c r="F12" s="84">
        <v>-100.33795500000001</v>
      </c>
      <c r="G12" s="84">
        <v>-102.403205</v>
      </c>
      <c r="H12" s="84">
        <v>-100.79563224500002</v>
      </c>
    </row>
    <row r="13" spans="1:8">
      <c r="A13" s="88" t="str">
        <f>HLOOKUP(INDICE!$F$2,Nombres!$C$3:$E$853,47)</f>
        <v xml:space="preserve">  Gastos de personal</v>
      </c>
      <c r="B13" s="149">
        <v>-46.930352999999997</v>
      </c>
      <c r="C13" s="84">
        <v>-50.525183999999996</v>
      </c>
      <c r="D13" s="84">
        <v>-52.746526000000003</v>
      </c>
      <c r="E13" s="150">
        <v>-51.644427</v>
      </c>
      <c r="F13" s="84">
        <v>-56.248039999999996</v>
      </c>
      <c r="G13" s="84">
        <v>-55.285052999999998</v>
      </c>
      <c r="H13" s="84">
        <v>-59.185372994999994</v>
      </c>
    </row>
    <row r="14" spans="1:8">
      <c r="A14" s="88" t="str">
        <f>HLOOKUP(INDICE!$F$2,Nombres!$C$3:$E$853,48)</f>
        <v xml:space="preserve">  Otros gastos generales de administración</v>
      </c>
      <c r="B14" s="149">
        <v>-36.591324</v>
      </c>
      <c r="C14" s="84">
        <v>-35.191516999999997</v>
      </c>
      <c r="D14" s="84">
        <v>-40.105979637399997</v>
      </c>
      <c r="E14" s="150">
        <v>-45.741402362599999</v>
      </c>
      <c r="F14" s="84">
        <v>-44.089914999999998</v>
      </c>
      <c r="G14" s="84">
        <v>-47.118152000000002</v>
      </c>
      <c r="H14" s="84">
        <v>-41.610259249999999</v>
      </c>
    </row>
    <row r="15" spans="1:8" ht="13.5" customHeight="1">
      <c r="A15" s="49" t="str">
        <f>HLOOKUP(INDICE!$F$2,Nombres!$C$3:$E$853,49)</f>
        <v xml:space="preserve">  Amortizaciones</v>
      </c>
      <c r="B15" s="149">
        <v>-8.2622520000000002</v>
      </c>
      <c r="C15" s="84">
        <v>-8.690252000000001</v>
      </c>
      <c r="D15" s="84">
        <v>-8.9692569999999989</v>
      </c>
      <c r="E15" s="150">
        <v>-9.2702609999999996</v>
      </c>
      <c r="F15" s="84">
        <v>-9.5682520000000011</v>
      </c>
      <c r="G15" s="84">
        <v>-9.0032510000000006</v>
      </c>
      <c r="H15" s="84">
        <v>-15.560256999999998</v>
      </c>
    </row>
    <row r="16" spans="1:8" ht="12.75" customHeight="1">
      <c r="A16" s="54" t="str">
        <f>HLOOKUP(INDICE!$F$2,Nombres!$C$3:$E$853,50)</f>
        <v>Margen neto</v>
      </c>
      <c r="B16" s="147">
        <v>117.93094049999999</v>
      </c>
      <c r="C16" s="83">
        <v>137.49793201</v>
      </c>
      <c r="D16" s="83">
        <v>144.0515105426</v>
      </c>
      <c r="E16" s="148">
        <v>150.2510605274</v>
      </c>
      <c r="F16" s="83">
        <v>140.15080502999999</v>
      </c>
      <c r="G16" s="83">
        <v>148.88406932000001</v>
      </c>
      <c r="H16" s="83">
        <v>98.839274932500103</v>
      </c>
    </row>
    <row r="17" spans="1:8" ht="13.5" customHeight="1">
      <c r="A17" s="49" t="str">
        <f>HLOOKUP(INDICE!$F$2,Nombres!$C$3:$E$853,51)</f>
        <v>Pérdidas por deterioro de activos financieros</v>
      </c>
      <c r="B17" s="149">
        <v>-25.16</v>
      </c>
      <c r="C17" s="84">
        <v>-25.331000000000003</v>
      </c>
      <c r="D17" s="84">
        <v>-50.100999999999999</v>
      </c>
      <c r="E17" s="150">
        <v>-45.805</v>
      </c>
      <c r="F17" s="84">
        <v>-33.067999999999998</v>
      </c>
      <c r="G17" s="84">
        <v>-37.912999999999997</v>
      </c>
      <c r="H17" s="84">
        <v>-38.181750000000008</v>
      </c>
    </row>
    <row r="18" spans="1:8" ht="13.5" customHeight="1">
      <c r="A18" s="49" t="str">
        <f>HLOOKUP(INDICE!$F$2,Nombres!$C$3:$E$853,160)</f>
        <v>Dotaciones a provisiones y otros resultados</v>
      </c>
      <c r="B18" s="149">
        <v>-4.5600000000000005</v>
      </c>
      <c r="C18" s="84">
        <v>-4.3740000000000006</v>
      </c>
      <c r="D18" s="84">
        <v>6.8929999999999998</v>
      </c>
      <c r="E18" s="150">
        <v>-9.0239999999999991</v>
      </c>
      <c r="F18" s="84">
        <v>-0.47799999999999987</v>
      </c>
      <c r="G18" s="84">
        <v>1.0269999999999997</v>
      </c>
      <c r="H18" s="84">
        <v>-0.44850000000000001</v>
      </c>
    </row>
    <row r="19" spans="1:8" ht="12.75" customHeight="1">
      <c r="A19" s="54" t="str">
        <f>HLOOKUP(INDICE!$F$2,Nombres!$C$3:$E$853,54)</f>
        <v>Beneficio antes de impuestos</v>
      </c>
      <c r="B19" s="147">
        <v>88.210940499999992</v>
      </c>
      <c r="C19" s="83">
        <v>107.79293201000002</v>
      </c>
      <c r="D19" s="83">
        <v>100.8435105426</v>
      </c>
      <c r="E19" s="148">
        <v>95.422060527399992</v>
      </c>
      <c r="F19" s="83">
        <v>106.60480502999999</v>
      </c>
      <c r="G19" s="83">
        <v>111.99806932</v>
      </c>
      <c r="H19" s="83">
        <v>60.209024932500085</v>
      </c>
    </row>
    <row r="20" spans="1:8" ht="13.5" customHeight="1">
      <c r="A20" s="49" t="str">
        <f>HLOOKUP(INDICE!$F$2,Nombres!$C$3:$E$853,55)</f>
        <v>Impuesto sobre beneficios</v>
      </c>
      <c r="B20" s="149">
        <v>-18.557582149999998</v>
      </c>
      <c r="C20" s="84">
        <v>-22.917379599999997</v>
      </c>
      <c r="D20" s="84">
        <v>-19.907787159999998</v>
      </c>
      <c r="E20" s="150">
        <v>-20.399074159999998</v>
      </c>
      <c r="F20" s="84">
        <v>-20.910441509999998</v>
      </c>
      <c r="G20" s="84">
        <v>-23.258720789999998</v>
      </c>
      <c r="H20" s="84">
        <v>-10.238532059999994</v>
      </c>
    </row>
    <row r="21" spans="1:8" ht="13.5" customHeight="1">
      <c r="A21" s="54" t="str">
        <f>HLOOKUP(INDICE!$F$2,Nombres!$C$3:$E$853,56)</f>
        <v>Beneficio después de impuestos</v>
      </c>
      <c r="B21" s="147">
        <v>69.653358349999991</v>
      </c>
      <c r="C21" s="83">
        <v>84.875552409999997</v>
      </c>
      <c r="D21" s="83">
        <v>80.935723382600003</v>
      </c>
      <c r="E21" s="148">
        <v>75.022986367399994</v>
      </c>
      <c r="F21" s="83">
        <v>85.694363519999996</v>
      </c>
      <c r="G21" s="83">
        <v>88.739348530000001</v>
      </c>
      <c r="H21" s="83">
        <v>49.970492872500095</v>
      </c>
    </row>
    <row r="22" spans="1:8" ht="12" customHeight="1">
      <c r="A22" s="49" t="str">
        <f>HLOOKUP(INDICE!$F$2,Nombres!$C$3:$E$853,57)</f>
        <v>Resultado atribuido a la minoría</v>
      </c>
      <c r="B22" s="241">
        <v>0</v>
      </c>
      <c r="C22" s="236">
        <v>0</v>
      </c>
      <c r="D22" s="236">
        <v>0</v>
      </c>
      <c r="E22" s="237">
        <v>0</v>
      </c>
      <c r="F22" s="236">
        <v>0</v>
      </c>
      <c r="G22" s="236">
        <v>0</v>
      </c>
      <c r="H22" s="84">
        <v>0</v>
      </c>
    </row>
    <row r="23" spans="1:8" ht="14.25" customHeight="1">
      <c r="A23" s="54" t="str">
        <f>HLOOKUP(INDICE!$F$2,Nombres!$C$3:$E$853,58)</f>
        <v>Beneficio atribuido al Grupo</v>
      </c>
      <c r="B23" s="147">
        <v>69.653358349999991</v>
      </c>
      <c r="C23" s="83">
        <v>84.875552409999997</v>
      </c>
      <c r="D23" s="83">
        <v>80.935723382600003</v>
      </c>
      <c r="E23" s="148">
        <v>75.022986367399994</v>
      </c>
      <c r="F23" s="83">
        <v>85.694363519999996</v>
      </c>
      <c r="G23" s="83">
        <v>88.739348530000001</v>
      </c>
      <c r="H23" s="83">
        <v>49.970492872500103</v>
      </c>
    </row>
    <row r="24" spans="1:8" ht="42.75" customHeight="1">
      <c r="A24" s="251" t="str">
        <f>HLOOKUP(INDICE!$F$2,Nombres!$C$3:$E$853,311)</f>
        <v>(*) Estados financieros de Garanti integrados en la proporción correspondiente al porcentaje de participación (25,01%) que el Grupo tenía hasta el segundo trimestre de 2015.</v>
      </c>
      <c r="B24" s="251"/>
      <c r="C24" s="251"/>
      <c r="D24" s="251"/>
      <c r="E24" s="251"/>
      <c r="F24" s="251"/>
      <c r="G24" s="251"/>
      <c r="H24" s="251"/>
    </row>
    <row r="25" spans="1:8" ht="12.75" customHeight="1">
      <c r="A25" s="144" t="str">
        <f>HLOOKUP(INDICE!$F$2,Nombres!$C$3:$E$853,293)</f>
        <v>Balances (*)</v>
      </c>
      <c r="B25" s="192"/>
      <c r="C25" s="170"/>
      <c r="D25" s="170"/>
      <c r="E25" s="170"/>
      <c r="F25" s="170"/>
      <c r="G25" s="170"/>
      <c r="H25" s="170"/>
    </row>
    <row r="26" spans="1:8" ht="13.5" customHeight="1">
      <c r="A26" s="41" t="str">
        <f>HLOOKUP(INDICE!$F$2,Nombres!$C$3:$E$853,30)</f>
        <v>(Millones de euros)</v>
      </c>
      <c r="B26" s="81">
        <v>41729</v>
      </c>
      <c r="C26" s="82">
        <v>41820</v>
      </c>
      <c r="D26" s="82">
        <v>41912</v>
      </c>
      <c r="E26" s="82">
        <v>42004</v>
      </c>
      <c r="F26" s="81">
        <v>42094</v>
      </c>
      <c r="G26" s="82">
        <v>42185</v>
      </c>
      <c r="H26" s="82">
        <v>42277</v>
      </c>
    </row>
    <row r="27" spans="1:8">
      <c r="A27" s="49" t="str">
        <f>HLOOKUP(INDICE!$F$2,Nombres!$C$3:$E$853,100)</f>
        <v>Caja y depósitos en bancos centrales</v>
      </c>
      <c r="B27" s="149">
        <v>2023.8420000000001</v>
      </c>
      <c r="C27" s="84">
        <v>2205.8809999999999</v>
      </c>
      <c r="D27" s="84">
        <v>2226.152</v>
      </c>
      <c r="E27" s="150">
        <v>2478.34</v>
      </c>
      <c r="F27" s="84">
        <v>2430.1469999999999</v>
      </c>
      <c r="G27" s="84">
        <v>2316.5509999999999</v>
      </c>
      <c r="H27" s="84">
        <v>2608.7492499999998</v>
      </c>
    </row>
    <row r="28" spans="1:8">
      <c r="A28" s="49" t="str">
        <f>HLOOKUP(INDICE!$F$2,Nombres!$C$3:$E$853,101)</f>
        <v>Cartera de títulos</v>
      </c>
      <c r="B28" s="149">
        <v>3847.7910000000002</v>
      </c>
      <c r="C28" s="84">
        <v>4122.3959999999997</v>
      </c>
      <c r="D28" s="84">
        <v>4282.2110000000002</v>
      </c>
      <c r="E28" s="150">
        <v>4508.1210000000001</v>
      </c>
      <c r="F28" s="84">
        <v>4469.3050000000003</v>
      </c>
      <c r="G28" s="84">
        <v>4298.3500000000004</v>
      </c>
      <c r="H28" s="84">
        <v>3952.5959999999995</v>
      </c>
    </row>
    <row r="29" spans="1:8">
      <c r="A29" s="49" t="str">
        <f>HLOOKUP(INDICE!$F$2,Nombres!$C$3:$E$853,102)</f>
        <v>Inversiones crediticias</v>
      </c>
      <c r="B29" s="149">
        <v>12747.96</v>
      </c>
      <c r="C29" s="84">
        <v>13095.614</v>
      </c>
      <c r="D29" s="84">
        <v>13997.549000000001</v>
      </c>
      <c r="E29" s="150">
        <v>14464.214</v>
      </c>
      <c r="F29" s="84">
        <v>15748.941000000001</v>
      </c>
      <c r="G29" s="84">
        <v>15036.8</v>
      </c>
      <c r="H29" s="84">
        <v>14429.805999999997</v>
      </c>
    </row>
    <row r="30" spans="1:8">
      <c r="A30" s="49" t="str">
        <f>HLOOKUP(INDICE!$F$2,Nombres!$C$3:$E$853,103)</f>
        <v xml:space="preserve">  . Crédito a la clientela neto</v>
      </c>
      <c r="B30" s="149">
        <v>11334.891</v>
      </c>
      <c r="C30" s="84">
        <v>11823.876</v>
      </c>
      <c r="D30" s="84">
        <v>12633.233</v>
      </c>
      <c r="E30" s="150">
        <v>13097.802</v>
      </c>
      <c r="F30" s="84">
        <v>14176.656000000001</v>
      </c>
      <c r="G30" s="84">
        <v>13796.26</v>
      </c>
      <c r="H30" s="84">
        <v>13057.630250000002</v>
      </c>
    </row>
    <row r="31" spans="1:8">
      <c r="A31" s="49" t="str">
        <f>HLOOKUP(INDICE!$F$2,Nombres!$C$3:$E$853,104)</f>
        <v xml:space="preserve">  . Depósitos en entidades de crédito y otros</v>
      </c>
      <c r="B31" s="154">
        <v>1413.069</v>
      </c>
      <c r="C31" s="84">
        <v>1271.7379999999998</v>
      </c>
      <c r="D31" s="84">
        <v>1364.3159999999998</v>
      </c>
      <c r="E31" s="150">
        <v>1366.412</v>
      </c>
      <c r="F31" s="84">
        <v>1572.2849999999999</v>
      </c>
      <c r="G31" s="84">
        <v>1240.54</v>
      </c>
      <c r="H31" s="84">
        <v>1372.1757499999997</v>
      </c>
    </row>
    <row r="32" spans="1:8">
      <c r="A32" s="49" t="str">
        <f>HLOOKUP(INDICE!$F$2,Nombres!$C$3:$E$853,106)</f>
        <v>Activo material</v>
      </c>
      <c r="B32" s="155">
        <v>175.142</v>
      </c>
      <c r="C32" s="84">
        <v>180.999</v>
      </c>
      <c r="D32" s="84">
        <v>181.238</v>
      </c>
      <c r="E32" s="150">
        <v>194.404</v>
      </c>
      <c r="F32" s="84">
        <v>192.62200000000001</v>
      </c>
      <c r="G32" s="84">
        <v>182.77</v>
      </c>
      <c r="H32" s="84">
        <v>212.65475000000004</v>
      </c>
    </row>
    <row r="33" spans="1:8">
      <c r="A33" s="49" t="str">
        <f>HLOOKUP(INDICE!$F$2,Nombres!$C$3:$E$853,107)</f>
        <v>Otros activos</v>
      </c>
      <c r="B33" s="149">
        <v>635.71299999999997</v>
      </c>
      <c r="C33" s="84">
        <v>618.89999999999986</v>
      </c>
      <c r="D33" s="84">
        <v>669.11000000000013</v>
      </c>
      <c r="E33" s="150">
        <v>697.22199999999998</v>
      </c>
      <c r="F33" s="84">
        <v>779.40499999999997</v>
      </c>
      <c r="G33" s="84">
        <v>664.51600000000008</v>
      </c>
      <c r="H33" s="84">
        <v>634.88480879749477</v>
      </c>
    </row>
    <row r="34" spans="1:8">
      <c r="A34" s="54" t="str">
        <f>HLOOKUP(INDICE!$F$2,Nombres!$C$3:$E$853,108)</f>
        <v>Total activo / pasivo</v>
      </c>
      <c r="B34" s="147">
        <v>19430.447999999997</v>
      </c>
      <c r="C34" s="83">
        <v>20223.79</v>
      </c>
      <c r="D34" s="83">
        <v>21356.260000000006</v>
      </c>
      <c r="E34" s="148">
        <v>22342.300999999996</v>
      </c>
      <c r="F34" s="83">
        <v>23620.42</v>
      </c>
      <c r="G34" s="83">
        <v>22498.987000000001</v>
      </c>
      <c r="H34" s="83">
        <v>21838.690808797495</v>
      </c>
    </row>
    <row r="35" spans="1:8">
      <c r="A35" s="49" t="str">
        <f>HLOOKUP(INDICE!$F$2,Nombres!$C$3:$E$853,109)</f>
        <v>Depósitos de bancos centrales y entidades de crédito</v>
      </c>
      <c r="B35" s="149">
        <v>4407.1009999999997</v>
      </c>
      <c r="C35" s="84">
        <v>4218.8</v>
      </c>
      <c r="D35" s="84">
        <v>4619.1540000000005</v>
      </c>
      <c r="E35" s="150">
        <v>4373.9040000000005</v>
      </c>
      <c r="F35" s="84">
        <v>4348.66</v>
      </c>
      <c r="G35" s="84">
        <v>4230.7110000000002</v>
      </c>
      <c r="H35" s="84">
        <v>3972.0280000000002</v>
      </c>
    </row>
    <row r="36" spans="1:8">
      <c r="A36" s="49" t="str">
        <f>HLOOKUP(INDICE!$F$2,Nombres!$C$3:$E$853,110)</f>
        <v>Depósitos de la clientela</v>
      </c>
      <c r="B36" s="149">
        <v>10132.687</v>
      </c>
      <c r="C36" s="84">
        <v>10354.254000000001</v>
      </c>
      <c r="D36" s="84">
        <v>10709.601000000001</v>
      </c>
      <c r="E36" s="150">
        <v>11625.644</v>
      </c>
      <c r="F36" s="84">
        <v>12507.075999999999</v>
      </c>
      <c r="G36" s="84">
        <v>12018.362999999999</v>
      </c>
      <c r="H36" s="84">
        <v>11597.101750000002</v>
      </c>
    </row>
    <row r="37" spans="1:8">
      <c r="A37" s="49" t="str">
        <f>HLOOKUP(INDICE!$F$2,Nombres!$C$3:$E$853,111)</f>
        <v>Débitos representados por valores negociables</v>
      </c>
      <c r="B37" s="149">
        <v>940.41499999999996</v>
      </c>
      <c r="C37" s="84">
        <v>1139.0139999999999</v>
      </c>
      <c r="D37" s="84">
        <v>1291.1489999999999</v>
      </c>
      <c r="E37" s="150">
        <v>1297.318</v>
      </c>
      <c r="F37" s="84">
        <v>1306.1030000000001</v>
      </c>
      <c r="G37" s="84">
        <v>1257.7339999999999</v>
      </c>
      <c r="H37" s="84">
        <v>1957.6087500000003</v>
      </c>
    </row>
    <row r="38" spans="1:8" ht="13.5" customHeight="1">
      <c r="A38" s="49" t="str">
        <f>HLOOKUP(INDICE!$F$2,Nombres!$C$3:$E$853,112)</f>
        <v>Pasivos subordinados</v>
      </c>
      <c r="B38" s="149">
        <v>23.295999999999999</v>
      </c>
      <c r="C38" s="84">
        <v>23.667000000000002</v>
      </c>
      <c r="D38" s="84">
        <v>23.154</v>
      </c>
      <c r="E38" s="150">
        <v>23.353999999999999</v>
      </c>
      <c r="F38" s="84">
        <v>22.931999999999999</v>
      </c>
      <c r="G38" s="84">
        <v>22.875</v>
      </c>
      <c r="H38" s="84">
        <v>12.804249999999996</v>
      </c>
    </row>
    <row r="39" spans="1:8">
      <c r="A39" s="49" t="str">
        <f>HLOOKUP(INDICE!$F$2,Nombres!$C$3:$E$853,114)</f>
        <v>Cartera de negociación</v>
      </c>
      <c r="B39" s="149">
        <v>165.523</v>
      </c>
      <c r="C39" s="84">
        <v>119.95399999999999</v>
      </c>
      <c r="D39" s="84">
        <v>167.76599999999999</v>
      </c>
      <c r="E39" s="150">
        <v>191.74600000000001</v>
      </c>
      <c r="F39" s="84">
        <v>372.90800000000002</v>
      </c>
      <c r="G39" s="84">
        <v>241.804</v>
      </c>
      <c r="H39" s="84">
        <v>276.33050000000003</v>
      </c>
    </row>
    <row r="40" spans="1:8">
      <c r="A40" s="49" t="str">
        <f>HLOOKUP(INDICE!$F$2,Nombres!$C$3:$E$853,115)</f>
        <v>Otros pasivos</v>
      </c>
      <c r="B40" s="149">
        <v>2972.8192699999918</v>
      </c>
      <c r="C40" s="84">
        <v>3547.5556199999992</v>
      </c>
      <c r="D40" s="84">
        <v>3684.7637486900071</v>
      </c>
      <c r="E40" s="150">
        <v>3912.6794688299947</v>
      </c>
      <c r="F40" s="84">
        <v>4119.981060000001</v>
      </c>
      <c r="G40" s="84">
        <v>3725.3404000000046</v>
      </c>
      <c r="H40" s="84">
        <v>3055.8713229600016</v>
      </c>
    </row>
    <row r="41" spans="1:8" ht="12.75" customHeight="1">
      <c r="A41" s="49" t="str">
        <f>HLOOKUP(INDICE!$F$2,Nombres!$C$3:$E$853,116)</f>
        <v>Dotación de capital económico</v>
      </c>
      <c r="B41" s="149">
        <v>788.60672999999997</v>
      </c>
      <c r="C41" s="84">
        <v>820.54538000000002</v>
      </c>
      <c r="D41" s="84">
        <v>860.67225130999998</v>
      </c>
      <c r="E41" s="150">
        <v>917.65553117000002</v>
      </c>
      <c r="F41" s="84">
        <v>942.75994000000003</v>
      </c>
      <c r="G41" s="84">
        <v>1002.1596</v>
      </c>
      <c r="H41" s="84">
        <v>966.94623583750013</v>
      </c>
    </row>
    <row r="42" spans="1:8" ht="31.5" customHeight="1">
      <c r="A42" s="251" t="str">
        <f>HLOOKUP(INDICE!$F$2,Nombres!$C$3:$E$853,311)</f>
        <v>(*) Estados financieros de Garanti integrados en la proporción correspondiente al porcentaje de participación (25,01%) que el Grupo tenía hasta el segundo trimestre de 2015.</v>
      </c>
      <c r="B42" s="251"/>
      <c r="C42" s="251"/>
      <c r="D42" s="251"/>
      <c r="E42" s="251"/>
      <c r="F42" s="251"/>
      <c r="G42" s="251"/>
      <c r="H42" s="251"/>
    </row>
    <row r="43" spans="1:8" ht="24" customHeight="1">
      <c r="A43" s="144" t="str">
        <f>HLOOKUP(INDICE!$F$2,Nombres!$C$3:$E$853,117)</f>
        <v>Indicadores relevantes</v>
      </c>
      <c r="B43" s="170"/>
      <c r="C43" s="170"/>
      <c r="D43" s="170"/>
      <c r="E43" s="170"/>
      <c r="F43" s="170"/>
      <c r="G43" s="170"/>
      <c r="H43" s="170"/>
    </row>
    <row r="44" spans="1:8" ht="38.25" customHeight="1">
      <c r="A44" s="144" t="str">
        <f>HLOOKUP(INDICE!$F$2,Nombres!$C$3:$E$853,201)</f>
        <v>Anexo:</v>
      </c>
    </row>
    <row r="45" spans="1:8" ht="12" customHeight="1">
      <c r="A45" s="41" t="str">
        <f>HLOOKUP(INDICE!$F$2,Nombres!$C$3:$E$853,30)</f>
        <v>(Millones de euros)</v>
      </c>
      <c r="B45" s="81">
        <v>41729</v>
      </c>
      <c r="C45" s="82">
        <v>41820</v>
      </c>
      <c r="D45" s="82">
        <v>41912</v>
      </c>
      <c r="E45" s="82">
        <v>42004</v>
      </c>
      <c r="F45" s="81">
        <v>42094</v>
      </c>
      <c r="G45" s="82">
        <v>42185</v>
      </c>
      <c r="H45" s="82">
        <v>42277</v>
      </c>
    </row>
    <row r="46" spans="1:8">
      <c r="A46" s="49" t="str">
        <f>HLOOKUP(INDICE!$F$2,Nombres!$C$3:$E$853,314)</f>
        <v>Crédito a la clientela bruto (**)</v>
      </c>
      <c r="B46" s="149">
        <v>11775.187</v>
      </c>
      <c r="C46" s="84">
        <v>12270.794</v>
      </c>
      <c r="D46" s="84">
        <v>13117.258</v>
      </c>
      <c r="E46" s="150">
        <v>13634.606</v>
      </c>
      <c r="F46" s="84">
        <v>14741.394</v>
      </c>
      <c r="G46" s="84">
        <v>14355.491</v>
      </c>
      <c r="H46" s="84">
        <v>13580.744749999998</v>
      </c>
    </row>
    <row r="47" spans="1:8">
      <c r="A47" s="49" t="str">
        <f>HLOOKUP(INDICE!$F$2,Nombres!$C$3:$E$853,315)</f>
        <v>Depósitos de clientes en gestión (***)</v>
      </c>
      <c r="B47" s="149">
        <v>9055.4374859500003</v>
      </c>
      <c r="C47" s="84">
        <v>8873.3461335699994</v>
      </c>
      <c r="D47" s="84">
        <v>9372.6080181199995</v>
      </c>
      <c r="E47" s="150">
        <v>10011.45487369</v>
      </c>
      <c r="F47" s="84">
        <v>11088.068025930001</v>
      </c>
      <c r="G47" s="84">
        <v>10964.57896957</v>
      </c>
      <c r="H47" s="84">
        <v>10432.844962479998</v>
      </c>
    </row>
    <row r="48" spans="1:8">
      <c r="A48" s="49" t="str">
        <f>HLOOKUP(INDICE!$F$2,Nombres!$C$3:$E$853,122)</f>
        <v>Fondos de inversión</v>
      </c>
      <c r="B48" s="149">
        <v>350.24700000000001</v>
      </c>
      <c r="C48" s="84">
        <v>373.54899999999998</v>
      </c>
      <c r="D48" s="84">
        <v>340.44600000000003</v>
      </c>
      <c r="E48" s="150">
        <v>343.76100000000002</v>
      </c>
      <c r="F48" s="84">
        <v>365.12599999999998</v>
      </c>
      <c r="G48" s="84">
        <v>352.35899999999998</v>
      </c>
      <c r="H48" s="84">
        <v>307.89800000000002</v>
      </c>
    </row>
    <row r="49" spans="1:8">
      <c r="A49" s="49" t="str">
        <f>HLOOKUP(INDICE!$F$2,Nombres!$C$3:$E$853,206)</f>
        <v>Fondos de pensiones</v>
      </c>
      <c r="B49" s="149">
        <v>384.97699999999998</v>
      </c>
      <c r="C49" s="84">
        <v>444.32499999999999</v>
      </c>
      <c r="D49" s="84">
        <v>470.173</v>
      </c>
      <c r="E49" s="150">
        <v>537.91899999999998</v>
      </c>
      <c r="F49" s="84">
        <v>572.24800000000005</v>
      </c>
      <c r="G49" s="84">
        <v>563.24800000000005</v>
      </c>
      <c r="H49" s="84">
        <v>513.08624999999984</v>
      </c>
    </row>
    <row r="50" spans="1:8">
      <c r="A50" s="49" t="str">
        <f>HLOOKUP(INDICE!$F$2,Nombres!$C$3:$E$853,308)</f>
        <v>Otros recursos fuera de balance</v>
      </c>
      <c r="B50" s="241">
        <v>0</v>
      </c>
      <c r="C50" s="236">
        <v>0</v>
      </c>
      <c r="D50" s="236">
        <v>0</v>
      </c>
      <c r="E50" s="237">
        <v>0</v>
      </c>
      <c r="F50" s="236">
        <v>0</v>
      </c>
      <c r="G50" s="236">
        <v>0</v>
      </c>
      <c r="H50" s="236">
        <v>0</v>
      </c>
    </row>
    <row r="51" spans="1:8">
      <c r="A51" s="156" t="str">
        <f>HLOOKUP(INDICE!$F$2,Nombres!$C$3:$E$853,312)</f>
        <v>(**) No incluye las adquisiciones temporales de activos.</v>
      </c>
      <c r="B51" s="157"/>
      <c r="C51" s="84"/>
      <c r="D51" s="84"/>
      <c r="E51" s="84"/>
      <c r="F51" s="84"/>
      <c r="G51" s="84"/>
      <c r="H51" s="84"/>
    </row>
    <row r="52" spans="1:8">
      <c r="A52" s="156" t="str">
        <f>HLOOKUP(INDICE!$F$2,Nombres!$C$3:$E$853,313)</f>
        <v>(***) No incluye las cesiones temporales de activos.</v>
      </c>
      <c r="C52"/>
      <c r="D52"/>
      <c r="E52"/>
    </row>
    <row r="53" spans="1:8" ht="18">
      <c r="A53" s="144" t="str">
        <f>HLOOKUP(INDICE!$F$2,Nombres!$C$3:$E$853,304)</f>
        <v>Cuentas de resultados (*)</v>
      </c>
      <c r="B53" s="192"/>
      <c r="C53" s="145"/>
      <c r="D53" s="145"/>
      <c r="E53" s="145"/>
      <c r="G53" s="74"/>
      <c r="H53" s="74"/>
    </row>
    <row r="54" spans="1:8">
      <c r="A54" s="41" t="str">
        <f>HLOOKUP(INDICE!$F$2,Nombres!$C$3:$E$853,31)</f>
        <v>(Millones de euros constantes)</v>
      </c>
      <c r="C54" s="145"/>
      <c r="D54" s="145"/>
      <c r="E54" s="145"/>
      <c r="G54" s="74"/>
      <c r="H54" s="74"/>
    </row>
    <row r="55" spans="1:8">
      <c r="A55" s="146"/>
      <c r="B55" s="252">
        <v>2014</v>
      </c>
      <c r="C55" s="252"/>
      <c r="D55" s="252"/>
      <c r="E55" s="252"/>
      <c r="F55" s="253">
        <v>2015</v>
      </c>
      <c r="G55" s="254"/>
      <c r="H55" s="254"/>
    </row>
    <row r="56" spans="1:8">
      <c r="A56" s="146"/>
      <c r="B56" s="146" t="str">
        <f>HLOOKUP(INDICE!$F$2,Nombres!$C$3:$E$857,34)</f>
        <v>1er Trim.</v>
      </c>
      <c r="C56" s="146" t="str">
        <f>HLOOKUP(INDICE!$F$2,Nombres!$C$3:$E$857,35)</f>
        <v>2º Trim.</v>
      </c>
      <c r="D56" s="146" t="str">
        <f>HLOOKUP(INDICE!$F$2,Nombres!$C$3:$E$857,36)</f>
        <v>3er Trim.</v>
      </c>
      <c r="E56" s="146" t="str">
        <f>HLOOKUP(INDICE!$F$2,Nombres!$C$3:$E$857,37)</f>
        <v>4º Trim.</v>
      </c>
      <c r="F56" s="146" t="str">
        <f>HLOOKUP(INDICE!$F$2,Nombres!$C$3:$E$857,34)</f>
        <v>1er Trim.</v>
      </c>
      <c r="G56" s="146" t="str">
        <f>HLOOKUP(INDICE!$F$2,Nombres!$C$3:$E$857,35)</f>
        <v>2º Trim.</v>
      </c>
      <c r="H56" s="146" t="str">
        <f>HLOOKUP(INDICE!$F$2,Nombres!$C$3:$E$857,36)</f>
        <v>3er Trim.</v>
      </c>
    </row>
    <row r="57" spans="1:8">
      <c r="A57" s="54" t="str">
        <f>HLOOKUP(INDICE!$F$2,Nombres!$C$3:$E$853,38)</f>
        <v>Margen de intereses</v>
      </c>
      <c r="B57" s="147">
        <v>149.65989312319999</v>
      </c>
      <c r="C57" s="83">
        <v>163.71514744019998</v>
      </c>
      <c r="D57" s="83">
        <v>190.4848293842</v>
      </c>
      <c r="E57" s="148">
        <v>215.05755859679999</v>
      </c>
      <c r="F57" s="54">
        <v>196.4553140246</v>
      </c>
      <c r="G57" s="54">
        <v>213.13464473049999</v>
      </c>
      <c r="H57" s="54">
        <v>239.25724277490002</v>
      </c>
    </row>
    <row r="58" spans="1:8">
      <c r="A58" s="49" t="str">
        <f>HLOOKUP(INDICE!$F$2,Nombres!$C$3:$E$853,39)</f>
        <v>Comisiones</v>
      </c>
      <c r="B58" s="149">
        <v>42.674099868799999</v>
      </c>
      <c r="C58" s="84">
        <v>51.937717043899994</v>
      </c>
      <c r="D58" s="84">
        <v>46.004945171399996</v>
      </c>
      <c r="E58" s="150">
        <v>46.128916290600003</v>
      </c>
      <c r="F58" s="73">
        <v>46.3311795352</v>
      </c>
      <c r="G58" s="73">
        <v>48.182447039799996</v>
      </c>
      <c r="H58" s="73">
        <v>45.907123422699996</v>
      </c>
    </row>
    <row r="59" spans="1:8">
      <c r="A59" s="49" t="str">
        <f>HLOOKUP(INDICE!$F$2,Nombres!$C$3:$E$853,40)</f>
        <v>Resultados de operaciones financieras</v>
      </c>
      <c r="B59" s="149">
        <v>18.255883797200003</v>
      </c>
      <c r="C59" s="84">
        <v>7.6268221307000008</v>
      </c>
      <c r="D59" s="84">
        <v>-2.9700153790999999</v>
      </c>
      <c r="E59" s="150">
        <v>-21.657150511499999</v>
      </c>
      <c r="F59" s="73">
        <v>-13.7319412632</v>
      </c>
      <c r="G59" s="73">
        <v>-7.2165827739999999</v>
      </c>
      <c r="H59" s="73">
        <v>-55.152975962699998</v>
      </c>
    </row>
    <row r="60" spans="1:8" ht="17.25" customHeight="1">
      <c r="A60" s="49" t="str">
        <f>HLOOKUP(INDICE!$F$2,Nombres!$C$3:$E$853,95)</f>
        <v>Otros ingresos netos</v>
      </c>
      <c r="B60" s="149">
        <v>3.8696092476000001</v>
      </c>
      <c r="C60" s="84">
        <v>3.5345852830000002</v>
      </c>
      <c r="D60" s="84">
        <v>4.1854789001999997</v>
      </c>
      <c r="E60" s="150">
        <v>5.6786504209000004</v>
      </c>
      <c r="F60" s="73">
        <v>4.4238755493999999</v>
      </c>
      <c r="G60" s="73">
        <v>4.2564094946999997</v>
      </c>
      <c r="H60" s="73">
        <v>3.6959649559000014</v>
      </c>
    </row>
    <row r="61" spans="1:8" ht="15.75" customHeight="1">
      <c r="A61" s="54" t="str">
        <f>HLOOKUP(INDICE!$F$2,Nombres!$C$3:$E$853,44)</f>
        <v>Margen bruto</v>
      </c>
      <c r="B61" s="147">
        <v>214.45948603689999</v>
      </c>
      <c r="C61" s="83">
        <v>226.81427189779998</v>
      </c>
      <c r="D61" s="83">
        <v>237.70523807660004</v>
      </c>
      <c r="E61" s="148">
        <v>245.20797479689998</v>
      </c>
      <c r="F61" s="54">
        <v>233.47842784600002</v>
      </c>
      <c r="G61" s="54">
        <v>258.35691849099999</v>
      </c>
      <c r="H61" s="54">
        <v>233.70735519080009</v>
      </c>
    </row>
    <row r="62" spans="1:8">
      <c r="A62" s="49" t="str">
        <f>HLOOKUP(INDICE!$F$2,Nombres!$C$3:$E$853,45)</f>
        <v>Gastos de explotación</v>
      </c>
      <c r="B62" s="149">
        <v>-93.834501245699997</v>
      </c>
      <c r="C62" s="84">
        <v>-92.211428133200002</v>
      </c>
      <c r="D62" s="84">
        <v>-98.423564993900001</v>
      </c>
      <c r="E62" s="150">
        <v>-101.816261989</v>
      </c>
      <c r="F62" s="73">
        <v>-102.69009609880001</v>
      </c>
      <c r="G62" s="73">
        <v>-110.6699759243</v>
      </c>
      <c r="H62" s="73">
        <v>-124.30848022199999</v>
      </c>
    </row>
    <row r="63" spans="1:8">
      <c r="A63" s="49" t="str">
        <f>HLOOKUP(INDICE!$F$2,Nombres!$C$3:$E$853,46)</f>
        <v xml:space="preserve">  Gastos de administración</v>
      </c>
      <c r="B63" s="149">
        <v>-85.385329688500008</v>
      </c>
      <c r="C63" s="84">
        <v>-83.721376974700007</v>
      </c>
      <c r="D63" s="84">
        <v>-89.762033100899998</v>
      </c>
      <c r="E63" s="150">
        <v>-92.978185198099993</v>
      </c>
      <c r="F63" s="73">
        <v>-93.756192503899996</v>
      </c>
      <c r="G63" s="73">
        <v>-101.70601074219999</v>
      </c>
      <c r="H63" s="73">
        <v>-108.0745889991</v>
      </c>
    </row>
    <row r="64" spans="1:8">
      <c r="A64" s="88" t="str">
        <f>HLOOKUP(INDICE!$F$2,Nombres!$C$3:$E$853,47)</f>
        <v xml:space="preserve">  Gastos de personal</v>
      </c>
      <c r="B64" s="149">
        <v>-47.9680257674</v>
      </c>
      <c r="C64" s="84">
        <v>-49.411971968899998</v>
      </c>
      <c r="D64" s="84">
        <v>-50.982913255699998</v>
      </c>
      <c r="E64" s="150">
        <v>-49.220457283800002</v>
      </c>
      <c r="F64" s="73">
        <v>-52.583763035200008</v>
      </c>
      <c r="G64" s="73">
        <v>-54.971982546199996</v>
      </c>
      <c r="H64" s="73">
        <v>-63.162720413599992</v>
      </c>
    </row>
    <row r="65" spans="1:8">
      <c r="A65" s="88" t="str">
        <f>HLOOKUP(INDICE!$F$2,Nombres!$C$3:$E$853,48)</f>
        <v xml:space="preserve">  Otros gastos generales de administración</v>
      </c>
      <c r="B65" s="149">
        <v>-37.417303921200002</v>
      </c>
      <c r="C65" s="84">
        <v>-34.3094050057</v>
      </c>
      <c r="D65" s="84">
        <v>-38.779119845099999</v>
      </c>
      <c r="E65" s="150">
        <v>-43.757727914300006</v>
      </c>
      <c r="F65" s="73">
        <v>-41.172429468799997</v>
      </c>
      <c r="G65" s="73">
        <v>-46.734028195800001</v>
      </c>
      <c r="H65" s="73">
        <v>-44.911868585499995</v>
      </c>
    </row>
    <row r="66" spans="1:8" ht="13.5" customHeight="1">
      <c r="A66" s="49" t="str">
        <f>HLOOKUP(INDICE!$F$2,Nombres!$C$3:$E$853,49)</f>
        <v xml:space="preserve">  Amortizaciones</v>
      </c>
      <c r="B66" s="149">
        <v>-8.4491715569999997</v>
      </c>
      <c r="C66" s="84">
        <v>-8.4900511586</v>
      </c>
      <c r="D66" s="84">
        <v>-8.6615318929000011</v>
      </c>
      <c r="E66" s="150">
        <v>-8.8380767909000006</v>
      </c>
      <c r="F66" s="73">
        <v>-8.9339035949000003</v>
      </c>
      <c r="G66" s="73">
        <v>-8.963965182199999</v>
      </c>
      <c r="H66" s="73">
        <v>-16.233891222900002</v>
      </c>
    </row>
    <row r="67" spans="1:8" ht="14.25" customHeight="1">
      <c r="A67" s="54" t="str">
        <f>HLOOKUP(INDICE!$F$2,Nombres!$C$3:$E$853,50)</f>
        <v>Margen neto</v>
      </c>
      <c r="B67" s="147">
        <v>120.62498479129999</v>
      </c>
      <c r="C67" s="83">
        <v>134.60284376450002</v>
      </c>
      <c r="D67" s="83">
        <v>139.28167308259998</v>
      </c>
      <c r="E67" s="148">
        <v>143.39171280799999</v>
      </c>
      <c r="F67" s="54">
        <v>130.7883317472</v>
      </c>
      <c r="G67" s="54">
        <v>147.68694256660001</v>
      </c>
      <c r="H67" s="54">
        <v>109.39887496880003</v>
      </c>
    </row>
    <row r="68" spans="1:8">
      <c r="A68" s="49" t="str">
        <f>HLOOKUP(INDICE!$F$2,Nombres!$C$3:$E$853,51)</f>
        <v>Pérdidas por deterioro de activos financieros</v>
      </c>
      <c r="B68" s="149">
        <v>-25.7292200503</v>
      </c>
      <c r="C68" s="84">
        <v>-24.722222060900002</v>
      </c>
      <c r="D68" s="84">
        <v>-48.894823737700001</v>
      </c>
      <c r="E68" s="150">
        <v>-43.917409029399998</v>
      </c>
      <c r="F68" s="73">
        <v>-30.8756261435</v>
      </c>
      <c r="G68" s="73">
        <v>-37.530648167099997</v>
      </c>
      <c r="H68" s="73">
        <v>-40.756475689500007</v>
      </c>
    </row>
    <row r="69" spans="1:8" ht="16.5" customHeight="1">
      <c r="A69" s="49" t="str">
        <f>HLOOKUP(INDICE!$F$2,Nombres!$C$3:$E$853,160)</f>
        <v>Dotaciones a provisiones y otros resultados</v>
      </c>
      <c r="B69" s="149">
        <v>-4.6631654781999998</v>
      </c>
      <c r="C69" s="84">
        <v>-4.2638350532000002</v>
      </c>
      <c r="D69" s="84">
        <v>6.9112763324000008</v>
      </c>
      <c r="E69" s="150">
        <v>-8.8124523520999993</v>
      </c>
      <c r="F69" s="73">
        <v>-0.44630909939999996</v>
      </c>
      <c r="G69" s="73">
        <v>0.97539497580000045</v>
      </c>
      <c r="H69" s="73">
        <v>-0.4285858764999998</v>
      </c>
    </row>
    <row r="70" spans="1:8" ht="12.75" customHeight="1">
      <c r="A70" s="54" t="str">
        <f>HLOOKUP(INDICE!$F$2,Nombres!$C$3:$E$853,54)</f>
        <v>Beneficio antes de impuestos</v>
      </c>
      <c r="B70" s="147">
        <v>90.23259926290001</v>
      </c>
      <c r="C70" s="83">
        <v>105.61678665049999</v>
      </c>
      <c r="D70" s="83">
        <v>97.298125677600012</v>
      </c>
      <c r="E70" s="148">
        <v>90.661851426200002</v>
      </c>
      <c r="F70" s="54">
        <v>99.466396504299993</v>
      </c>
      <c r="G70" s="54">
        <v>111.1316893753</v>
      </c>
      <c r="H70" s="54">
        <v>68.213813402800014</v>
      </c>
    </row>
    <row r="71" spans="1:8" ht="13.5" customHeight="1">
      <c r="A71" s="49" t="str">
        <f>HLOOKUP(INDICE!$F$2,Nombres!$C$3:$E$853,55)</f>
        <v>Impuesto sobre beneficios</v>
      </c>
      <c r="B71" s="149">
        <v>-18.985221156000001</v>
      </c>
      <c r="C71" s="84">
        <v>-22.4569690718</v>
      </c>
      <c r="D71" s="84">
        <v>-19.173281455400002</v>
      </c>
      <c r="E71" s="150">
        <v>-19.396671308999998</v>
      </c>
      <c r="F71" s="73">
        <v>-19.502914687299999</v>
      </c>
      <c r="G71" s="73">
        <v>-23.041487281400002</v>
      </c>
      <c r="H71" s="73">
        <v>-11.8632923913</v>
      </c>
    </row>
    <row r="72" spans="1:8" ht="12.75" customHeight="1">
      <c r="A72" s="54" t="str">
        <f>HLOOKUP(INDICE!$F$2,Nombres!$C$3:$E$853,56)</f>
        <v>Beneficio después de impuestos</v>
      </c>
      <c r="B72" s="147">
        <v>71.247378106900001</v>
      </c>
      <c r="C72" s="83">
        <v>83.159817578900004</v>
      </c>
      <c r="D72" s="83">
        <v>78.124844222000007</v>
      </c>
      <c r="E72" s="148">
        <v>71.265180117400007</v>
      </c>
      <c r="F72" s="54">
        <v>79.963481817000002</v>
      </c>
      <c r="G72" s="54">
        <v>88.090202093999991</v>
      </c>
      <c r="H72" s="54">
        <v>56.350521011500042</v>
      </c>
    </row>
    <row r="73" spans="1:8" ht="12.75" customHeight="1">
      <c r="A73" s="49" t="str">
        <f>HLOOKUP(INDICE!$F$2,Nombres!$C$3:$E$853,57)</f>
        <v>Resultado atribuido a la minoría</v>
      </c>
      <c r="B73" s="241">
        <v>0</v>
      </c>
      <c r="C73" s="236">
        <v>0</v>
      </c>
      <c r="D73" s="236">
        <v>0</v>
      </c>
      <c r="E73" s="237">
        <v>0</v>
      </c>
      <c r="F73" s="242">
        <v>0</v>
      </c>
      <c r="G73" s="242">
        <v>0</v>
      </c>
      <c r="H73" s="73">
        <v>0</v>
      </c>
    </row>
    <row r="74" spans="1:8" ht="15" customHeight="1">
      <c r="A74" s="54" t="str">
        <f>HLOOKUP(INDICE!$F$2,Nombres!$C$3:$E$853,58)</f>
        <v>Beneficio atribuido al Grupo</v>
      </c>
      <c r="B74" s="147">
        <v>71.247378106900001</v>
      </c>
      <c r="C74" s="83">
        <v>83.159817578900004</v>
      </c>
      <c r="D74" s="83">
        <v>78.124844222000007</v>
      </c>
      <c r="E74" s="148">
        <v>71.265180117400007</v>
      </c>
      <c r="F74" s="54">
        <v>79.963481817000002</v>
      </c>
      <c r="G74" s="54">
        <v>88.090202093999991</v>
      </c>
      <c r="H74" s="54">
        <v>56.350521011500021</v>
      </c>
    </row>
    <row r="75" spans="1:8" ht="29.25" customHeight="1">
      <c r="A75" s="251" t="str">
        <f>HLOOKUP(INDICE!$F$2,Nombres!$C$3:$E$853,311)</f>
        <v>(*) Estados financieros de Garanti integrados en la proporción correspondiente al porcentaje de participación (25,01%) que el Grupo tenía hasta el segundo trimestre de 2015.</v>
      </c>
      <c r="B75" s="251"/>
      <c r="C75" s="251"/>
      <c r="D75" s="251"/>
      <c r="E75" s="251"/>
      <c r="F75" s="251"/>
      <c r="G75" s="251"/>
      <c r="H75" s="251"/>
    </row>
    <row r="76" spans="1:8" ht="15.75" customHeight="1">
      <c r="A76" s="144" t="str">
        <f>HLOOKUP(INDICE!$F$2,Nombres!$C$3:$E$853,293)</f>
        <v>Balances (*)</v>
      </c>
      <c r="G76" s="74"/>
      <c r="H76" s="74"/>
    </row>
    <row r="77" spans="1:8">
      <c r="A77" s="41" t="str">
        <f>HLOOKUP(INDICE!$F$2,Nombres!$C$3:$E$853,31)</f>
        <v>(Millones de euros constantes)</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Caja y depósitos en bancos centrales</v>
      </c>
      <c r="B79" s="149">
        <v>1772.523346036</v>
      </c>
      <c r="C79" s="84">
        <v>1884.8496767904001</v>
      </c>
      <c r="D79" s="84">
        <v>1889.6947350839</v>
      </c>
      <c r="E79" s="150">
        <v>2070.2186251193002</v>
      </c>
      <c r="F79" s="158">
        <v>2016.4108500422001</v>
      </c>
      <c r="G79" s="84">
        <v>2046.6535464660999</v>
      </c>
      <c r="H79" s="84">
        <v>2608.7492499999998</v>
      </c>
    </row>
    <row r="80" spans="1:8">
      <c r="A80" s="49" t="str">
        <f>HLOOKUP(INDICE!$F$2,Nombres!$C$3:$E$853,101)</f>
        <v>Cartera de títulos</v>
      </c>
      <c r="B80" s="149">
        <v>3370.0931793782001</v>
      </c>
      <c r="C80" s="84">
        <v>3522.8389712656999</v>
      </c>
      <c r="D80" s="84">
        <v>3635.5912434067</v>
      </c>
      <c r="E80" s="150">
        <v>3766.58764483</v>
      </c>
      <c r="F80" s="158">
        <v>3709.3961530072002</v>
      </c>
      <c r="G80" s="84">
        <v>3798.1227147932</v>
      </c>
      <c r="H80" s="84">
        <v>3952.5959999999995</v>
      </c>
    </row>
    <row r="81" spans="1:8">
      <c r="A81" s="49" t="str">
        <f>HLOOKUP(INDICE!$F$2,Nombres!$C$3:$E$853,102)</f>
        <v>Inversiones crediticias</v>
      </c>
      <c r="B81" s="149">
        <v>11164.931212186</v>
      </c>
      <c r="C81" s="84">
        <v>11189.7531259715</v>
      </c>
      <c r="D81" s="84">
        <v>11881.9804979078</v>
      </c>
      <c r="E81" s="150">
        <v>12082.3152676837</v>
      </c>
      <c r="F81" s="158">
        <v>13067.6603139952</v>
      </c>
      <c r="G81" s="84">
        <v>13284.887769577301</v>
      </c>
      <c r="H81" s="84">
        <v>14429.805999999997</v>
      </c>
    </row>
    <row r="82" spans="1:8">
      <c r="A82" s="49" t="str">
        <f>HLOOKUP(INDICE!$F$2,Nombres!$C$3:$E$853,103)</f>
        <v xml:space="preserve">  . Crédito a la clientela neto</v>
      </c>
      <c r="B82" s="149">
        <v>9927.3356923481006</v>
      </c>
      <c r="C82" s="84">
        <v>10103.0966117434</v>
      </c>
      <c r="D82" s="84">
        <v>10723.8651660748</v>
      </c>
      <c r="E82" s="150">
        <v>10940.917569229699</v>
      </c>
      <c r="F82" s="158">
        <v>11763.0591794306</v>
      </c>
      <c r="G82" s="84">
        <v>12188.8809946204</v>
      </c>
      <c r="H82" s="84">
        <v>13057.630250000002</v>
      </c>
    </row>
    <row r="83" spans="1:8">
      <c r="A83" s="49" t="str">
        <f>HLOOKUP(INDICE!$F$2,Nombres!$C$3:$E$853,104)</f>
        <v xml:space="preserve">  . Depósitos en entidades de crédito y otros</v>
      </c>
      <c r="B83" s="149">
        <v>1237.5955198379002</v>
      </c>
      <c r="C83" s="84">
        <v>1086.6565142282</v>
      </c>
      <c r="D83" s="84">
        <v>1158.115331833</v>
      </c>
      <c r="E83" s="150">
        <v>1141.397698454</v>
      </c>
      <c r="F83" s="158">
        <v>1304.6011345646</v>
      </c>
      <c r="G83" s="84">
        <v>1096.0067749568</v>
      </c>
      <c r="H83" s="84">
        <v>1372.1757499999997</v>
      </c>
    </row>
    <row r="84" spans="1:8">
      <c r="A84" s="49" t="str">
        <f>HLOOKUP(INDICE!$F$2,Nombres!$C$3:$E$853,106)</f>
        <v>Activo material</v>
      </c>
      <c r="B84" s="149">
        <v>153.3930434646</v>
      </c>
      <c r="C84" s="84">
        <v>154.6574392043</v>
      </c>
      <c r="D84" s="84">
        <v>153.8459612808</v>
      </c>
      <c r="E84" s="150">
        <v>162.3904636158</v>
      </c>
      <c r="F84" s="158">
        <v>159.8278173118</v>
      </c>
      <c r="G84" s="84">
        <v>161.47577527440001</v>
      </c>
      <c r="H84" s="84">
        <v>212.65475000000004</v>
      </c>
    </row>
    <row r="85" spans="1:8">
      <c r="A85" s="49" t="str">
        <f>HLOOKUP(INDICE!$F$2,Nombres!$C$3:$E$853,107)</f>
        <v>Otros activos</v>
      </c>
      <c r="B85" s="149">
        <v>556.77080220620007</v>
      </c>
      <c r="C85" s="84">
        <v>528.828828466</v>
      </c>
      <c r="D85" s="84">
        <v>567.9817210110001</v>
      </c>
      <c r="E85" s="150">
        <v>582.40676026820006</v>
      </c>
      <c r="F85" s="158">
        <v>646.71013670249988</v>
      </c>
      <c r="G85" s="84">
        <v>587.09436057460005</v>
      </c>
      <c r="H85" s="84">
        <v>634.88480879749477</v>
      </c>
    </row>
    <row r="86" spans="1:8">
      <c r="A86" s="54" t="str">
        <f>HLOOKUP(INDICE!$F$2,Nombres!$C$3:$E$853,108)</f>
        <v>Total activo / pasivo</v>
      </c>
      <c r="B86" s="147">
        <v>17017.711583271001</v>
      </c>
      <c r="C86" s="83">
        <v>17280.928041697902</v>
      </c>
      <c r="D86" s="83">
        <v>18129.094158690204</v>
      </c>
      <c r="E86" s="148">
        <v>18663.918761517099</v>
      </c>
      <c r="F86" s="147">
        <v>19600.005271059003</v>
      </c>
      <c r="G86" s="83">
        <v>19878.234166685601</v>
      </c>
      <c r="H86" s="83">
        <v>21838.690808797495</v>
      </c>
    </row>
    <row r="87" spans="1:8">
      <c r="A87" s="49" t="str">
        <f>HLOOKUP(INDICE!$F$2,Nombres!$C$3:$E$853,109)</f>
        <v>Depósitos de bancos centrales y entidades de crédito</v>
      </c>
      <c r="B87" s="149">
        <v>3859.8316522923001</v>
      </c>
      <c r="C87" s="84">
        <v>3604.8199410770999</v>
      </c>
      <c r="D87" s="84">
        <v>3921.0220121275001</v>
      </c>
      <c r="E87" s="150">
        <v>3653.6300609617001</v>
      </c>
      <c r="F87" s="158">
        <v>3608.2941514008999</v>
      </c>
      <c r="G87" s="84">
        <v>3737.7979902982001</v>
      </c>
      <c r="H87" s="84">
        <v>3972.0280000000002</v>
      </c>
    </row>
    <row r="88" spans="1:8">
      <c r="A88" s="49" t="str">
        <f>HLOOKUP(INDICE!$F$2,Nombres!$C$3:$E$853,110)</f>
        <v>Depósitos de la clientela</v>
      </c>
      <c r="B88" s="149">
        <v>8874.4201699418009</v>
      </c>
      <c r="C88" s="84">
        <v>8847.3550047827994</v>
      </c>
      <c r="D88" s="84">
        <v>9090.9680132123995</v>
      </c>
      <c r="E88" s="150">
        <v>9711.1876247029995</v>
      </c>
      <c r="F88" s="158">
        <v>10377.7276636773</v>
      </c>
      <c r="G88" s="84">
        <v>10618.123778266699</v>
      </c>
      <c r="H88" s="84">
        <v>11597.101750000002</v>
      </c>
    </row>
    <row r="89" spans="1:8">
      <c r="A89" s="49" t="str">
        <f>HLOOKUP(INDICE!$F$2,Nombres!$C$3:$E$853,111)</f>
        <v>Débitos representados por valores negociables</v>
      </c>
      <c r="B89" s="149">
        <v>823.63521582340002</v>
      </c>
      <c r="C89" s="84">
        <v>973.2484072167</v>
      </c>
      <c r="D89" s="84">
        <v>1096.0066821621999</v>
      </c>
      <c r="E89" s="150">
        <v>1083.6817734058</v>
      </c>
      <c r="F89" s="158">
        <v>1083.7370169264</v>
      </c>
      <c r="G89" s="84">
        <v>1111.1975309894001</v>
      </c>
      <c r="H89" s="84">
        <v>1957.6087500000003</v>
      </c>
    </row>
    <row r="90" spans="1:8">
      <c r="A90" s="49" t="str">
        <f>HLOOKUP(INDICE!$F$2,Nombres!$C$3:$E$853,112)</f>
        <v>Pasivos subordinados</v>
      </c>
      <c r="B90" s="149">
        <v>20.403126266400001</v>
      </c>
      <c r="C90" s="84">
        <v>20.222639979499998</v>
      </c>
      <c r="D90" s="84">
        <v>19.654539266</v>
      </c>
      <c r="E90" s="150">
        <v>19.5081731203</v>
      </c>
      <c r="F90" s="158">
        <v>19.027792809699999</v>
      </c>
      <c r="G90" s="84">
        <v>20.2098722952</v>
      </c>
      <c r="H90" s="84">
        <v>12.804249999999996</v>
      </c>
    </row>
    <row r="91" spans="1:8">
      <c r="A91" s="49" t="str">
        <f>HLOOKUP(INDICE!$F$2,Nombres!$C$3:$E$853,114)</f>
        <v>Cartera de negociación</v>
      </c>
      <c r="B91" s="149">
        <v>144.96852116220001</v>
      </c>
      <c r="C91" s="84">
        <v>102.4965798834</v>
      </c>
      <c r="D91" s="84">
        <v>142.41009909749999</v>
      </c>
      <c r="E91" s="150">
        <v>160.1701705545</v>
      </c>
      <c r="F91" s="158">
        <v>309.41985701589999</v>
      </c>
      <c r="G91" s="84">
        <v>213.6318234089</v>
      </c>
      <c r="H91" s="84">
        <v>276.33050000000003</v>
      </c>
    </row>
    <row r="92" spans="1:8">
      <c r="A92" s="49" t="str">
        <f>HLOOKUP(INDICE!$F$2,Nombres!$C$3:$E$853,115)</f>
        <v>Otros pasivos</v>
      </c>
      <c r="B92" s="149">
        <v>2603.7746500508024</v>
      </c>
      <c r="C92" s="84">
        <v>3031.5762105583026</v>
      </c>
      <c r="D92" s="84">
        <v>3128.354543226505</v>
      </c>
      <c r="E92" s="150">
        <v>3269.103576394099</v>
      </c>
      <c r="F92" s="158">
        <v>3419.4443031685005</v>
      </c>
      <c r="G92" s="84">
        <v>3291.8094682716996</v>
      </c>
      <c r="H92" s="84">
        <v>3055.8713229600016</v>
      </c>
    </row>
    <row r="93" spans="1:8" ht="12" customHeight="1">
      <c r="A93" s="49" t="str">
        <f>HLOOKUP(INDICE!$F$2,Nombres!$C$3:$E$853,116)</f>
        <v>Dotación de capital económico</v>
      </c>
      <c r="B93" s="149">
        <v>690.67824773409995</v>
      </c>
      <c r="C93" s="84">
        <v>701.20925819989998</v>
      </c>
      <c r="D93" s="84">
        <v>730.67826959809997</v>
      </c>
      <c r="E93" s="150">
        <v>766.63738237760003</v>
      </c>
      <c r="F93" s="158">
        <v>782.35448606030002</v>
      </c>
      <c r="G93" s="84">
        <v>885.46370315549996</v>
      </c>
      <c r="H93" s="84">
        <v>966.94623583750013</v>
      </c>
    </row>
    <row r="94" spans="1:8" ht="39.75" customHeight="1">
      <c r="A94" s="251" t="str">
        <f>HLOOKUP(INDICE!$F$2,Nombres!$C$3:$E$853,311)</f>
        <v>(*) Estados financieros de Garanti integrados en la proporción correspondiente al porcentaje de participación (25,01%) que el Grupo tenía hasta el segundo trimestre de 2015.</v>
      </c>
      <c r="B94" s="251"/>
      <c r="C94" s="251"/>
      <c r="D94" s="251"/>
      <c r="E94" s="251"/>
      <c r="F94" s="251"/>
      <c r="G94" s="251"/>
      <c r="H94" s="251"/>
    </row>
    <row r="95" spans="1:8" ht="12" customHeight="1">
      <c r="A95" s="144" t="str">
        <f>HLOOKUP(INDICE!$F$2,Nombres!$C$3:$E$853,117)</f>
        <v>Indicadores relevantes</v>
      </c>
      <c r="G95" s="74"/>
      <c r="H95" s="74"/>
    </row>
    <row r="96" spans="1:8" ht="18">
      <c r="A96" s="144" t="str">
        <f>HLOOKUP(INDICE!$F$2,Nombres!$C$3:$E$853,201)</f>
        <v>Anexo:</v>
      </c>
      <c r="G96" s="74"/>
      <c r="H96" s="74"/>
    </row>
    <row r="97" spans="1:8" ht="12" customHeight="1">
      <c r="A97" s="41" t="str">
        <f>HLOOKUP(INDICE!$F$2,Nombres!$C$3:$E$853,31)</f>
        <v>(Millones de euros constantes)</v>
      </c>
      <c r="G97" s="74"/>
      <c r="H97" s="74"/>
    </row>
    <row r="98" spans="1:8" ht="11.25" customHeight="1">
      <c r="A98" s="153"/>
      <c r="B98" s="81">
        <v>41729</v>
      </c>
      <c r="C98" s="82">
        <v>41820</v>
      </c>
      <c r="D98" s="82">
        <v>41912</v>
      </c>
      <c r="E98" s="82">
        <v>42004</v>
      </c>
      <c r="F98" s="81">
        <v>42094</v>
      </c>
      <c r="G98" s="82">
        <v>42185</v>
      </c>
      <c r="H98" s="82">
        <v>42277</v>
      </c>
    </row>
    <row r="99" spans="1:8">
      <c r="A99" s="49" t="str">
        <f>HLOOKUP(INDICE!$F$2,Nombres!$C$3:$E$853,314)</f>
        <v>Crédito a la clientela bruto (**)</v>
      </c>
      <c r="B99" s="149">
        <v>10312.9561800968</v>
      </c>
      <c r="C99" s="157">
        <v>10484.972718320199</v>
      </c>
      <c r="D99" s="157">
        <v>11134.735355598599</v>
      </c>
      <c r="E99" s="193">
        <v>11389.3232112476</v>
      </c>
      <c r="F99" s="149">
        <v>12231.6496929391</v>
      </c>
      <c r="G99" s="157">
        <v>12682.9569331359</v>
      </c>
      <c r="H99" s="157">
        <v>13580.744749999998</v>
      </c>
    </row>
    <row r="100" spans="1:8">
      <c r="A100" s="49" t="str">
        <f>HLOOKUP(INDICE!$F$2,Nombres!$C$3:$E$853,315)</f>
        <v>Depósitos de clientes en gestión (***)</v>
      </c>
      <c r="B100" s="149">
        <v>7930.9424117177996</v>
      </c>
      <c r="C100" s="157">
        <v>7581.9700119401004</v>
      </c>
      <c r="D100" s="157">
        <v>7956.0461396374003</v>
      </c>
      <c r="E100" s="193">
        <v>8362.8155717353002</v>
      </c>
      <c r="F100" s="149">
        <v>9200.3079128509999</v>
      </c>
      <c r="G100" s="157">
        <v>9687.1143495560991</v>
      </c>
      <c r="H100" s="157">
        <v>10432.844962479998</v>
      </c>
    </row>
    <row r="101" spans="1:8">
      <c r="A101" s="49" t="str">
        <f>HLOOKUP(INDICE!$F$2,Nombres!$C$3:$E$853,122)</f>
        <v>Fondos de inversión</v>
      </c>
      <c r="B101" s="149">
        <v>306.75368155180001</v>
      </c>
      <c r="C101" s="157">
        <v>319.184811835</v>
      </c>
      <c r="D101" s="157">
        <v>288.99150362609998</v>
      </c>
      <c r="E101" s="193">
        <v>287.15205532319999</v>
      </c>
      <c r="F101" s="149">
        <v>302.96275411840003</v>
      </c>
      <c r="G101" s="157">
        <v>311.30624664829998</v>
      </c>
      <c r="H101" s="157">
        <v>307.89800000000002</v>
      </c>
    </row>
    <row r="102" spans="1:8">
      <c r="A102" s="49" t="str">
        <f>HLOOKUP(INDICE!$F$2,Nombres!$C$3:$E$853,206)</f>
        <v>Fondos de pensiones</v>
      </c>
      <c r="B102" s="158">
        <v>337.17094525509998</v>
      </c>
      <c r="C102" s="84">
        <v>379.66047698850002</v>
      </c>
      <c r="D102" s="84">
        <v>399.11175996899999</v>
      </c>
      <c r="E102" s="150">
        <v>449.337029062</v>
      </c>
      <c r="F102" s="158">
        <v>474.82192481150003</v>
      </c>
      <c r="G102" s="84">
        <v>497.62492461419998</v>
      </c>
      <c r="H102" s="84">
        <v>513.08624999999984</v>
      </c>
    </row>
    <row r="103" spans="1:8">
      <c r="A103" s="49" t="str">
        <f>HLOOKUP(INDICE!$F$2,Nombres!$C$3:$E$853,308)</f>
        <v>Otros recursos fuera de balance</v>
      </c>
      <c r="B103" s="235">
        <v>0</v>
      </c>
      <c r="C103" s="236">
        <v>0</v>
      </c>
      <c r="D103" s="236">
        <v>0</v>
      </c>
      <c r="E103" s="237">
        <v>0</v>
      </c>
      <c r="F103" s="235">
        <v>0</v>
      </c>
      <c r="G103" s="236">
        <v>0</v>
      </c>
      <c r="H103" s="236">
        <v>0</v>
      </c>
    </row>
    <row r="104" spans="1:8">
      <c r="A104" s="156" t="str">
        <f>HLOOKUP(INDICE!$F$2,Nombres!$C$3:$E$853,312)</f>
        <v>(**) No incluye las adquisiciones temporales de activos.</v>
      </c>
      <c r="B104" s="72"/>
      <c r="C104" s="73"/>
      <c r="D104" s="73"/>
      <c r="E104" s="73"/>
      <c r="F104" s="73"/>
    </row>
    <row r="105" spans="1:8">
      <c r="A105" s="156" t="str">
        <f>HLOOKUP(INDICE!$F$2,Nombres!$C$3:$E$853,313)</f>
        <v>(***) No incluye las cesiones temporales de activos.</v>
      </c>
      <c r="B105" s="72"/>
      <c r="C105" s="73"/>
      <c r="D105" s="73"/>
      <c r="E105" s="73"/>
      <c r="F105" s="73"/>
    </row>
  </sheetData>
  <mergeCells count="8">
    <mergeCell ref="A94:H94"/>
    <mergeCell ref="A42:H42"/>
    <mergeCell ref="A75:H75"/>
    <mergeCell ref="B4:E4"/>
    <mergeCell ref="F4:H4"/>
    <mergeCell ref="B55:E55"/>
    <mergeCell ref="F55:H55"/>
    <mergeCell ref="A24:H24"/>
  </mergeCells>
  <pageMargins left="0.7" right="0.7" top="0.75" bottom="0.75" header="0.3" footer="0.3"/>
  <pageSetup paperSize="9" scale="4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INDICE</vt:lpstr>
      <vt:lpstr>Cuenta de resultados</vt:lpstr>
      <vt:lpstr>Balances consolidados</vt:lpstr>
      <vt:lpstr>Actividad bancaria en España</vt:lpstr>
      <vt:lpstr>Actividad inm. en España</vt:lpstr>
      <vt:lpstr>Riesgo promoción inmobiliaria</vt:lpstr>
      <vt:lpstr>Estados Unidos</vt:lpstr>
      <vt:lpstr>Turquía</vt:lpstr>
      <vt:lpstr>Turquía en continuidad</vt:lpstr>
      <vt:lpstr>México</vt:lpstr>
      <vt:lpstr>América del sur</vt:lpstr>
      <vt:lpstr>Argentina</vt:lpstr>
      <vt:lpstr>Chile</vt:lpstr>
      <vt:lpstr>Colombia</vt:lpstr>
      <vt:lpstr>Perú</vt:lpstr>
      <vt:lpstr>Venezuela</vt:lpstr>
      <vt:lpstr>AdS_sinVenezuela</vt:lpstr>
      <vt:lpstr>Resto de Eurasia</vt:lpstr>
      <vt:lpstr>Centro Corporativo</vt:lpstr>
      <vt:lpstr>Grupo BBVA sin V y Turq cont</vt:lpstr>
      <vt:lpstr>Corporate &amp; Investment Banking</vt:lpstr>
      <vt:lpstr>Eficiencia</vt:lpstr>
      <vt:lpstr>Mora,cobertura,prima de riesgo</vt:lpstr>
      <vt:lpstr>Empleados,oficinas y cajeros</vt:lpstr>
      <vt:lpstr>Tipos de cambio</vt:lpstr>
      <vt:lpstr>Rendimientos y costes</vt:lpstr>
      <vt:lpstr>Nombres</vt:lpstr>
      <vt:lpstr>'Actividad bancaria en España'!Área_de_impresión</vt:lpstr>
      <vt:lpstr>'Actividad inm. en España'!Área_de_impresión</vt:lpstr>
      <vt:lpstr>AdS_sinVenezuela!Área_de_impresión</vt:lpstr>
      <vt:lpstr>'América del sur'!Área_de_impresión</vt:lpstr>
      <vt:lpstr>Argentina!Área_de_impresión</vt:lpstr>
      <vt:lpstr>'Balances consolidados'!Área_de_impresión</vt:lpstr>
      <vt:lpstr>'Centro Corporativo'!Área_de_impresión</vt:lpstr>
      <vt:lpstr>Chile!Área_de_impresión</vt:lpstr>
      <vt:lpstr>Colombia!Área_de_impresión</vt:lpstr>
      <vt:lpstr>'Corporate &amp; Investment Banking'!Área_de_impresión</vt:lpstr>
      <vt:lpstr>'Cuenta de resultados'!Área_de_impresión</vt:lpstr>
      <vt:lpstr>Eficiencia!Área_de_impresión</vt:lpstr>
      <vt:lpstr>'Empleados,oficinas y cajeros'!Área_de_impresión</vt:lpstr>
      <vt:lpstr>'Estados Unidos'!Área_de_impresión</vt:lpstr>
      <vt:lpstr>'Grupo BBVA sin V y Turq cont'!Área_de_impresión</vt:lpstr>
      <vt:lpstr>INDICE!Área_de_impresión</vt:lpstr>
      <vt:lpstr>México!Área_de_impresión</vt:lpstr>
      <vt:lpstr>'Mora,cobertura,prima de riesgo'!Área_de_impresión</vt:lpstr>
      <vt:lpstr>Perú!Área_de_impresión</vt:lpstr>
      <vt:lpstr>'Rendimientos y costes'!Área_de_impresión</vt:lpstr>
      <vt:lpstr>'Resto de Eurasia'!Área_de_impresión</vt:lpstr>
      <vt:lpstr>'Riesgo promoción inmobiliaria'!Área_de_impresión</vt:lpstr>
      <vt:lpstr>'Tipos de cambio'!Área_de_impresión</vt:lpstr>
      <vt:lpstr>Turquía!Área_de_impresión</vt:lpstr>
      <vt:lpstr>'Turquía en continuidad'!Área_de_impresión</vt:lpstr>
      <vt:lpstr>Venezuela!Área_de_impresión</vt:lpstr>
    </vt:vector>
  </TitlesOfParts>
  <Company>BBVA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CELIS GARCIA, CAMINO</dc:creator>
  <cp:lastModifiedBy>RODRIGUEZ SANGUINO, SHEILA</cp:lastModifiedBy>
  <dcterms:created xsi:type="dcterms:W3CDTF">2015-10-27T16:07:59Z</dcterms:created>
  <dcterms:modified xsi:type="dcterms:W3CDTF">2015-11-04T08:49:20Z</dcterms:modified>
</cp:coreProperties>
</file>