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11685" firstSheet="1" activeTab="1"/>
  </bookViews>
  <sheets>
    <sheet name="Nombres" sheetId="1" state="hidden" r:id="rId1"/>
    <sheet name="INDICE" sheetId="2" r:id="rId2"/>
    <sheet name="Cuenta de Resultados" sheetId="3" r:id="rId3"/>
    <sheet name="Cuenta de Resultados Proforma" sheetId="4" r:id="rId4"/>
    <sheet name="Balance" sheetId="5" r:id="rId5"/>
    <sheet name="España" sheetId="6" r:id="rId6"/>
    <sheet name="EEUU" sheetId="7" r:id="rId7"/>
    <sheet name="Mexico" sheetId="8" r:id="rId8"/>
    <sheet name="Turquia" sheetId="9" r:id="rId9"/>
    <sheet name="AdS" sheetId="10" r:id="rId10"/>
    <sheet name="Argentina" sheetId="11" r:id="rId11"/>
    <sheet name="Chile" sheetId="12" r:id="rId12"/>
    <sheet name="Colombia" sheetId="13" r:id="rId13"/>
    <sheet name="Peru" sheetId="14" r:id="rId14"/>
    <sheet name="Resto de Eurasia" sheetId="15" r:id="rId15"/>
    <sheet name="Centro Corporativo" sheetId="16" r:id="rId16"/>
    <sheet name="Corporate &amp; Investment Banking" sheetId="17" r:id="rId17"/>
    <sheet name="Eficiencia" sheetId="18" r:id="rId18"/>
    <sheet name="Mora,cobertura,coste de riesgo" sheetId="19" r:id="rId19"/>
    <sheet name="Empleados, oficinas y cajeros" sheetId="20" r:id="rId20"/>
    <sheet name="Tipos de Cambio" sheetId="21" r:id="rId21"/>
    <sheet name="Diferenciales" sheetId="22" r:id="rId22"/>
    <sheet name="APRs" sheetId="23" r:id="rId23"/>
    <sheet name="Inversion" sheetId="24" r:id="rId24"/>
    <sheet name="Recursos" sheetId="25" r:id="rId25"/>
    <sheet name="Hoja1" sheetId="26" state="hidden" r:id="rId26"/>
    <sheet name="Hoja2" sheetId="27" state="hidden" r:id="rId27"/>
    <sheet name="Hoja3" sheetId="28" state="hidden" r:id="rId28"/>
    <sheet name="ALCO" sheetId="29" r:id="rId29"/>
    <sheet name="Hoja4" sheetId="30" state="hidden" r:id="rId30"/>
  </sheets>
  <definedNames/>
  <calcPr calcMode="autoNoTable" fullCalcOnLoad="1"/>
</workbook>
</file>

<file path=xl/sharedStrings.xml><?xml version="1.0" encoding="utf-8"?>
<sst xmlns="http://schemas.openxmlformats.org/spreadsheetml/2006/main" count="924" uniqueCount="431">
  <si>
    <t>IDIOMA/LANGUAGE</t>
  </si>
  <si>
    <t>1er Trim.</t>
  </si>
  <si>
    <t>2º Trim.</t>
  </si>
  <si>
    <t>3er Trim.</t>
  </si>
  <si>
    <t>4º Trim.</t>
  </si>
  <si>
    <t>Resultado Atribuido</t>
  </si>
  <si>
    <t>Total</t>
  </si>
  <si>
    <t>C&amp;IB</t>
  </si>
  <si>
    <t>Argentina</t>
  </si>
  <si>
    <t>Chile</t>
  </si>
  <si>
    <t>Colombia</t>
  </si>
  <si>
    <t>Perú</t>
  </si>
  <si>
    <t>Otros</t>
  </si>
  <si>
    <t>Orden</t>
  </si>
  <si>
    <t>Castellano</t>
  </si>
  <si>
    <t>Inglés</t>
  </si>
  <si>
    <t>Series trimestrales 2018-2019</t>
  </si>
  <si>
    <t>Quarterly series 2018-2019</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</si>
  <si>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</si>
  <si>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</si>
  <si>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</si>
  <si>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</si>
  <si>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</si>
  <si>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</si>
  <si>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</si>
  <si>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</si>
  <si>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</si>
  <si>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</si>
  <si>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</si>
  <si>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</si>
  <si>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</si>
  <si>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</si>
  <si>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</si>
  <si>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</si>
  <si>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</si>
  <si>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</si>
  <si>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</si>
  <si>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</si>
  <si>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</si>
  <si>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</si>
  <si>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</si>
  <si>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</si>
  <si>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</si>
  <si>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</si>
  <si>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</si>
  <si>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</si>
  <si>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</si>
  <si>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</si>
  <si>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</si>
  <si>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</si>
  <si>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</si>
  <si>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</si>
  <si>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</si>
  <si>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</si>
  <si>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</si>
  <si>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</si>
  <si>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</si>
  <si>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</si>
  <si>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</si>
  <si>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</si>
  <si>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</si>
  <si>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</si>
  <si>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</si>
  <si>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</si>
  <si>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</si>
  <si>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</si>
  <si>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</si>
  <si>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</si>
  <si>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</si>
  <si>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</si>
  <si>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</si>
  <si>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</si>
  <si>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</si>
  <si>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</si>
  <si>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</si>
  <si>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</si>
  <si>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</si>
  <si>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</si>
  <si>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</si>
  <si>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</si>
  <si>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</si>
  <si>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</si>
  <si>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</si>
  <si>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</si>
  <si>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</si>
  <si>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</si>
  <si>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</si>
  <si>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</si>
  <si>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</si>
  <si>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</si>
  <si>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</si>
  <si>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</si>
  <si>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</si>
  <si>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</si>
  <si>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</si>
  <si>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</si>
  <si>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</si>
  <si>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</si>
  <si>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</si>
  <si>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</si>
  <si>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</si>
  <si>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</si>
  <si>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</si>
  <si>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</si>
  <si>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</si>
  <si>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</si>
  <si>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</si>
  <si>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</si>
  <si>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</si>
  <si>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</si>
  <si>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</si>
  <si>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</si>
  <si>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</si>
  <si>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</si>
  <si>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</si>
  <si>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</si>
  <si>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</si>
  <si>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</si>
  <si>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</si>
  <si>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</si>
  <si>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</si>
  <si>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</si>
  <si>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</si>
  <si>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</si>
  <si>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</si>
  <si>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</si>
  <si>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</si>
  <si>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</si>
  <si>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</si>
  <si>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</si>
  <si>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</si>
  <si>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</si>
  <si>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</si>
  <si>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</si>
  <si>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</si>
  <si>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</si>
  <si>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</si>
  <si>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</si>
  <si>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</si>
  <si>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</si>
  <si>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</si>
  <si>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</si>
  <si>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</si>
  <si>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</si>
  <si>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</si>
  <si>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</si>
  <si>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</si>
  <si>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</si>
  <si>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</si>
  <si>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</si>
  <si>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</si>
  <si>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</si>
  <si>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</si>
  <si>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</si>
  <si>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</si>
  <si>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</si>
  <si>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</si>
  <si>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</si>
  <si>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</si>
  <si>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</si>
  <si>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</si>
  <si>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</si>
  <si>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</si>
  <si>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</si>
  <si>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</si>
  <si>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</si>
  <si>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</si>
  <si>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</si>
  <si>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</si>
  <si>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</si>
  <si>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</si>
  <si>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</si>
  <si>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</si>
  <si>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</si>
  <si>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</si>
  <si>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</si>
  <si>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</si>
  <si>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</si>
  <si>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</si>
  <si>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</si>
  <si>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</si>
  <si>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</si>
  <si>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</si>
  <si>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</si>
  <si>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</si>
  <si>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</si>
  <si>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</si>
  <si>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</si>
  <si>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</si>
  <si>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</si>
  <si>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</si>
  <si>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</si>
  <si>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</si>
  <si>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</si>
  <si>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</si>
  <si>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</si>
  <si>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</si>
  <si>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</si>
  <si>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</si>
  <si>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</si>
  <si>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</si>
  <si>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</si>
  <si>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</si>
  <si>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</si>
  <si>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</si>
  <si>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</si>
  <si>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</si>
  <si>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</si>
  <si>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</si>
  <si>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</si>
  <si>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</si>
  <si>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</si>
  <si>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</si>
  <si>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</si>
  <si>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</si>
  <si>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</si>
  <si>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</si>
  <si>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</si>
  <si>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</si>
  <si>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</si>
  <si>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</si>
  <si>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</si>
  <si>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</si>
  <si>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</si>
  <si>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</si>
  <si>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</si>
  <si>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</si>
  <si>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</si>
  <si>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</si>
  <si>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</si>
  <si>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</si>
  <si>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</si>
  <si>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</si>
  <si>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</si>
  <si>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</si>
  <si>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</si>
  <si>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</si>
  <si>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</si>
  <si>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</si>
  <si>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</si>
  <si>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</si>
  <si>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</si>
  <si>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</si>
  <si>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</si>
  <si>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</si>
  <si>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</si>
  <si>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</si>
  <si>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</si>
  <si>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</si>
  <si>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</si>
  <si>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</si>
  <si>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</si>
  <si>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</si>
  <si>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</si>
  <si>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</si>
  <si>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</si>
  <si>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</si>
  <si>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</si>
  <si>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</si>
  <si>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</si>
  <si>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</si>
  <si>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</si>
  <si>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</si>
  <si>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</si>
  <si>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</si>
  <si>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</si>
  <si>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</si>
  <si>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</si>
  <si>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</si>
  <si>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</si>
  <si>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</si>
  <si>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</si>
  <si>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</si>
  <si>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</si>
  <si>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</si>
  <si>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</si>
  <si>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</si>
  <si>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</si>
  <si>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</si>
  <si>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</si>
  <si>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</si>
  <si>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</si>
  <si>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</si>
  <si>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</si>
  <si>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</si>
  <si>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</si>
  <si>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</si>
  <si>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</si>
  <si>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</si>
  <si>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</si>
  <si>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</si>
  <si>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</si>
  <si>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</si>
  <si>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</si>
  <si>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</si>
  <si>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</si>
  <si>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</si>
  <si>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</si>
  <si>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</si>
  <si>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</si>
  <si>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</si>
  <si>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</si>
  <si>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</si>
  <si>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</si>
  <si>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</si>
  <si>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</si>
  <si>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</si>
  <si>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</si>
  <si>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</si>
  <si>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</si>
  <si>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</si>
  <si>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</si>
  <si>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</si>
  <si>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</si>
  <si>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</si>
  <si>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</si>
  <si>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</si>
  <si>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</si>
  <si>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</si>
  <si>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</si>
  <si>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</si>
  <si>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</si>
  <si>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</si>
  <si>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</si>
  <si>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</si>
  <si>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</si>
  <si>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</si>
  <si>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</si>
  <si>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</si>
  <si>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</si>
  <si>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</si>
  <si>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</si>
  <si>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</si>
  <si>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</si>
  <si>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</si>
  <si>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</si>
  <si>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</si>
  <si>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</si>
  <si>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</si>
  <si>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</si>
  <si>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</si>
  <si>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</si>
  <si>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</si>
  <si>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</si>
  <si>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</si>
  <si>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</si>
  <si>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</si>
  <si>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</si>
  <si>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</si>
  <si>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</si>
  <si>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</si>
  <si>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</si>
  <si>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</si>
  <si>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</si>
  <si>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</si>
  <si>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</si>
  <si>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</si>
  <si>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</si>
  <si>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</si>
  <si>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</si>
  <si>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</si>
  <si>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</si>
  <si>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</si>
  <si>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</si>
  <si>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</si>
  <si>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</si>
  <si>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</si>
  <si>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</si>
  <si>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</si>
  <si>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</si>
  <si>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</si>
  <si>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</si>
  <si>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</si>
  <si>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</si>
  <si>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</si>
  <si>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</si>
  <si>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</si>
  <si>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</si>
  <si>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</si>
  <si>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</si>
  <si>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</si>
  <si>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</si>
  <si>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</si>
  <si>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</si>
  <si>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</si>
  <si>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</si>
  <si>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</si>
  <si>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</si>
  <si>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</si>
  <si>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</si>
  <si>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</si>
  <si>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</si>
  <si>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</si>
  <si>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</si>
  <si>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</si>
  <si>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</si>
  <si>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</si>
  <si>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</si>
  <si>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</si>
  <si>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</si>
  <si>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0</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</si>
  <si>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</si>
  <si>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</si>
  <si>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</si>
  <si>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</si>
  <si>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</si>
  <si>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</si>
  <si>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</si>
  <si>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</si>
  <si>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</si>
  <si>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</si>
  <si>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</si>
  <si>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</si>
  <si>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</si>
  <si>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</si>
  <si>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</si>
  <si>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</si>
  <si>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</si>
  <si>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</si>
  <si>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Plusvalías por la venta de BBVA Chile del tercer trimestre de 2018</t>
  </si>
  <si>
    <t>(*) Net capital gains of BBVA Chile sale on the 3rd Q of 2018.</t>
  </si>
  <si>
    <t>.</t>
  </si>
  <si>
    <t>Coste del riesgo acumulado</t>
  </si>
  <si>
    <t>Cost of risk YTD</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</si>
  <si>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</si>
  <si>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income statement. </t>
    </r>
  </si>
  <si>
    <t>-</t>
  </si>
  <si>
    <t>Cost of deposits</t>
  </si>
  <si>
    <t>Rentabilidad de los prestamos</t>
  </si>
  <si>
    <t>Coste de los depositos</t>
  </si>
  <si>
    <t>Lending Yield</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</si>
</sst>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s>
  <fonts count="114">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5"/>
      <color indexed="30"/>
      <name val="Calibri"/>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8"/>
      <color theme="1"/>
      <name val="Calibri"/>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304">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1"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2"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3"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3"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4" fillId="33" borderId="0" xfId="0" applyFont="1" applyFill="1" applyBorder="1" applyAlignment="1">
      <alignment horizontal="left" vertical="center"/>
    </xf>
    <xf numFmtId="0" fontId="95" fillId="33" borderId="0" xfId="0" applyFont="1" applyFill="1" applyBorder="1" applyAlignment="1">
      <alignment/>
    </xf>
    <xf numFmtId="0" fontId="96"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7" fillId="0" borderId="0" xfId="0" applyFont="1" applyFill="1" applyBorder="1" applyAlignment="1">
      <alignment horizontal="right" vertical="center"/>
    </xf>
    <xf numFmtId="0" fontId="97"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8" fillId="34" borderId="0" xfId="0" applyNumberFormat="1" applyFont="1" applyFill="1" applyBorder="1" applyAlignment="1">
      <alignment vertical="center"/>
    </xf>
    <xf numFmtId="3" fontId="98" fillId="0" borderId="0" xfId="0" applyNumberFormat="1" applyFont="1" applyFill="1" applyBorder="1" applyAlignment="1">
      <alignment vertical="center"/>
    </xf>
    <xf numFmtId="3" fontId="17" fillId="0" borderId="0" xfId="0" applyNumberFormat="1" applyFont="1" applyFill="1" applyBorder="1" applyAlignment="1">
      <alignment vertical="top"/>
    </xf>
    <xf numFmtId="0" fontId="99" fillId="0" borderId="0" xfId="0" applyFont="1" applyFill="1" applyAlignment="1">
      <alignment vertical="top"/>
    </xf>
    <xf numFmtId="3" fontId="73" fillId="0" borderId="0" xfId="0" applyNumberFormat="1" applyFont="1" applyFill="1" applyAlignment="1">
      <alignment/>
    </xf>
    <xf numFmtId="3" fontId="16" fillId="0" borderId="0" xfId="0" applyNumberFormat="1" applyFont="1" applyFill="1" applyBorder="1" applyAlignment="1">
      <alignment horizontal="right" vertical="center"/>
    </xf>
    <xf numFmtId="3" fontId="98" fillId="34" borderId="0" xfId="0" applyNumberFormat="1" applyFont="1" applyFill="1" applyBorder="1" applyAlignment="1">
      <alignment horizontal="right" vertical="center"/>
    </xf>
    <xf numFmtId="0" fontId="16" fillId="0" borderId="0" xfId="0" applyFont="1" applyFill="1" applyBorder="1" applyAlignment="1">
      <alignment/>
    </xf>
    <xf numFmtId="164" fontId="97"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8" fillId="0" borderId="0" xfId="0" applyNumberFormat="1" applyFont="1" applyFill="1" applyBorder="1" applyAlignment="1">
      <alignment/>
    </xf>
    <xf numFmtId="3" fontId="16" fillId="0" borderId="0" xfId="0" applyNumberFormat="1" applyFont="1" applyFill="1" applyBorder="1" applyAlignment="1">
      <alignment/>
    </xf>
    <xf numFmtId="3" fontId="100" fillId="0" borderId="0" xfId="0" applyNumberFormat="1" applyFont="1" applyFill="1" applyBorder="1" applyAlignment="1">
      <alignment/>
    </xf>
    <xf numFmtId="3" fontId="17" fillId="0" borderId="0" xfId="0" applyNumberFormat="1" applyFont="1" applyFill="1" applyBorder="1" applyAlignment="1">
      <alignment vertical="center"/>
    </xf>
    <xf numFmtId="3" fontId="101" fillId="0" borderId="0" xfId="0" applyNumberFormat="1" applyFont="1" applyFill="1" applyBorder="1" applyAlignment="1">
      <alignment vertical="center" wrapText="1"/>
    </xf>
    <xf numFmtId="3" fontId="101"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4" fillId="0" borderId="0" xfId="0" applyFont="1" applyFill="1" applyBorder="1" applyAlignment="1">
      <alignment horizontal="left" vertical="center"/>
    </xf>
    <xf numFmtId="0" fontId="95" fillId="0" borderId="0" xfId="0" applyFont="1" applyFill="1" applyBorder="1" applyAlignment="1">
      <alignment/>
    </xf>
    <xf numFmtId="164" fontId="97" fillId="0" borderId="10" xfId="0" applyNumberFormat="1" applyFont="1" applyFill="1" applyBorder="1" applyAlignment="1">
      <alignment horizontal="right" vertical="center"/>
    </xf>
    <xf numFmtId="0" fontId="95" fillId="33" borderId="0" xfId="0" applyFont="1" applyFill="1" applyBorder="1" applyAlignment="1">
      <alignment horizontal="right"/>
    </xf>
    <xf numFmtId="0" fontId="15" fillId="0" borderId="0" xfId="0" applyFont="1" applyFill="1" applyBorder="1" applyAlignment="1">
      <alignment horizontal="right"/>
    </xf>
    <xf numFmtId="3" fontId="98" fillId="34" borderId="10" xfId="0" applyNumberFormat="1" applyFont="1" applyFill="1" applyBorder="1" applyAlignment="1">
      <alignment vertical="center"/>
    </xf>
    <xf numFmtId="0" fontId="95" fillId="0" borderId="0" xfId="0" applyFont="1" applyFill="1" applyBorder="1" applyAlignment="1">
      <alignment horizontal="right"/>
    </xf>
    <xf numFmtId="0" fontId="17" fillId="0" borderId="0" xfId="0" applyNumberFormat="1" applyFont="1" applyFill="1" applyBorder="1" applyAlignment="1">
      <alignment vertical="center"/>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7" fillId="0" borderId="0" xfId="0" applyNumberFormat="1" applyFont="1" applyFill="1" applyBorder="1" applyAlignment="1">
      <alignment vertical="center"/>
    </xf>
    <xf numFmtId="3" fontId="15" fillId="0" borderId="0" xfId="0" applyNumberFormat="1" applyFont="1" applyFill="1" applyBorder="1" applyAlignment="1">
      <alignment/>
    </xf>
    <xf numFmtId="0" fontId="95" fillId="0" borderId="0" xfId="0" applyFont="1" applyFill="1" applyBorder="1" applyAlignment="1">
      <alignment/>
    </xf>
    <xf numFmtId="0" fontId="15" fillId="0" borderId="0" xfId="0" applyFont="1" applyFill="1" applyBorder="1" applyAlignment="1">
      <alignment/>
    </xf>
    <xf numFmtId="3" fontId="98" fillId="34" borderId="10" xfId="0" applyNumberFormat="1" applyFont="1" applyFill="1" applyBorder="1" applyAlignment="1">
      <alignment horizontal="right" vertical="center"/>
    </xf>
    <xf numFmtId="0" fontId="95" fillId="33" borderId="0" xfId="0" applyFont="1" applyFill="1" applyBorder="1" applyAlignment="1">
      <alignment/>
    </xf>
    <xf numFmtId="0" fontId="0" fillId="0" borderId="0" xfId="0" applyFill="1" applyAlignment="1">
      <alignment horizontal="right"/>
    </xf>
    <xf numFmtId="3" fontId="17" fillId="0" borderId="0" xfId="0" applyNumberFormat="1" applyFont="1" applyFill="1" applyBorder="1" applyAlignment="1">
      <alignment vertical="center" wrapText="1"/>
    </xf>
    <xf numFmtId="0" fontId="14" fillId="0" borderId="0" xfId="0" applyFont="1" applyFill="1" applyBorder="1" applyAlignment="1" quotePrefix="1">
      <alignment horizontal="left" vertical="center"/>
    </xf>
    <xf numFmtId="0" fontId="96" fillId="0" borderId="0" xfId="0" applyFont="1" applyFill="1" applyBorder="1" applyAlignment="1" quotePrefix="1">
      <alignment horizontal="left" vertical="center"/>
    </xf>
    <xf numFmtId="0" fontId="97" fillId="0" borderId="0" xfId="0" applyFont="1" applyFill="1" applyBorder="1" applyAlignment="1" quotePrefix="1">
      <alignment horizontal="right" vertical="center"/>
    </xf>
    <xf numFmtId="0" fontId="97"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8"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4" fillId="33" borderId="0" xfId="0" applyFont="1" applyFill="1" applyBorder="1" applyAlignment="1" quotePrefix="1">
      <alignment horizontal="left" vertical="center"/>
    </xf>
    <xf numFmtId="0" fontId="0" fillId="0" borderId="0" xfId="0" applyFill="1" applyBorder="1" applyAlignment="1">
      <alignment horizontal="right"/>
    </xf>
    <xf numFmtId="0" fontId="94" fillId="33" borderId="0" xfId="0" applyFont="1" applyFill="1" applyAlignment="1">
      <alignment horizontal="left" vertical="center"/>
    </xf>
    <xf numFmtId="0" fontId="95" fillId="33" borderId="0" xfId="59" applyFont="1" applyFill="1">
      <alignment/>
      <protection/>
    </xf>
    <xf numFmtId="0" fontId="20" fillId="0" borderId="0" xfId="59" applyFont="1">
      <alignment/>
      <protection/>
    </xf>
    <xf numFmtId="0" fontId="96"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7"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2"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3" fillId="33" borderId="0" xfId="60" applyFont="1" applyFill="1" applyAlignment="1">
      <alignment horizontal="left" vertical="center"/>
      <protection/>
    </xf>
    <xf numFmtId="0" fontId="6" fillId="0" borderId="0" xfId="59" applyFont="1">
      <alignment/>
      <protection/>
    </xf>
    <xf numFmtId="164" fontId="97"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5" fillId="33" borderId="0" xfId="59" applyFont="1" applyFill="1" applyBorder="1">
      <alignment/>
      <protection/>
    </xf>
    <xf numFmtId="167" fontId="95"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5" fillId="33" borderId="0" xfId="0" applyNumberFormat="1" applyFont="1" applyFill="1" applyBorder="1" applyAlignment="1">
      <alignment/>
    </xf>
    <xf numFmtId="0" fontId="95"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0"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6"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4" fillId="0" borderId="0" xfId="59" applyFont="1" applyFill="1">
      <alignment/>
      <protection/>
    </xf>
    <xf numFmtId="3" fontId="104" fillId="0" borderId="0" xfId="0" applyNumberFormat="1" applyFont="1" applyFill="1" applyAlignment="1">
      <alignment/>
    </xf>
    <xf numFmtId="164" fontId="97" fillId="0" borderId="0" xfId="0" applyNumberFormat="1" applyFont="1" applyFill="1" applyBorder="1" applyAlignment="1">
      <alignment horizontal="center" vertical="center"/>
    </xf>
    <xf numFmtId="1" fontId="97" fillId="0" borderId="0" xfId="0" applyNumberFormat="1" applyFont="1" applyFill="1" applyBorder="1" applyAlignment="1">
      <alignment vertical="center"/>
    </xf>
    <xf numFmtId="164" fontId="97" fillId="0" borderId="11" xfId="0" applyNumberFormat="1" applyFont="1" applyFill="1" applyBorder="1" applyAlignment="1">
      <alignment horizontal="center" vertical="center"/>
    </xf>
    <xf numFmtId="0" fontId="104" fillId="0" borderId="11" xfId="59" applyFont="1" applyFill="1" applyBorder="1">
      <alignment/>
      <protection/>
    </xf>
    <xf numFmtId="3" fontId="104" fillId="0" borderId="11" xfId="0" applyNumberFormat="1" applyFont="1" applyFill="1" applyBorder="1" applyAlignment="1">
      <alignment/>
    </xf>
    <xf numFmtId="164" fontId="97"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5" fillId="33" borderId="0" xfId="60" applyFont="1" applyFill="1" applyBorder="1" applyAlignment="1">
      <alignment horizontal="left" vertical="center"/>
      <protection/>
    </xf>
    <xf numFmtId="0" fontId="6" fillId="0" borderId="0" xfId="54">
      <alignment/>
      <protection/>
    </xf>
    <xf numFmtId="0" fontId="96"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7"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7" fillId="0" borderId="11" xfId="0" applyNumberFormat="1" applyFont="1" applyFill="1" applyBorder="1" applyAlignment="1">
      <alignment horizontal="right" vertical="center"/>
    </xf>
    <xf numFmtId="0" fontId="106" fillId="0" borderId="0" xfId="0" applyFont="1" applyAlignment="1">
      <alignment horizontal="center"/>
    </xf>
    <xf numFmtId="3" fontId="16" fillId="0" borderId="0" xfId="0" applyNumberFormat="1" applyFont="1" applyFill="1" applyBorder="1" applyAlignment="1">
      <alignment horizontal="right"/>
    </xf>
    <xf numFmtId="170" fontId="106"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166" fontId="100" fillId="0" borderId="0" xfId="0" applyNumberFormat="1" applyFont="1" applyFill="1" applyBorder="1" applyAlignment="1">
      <alignment/>
    </xf>
    <xf numFmtId="0" fontId="6" fillId="0" borderId="0" xfId="0" applyFont="1" applyFill="1" applyAlignment="1">
      <alignment/>
    </xf>
    <xf numFmtId="0" fontId="94" fillId="33" borderId="0" xfId="57" applyFont="1" applyFill="1" applyAlignment="1">
      <alignment horizontal="left" vertical="center"/>
      <protection/>
    </xf>
    <xf numFmtId="0" fontId="107"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6" fillId="36" borderId="0" xfId="0" applyFont="1" applyFill="1" applyBorder="1" applyAlignment="1">
      <alignment horizontal="left" vertical="center"/>
    </xf>
    <xf numFmtId="0" fontId="96"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8"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09"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0" fillId="0" borderId="0" xfId="0" applyFont="1" applyAlignment="1">
      <alignment/>
    </xf>
    <xf numFmtId="0" fontId="111" fillId="0" borderId="0" xfId="61" applyFont="1" applyFill="1" applyBorder="1" applyAlignment="1" applyProtection="1">
      <alignment horizontal="left"/>
      <protection hidden="1" locked="0"/>
    </xf>
    <xf numFmtId="0" fontId="111"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2" fillId="0" borderId="11" xfId="0" applyFont="1" applyFill="1" applyBorder="1" applyAlignment="1">
      <alignment vertical="center"/>
    </xf>
    <xf numFmtId="164" fontId="97" fillId="0" borderId="0" xfId="0" applyNumberFormat="1" applyFont="1" applyFill="1" applyBorder="1" applyAlignment="1">
      <alignment horizontal="left" vertical="center"/>
    </xf>
    <xf numFmtId="0" fontId="93" fillId="37" borderId="0" xfId="0" applyFont="1" applyFill="1" applyAlignment="1">
      <alignment/>
    </xf>
    <xf numFmtId="166" fontId="73" fillId="0" borderId="0" xfId="0" applyNumberFormat="1"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4"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5"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4"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0"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0" fontId="0" fillId="0" borderId="0" xfId="57" applyFont="1" applyAlignment="1">
      <alignment horizontal="right"/>
      <protection/>
    </xf>
    <xf numFmtId="3" fontId="17" fillId="0" borderId="0" xfId="0" applyNumberFormat="1" applyFont="1" applyFill="1" applyBorder="1" applyAlignment="1">
      <alignment horizontal="left" vertical="top" wrapText="1"/>
    </xf>
    <xf numFmtId="3" fontId="98" fillId="0" borderId="0" xfId="0" applyNumberFormat="1" applyFont="1" applyFill="1" applyBorder="1" applyAlignment="1">
      <alignment horizontal="right" vertical="center"/>
    </xf>
    <xf numFmtId="166" fontId="70" fillId="0" borderId="0" xfId="0" applyNumberFormat="1" applyFont="1" applyFill="1" applyAlignment="1">
      <alignment/>
    </xf>
    <xf numFmtId="4" fontId="70" fillId="0" borderId="0" xfId="0" applyNumberFormat="1" applyFont="1" applyFill="1" applyAlignment="1">
      <alignment/>
    </xf>
    <xf numFmtId="3" fontId="70" fillId="0" borderId="0" xfId="0" applyNumberFormat="1" applyFont="1" applyFill="1" applyAlignment="1">
      <alignment/>
    </xf>
    <xf numFmtId="166" fontId="98" fillId="0" borderId="0" xfId="0" applyNumberFormat="1" applyFont="1" applyFill="1" applyBorder="1" applyAlignment="1">
      <alignment vertical="center"/>
    </xf>
    <xf numFmtId="166" fontId="0" fillId="0" borderId="0" xfId="0" applyNumberForma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7" fontId="0" fillId="0" borderId="0" xfId="63" applyNumberFormat="1" applyFont="1" applyAlignment="1">
      <alignment/>
    </xf>
    <xf numFmtId="10" fontId="0" fillId="0" borderId="0" xfId="64" applyNumberFormat="1" applyFont="1" applyAlignment="1">
      <alignment/>
    </xf>
    <xf numFmtId="0" fontId="0" fillId="0" borderId="0" xfId="57" applyFont="1" applyAlignment="1">
      <alignment horizontal="right"/>
      <protection/>
    </xf>
    <xf numFmtId="0" fontId="0" fillId="0" borderId="0" xfId="57" applyFont="1">
      <alignment/>
      <protection/>
    </xf>
    <xf numFmtId="168" fontId="15" fillId="0" borderId="0" xfId="0" applyNumberFormat="1" applyFont="1" applyFill="1" applyBorder="1" applyAlignment="1">
      <alignment horizontal="right"/>
    </xf>
    <xf numFmtId="3" fontId="17" fillId="0" borderId="0" xfId="0" applyNumberFormat="1" applyFont="1" applyFill="1" applyBorder="1" applyAlignment="1">
      <alignment horizontal="left" vertical="top" wrapText="1"/>
    </xf>
    <xf numFmtId="0" fontId="97" fillId="0" borderId="0" xfId="0" applyFont="1" applyFill="1" applyBorder="1" applyAlignment="1">
      <alignment horizontal="center" wrapText="1"/>
    </xf>
    <xf numFmtId="0" fontId="97" fillId="0" borderId="10" xfId="0" applyFont="1" applyFill="1" applyBorder="1" applyAlignment="1">
      <alignment horizontal="center" wrapText="1"/>
    </xf>
    <xf numFmtId="0" fontId="97" fillId="0" borderId="13" xfId="0" applyFont="1" applyFill="1" applyBorder="1" applyAlignment="1">
      <alignment horizontal="center" wrapText="1"/>
    </xf>
    <xf numFmtId="0" fontId="112" fillId="0" borderId="11" xfId="0" applyFont="1" applyFill="1" applyBorder="1" applyAlignment="1">
      <alignment horizontal="center" vertical="center"/>
    </xf>
    <xf numFmtId="0" fontId="97" fillId="0" borderId="0" xfId="54" applyFont="1" applyFill="1" applyBorder="1" applyAlignment="1">
      <alignment horizontal="center" wrapText="1"/>
      <protection/>
    </xf>
    <xf numFmtId="0" fontId="113" fillId="0" borderId="0" xfId="54" applyFont="1" applyFill="1" applyBorder="1" applyAlignment="1">
      <alignment horizontal="center"/>
      <protection/>
    </xf>
    <xf numFmtId="0" fontId="97" fillId="0" borderId="0" xfId="0" applyFont="1" applyFill="1" applyBorder="1" applyAlignment="1">
      <alignment horizontal="center" vertical="center"/>
    </xf>
    <xf numFmtId="0" fontId="97" fillId="0" borderId="0" xfId="57" applyFont="1" applyFill="1" applyAlignment="1">
      <alignment horizontal="center" vertical="center" wrapText="1"/>
      <protection/>
    </xf>
    <xf numFmtId="0" fontId="97"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4" /></Relationships>
</file>

<file path=xl/drawings/_rels/drawing11.xml.rels><?xml version="1.0" encoding="utf-8" standalone="yes"?><Relationships xmlns="http://schemas.openxmlformats.org/package/2006/relationships"><Relationship Id="rId1" Type="http://schemas.openxmlformats.org/officeDocument/2006/relationships/hyperlink" Target="#INDICE!C15" /></Relationships>
</file>

<file path=xl/drawings/_rels/drawing12.xml.rels><?xml version="1.0" encoding="utf-8" standalone="yes"?><Relationships xmlns="http://schemas.openxmlformats.org/package/2006/relationships"><Relationship Id="rId1" Type="http://schemas.openxmlformats.org/officeDocument/2006/relationships/hyperlink" Target="#INDICE!C16" /></Relationships>
</file>

<file path=xl/drawings/_rels/drawing13.xml.rels><?xml version="1.0" encoding="utf-8" standalone="yes"?><Relationships xmlns="http://schemas.openxmlformats.org/package/2006/relationships"><Relationship Id="rId1" Type="http://schemas.openxmlformats.org/officeDocument/2006/relationships/hyperlink" Target="#INDICE!C17" /></Relationships>
</file>

<file path=xl/drawings/_rels/drawing14.xml.rels><?xml version="1.0" encoding="utf-8" standalone="yes"?><Relationships xmlns="http://schemas.openxmlformats.org/package/2006/relationships"><Relationship Id="rId1" Type="http://schemas.openxmlformats.org/officeDocument/2006/relationships/hyperlink" Target="#INDICE!C18" /></Relationships>
</file>

<file path=xl/drawings/_rels/drawing15.xml.rels><?xml version="1.0" encoding="utf-8" standalone="yes"?><Relationships xmlns="http://schemas.openxmlformats.org/package/2006/relationships"><Relationship Id="rId1" Type="http://schemas.openxmlformats.org/officeDocument/2006/relationships/hyperlink" Target="#INDICE!C19" /></Relationships>
</file>

<file path=xl/drawings/_rels/drawing16.xml.rels><?xml version="1.0" encoding="utf-8" standalone="yes"?><Relationships xmlns="http://schemas.openxmlformats.org/package/2006/relationships"><Relationship Id="rId1" Type="http://schemas.openxmlformats.org/officeDocument/2006/relationships/hyperlink" Target="#INDICE!C22" /></Relationships>
</file>

<file path=xl/drawings/_rels/drawing17.xml.rels><?xml version="1.0" encoding="utf-8" standalone="yes"?><Relationships xmlns="http://schemas.openxmlformats.org/package/2006/relationships"><Relationship Id="rId1" Type="http://schemas.openxmlformats.org/officeDocument/2006/relationships/hyperlink" Target="#INDICE!C24"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6"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7" /></Relationships>
</file>

<file path=xl/drawings/_rels/drawing21.xml.rels><?xml version="1.0" encoding="utf-8" standalone="yes"?><Relationships xmlns="http://schemas.openxmlformats.org/package/2006/relationships"><Relationship Id="rId1" Type="http://schemas.openxmlformats.org/officeDocument/2006/relationships/hyperlink" Target="#INDICE!C28" /></Relationships>
</file>

<file path=xl/drawings/_rels/drawing22.xml.rels><?xml version="1.0" encoding="utf-8" standalone="yes"?><Relationships xmlns="http://schemas.openxmlformats.org/package/2006/relationships"><Relationship Id="rId1" Type="http://schemas.openxmlformats.org/officeDocument/2006/relationships/hyperlink" Target="#INDICE!C29" /></Relationships>
</file>

<file path=xl/drawings/_rels/drawing23.xml.rels><?xml version="1.0" encoding="utf-8" standalone="yes"?><Relationships xmlns="http://schemas.openxmlformats.org/package/2006/relationships"><Relationship Id="rId1" Type="http://schemas.openxmlformats.org/officeDocument/2006/relationships/hyperlink" Target="#INDICE!C30" /></Relationships>
</file>

<file path=xl/drawings/_rels/drawing24.xml.rels><?xml version="1.0" encoding="utf-8" standalone="yes"?><Relationships xmlns="http://schemas.openxmlformats.org/package/2006/relationships"><Relationship Id="rId1" Type="http://schemas.openxmlformats.org/officeDocument/2006/relationships/hyperlink" Target="#INDICE!C31" /></Relationships>
</file>

<file path=xl/drawings/_rels/drawing25.xml.rels><?xml version="1.0" encoding="utf-8" standalone="yes"?><Relationships xmlns="http://schemas.openxmlformats.org/package/2006/relationships"><Relationship Id="rId1" Type="http://schemas.openxmlformats.org/officeDocument/2006/relationships/hyperlink" Target="#INDICE!C32" /></Relationships>
</file>

<file path=xl/drawings/_rels/drawing3.xml.rels><?xml version="1.0" encoding="utf-8" standalone="yes"?><Relationships xmlns="http://schemas.openxmlformats.org/package/2006/relationships"><Relationship Id="rId1" Type="http://schemas.openxmlformats.org/officeDocument/2006/relationships/hyperlink" Target="#INDICE!C6" /></Relationships>
</file>

<file path=xl/drawings/_rels/drawing4.xml.rels><?xml version="1.0" encoding="utf-8" standalone="yes"?><Relationships xmlns="http://schemas.openxmlformats.org/package/2006/relationships"><Relationship Id="rId1" Type="http://schemas.openxmlformats.org/officeDocument/2006/relationships/hyperlink" Target="#INDICE!C7" /></Relationships>
</file>

<file path=xl/drawings/_rels/drawing5.xml.rels><?xml version="1.0" encoding="utf-8" standalone="yes"?><Relationships xmlns="http://schemas.openxmlformats.org/package/2006/relationships"><Relationship Id="rId1" Type="http://schemas.openxmlformats.org/officeDocument/2006/relationships/hyperlink" Target="#INDICE!C9" /></Relationships>
</file>

<file path=xl/drawings/_rels/drawing6.xml.rels><?xml version="1.0" encoding="utf-8" standalone="yes"?><Relationships xmlns="http://schemas.openxmlformats.org/package/2006/relationships"><Relationship Id="rId1" Type="http://schemas.openxmlformats.org/officeDocument/2006/relationships/hyperlink" Target="#INDICE!C10" /></Relationships>
</file>

<file path=xl/drawings/_rels/drawing7.xml.rels><?xml version="1.0" encoding="utf-8" standalone="yes"?><Relationships xmlns="http://schemas.openxmlformats.org/package/2006/relationships"><Relationship Id="rId1" Type="http://schemas.openxmlformats.org/officeDocument/2006/relationships/hyperlink" Target="#INDICE!C11" /></Relationships>
</file>

<file path=xl/drawings/_rels/drawing8.xml.rels><?xml version="1.0" encoding="utf-8" standalone="yes"?><Relationships xmlns="http://schemas.openxmlformats.org/package/2006/relationships"><Relationship Id="rId1" Type="http://schemas.openxmlformats.org/officeDocument/2006/relationships/hyperlink" Target="#INDICE!C12" /></Relationships>
</file>

<file path=xl/drawings/_rels/drawing9.xml.rels><?xml version="1.0" encoding="utf-8" standalone="yes"?><Relationships xmlns="http://schemas.openxmlformats.org/package/2006/relationships"><Relationship Id="rId1" Type="http://schemas.openxmlformats.org/officeDocument/2006/relationships/hyperlink" Target="#INDICE!C1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0</xdr:col>
      <xdr:colOff>314325</xdr:colOff>
      <xdr:row>6</xdr:row>
      <xdr:rowOff>276225</xdr:rowOff>
    </xdr:to>
    <xdr:sp fLocksText="0">
      <xdr:nvSpPr>
        <xdr:cNvPr id="1" name="7 CuadroTexto"/>
        <xdr:cNvSpPr txBox="1">
          <a:spLocks noChangeArrowheads="1"/>
        </xdr:cNvSpPr>
      </xdr:nvSpPr>
      <xdr:spPr>
        <a:xfrm>
          <a:off x="9525" y="1562100"/>
          <a:ext cx="304800" cy="4857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704850</xdr:colOff>
      <xdr:row>6</xdr:row>
      <xdr:rowOff>66675</xdr:rowOff>
    </xdr:to>
    <xdr:sp>
      <xdr:nvSpPr>
        <xdr:cNvPr id="1" name="2 Rectángulo redondeado">
          <a:hlinkClick r:id="rId1"/>
        </xdr:cNvPr>
        <xdr:cNvSpPr>
          <a:spLocks/>
        </xdr:cNvSpPr>
      </xdr:nvSpPr>
      <xdr:spPr>
        <a:xfrm>
          <a:off x="10487025" y="5143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666750</xdr:colOff>
      <xdr:row>5</xdr:row>
      <xdr:rowOff>190500</xdr:rowOff>
    </xdr:to>
    <xdr:sp>
      <xdr:nvSpPr>
        <xdr:cNvPr id="1" name="2 Rectángulo redondeado">
          <a:hlinkClick r:id="rId1"/>
        </xdr:cNvPr>
        <xdr:cNvSpPr>
          <a:spLocks/>
        </xdr:cNvSpPr>
      </xdr:nvSpPr>
      <xdr:spPr>
        <a:xfrm>
          <a:off x="10648950" y="4381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95250</xdr:rowOff>
    </xdr:to>
    <xdr:sp>
      <xdr:nvSpPr>
        <xdr:cNvPr id="1" name="2 Rectángulo redondeado">
          <a:hlinkClick r:id="rId1"/>
        </xdr:cNvPr>
        <xdr:cNvSpPr>
          <a:spLocks/>
        </xdr:cNvSpPr>
      </xdr:nvSpPr>
      <xdr:spPr>
        <a:xfrm>
          <a:off x="10610850" y="3429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628650</xdr:colOff>
      <xdr:row>5</xdr:row>
      <xdr:rowOff>95250</xdr:rowOff>
    </xdr:to>
    <xdr:sp>
      <xdr:nvSpPr>
        <xdr:cNvPr id="1" name="2 Rectángulo redondeado">
          <a:hlinkClick r:id="rId1"/>
        </xdr:cNvPr>
        <xdr:cNvSpPr>
          <a:spLocks/>
        </xdr:cNvSpPr>
      </xdr:nvSpPr>
      <xdr:spPr>
        <a:xfrm>
          <a:off x="10410825" y="3429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238125</xdr:rowOff>
    </xdr:from>
    <xdr:to>
      <xdr:col>10</xdr:col>
      <xdr:colOff>600075</xdr:colOff>
      <xdr:row>6</xdr:row>
      <xdr:rowOff>19050</xdr:rowOff>
    </xdr:to>
    <xdr:sp>
      <xdr:nvSpPr>
        <xdr:cNvPr id="1" name="2 Rectángulo redondeado">
          <a:hlinkClick r:id="rId1"/>
        </xdr:cNvPr>
        <xdr:cNvSpPr>
          <a:spLocks/>
        </xdr:cNvSpPr>
      </xdr:nvSpPr>
      <xdr:spPr>
        <a:xfrm>
          <a:off x="10382250" y="4667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85725</xdr:rowOff>
    </xdr:to>
    <xdr:sp>
      <xdr:nvSpPr>
        <xdr:cNvPr id="1" name="2 Rectángulo redondeado">
          <a:hlinkClick r:id="rId1"/>
        </xdr:cNvPr>
        <xdr:cNvSpPr>
          <a:spLocks/>
        </xdr:cNvSpPr>
      </xdr:nvSpPr>
      <xdr:spPr>
        <a:xfrm>
          <a:off x="10372725" y="5334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1</xdr:row>
      <xdr:rowOff>133350</xdr:rowOff>
    </xdr:from>
    <xdr:to>
      <xdr:col>10</xdr:col>
      <xdr:colOff>742950</xdr:colOff>
      <xdr:row>5</xdr:row>
      <xdr:rowOff>114300</xdr:rowOff>
    </xdr:to>
    <xdr:sp>
      <xdr:nvSpPr>
        <xdr:cNvPr id="1" name="2 Rectángulo redondeado">
          <a:hlinkClick r:id="rId1"/>
        </xdr:cNvPr>
        <xdr:cNvSpPr>
          <a:spLocks/>
        </xdr:cNvSpPr>
      </xdr:nvSpPr>
      <xdr:spPr>
        <a:xfrm>
          <a:off x="10525125" y="3619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495300</xdr:colOff>
      <xdr:row>0</xdr:row>
      <xdr:rowOff>133350</xdr:rowOff>
    </xdr:from>
    <xdr:to>
      <xdr:col>10</xdr:col>
      <xdr:colOff>609600</xdr:colOff>
      <xdr:row>4</xdr:row>
      <xdr:rowOff>47625</xdr:rowOff>
    </xdr:to>
    <xdr:sp>
      <xdr:nvSpPr>
        <xdr:cNvPr id="1" name="2 Rectángulo redondeado">
          <a:hlinkClick r:id="rId1"/>
        </xdr:cNvPr>
        <xdr:cNvSpPr>
          <a:spLocks/>
        </xdr:cNvSpPr>
      </xdr:nvSpPr>
      <xdr:spPr>
        <a:xfrm>
          <a:off x="8543925" y="133350"/>
          <a:ext cx="95250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371475</xdr:colOff>
      <xdr:row>4</xdr:row>
      <xdr:rowOff>47625</xdr:rowOff>
    </xdr:to>
    <xdr:sp>
      <xdr:nvSpPr>
        <xdr:cNvPr id="1" name="2 Rectángulo redondeado">
          <a:hlinkClick r:id="rId1"/>
        </xdr:cNvPr>
        <xdr:cNvSpPr>
          <a:spLocks/>
        </xdr:cNvSpPr>
      </xdr:nvSpPr>
      <xdr:spPr>
        <a:xfrm>
          <a:off x="9267825" y="133350"/>
          <a:ext cx="1219200" cy="7429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638175</xdr:colOff>
      <xdr:row>3</xdr:row>
      <xdr:rowOff>133350</xdr:rowOff>
    </xdr:to>
    <xdr:sp>
      <xdr:nvSpPr>
        <xdr:cNvPr id="1" name="2 Rectángulo redondeado">
          <a:hlinkClick r:id="rId1"/>
        </xdr:cNvPr>
        <xdr:cNvSpPr>
          <a:spLocks/>
        </xdr:cNvSpPr>
      </xdr:nvSpPr>
      <xdr:spPr>
        <a:xfrm>
          <a:off x="8124825" y="323850"/>
          <a:ext cx="962025" cy="6572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xdr:row>
      <xdr:rowOff>28575</xdr:rowOff>
    </xdr:from>
    <xdr:to>
      <xdr:col>10</xdr:col>
      <xdr:colOff>571500</xdr:colOff>
      <xdr:row>5</xdr:row>
      <xdr:rowOff>9525</xdr:rowOff>
    </xdr:to>
    <xdr:sp>
      <xdr:nvSpPr>
        <xdr:cNvPr id="1" name="2 Rectángulo redondeado">
          <a:hlinkClick r:id="rId1"/>
        </xdr:cNvPr>
        <xdr:cNvSpPr>
          <a:spLocks/>
        </xdr:cNvSpPr>
      </xdr:nvSpPr>
      <xdr:spPr>
        <a:xfrm>
          <a:off x="12077700" y="257175"/>
          <a:ext cx="12382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1</xdr:row>
      <xdr:rowOff>0</xdr:rowOff>
    </xdr:from>
    <xdr:to>
      <xdr:col>9</xdr:col>
      <xdr:colOff>466725</xdr:colOff>
      <xdr:row>3</xdr:row>
      <xdr:rowOff>38100</xdr:rowOff>
    </xdr:to>
    <xdr:sp>
      <xdr:nvSpPr>
        <xdr:cNvPr id="1" name="2 Rectángulo redondeado">
          <a:hlinkClick r:id="rId1"/>
        </xdr:cNvPr>
        <xdr:cNvSpPr>
          <a:spLocks/>
        </xdr:cNvSpPr>
      </xdr:nvSpPr>
      <xdr:spPr>
        <a:xfrm>
          <a:off x="9077325" y="228600"/>
          <a:ext cx="88582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104775</xdr:rowOff>
    </xdr:from>
    <xdr:to>
      <xdr:col>10</xdr:col>
      <xdr:colOff>447675</xdr:colOff>
      <xdr:row>4</xdr:row>
      <xdr:rowOff>0</xdr:rowOff>
    </xdr:to>
    <xdr:sp>
      <xdr:nvSpPr>
        <xdr:cNvPr id="1" name="2 Rectángulo redondeado">
          <a:hlinkClick r:id="rId1"/>
        </xdr:cNvPr>
        <xdr:cNvSpPr>
          <a:spLocks/>
        </xdr:cNvSpPr>
      </xdr:nvSpPr>
      <xdr:spPr>
        <a:xfrm>
          <a:off x="8105775" y="352425"/>
          <a:ext cx="866775"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xdr:row>
      <xdr:rowOff>47625</xdr:rowOff>
    </xdr:from>
    <xdr:to>
      <xdr:col>10</xdr:col>
      <xdr:colOff>476250</xdr:colOff>
      <xdr:row>4</xdr:row>
      <xdr:rowOff>85725</xdr:rowOff>
    </xdr:to>
    <xdr:sp>
      <xdr:nvSpPr>
        <xdr:cNvPr id="1" name="2 Rectángulo redondeado">
          <a:hlinkClick r:id="rId1"/>
        </xdr:cNvPr>
        <xdr:cNvSpPr>
          <a:spLocks/>
        </xdr:cNvSpPr>
      </xdr:nvSpPr>
      <xdr:spPr>
        <a:xfrm>
          <a:off x="9972675" y="276225"/>
          <a:ext cx="962025" cy="6191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xdr:row>
      <xdr:rowOff>152400</xdr:rowOff>
    </xdr:from>
    <xdr:to>
      <xdr:col>11</xdr:col>
      <xdr:colOff>57150</xdr:colOff>
      <xdr:row>4</xdr:row>
      <xdr:rowOff>85725</xdr:rowOff>
    </xdr:to>
    <xdr:sp>
      <xdr:nvSpPr>
        <xdr:cNvPr id="1" name="2 Rectángulo redondeado">
          <a:hlinkClick r:id="rId1"/>
        </xdr:cNvPr>
        <xdr:cNvSpPr>
          <a:spLocks/>
        </xdr:cNvSpPr>
      </xdr:nvSpPr>
      <xdr:spPr>
        <a:xfrm>
          <a:off x="9324975" y="381000"/>
          <a:ext cx="895350"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38100</xdr:rowOff>
    </xdr:from>
    <xdr:to>
      <xdr:col>11</xdr:col>
      <xdr:colOff>1114425</xdr:colOff>
      <xdr:row>4</xdr:row>
      <xdr:rowOff>171450</xdr:rowOff>
    </xdr:to>
    <xdr:sp>
      <xdr:nvSpPr>
        <xdr:cNvPr id="1" name="1 Rectángulo redondeado">
          <a:hlinkClick r:id="rId1"/>
        </xdr:cNvPr>
        <xdr:cNvSpPr>
          <a:spLocks/>
        </xdr:cNvSpPr>
      </xdr:nvSpPr>
      <xdr:spPr>
        <a:xfrm>
          <a:off x="9077325" y="266700"/>
          <a:ext cx="1333500"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47625</xdr:rowOff>
    </xdr:from>
    <xdr:to>
      <xdr:col>10</xdr:col>
      <xdr:colOff>657225</xdr:colOff>
      <xdr:row>3</xdr:row>
      <xdr:rowOff>180975</xdr:rowOff>
    </xdr:to>
    <xdr:sp>
      <xdr:nvSpPr>
        <xdr:cNvPr id="1" name="1 Rectángulo redondeado">
          <a:hlinkClick r:id="rId1"/>
        </xdr:cNvPr>
        <xdr:cNvSpPr>
          <a:spLocks/>
        </xdr:cNvSpPr>
      </xdr:nvSpPr>
      <xdr:spPr>
        <a:xfrm>
          <a:off x="8801100" y="276225"/>
          <a:ext cx="962025"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xdr:row>
      <xdr:rowOff>95250</xdr:rowOff>
    </xdr:from>
    <xdr:to>
      <xdr:col>11</xdr:col>
      <xdr:colOff>19050</xdr:colOff>
      <xdr:row>6</xdr:row>
      <xdr:rowOff>123825</xdr:rowOff>
    </xdr:to>
    <xdr:sp>
      <xdr:nvSpPr>
        <xdr:cNvPr id="1" name="2 Rectángulo redondeado">
          <a:hlinkClick r:id="rId1"/>
        </xdr:cNvPr>
        <xdr:cNvSpPr>
          <a:spLocks/>
        </xdr:cNvSpPr>
      </xdr:nvSpPr>
      <xdr:spPr>
        <a:xfrm>
          <a:off x="10496550" y="5715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133350</xdr:rowOff>
    </xdr:from>
    <xdr:to>
      <xdr:col>10</xdr:col>
      <xdr:colOff>561975</xdr:colOff>
      <xdr:row>6</xdr:row>
      <xdr:rowOff>152400</xdr:rowOff>
    </xdr:to>
    <xdr:sp>
      <xdr:nvSpPr>
        <xdr:cNvPr id="1" name="2 Rectángulo redondeado">
          <a:hlinkClick r:id="rId1"/>
        </xdr:cNvPr>
        <xdr:cNvSpPr>
          <a:spLocks/>
        </xdr:cNvSpPr>
      </xdr:nvSpPr>
      <xdr:spPr>
        <a:xfrm>
          <a:off x="11906250" y="60960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200025</xdr:colOff>
      <xdr:row>6</xdr:row>
      <xdr:rowOff>142875</xdr:rowOff>
    </xdr:to>
    <xdr:sp>
      <xdr:nvSpPr>
        <xdr:cNvPr id="1" name="2 Rectángulo redondeado">
          <a:hlinkClick r:id="rId1"/>
        </xdr:cNvPr>
        <xdr:cNvSpPr>
          <a:spLocks/>
        </xdr:cNvSpPr>
      </xdr:nvSpPr>
      <xdr:spPr>
        <a:xfrm>
          <a:off x="10744200" y="5905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2</xdr:row>
      <xdr:rowOff>133350</xdr:rowOff>
    </xdr:from>
    <xdr:to>
      <xdr:col>10</xdr:col>
      <xdr:colOff>723900</xdr:colOff>
      <xdr:row>6</xdr:row>
      <xdr:rowOff>161925</xdr:rowOff>
    </xdr:to>
    <xdr:sp>
      <xdr:nvSpPr>
        <xdr:cNvPr id="1" name="2 Rectángulo redondeado">
          <a:hlinkClick r:id="rId1"/>
        </xdr:cNvPr>
        <xdr:cNvSpPr>
          <a:spLocks/>
        </xdr:cNvSpPr>
      </xdr:nvSpPr>
      <xdr:spPr>
        <a:xfrm>
          <a:off x="10506075" y="6096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2</xdr:row>
      <xdr:rowOff>152400</xdr:rowOff>
    </xdr:from>
    <xdr:to>
      <xdr:col>10</xdr:col>
      <xdr:colOff>619125</xdr:colOff>
      <xdr:row>6</xdr:row>
      <xdr:rowOff>180975</xdr:rowOff>
    </xdr:to>
    <xdr:sp>
      <xdr:nvSpPr>
        <xdr:cNvPr id="1" name="2 Rectángulo redondeado">
          <a:hlinkClick r:id="rId1"/>
        </xdr:cNvPr>
        <xdr:cNvSpPr>
          <a:spLocks/>
        </xdr:cNvSpPr>
      </xdr:nvSpPr>
      <xdr:spPr>
        <a:xfrm>
          <a:off x="10401300" y="6286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85725</xdr:rowOff>
    </xdr:from>
    <xdr:to>
      <xdr:col>11</xdr:col>
      <xdr:colOff>38100</xdr:colOff>
      <xdr:row>6</xdr:row>
      <xdr:rowOff>114300</xdr:rowOff>
    </xdr:to>
    <xdr:sp>
      <xdr:nvSpPr>
        <xdr:cNvPr id="1" name="2 Rectángulo redondeado">
          <a:hlinkClick r:id="rId1"/>
        </xdr:cNvPr>
        <xdr:cNvSpPr>
          <a:spLocks/>
        </xdr:cNvSpPr>
      </xdr:nvSpPr>
      <xdr:spPr>
        <a:xfrm>
          <a:off x="10582275" y="5619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2</xdr:row>
      <xdr:rowOff>19050</xdr:rowOff>
    </xdr:from>
    <xdr:to>
      <xdr:col>11</xdr:col>
      <xdr:colOff>57150</xdr:colOff>
      <xdr:row>6</xdr:row>
      <xdr:rowOff>47625</xdr:rowOff>
    </xdr:to>
    <xdr:sp>
      <xdr:nvSpPr>
        <xdr:cNvPr id="1" name="2 Rectángulo redondeado">
          <a:hlinkClick r:id="rId1"/>
        </xdr:cNvPr>
        <xdr:cNvSpPr>
          <a:spLocks/>
        </xdr:cNvSpPr>
      </xdr:nvSpPr>
      <xdr:spPr>
        <a:xfrm>
          <a:off x="10601325" y="4953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1000"/>
  <sheetViews>
    <sheetView showGridLines="0" zoomScale="80" zoomScaleNormal="80" zoomScalePageLayoutView="0" workbookViewId="0" topLeftCell="A151">
      <selection activeCell="D175" sqref="D175"/>
    </sheetView>
  </sheetViews>
  <sheetFormatPr defaultColWidth="11.421875" defaultRowHeight="15"/>
  <cols>
    <col min="2" max="2" width="6.421875" style="0" customWidth="1"/>
    <col min="3" max="3" width="104.28125" style="0" customWidth="1"/>
    <col min="4" max="4" width="54.421875" style="0" customWidth="1"/>
  </cols>
  <sheetData>
    <row r="1" spans="1:4" ht="15">
      <c r="A1" s="238"/>
      <c r="B1" s="238"/>
      <c r="C1" s="239"/>
      <c r="D1" s="239"/>
    </row>
    <row r="2" spans="1:4" ht="15">
      <c r="A2" s="238"/>
      <c r="B2" s="238" t="s">
        <v>13</v>
      </c>
      <c r="C2" s="239" t="s">
        <v>14</v>
      </c>
      <c r="D2" s="239" t="s">
        <v>15</v>
      </c>
    </row>
    <row r="3" spans="1:9" ht="19.5">
      <c r="A3" s="238"/>
      <c r="B3" s="238">
        <v>1</v>
      </c>
      <c r="C3" s="240">
        <v>7</v>
      </c>
      <c r="D3" s="240">
        <v>8</v>
      </c>
      <c r="I3" s="241" t="s">
        <v>0</v>
      </c>
    </row>
    <row r="4" spans="2:9" ht="19.5">
      <c r="B4">
        <v>2</v>
      </c>
      <c r="C4" s="242" t="s">
        <v>16</v>
      </c>
      <c r="D4" s="242" t="s">
        <v>17</v>
      </c>
      <c r="I4" s="241" t="s">
        <v>18</v>
      </c>
    </row>
    <row r="5" spans="2:9" ht="19.5">
      <c r="B5">
        <v>3</v>
      </c>
      <c r="C5" s="242" t="s">
        <v>19</v>
      </c>
      <c r="D5" s="242" t="s">
        <v>20</v>
      </c>
      <c r="I5" s="241" t="s">
        <v>21</v>
      </c>
    </row>
    <row r="6" spans="2:4" ht="15.75">
      <c r="B6">
        <v>4</v>
      </c>
      <c r="C6" s="242" t="s">
        <v>22</v>
      </c>
      <c r="D6" s="242" t="s">
        <v>23</v>
      </c>
    </row>
    <row r="7" spans="2:4" ht="15.75">
      <c r="B7">
        <v>5</v>
      </c>
      <c r="C7" s="242" t="s">
        <v>24</v>
      </c>
      <c r="D7" s="242" t="s">
        <v>25</v>
      </c>
    </row>
    <row r="8" spans="2:4" ht="15.75">
      <c r="B8">
        <v>6</v>
      </c>
      <c r="C8" s="242" t="s">
        <v>26</v>
      </c>
      <c r="D8" s="242" t="s">
        <v>27</v>
      </c>
    </row>
    <row r="9" spans="2:4" ht="15.75">
      <c r="B9">
        <v>7</v>
      </c>
      <c r="C9" s="242" t="s">
        <v>28</v>
      </c>
      <c r="D9" s="242" t="s">
        <v>29</v>
      </c>
    </row>
    <row r="10" spans="2:4" ht="15.75">
      <c r="B10">
        <v>8</v>
      </c>
      <c r="C10" s="242" t="s">
        <v>30</v>
      </c>
      <c r="D10" s="242" t="s">
        <v>31</v>
      </c>
    </row>
    <row r="11" spans="2:4" ht="15.75">
      <c r="B11">
        <v>9</v>
      </c>
      <c r="C11" s="242" t="s">
        <v>32</v>
      </c>
      <c r="D11" s="242" t="s">
        <v>32</v>
      </c>
    </row>
    <row r="12" spans="2:4" ht="15.75">
      <c r="B12">
        <v>10</v>
      </c>
      <c r="C12" s="243" t="s">
        <v>33</v>
      </c>
      <c r="D12" s="243" t="s">
        <v>34</v>
      </c>
    </row>
    <row r="13" spans="2:4" ht="15.75">
      <c r="B13">
        <v>11</v>
      </c>
      <c r="C13" s="243" t="s">
        <v>35</v>
      </c>
      <c r="D13" s="243" t="s">
        <v>36</v>
      </c>
    </row>
    <row r="14" spans="2:4" ht="15.75">
      <c r="B14">
        <v>12</v>
      </c>
      <c r="C14" s="243" t="s">
        <v>37</v>
      </c>
      <c r="D14" s="243" t="s">
        <v>38</v>
      </c>
    </row>
    <row r="15" spans="2:4" ht="15.75">
      <c r="B15">
        <v>13</v>
      </c>
      <c r="C15" s="243" t="s">
        <v>39</v>
      </c>
      <c r="D15" s="243" t="s">
        <v>40</v>
      </c>
    </row>
    <row r="16" spans="2:4" ht="15.75">
      <c r="B16">
        <v>14</v>
      </c>
      <c r="C16" s="243" t="s">
        <v>8</v>
      </c>
      <c r="D16" s="243" t="s">
        <v>8</v>
      </c>
    </row>
    <row r="17" spans="2:4" ht="15.75">
      <c r="B17">
        <v>15</v>
      </c>
      <c r="C17" s="243" t="s">
        <v>9</v>
      </c>
      <c r="D17" s="243" t="s">
        <v>9</v>
      </c>
    </row>
    <row r="18" spans="2:4" ht="15.75">
      <c r="B18">
        <v>16</v>
      </c>
      <c r="C18" s="243" t="s">
        <v>10</v>
      </c>
      <c r="D18" s="243" t="s">
        <v>10</v>
      </c>
    </row>
    <row r="19" spans="2:4" ht="15.75">
      <c r="B19">
        <v>17</v>
      </c>
      <c r="C19" s="243" t="s">
        <v>11</v>
      </c>
      <c r="D19" s="243" t="s">
        <v>41</v>
      </c>
    </row>
    <row r="20" spans="2:4" ht="15.75">
      <c r="B20">
        <v>18</v>
      </c>
      <c r="C20" s="243" t="s">
        <v>42</v>
      </c>
      <c r="D20" s="243" t="s">
        <v>43</v>
      </c>
    </row>
    <row r="21" spans="2:4" ht="15.75">
      <c r="B21">
        <v>19</v>
      </c>
      <c r="C21" s="243" t="s">
        <v>44</v>
      </c>
      <c r="D21" s="243" t="s">
        <v>45</v>
      </c>
    </row>
    <row r="22" spans="2:4" ht="15.75">
      <c r="B22">
        <v>20</v>
      </c>
      <c r="C22" s="243" t="s">
        <v>46</v>
      </c>
      <c r="D22" s="243" t="s">
        <v>47</v>
      </c>
    </row>
    <row r="23" spans="2:4" ht="15.75">
      <c r="B23">
        <v>21</v>
      </c>
      <c r="C23" s="243" t="s">
        <v>48</v>
      </c>
      <c r="D23" s="243" t="s">
        <v>48</v>
      </c>
    </row>
    <row r="24" spans="2:4" ht="15.75">
      <c r="B24">
        <v>22</v>
      </c>
      <c r="C24" s="243" t="s">
        <v>49</v>
      </c>
      <c r="D24" s="243" t="s">
        <v>50</v>
      </c>
    </row>
    <row r="25" spans="2:4" ht="15.75">
      <c r="B25">
        <v>23</v>
      </c>
      <c r="C25" s="243" t="s">
        <v>51</v>
      </c>
      <c r="D25" s="243" t="s">
        <v>52</v>
      </c>
    </row>
    <row r="26" spans="2:4" ht="15.75">
      <c r="B26">
        <v>24</v>
      </c>
      <c r="C26" s="243" t="s">
        <v>53</v>
      </c>
      <c r="D26" s="243" t="s">
        <v>54</v>
      </c>
    </row>
    <row r="27" spans="2:4" ht="15.75">
      <c r="B27">
        <v>25</v>
      </c>
      <c r="C27" s="243" t="s">
        <v>55</v>
      </c>
      <c r="D27" s="243" t="s">
        <v>56</v>
      </c>
    </row>
    <row r="28" spans="2:4" ht="15.75">
      <c r="B28">
        <v>26</v>
      </c>
      <c r="C28" s="243" t="s">
        <v>57</v>
      </c>
      <c r="D28" s="243" t="s">
        <v>58</v>
      </c>
    </row>
    <row r="29" spans="2:4" ht="15.75">
      <c r="B29">
        <v>27</v>
      </c>
      <c r="C29" s="243" t="s">
        <v>59</v>
      </c>
      <c r="D29" s="243" t="s">
        <v>60</v>
      </c>
    </row>
    <row r="30" spans="2:4" ht="15.75">
      <c r="B30">
        <v>28</v>
      </c>
      <c r="C30" s="243" t="s">
        <v>61</v>
      </c>
      <c r="D30" s="243" t="s">
        <v>62</v>
      </c>
    </row>
    <row r="31" spans="2:4" ht="15.75">
      <c r="B31">
        <v>29</v>
      </c>
      <c r="C31" s="243" t="s">
        <v>63</v>
      </c>
      <c r="D31" s="243" t="s">
        <v>64</v>
      </c>
    </row>
    <row r="32" spans="2:4" ht="15.75">
      <c r="B32">
        <v>30</v>
      </c>
      <c r="C32" s="243" t="s">
        <v>65</v>
      </c>
      <c r="D32" s="243" t="s">
        <v>66</v>
      </c>
    </row>
    <row r="33" spans="2:4" ht="15.75">
      <c r="B33">
        <v>31</v>
      </c>
      <c r="C33" s="243" t="s">
        <v>67</v>
      </c>
      <c r="D33" t="s">
        <v>68</v>
      </c>
    </row>
    <row r="34" spans="2:4" ht="15.75">
      <c r="B34">
        <v>32</v>
      </c>
      <c r="C34" s="243" t="s">
        <v>69</v>
      </c>
      <c r="D34" t="s">
        <v>70</v>
      </c>
    </row>
    <row r="35" spans="2:4" ht="15.75">
      <c r="B35">
        <v>33</v>
      </c>
      <c r="C35" s="243" t="s">
        <v>71</v>
      </c>
      <c r="D35" t="s">
        <v>72</v>
      </c>
    </row>
    <row r="36" spans="2:4" ht="15.75">
      <c r="B36">
        <v>34</v>
      </c>
      <c r="C36" s="243" t="s">
        <v>73</v>
      </c>
      <c r="D36" t="s">
        <v>74</v>
      </c>
    </row>
    <row r="37" spans="2:4" ht="15.75">
      <c r="B37">
        <v>35</v>
      </c>
      <c r="C37" s="243" t="s">
        <v>75</v>
      </c>
      <c r="D37" t="s">
        <v>76</v>
      </c>
    </row>
    <row r="38" spans="2:4" ht="15.75">
      <c r="B38">
        <v>36</v>
      </c>
      <c r="C38" s="243" t="s">
        <v>77</v>
      </c>
      <c r="D38" t="s">
        <v>78</v>
      </c>
    </row>
    <row r="39" spans="2:4" ht="15.75">
      <c r="B39">
        <v>37</v>
      </c>
      <c r="C39" s="243" t="s">
        <v>79</v>
      </c>
      <c r="D39" t="s">
        <v>80</v>
      </c>
    </row>
    <row r="40" spans="2:4" ht="15.75">
      <c r="B40">
        <v>38</v>
      </c>
      <c r="C40" s="243" t="s">
        <v>81</v>
      </c>
      <c r="D40" t="s">
        <v>82</v>
      </c>
    </row>
    <row r="41" spans="2:4" ht="15.75">
      <c r="B41">
        <v>39</v>
      </c>
      <c r="C41" s="243" t="s">
        <v>83</v>
      </c>
      <c r="D41" t="s">
        <v>84</v>
      </c>
    </row>
    <row r="42" spans="2:4" ht="15.75">
      <c r="B42">
        <v>40</v>
      </c>
      <c r="C42" s="243" t="s">
        <v>85</v>
      </c>
      <c r="D42" t="s">
        <v>86</v>
      </c>
    </row>
    <row r="43" spans="2:4" ht="15.75">
      <c r="B43">
        <v>41</v>
      </c>
      <c r="C43" s="243" t="s">
        <v>87</v>
      </c>
      <c r="D43" t="s">
        <v>88</v>
      </c>
    </row>
    <row r="44" spans="2:4" ht="15.75">
      <c r="B44">
        <v>42</v>
      </c>
      <c r="C44" s="243" t="s">
        <v>89</v>
      </c>
      <c r="D44" t="s">
        <v>90</v>
      </c>
    </row>
    <row r="45" spans="2:4" ht="15.75">
      <c r="B45">
        <v>43</v>
      </c>
      <c r="C45" s="243" t="s">
        <v>91</v>
      </c>
      <c r="D45" t="s">
        <v>92</v>
      </c>
    </row>
    <row r="46" spans="2:4" ht="15.75">
      <c r="B46">
        <v>44</v>
      </c>
      <c r="C46" s="243" t="s">
        <v>93</v>
      </c>
      <c r="D46" t="s">
        <v>94</v>
      </c>
    </row>
    <row r="47" spans="2:4" ht="15.75">
      <c r="B47">
        <v>45</v>
      </c>
      <c r="C47" s="243" t="s">
        <v>95</v>
      </c>
      <c r="D47" t="s">
        <v>96</v>
      </c>
    </row>
    <row r="48" spans="2:4" ht="15.75">
      <c r="B48">
        <v>46</v>
      </c>
      <c r="C48" s="243" t="s">
        <v>97</v>
      </c>
      <c r="D48" t="s">
        <v>98</v>
      </c>
    </row>
    <row r="49" spans="2:4" ht="15.75">
      <c r="B49">
        <v>47</v>
      </c>
      <c r="C49" s="243" t="s">
        <v>99</v>
      </c>
      <c r="D49" t="s">
        <v>100</v>
      </c>
    </row>
    <row r="50" spans="2:4" ht="15.75">
      <c r="B50">
        <v>48</v>
      </c>
      <c r="C50" s="243" t="s">
        <v>101</v>
      </c>
      <c r="D50" t="s">
        <v>102</v>
      </c>
    </row>
    <row r="51" spans="2:4" ht="15.75">
      <c r="B51">
        <v>49</v>
      </c>
      <c r="C51" s="243" t="s">
        <v>103</v>
      </c>
      <c r="D51" t="s">
        <v>104</v>
      </c>
    </row>
    <row r="52" spans="2:4" ht="15.75">
      <c r="B52">
        <v>50</v>
      </c>
      <c r="C52" s="243" t="s">
        <v>105</v>
      </c>
      <c r="D52" t="s">
        <v>106</v>
      </c>
    </row>
    <row r="53" spans="2:4" ht="15.75">
      <c r="B53">
        <v>51</v>
      </c>
      <c r="C53" s="243" t="s">
        <v>107</v>
      </c>
      <c r="D53" t="s">
        <v>108</v>
      </c>
    </row>
    <row r="54" spans="2:4" ht="15.75">
      <c r="B54">
        <v>52</v>
      </c>
      <c r="C54" s="243" t="s">
        <v>109</v>
      </c>
      <c r="D54" t="s">
        <v>110</v>
      </c>
    </row>
    <row r="55" spans="2:4" ht="15.75">
      <c r="B55">
        <v>53</v>
      </c>
      <c r="C55" s="243" t="s">
        <v>111</v>
      </c>
      <c r="D55" t="s">
        <v>112</v>
      </c>
    </row>
    <row r="56" spans="2:4" ht="15.75">
      <c r="B56">
        <v>54</v>
      </c>
      <c r="C56" s="243" t="s">
        <v>113</v>
      </c>
      <c r="D56" t="s">
        <v>114</v>
      </c>
    </row>
    <row r="57" spans="2:4" ht="15.75">
      <c r="B57">
        <v>55</v>
      </c>
      <c r="C57" s="243" t="s">
        <v>115</v>
      </c>
      <c r="D57" t="s">
        <v>116</v>
      </c>
    </row>
    <row r="58" spans="2:4" ht="15.75">
      <c r="B58">
        <v>56</v>
      </c>
      <c r="C58" s="243" t="s">
        <v>117</v>
      </c>
      <c r="D58" t="s">
        <v>118</v>
      </c>
    </row>
    <row r="59" spans="2:4" ht="15.75">
      <c r="B59">
        <v>57</v>
      </c>
      <c r="C59" s="243" t="s">
        <v>119</v>
      </c>
      <c r="D59" t="s">
        <v>120</v>
      </c>
    </row>
    <row r="60" spans="2:4" ht="15.75">
      <c r="B60">
        <v>58</v>
      </c>
      <c r="C60" s="243" t="s">
        <v>121</v>
      </c>
      <c r="D60" t="s">
        <v>122</v>
      </c>
    </row>
    <row r="61" spans="2:4" ht="15.75">
      <c r="B61">
        <v>59</v>
      </c>
      <c r="C61" s="243" t="s">
        <v>123</v>
      </c>
      <c r="D61" t="s">
        <v>124</v>
      </c>
    </row>
    <row r="62" spans="2:4" ht="15.75">
      <c r="B62">
        <v>60</v>
      </c>
      <c r="C62" s="243" t="s">
        <v>125</v>
      </c>
      <c r="D62" t="s">
        <v>126</v>
      </c>
    </row>
    <row r="63" spans="2:4" ht="15.75">
      <c r="B63">
        <v>61</v>
      </c>
      <c r="C63" s="243" t="s">
        <v>127</v>
      </c>
      <c r="D63" t="s">
        <v>128</v>
      </c>
    </row>
    <row r="64" spans="2:4" ht="15.75">
      <c r="B64">
        <v>62</v>
      </c>
      <c r="C64" s="243" t="s">
        <v>129</v>
      </c>
      <c r="D64" t="s">
        <v>130</v>
      </c>
    </row>
    <row r="65" spans="2:4" ht="15.75">
      <c r="B65">
        <v>63</v>
      </c>
      <c r="C65" s="243" t="s">
        <v>131</v>
      </c>
      <c r="D65" t="s">
        <v>132</v>
      </c>
    </row>
    <row r="66" spans="2:4" ht="15.75">
      <c r="B66">
        <v>64</v>
      </c>
      <c r="C66" s="243" t="s">
        <v>133</v>
      </c>
      <c r="D66" t="s">
        <v>134</v>
      </c>
    </row>
    <row r="67" spans="2:4" ht="15.75">
      <c r="B67">
        <v>65</v>
      </c>
      <c r="C67" s="243" t="s">
        <v>135</v>
      </c>
      <c r="D67" t="s">
        <v>136</v>
      </c>
    </row>
    <row r="68" spans="2:4" ht="15.75">
      <c r="B68">
        <v>66</v>
      </c>
      <c r="C68" s="243" t="s">
        <v>137</v>
      </c>
      <c r="D68" s="61" t="s">
        <v>138</v>
      </c>
    </row>
    <row r="69" spans="2:4" ht="15.75">
      <c r="B69">
        <v>67</v>
      </c>
      <c r="C69" s="243" t="s">
        <v>139</v>
      </c>
      <c r="D69" s="61" t="s">
        <v>140</v>
      </c>
    </row>
    <row r="70" spans="2:4" ht="15.75">
      <c r="B70">
        <v>68</v>
      </c>
      <c r="C70" s="243" t="s">
        <v>141</v>
      </c>
      <c r="D70" s="61" t="s">
        <v>142</v>
      </c>
    </row>
    <row r="71" spans="2:4" ht="15.75">
      <c r="B71">
        <v>69</v>
      </c>
      <c r="C71" s="243" t="s">
        <v>143</v>
      </c>
      <c r="D71" s="61" t="s">
        <v>144</v>
      </c>
    </row>
    <row r="72" spans="2:4" ht="15.75">
      <c r="B72">
        <v>70</v>
      </c>
      <c r="C72" s="243" t="s">
        <v>145</v>
      </c>
      <c r="D72" s="61" t="s">
        <v>146</v>
      </c>
    </row>
    <row r="73" spans="2:4" ht="15.75">
      <c r="B73">
        <v>71</v>
      </c>
      <c r="C73" s="243" t="s">
        <v>147</v>
      </c>
      <c r="D73" s="244" t="s">
        <v>148</v>
      </c>
    </row>
    <row r="74" spans="2:4" ht="15.75">
      <c r="B74">
        <v>72</v>
      </c>
      <c r="C74" s="243" t="s">
        <v>149</v>
      </c>
      <c r="D74" s="244"/>
    </row>
    <row r="75" spans="2:4" ht="15.75">
      <c r="B75">
        <v>73</v>
      </c>
      <c r="C75" s="243" t="s">
        <v>150</v>
      </c>
      <c r="D75" s="169" t="s">
        <v>151</v>
      </c>
    </row>
    <row r="76" spans="2:4" ht="15.75">
      <c r="B76">
        <v>74</v>
      </c>
      <c r="C76" s="243" t="s">
        <v>152</v>
      </c>
      <c r="D76" s="169" t="s">
        <v>153</v>
      </c>
    </row>
    <row r="77" spans="2:4" ht="15.75">
      <c r="B77">
        <v>75</v>
      </c>
      <c r="C77" s="243" t="s">
        <v>154</v>
      </c>
      <c r="D77" s="169" t="s">
        <v>155</v>
      </c>
    </row>
    <row r="78" spans="2:4" ht="15.75">
      <c r="B78">
        <v>76</v>
      </c>
      <c r="C78" s="243" t="s">
        <v>156</v>
      </c>
      <c r="D78" s="169" t="s">
        <v>157</v>
      </c>
    </row>
    <row r="79" spans="2:4" ht="15.75">
      <c r="B79">
        <v>77</v>
      </c>
      <c r="C79" s="243" t="s">
        <v>158</v>
      </c>
      <c r="D79" s="169" t="s">
        <v>159</v>
      </c>
    </row>
    <row r="80" spans="2:4" ht="15.75">
      <c r="B80">
        <v>78</v>
      </c>
      <c r="C80" s="243" t="s">
        <v>160</v>
      </c>
      <c r="D80" s="169" t="s">
        <v>161</v>
      </c>
    </row>
    <row r="81" spans="2:4" ht="15.75">
      <c r="B81">
        <v>79</v>
      </c>
      <c r="C81" s="243" t="s">
        <v>162</v>
      </c>
      <c r="D81" s="169" t="s">
        <v>163</v>
      </c>
    </row>
    <row r="82" spans="2:4" ht="15.75">
      <c r="B82">
        <v>80</v>
      </c>
      <c r="C82" s="243" t="s">
        <v>164</v>
      </c>
      <c r="D82" s="169" t="s">
        <v>164</v>
      </c>
    </row>
    <row r="83" spans="2:4" ht="15.75">
      <c r="B83">
        <v>81</v>
      </c>
      <c r="C83" s="243" t="s">
        <v>165</v>
      </c>
      <c r="D83" s="169" t="s">
        <v>166</v>
      </c>
    </row>
    <row r="84" spans="2:4" ht="15">
      <c r="B84">
        <v>82</v>
      </c>
      <c r="C84" t="s">
        <v>167</v>
      </c>
      <c r="D84" t="s">
        <v>168</v>
      </c>
    </row>
    <row r="85" spans="2:4" ht="15">
      <c r="B85">
        <v>83</v>
      </c>
      <c r="C85" t="s">
        <v>169</v>
      </c>
      <c r="D85" t="s">
        <v>170</v>
      </c>
    </row>
    <row r="86" spans="2:4" ht="15.75">
      <c r="B86">
        <v>84</v>
      </c>
      <c r="C86" s="243" t="s">
        <v>171</v>
      </c>
      <c r="D86" t="s">
        <v>172</v>
      </c>
    </row>
    <row r="87" spans="2:4" ht="15">
      <c r="B87">
        <v>85</v>
      </c>
      <c r="C87" t="s">
        <v>173</v>
      </c>
      <c r="D87" t="s">
        <v>174</v>
      </c>
    </row>
    <row r="88" spans="2:4" ht="15">
      <c r="B88">
        <v>86</v>
      </c>
      <c r="C88" t="s">
        <v>175</v>
      </c>
      <c r="D88" t="s">
        <v>176</v>
      </c>
    </row>
    <row r="89" spans="2:4" ht="15">
      <c r="B89">
        <v>87</v>
      </c>
      <c r="C89" t="s">
        <v>422</v>
      </c>
      <c r="D89" t="s">
        <v>423</v>
      </c>
    </row>
    <row r="90" spans="2:4" ht="15">
      <c r="B90">
        <v>88</v>
      </c>
      <c r="C90" t="s">
        <v>61</v>
      </c>
      <c r="D90" t="s">
        <v>62</v>
      </c>
    </row>
    <row r="91" spans="2:4" ht="15">
      <c r="B91">
        <v>89</v>
      </c>
      <c r="C91" s="245" t="s">
        <v>177</v>
      </c>
      <c r="D91" t="s">
        <v>178</v>
      </c>
    </row>
    <row r="92" spans="2:4" ht="15">
      <c r="B92">
        <v>90</v>
      </c>
      <c r="C92" t="s">
        <v>179</v>
      </c>
      <c r="D92" t="s">
        <v>179</v>
      </c>
    </row>
    <row r="93" spans="2:4" ht="15">
      <c r="B93">
        <v>91</v>
      </c>
      <c r="C93" t="s">
        <v>180</v>
      </c>
      <c r="D93" t="s">
        <v>181</v>
      </c>
    </row>
    <row r="94" spans="2:4" ht="15">
      <c r="B94">
        <v>92</v>
      </c>
      <c r="C94" t="s">
        <v>1</v>
      </c>
      <c r="D94" t="s">
        <v>182</v>
      </c>
    </row>
    <row r="95" spans="2:4" ht="15">
      <c r="B95">
        <v>93</v>
      </c>
      <c r="C95" t="s">
        <v>2</v>
      </c>
      <c r="D95" t="s">
        <v>183</v>
      </c>
    </row>
    <row r="96" spans="2:4" ht="15">
      <c r="B96">
        <v>94</v>
      </c>
      <c r="C96" t="s">
        <v>3</v>
      </c>
      <c r="D96" t="s">
        <v>184</v>
      </c>
    </row>
    <row r="97" spans="2:4" ht="15">
      <c r="B97">
        <v>95</v>
      </c>
      <c r="C97" t="s">
        <v>4</v>
      </c>
      <c r="D97" t="s">
        <v>185</v>
      </c>
    </row>
    <row r="98" spans="2:4" ht="15">
      <c r="B98">
        <v>96</v>
      </c>
      <c r="C98" s="246" t="s">
        <v>186</v>
      </c>
      <c r="D98" s="246" t="s">
        <v>187</v>
      </c>
    </row>
    <row r="99" spans="2:4" ht="15">
      <c r="B99">
        <v>97</v>
      </c>
      <c r="C99" s="246" t="s">
        <v>188</v>
      </c>
      <c r="D99" s="246" t="s">
        <v>189</v>
      </c>
    </row>
    <row r="100" spans="2:4" ht="15">
      <c r="B100">
        <v>98</v>
      </c>
      <c r="C100" s="246" t="s">
        <v>190</v>
      </c>
      <c r="D100" s="246" t="s">
        <v>191</v>
      </c>
    </row>
    <row r="101" spans="2:4" ht="15">
      <c r="B101">
        <v>99</v>
      </c>
      <c r="C101" s="246" t="s">
        <v>192</v>
      </c>
      <c r="D101" t="s">
        <v>193</v>
      </c>
    </row>
    <row r="102" spans="2:4" ht="15">
      <c r="B102">
        <v>100</v>
      </c>
      <c r="C102" s="246" t="s">
        <v>362</v>
      </c>
      <c r="D102" t="s">
        <v>363</v>
      </c>
    </row>
    <row r="103" spans="2:4" ht="15">
      <c r="B103">
        <v>101</v>
      </c>
      <c r="C103" t="s">
        <v>194</v>
      </c>
      <c r="D103" t="s">
        <v>195</v>
      </c>
    </row>
    <row r="104" spans="2:4" ht="15" customHeight="1">
      <c r="B104">
        <v>102</v>
      </c>
      <c r="C104" t="s">
        <v>196</v>
      </c>
      <c r="D104" t="s">
        <v>197</v>
      </c>
    </row>
    <row r="105" spans="2:4" ht="15">
      <c r="B105">
        <v>103</v>
      </c>
      <c r="C105" t="s">
        <v>198</v>
      </c>
      <c r="D105" t="s">
        <v>199</v>
      </c>
    </row>
    <row r="106" spans="2:4" ht="15">
      <c r="B106">
        <v>104</v>
      </c>
      <c r="C106" t="s">
        <v>200</v>
      </c>
      <c r="D106" t="s">
        <v>201</v>
      </c>
    </row>
    <row r="107" spans="2:4" ht="15">
      <c r="B107">
        <v>105</v>
      </c>
      <c r="C107" s="221" t="s">
        <v>202</v>
      </c>
      <c r="D107" t="s">
        <v>203</v>
      </c>
    </row>
    <row r="108" spans="2:4" ht="15">
      <c r="B108">
        <v>106</v>
      </c>
      <c r="C108" s="221" t="s">
        <v>204</v>
      </c>
      <c r="D108" t="s">
        <v>205</v>
      </c>
    </row>
    <row r="109" spans="2:4" ht="15">
      <c r="B109">
        <v>107</v>
      </c>
      <c r="C109" t="s">
        <v>206</v>
      </c>
      <c r="D109" t="s">
        <v>207</v>
      </c>
    </row>
    <row r="110" spans="2:4" ht="15">
      <c r="B110">
        <v>108</v>
      </c>
      <c r="C110" s="221" t="s">
        <v>208</v>
      </c>
      <c r="D110" t="s">
        <v>209</v>
      </c>
    </row>
    <row r="111" spans="2:4" ht="15">
      <c r="B111">
        <v>109</v>
      </c>
      <c r="C111" s="221" t="s">
        <v>210</v>
      </c>
      <c r="D111" t="s">
        <v>211</v>
      </c>
    </row>
    <row r="112" spans="2:4" ht="15">
      <c r="B112">
        <v>110</v>
      </c>
      <c r="C112" s="221" t="s">
        <v>212</v>
      </c>
      <c r="D112" t="s">
        <v>213</v>
      </c>
    </row>
    <row r="113" spans="2:4" ht="15">
      <c r="B113">
        <v>111</v>
      </c>
      <c r="C113" s="221" t="s">
        <v>12</v>
      </c>
      <c r="D113" t="s">
        <v>214</v>
      </c>
    </row>
    <row r="114" spans="2:4" ht="15">
      <c r="B114">
        <v>112</v>
      </c>
      <c r="C114" s="223" t="s">
        <v>215</v>
      </c>
      <c r="D114" t="s">
        <v>216</v>
      </c>
    </row>
    <row r="115" spans="2:4" ht="15">
      <c r="B115">
        <v>113</v>
      </c>
      <c r="C115" s="223" t="s">
        <v>63</v>
      </c>
      <c r="D115" t="s">
        <v>64</v>
      </c>
    </row>
    <row r="116" spans="2:4" ht="15">
      <c r="B116">
        <v>114</v>
      </c>
      <c r="C116" s="221" t="s">
        <v>217</v>
      </c>
      <c r="D116" t="s">
        <v>218</v>
      </c>
    </row>
    <row r="117" spans="2:4" ht="15">
      <c r="B117">
        <v>115</v>
      </c>
      <c r="C117" s="221" t="s">
        <v>219</v>
      </c>
      <c r="D117" t="s">
        <v>220</v>
      </c>
    </row>
    <row r="118" spans="2:4" ht="15">
      <c r="B118">
        <v>116</v>
      </c>
      <c r="C118" s="221" t="s">
        <v>221</v>
      </c>
      <c r="D118" t="s">
        <v>222</v>
      </c>
    </row>
    <row r="119" spans="2:4" ht="15.75">
      <c r="B119">
        <v>117</v>
      </c>
      <c r="C119" s="243"/>
      <c r="D119" s="61"/>
    </row>
    <row r="120" spans="2:4" ht="15.75">
      <c r="B120">
        <v>118</v>
      </c>
      <c r="C120" s="216" t="s">
        <v>223</v>
      </c>
      <c r="D120" t="s">
        <v>224</v>
      </c>
    </row>
    <row r="121" spans="2:3" ht="15">
      <c r="B121">
        <v>119</v>
      </c>
      <c r="C121" s="234" t="s">
        <v>225</v>
      </c>
    </row>
    <row r="122" spans="2:4" ht="18">
      <c r="B122">
        <v>120</v>
      </c>
      <c r="C122" s="212" t="s">
        <v>65</v>
      </c>
      <c r="D122" t="s">
        <v>66</v>
      </c>
    </row>
    <row r="123" spans="2:4" ht="15">
      <c r="B123">
        <v>121</v>
      </c>
      <c r="C123" t="s">
        <v>226</v>
      </c>
      <c r="D123" t="s">
        <v>227</v>
      </c>
    </row>
    <row r="124" spans="2:4" ht="15">
      <c r="B124">
        <v>122</v>
      </c>
      <c r="C124" t="s">
        <v>228</v>
      </c>
      <c r="D124" t="s">
        <v>227</v>
      </c>
    </row>
    <row r="125" spans="2:4" ht="15">
      <c r="B125">
        <v>123</v>
      </c>
      <c r="C125" t="s">
        <v>229</v>
      </c>
      <c r="D125" t="s">
        <v>230</v>
      </c>
    </row>
    <row r="126" spans="2:4" ht="15">
      <c r="B126">
        <v>124</v>
      </c>
      <c r="C126" t="s">
        <v>231</v>
      </c>
      <c r="D126" t="s">
        <v>232</v>
      </c>
    </row>
    <row r="127" spans="2:4" ht="15">
      <c r="B127">
        <v>125</v>
      </c>
      <c r="C127" t="s">
        <v>233</v>
      </c>
      <c r="D127" t="s">
        <v>234</v>
      </c>
    </row>
    <row r="128" spans="2:4" ht="15">
      <c r="B128">
        <v>126</v>
      </c>
      <c r="C128" t="s">
        <v>235</v>
      </c>
      <c r="D128" t="s">
        <v>235</v>
      </c>
    </row>
    <row r="129" spans="2:4" ht="15">
      <c r="B129">
        <v>127</v>
      </c>
      <c r="C129" t="s">
        <v>236</v>
      </c>
      <c r="D129" t="s">
        <v>236</v>
      </c>
    </row>
    <row r="130" spans="2:4" ht="15">
      <c r="B130">
        <v>128</v>
      </c>
      <c r="C130" t="s">
        <v>237</v>
      </c>
      <c r="D130" t="s">
        <v>237</v>
      </c>
    </row>
    <row r="131" spans="2:4" ht="15">
      <c r="B131">
        <v>129</v>
      </c>
      <c r="C131" t="s">
        <v>238</v>
      </c>
      <c r="D131" t="s">
        <v>238</v>
      </c>
    </row>
    <row r="132" spans="2:4" ht="15">
      <c r="B132">
        <v>130</v>
      </c>
      <c r="C132" t="s">
        <v>239</v>
      </c>
      <c r="D132" t="s">
        <v>239</v>
      </c>
    </row>
    <row r="133" spans="2:4" ht="15">
      <c r="B133">
        <v>131</v>
      </c>
      <c r="C133" s="43" t="s">
        <v>240</v>
      </c>
      <c r="D133" t="s">
        <v>241</v>
      </c>
    </row>
    <row r="134" spans="2:4" ht="15">
      <c r="B134">
        <v>132</v>
      </c>
      <c r="C134" s="43" t="s">
        <v>242</v>
      </c>
      <c r="D134" t="s">
        <v>243</v>
      </c>
    </row>
    <row r="135" spans="2:4" ht="15">
      <c r="B135">
        <v>133</v>
      </c>
      <c r="C135" s="43" t="s">
        <v>244</v>
      </c>
      <c r="D135" t="s">
        <v>245</v>
      </c>
    </row>
    <row r="136" spans="2:4" ht="15">
      <c r="B136">
        <v>134</v>
      </c>
      <c r="C136" s="43" t="s">
        <v>246</v>
      </c>
      <c r="D136" t="s">
        <v>247</v>
      </c>
    </row>
    <row r="137" spans="2:4" ht="15">
      <c r="B137">
        <v>135</v>
      </c>
      <c r="C137" s="43" t="s">
        <v>113</v>
      </c>
      <c r="D137" t="s">
        <v>114</v>
      </c>
    </row>
    <row r="138" spans="2:4" ht="15">
      <c r="B138">
        <v>136</v>
      </c>
      <c r="C138" s="43" t="s">
        <v>248</v>
      </c>
      <c r="D138" t="s">
        <v>249</v>
      </c>
    </row>
    <row r="139" spans="2:4" ht="15">
      <c r="B139">
        <v>137</v>
      </c>
      <c r="C139" s="43" t="s">
        <v>250</v>
      </c>
      <c r="D139" t="s">
        <v>251</v>
      </c>
    </row>
    <row r="140" spans="2:4" ht="15">
      <c r="B140">
        <v>138</v>
      </c>
      <c r="C140" s="43" t="s">
        <v>252</v>
      </c>
      <c r="D140" t="s">
        <v>253</v>
      </c>
    </row>
    <row r="141" spans="2:4" ht="15">
      <c r="B141">
        <v>139</v>
      </c>
      <c r="C141" s="43" t="s">
        <v>254</v>
      </c>
      <c r="D141" t="s">
        <v>255</v>
      </c>
    </row>
    <row r="142" spans="2:4" ht="15">
      <c r="B142">
        <v>140</v>
      </c>
      <c r="C142" s="43" t="s">
        <v>256</v>
      </c>
      <c r="D142" t="s">
        <v>257</v>
      </c>
    </row>
    <row r="143" spans="2:4" ht="15">
      <c r="B143">
        <v>141</v>
      </c>
      <c r="C143" s="43" t="s">
        <v>258</v>
      </c>
      <c r="D143" s="61" t="s">
        <v>259</v>
      </c>
    </row>
    <row r="144" spans="2:4" ht="15">
      <c r="B144">
        <v>142</v>
      </c>
      <c r="C144" s="61" t="s">
        <v>260</v>
      </c>
      <c r="D144" s="61" t="s">
        <v>261</v>
      </c>
    </row>
    <row r="145" spans="2:4" ht="15">
      <c r="B145">
        <v>143</v>
      </c>
      <c r="C145" s="61" t="s">
        <v>262</v>
      </c>
      <c r="D145" t="s">
        <v>263</v>
      </c>
    </row>
    <row r="146" spans="2:4" ht="15">
      <c r="B146">
        <v>144</v>
      </c>
      <c r="C146" s="43" t="s">
        <v>264</v>
      </c>
      <c r="D146" t="s">
        <v>265</v>
      </c>
    </row>
    <row r="147" spans="2:4" ht="15">
      <c r="B147">
        <v>145</v>
      </c>
      <c r="C147" s="43" t="s">
        <v>266</v>
      </c>
      <c r="D147" t="s">
        <v>267</v>
      </c>
    </row>
    <row r="148" spans="2:4" ht="15">
      <c r="B148">
        <v>146</v>
      </c>
      <c r="C148" s="109" t="s">
        <v>268</v>
      </c>
      <c r="D148" t="s">
        <v>269</v>
      </c>
    </row>
    <row r="149" spans="2:4" ht="15">
      <c r="B149">
        <v>147</v>
      </c>
      <c r="C149" s="61" t="s">
        <v>270</v>
      </c>
      <c r="D149" t="s">
        <v>104</v>
      </c>
    </row>
    <row r="150" spans="2:4" ht="15">
      <c r="B150">
        <v>148</v>
      </c>
      <c r="C150" s="61" t="s">
        <v>271</v>
      </c>
      <c r="D150" t="s">
        <v>272</v>
      </c>
    </row>
    <row r="151" spans="2:4" ht="15">
      <c r="B151">
        <v>149</v>
      </c>
      <c r="C151" s="61" t="s">
        <v>273</v>
      </c>
      <c r="D151" t="s">
        <v>274</v>
      </c>
    </row>
    <row r="152" spans="2:4" ht="15">
      <c r="B152">
        <v>150</v>
      </c>
      <c r="C152" s="109" t="s">
        <v>275</v>
      </c>
      <c r="D152" t="s">
        <v>276</v>
      </c>
    </row>
    <row r="153" spans="2:4" ht="15">
      <c r="B153">
        <v>151</v>
      </c>
      <c r="C153" s="47" t="s">
        <v>277</v>
      </c>
      <c r="D153" t="s">
        <v>278</v>
      </c>
    </row>
    <row r="154" spans="2:4" ht="15">
      <c r="B154">
        <v>152</v>
      </c>
      <c r="C154" s="61" t="s">
        <v>279</v>
      </c>
      <c r="D154" t="s">
        <v>280</v>
      </c>
    </row>
    <row r="155" spans="2:4" ht="15">
      <c r="B155">
        <v>153</v>
      </c>
      <c r="C155" s="61" t="s">
        <v>281</v>
      </c>
      <c r="D155" t="s">
        <v>282</v>
      </c>
    </row>
    <row r="156" spans="2:4" ht="15">
      <c r="B156">
        <v>154</v>
      </c>
      <c r="C156" s="61" t="s">
        <v>283</v>
      </c>
      <c r="D156" t="s">
        <v>284</v>
      </c>
    </row>
    <row r="157" spans="2:4" ht="15">
      <c r="B157">
        <v>155</v>
      </c>
      <c r="C157" s="61" t="s">
        <v>285</v>
      </c>
      <c r="D157" t="s">
        <v>286</v>
      </c>
    </row>
    <row r="158" spans="2:4" ht="15">
      <c r="B158">
        <v>156</v>
      </c>
      <c r="C158" s="61" t="s">
        <v>287</v>
      </c>
      <c r="D158" t="s">
        <v>288</v>
      </c>
    </row>
    <row r="159" spans="2:4" ht="15">
      <c r="B159">
        <v>157</v>
      </c>
      <c r="C159" s="61" t="s">
        <v>289</v>
      </c>
      <c r="D159" t="s">
        <v>290</v>
      </c>
    </row>
    <row r="160" spans="2:4" ht="15">
      <c r="B160">
        <v>158</v>
      </c>
      <c r="C160" s="61" t="s">
        <v>291</v>
      </c>
      <c r="D160" t="s">
        <v>292</v>
      </c>
    </row>
    <row r="161" spans="2:4" ht="15">
      <c r="B161">
        <v>159</v>
      </c>
      <c r="C161" s="122" t="s">
        <v>293</v>
      </c>
      <c r="D161" t="s">
        <v>294</v>
      </c>
    </row>
    <row r="162" spans="2:4" ht="15">
      <c r="B162">
        <v>160</v>
      </c>
      <c r="C162" s="122" t="s">
        <v>295</v>
      </c>
      <c r="D162" t="s">
        <v>296</v>
      </c>
    </row>
    <row r="163" spans="2:4" ht="15">
      <c r="B163">
        <v>161</v>
      </c>
      <c r="C163" s="61" t="s">
        <v>57</v>
      </c>
      <c r="D163" t="s">
        <v>58</v>
      </c>
    </row>
    <row r="164" spans="2:4" ht="15">
      <c r="B164">
        <v>162</v>
      </c>
      <c r="C164" s="61" t="s">
        <v>297</v>
      </c>
      <c r="D164" t="s">
        <v>298</v>
      </c>
    </row>
    <row r="165" spans="2:5" ht="15">
      <c r="B165">
        <v>163</v>
      </c>
      <c r="C165" s="61" t="s">
        <v>299</v>
      </c>
      <c r="D165" t="s">
        <v>300</v>
      </c>
      <c r="E165" s="247"/>
    </row>
    <row r="166" spans="2:4" ht="15">
      <c r="B166">
        <v>164</v>
      </c>
      <c r="C166" t="s">
        <v>301</v>
      </c>
      <c r="D166" t="s">
        <v>302</v>
      </c>
    </row>
    <row r="167" spans="2:4" ht="15.75">
      <c r="B167">
        <v>165</v>
      </c>
      <c r="C167" s="248" t="s">
        <v>303</v>
      </c>
      <c r="D167" t="s">
        <v>304</v>
      </c>
    </row>
    <row r="168" spans="2:4" ht="15">
      <c r="B168">
        <v>166</v>
      </c>
      <c r="C168" s="169" t="s">
        <v>297</v>
      </c>
      <c r="D168" t="s">
        <v>298</v>
      </c>
    </row>
    <row r="169" spans="2:4" ht="15">
      <c r="B169">
        <v>167</v>
      </c>
      <c r="C169" t="s">
        <v>1</v>
      </c>
      <c r="D169" t="s">
        <v>182</v>
      </c>
    </row>
    <row r="170" spans="2:4" ht="15">
      <c r="B170">
        <v>168</v>
      </c>
      <c r="C170" t="s">
        <v>2</v>
      </c>
      <c r="D170" t="s">
        <v>183</v>
      </c>
    </row>
    <row r="171" spans="2:4" ht="15">
      <c r="B171">
        <v>169</v>
      </c>
      <c r="C171" t="s">
        <v>3</v>
      </c>
      <c r="D171" t="s">
        <v>184</v>
      </c>
    </row>
    <row r="172" spans="2:4" ht="15">
      <c r="B172">
        <v>170</v>
      </c>
      <c r="C172" t="s">
        <v>4</v>
      </c>
      <c r="D172" t="s">
        <v>185</v>
      </c>
    </row>
    <row r="173" spans="2:4" ht="15">
      <c r="B173">
        <v>171</v>
      </c>
      <c r="C173" t="s">
        <v>305</v>
      </c>
      <c r="D173" t="s">
        <v>306</v>
      </c>
    </row>
    <row r="174" spans="2:4" ht="15">
      <c r="B174">
        <v>172</v>
      </c>
      <c r="C174" t="s">
        <v>171</v>
      </c>
      <c r="D174" t="s">
        <v>172</v>
      </c>
    </row>
    <row r="175" spans="2:4" ht="15">
      <c r="B175">
        <v>173</v>
      </c>
      <c r="C175" t="s">
        <v>428</v>
      </c>
      <c r="D175" s="191" t="s">
        <v>430</v>
      </c>
    </row>
    <row r="176" spans="2:4" ht="15">
      <c r="B176">
        <v>174</v>
      </c>
      <c r="C176" t="s">
        <v>429</v>
      </c>
      <c r="D176" s="191" t="s">
        <v>427</v>
      </c>
    </row>
    <row r="177" spans="2:4" ht="15">
      <c r="B177">
        <v>175</v>
      </c>
      <c r="C177" s="194" t="s">
        <v>30</v>
      </c>
      <c r="D177" t="s">
        <v>31</v>
      </c>
    </row>
    <row r="178" spans="2:4" ht="15">
      <c r="B178">
        <v>176</v>
      </c>
      <c r="C178" s="194" t="s">
        <v>307</v>
      </c>
      <c r="D178" s="41" t="s">
        <v>308</v>
      </c>
    </row>
    <row r="179" spans="2:4" ht="15">
      <c r="B179">
        <v>177</v>
      </c>
      <c r="C179" s="194" t="s">
        <v>309</v>
      </c>
      <c r="D179" t="s">
        <v>310</v>
      </c>
    </row>
    <row r="180" spans="2:4" ht="15">
      <c r="B180">
        <v>178</v>
      </c>
      <c r="C180" s="194" t="s">
        <v>311</v>
      </c>
      <c r="D180" t="s">
        <v>312</v>
      </c>
    </row>
    <row r="181" spans="2:4" ht="15">
      <c r="B181">
        <v>179</v>
      </c>
      <c r="C181" s="194" t="s">
        <v>313</v>
      </c>
      <c r="D181" t="s">
        <v>314</v>
      </c>
    </row>
    <row r="182" spans="2:4" ht="15">
      <c r="B182">
        <v>180</v>
      </c>
      <c r="C182" s="194" t="s">
        <v>315</v>
      </c>
      <c r="D182" t="s">
        <v>316</v>
      </c>
    </row>
    <row r="183" spans="2:4" ht="15">
      <c r="B183">
        <v>181</v>
      </c>
      <c r="C183" s="194" t="s">
        <v>8</v>
      </c>
      <c r="D183" t="s">
        <v>8</v>
      </c>
    </row>
    <row r="184" spans="2:4" ht="15">
      <c r="B184">
        <v>182</v>
      </c>
      <c r="C184" s="194" t="s">
        <v>10</v>
      </c>
      <c r="D184" t="s">
        <v>10</v>
      </c>
    </row>
    <row r="185" spans="2:4" ht="15">
      <c r="B185">
        <v>183</v>
      </c>
      <c r="C185" s="194" t="s">
        <v>11</v>
      </c>
      <c r="D185" t="s">
        <v>41</v>
      </c>
    </row>
    <row r="186" spans="2:4" ht="15">
      <c r="B186">
        <v>184</v>
      </c>
      <c r="C186" t="s">
        <v>317</v>
      </c>
      <c r="D186" t="s">
        <v>318</v>
      </c>
    </row>
    <row r="187" spans="2:4" ht="15">
      <c r="B187">
        <v>185</v>
      </c>
      <c r="C187" t="s">
        <v>319</v>
      </c>
      <c r="D187" t="s">
        <v>320</v>
      </c>
    </row>
    <row r="188" spans="2:4" ht="15">
      <c r="B188">
        <v>186</v>
      </c>
      <c r="C188" t="s">
        <v>321</v>
      </c>
      <c r="D188" t="s">
        <v>322</v>
      </c>
    </row>
    <row r="189" spans="2:4" ht="15">
      <c r="B189">
        <v>187</v>
      </c>
      <c r="C189" t="s">
        <v>323</v>
      </c>
      <c r="D189" t="s">
        <v>274</v>
      </c>
    </row>
    <row r="190" spans="2:3" ht="15">
      <c r="B190">
        <v>188</v>
      </c>
      <c r="C190" s="221" t="s">
        <v>324</v>
      </c>
    </row>
    <row r="191" spans="2:3" ht="15">
      <c r="B191">
        <v>189</v>
      </c>
      <c r="C191" s="221" t="s">
        <v>325</v>
      </c>
    </row>
    <row r="192" spans="2:3" ht="15">
      <c r="B192">
        <v>190</v>
      </c>
      <c r="C192" s="221" t="s">
        <v>326</v>
      </c>
    </row>
    <row r="193" spans="2:4" ht="15">
      <c r="B193">
        <v>191</v>
      </c>
      <c r="C193" s="221" t="s">
        <v>208</v>
      </c>
      <c r="D193" t="s">
        <v>209</v>
      </c>
    </row>
    <row r="194" spans="2:3" ht="15">
      <c r="B194">
        <v>192</v>
      </c>
      <c r="C194" s="221" t="s">
        <v>210</v>
      </c>
    </row>
    <row r="195" spans="2:3" ht="15">
      <c r="B195">
        <v>193</v>
      </c>
      <c r="C195" s="221" t="s">
        <v>12</v>
      </c>
    </row>
    <row r="196" spans="2:3" ht="15">
      <c r="B196">
        <v>194</v>
      </c>
      <c r="C196" s="223" t="s">
        <v>215</v>
      </c>
    </row>
    <row r="197" spans="2:3" ht="15">
      <c r="B197">
        <v>195</v>
      </c>
      <c r="C197" s="221" t="s">
        <v>327</v>
      </c>
    </row>
    <row r="198" spans="2:3" ht="15">
      <c r="B198">
        <v>196</v>
      </c>
      <c r="C198" s="221" t="s">
        <v>328</v>
      </c>
    </row>
    <row r="199" spans="2:3" ht="15">
      <c r="B199">
        <v>197</v>
      </c>
      <c r="C199" s="221" t="s">
        <v>212</v>
      </c>
    </row>
    <row r="200" spans="2:3" ht="15">
      <c r="B200">
        <v>198</v>
      </c>
      <c r="C200" s="221" t="s">
        <v>204</v>
      </c>
    </row>
    <row r="201" spans="2:3" ht="15">
      <c r="B201">
        <v>199</v>
      </c>
      <c r="C201" s="221" t="s">
        <v>329</v>
      </c>
    </row>
    <row r="202" spans="2:3" ht="15">
      <c r="B202">
        <v>200</v>
      </c>
      <c r="C202" s="221" t="s">
        <v>202</v>
      </c>
    </row>
    <row r="203" spans="2:3" ht="15">
      <c r="B203">
        <v>201</v>
      </c>
      <c r="C203" s="221" t="s">
        <v>330</v>
      </c>
    </row>
    <row r="204" spans="2:3" ht="15">
      <c r="B204">
        <v>202</v>
      </c>
      <c r="C204" s="223" t="s">
        <v>331</v>
      </c>
    </row>
    <row r="205" spans="2:4" ht="15">
      <c r="B205">
        <v>203</v>
      </c>
      <c r="C205" s="221" t="s">
        <v>332</v>
      </c>
      <c r="D205" t="s">
        <v>333</v>
      </c>
    </row>
    <row r="206" spans="2:4" ht="15">
      <c r="B206">
        <v>204</v>
      </c>
      <c r="C206" s="221" t="s">
        <v>334</v>
      </c>
      <c r="D206" t="s">
        <v>334</v>
      </c>
    </row>
    <row r="207" spans="2:4" ht="15">
      <c r="B207">
        <v>205</v>
      </c>
      <c r="C207" s="221" t="s">
        <v>335</v>
      </c>
      <c r="D207" s="221" t="s">
        <v>336</v>
      </c>
    </row>
    <row r="208" spans="2:4" ht="15">
      <c r="B208">
        <v>206</v>
      </c>
      <c r="C208" t="s">
        <v>337</v>
      </c>
      <c r="D208" t="s">
        <v>338</v>
      </c>
    </row>
    <row r="209" spans="2:4" ht="15">
      <c r="B209">
        <v>207</v>
      </c>
      <c r="C209" t="s">
        <v>339</v>
      </c>
      <c r="D209" t="s">
        <v>340</v>
      </c>
    </row>
    <row r="210" spans="2:4" ht="15">
      <c r="B210">
        <v>208</v>
      </c>
      <c r="C210" s="221" t="s">
        <v>341</v>
      </c>
      <c r="D210" t="s">
        <v>342</v>
      </c>
    </row>
    <row r="211" spans="2:4" ht="15">
      <c r="B211">
        <v>209</v>
      </c>
      <c r="C211" s="221" t="s">
        <v>202</v>
      </c>
      <c r="D211" t="s">
        <v>203</v>
      </c>
    </row>
    <row r="212" spans="2:4" ht="15">
      <c r="B212">
        <v>210</v>
      </c>
      <c r="C212" s="221" t="s">
        <v>343</v>
      </c>
      <c r="D212" t="s">
        <v>344</v>
      </c>
    </row>
    <row r="213" spans="2:4" ht="15">
      <c r="B213">
        <v>211</v>
      </c>
      <c r="C213" s="221" t="s">
        <v>345</v>
      </c>
      <c r="D213" t="s">
        <v>369</v>
      </c>
    </row>
    <row r="214" spans="2:4" ht="15">
      <c r="B214">
        <v>212</v>
      </c>
      <c r="C214" s="221" t="s">
        <v>346</v>
      </c>
      <c r="D214" t="s">
        <v>347</v>
      </c>
    </row>
    <row r="215" spans="2:4" ht="15">
      <c r="B215">
        <v>213</v>
      </c>
      <c r="C215" s="221" t="s">
        <v>348</v>
      </c>
      <c r="D215" t="s">
        <v>349</v>
      </c>
    </row>
    <row r="216" spans="2:4" ht="15">
      <c r="B216">
        <v>214</v>
      </c>
      <c r="C216" s="221" t="s">
        <v>208</v>
      </c>
      <c r="D216" t="s">
        <v>209</v>
      </c>
    </row>
    <row r="217" spans="2:4" ht="15">
      <c r="B217">
        <v>215</v>
      </c>
      <c r="C217" s="221" t="s">
        <v>12</v>
      </c>
      <c r="D217" t="s">
        <v>350</v>
      </c>
    </row>
    <row r="218" spans="2:4" ht="15">
      <c r="B218">
        <v>216</v>
      </c>
      <c r="C218" s="221" t="s">
        <v>330</v>
      </c>
      <c r="D218" t="s">
        <v>351</v>
      </c>
    </row>
    <row r="219" spans="2:4" ht="15">
      <c r="B219">
        <v>217</v>
      </c>
      <c r="C219" s="221" t="s">
        <v>352</v>
      </c>
      <c r="D219" t="s">
        <v>333</v>
      </c>
    </row>
    <row r="220" spans="2:8" ht="15" customHeight="1">
      <c r="B220">
        <v>218</v>
      </c>
      <c r="C220" s="221" t="s">
        <v>353</v>
      </c>
      <c r="D220" s="221" t="s">
        <v>354</v>
      </c>
      <c r="E220" s="221"/>
      <c r="F220" s="221"/>
      <c r="G220" s="221"/>
      <c r="H220" s="221"/>
    </row>
    <row r="221" spans="2:4" ht="15" customHeight="1">
      <c r="B221">
        <v>219</v>
      </c>
      <c r="C221" t="s">
        <v>402</v>
      </c>
      <c r="D221" t="s">
        <v>355</v>
      </c>
    </row>
    <row r="222" spans="2:4" ht="15">
      <c r="B222">
        <v>220</v>
      </c>
      <c r="C222" t="s">
        <v>356</v>
      </c>
      <c r="D222" t="s">
        <v>357</v>
      </c>
    </row>
    <row r="223" spans="2:4" ht="15">
      <c r="B223">
        <v>221</v>
      </c>
      <c r="C223" t="s">
        <v>358</v>
      </c>
      <c r="D223" t="s">
        <v>359</v>
      </c>
    </row>
    <row r="224" spans="2:4" ht="15">
      <c r="B224">
        <v>222</v>
      </c>
      <c r="C224" t="s">
        <v>366</v>
      </c>
      <c r="D224" t="s">
        <v>366</v>
      </c>
    </row>
    <row r="225" spans="2:4" ht="15">
      <c r="B225">
        <v>223</v>
      </c>
      <c r="C225" t="s">
        <v>364</v>
      </c>
      <c r="D225" t="s">
        <v>365</v>
      </c>
    </row>
    <row r="226" spans="2:4" ht="15">
      <c r="B226">
        <v>224</v>
      </c>
      <c r="C226" t="s">
        <v>367</v>
      </c>
      <c r="D226" t="s">
        <v>368</v>
      </c>
    </row>
    <row r="227" spans="2:4" ht="15">
      <c r="B227">
        <v>225</v>
      </c>
      <c r="C227" t="s">
        <v>360</v>
      </c>
      <c r="D227" t="s">
        <v>361</v>
      </c>
    </row>
    <row r="228" spans="2:4" ht="15">
      <c r="B228">
        <v>226</v>
      </c>
      <c r="C228" t="s">
        <v>370</v>
      </c>
      <c r="D228" t="s">
        <v>371</v>
      </c>
    </row>
    <row r="229" spans="2:4" ht="15">
      <c r="B229">
        <v>227</v>
      </c>
      <c r="C229" s="246" t="s">
        <v>362</v>
      </c>
      <c r="D229" t="s">
        <v>363</v>
      </c>
    </row>
    <row r="230" spans="2:4" ht="15">
      <c r="B230">
        <v>228</v>
      </c>
      <c r="C230" t="s">
        <v>401</v>
      </c>
      <c r="D230" t="s">
        <v>372</v>
      </c>
    </row>
    <row r="231" spans="2:4" ht="15">
      <c r="B231">
        <v>229</v>
      </c>
      <c r="C231" t="s">
        <v>373</v>
      </c>
      <c r="D231" t="s">
        <v>374</v>
      </c>
    </row>
    <row r="232" spans="2:4" ht="15">
      <c r="B232">
        <v>230</v>
      </c>
      <c r="C232" s="223" t="s">
        <v>19</v>
      </c>
      <c r="D232" t="s">
        <v>20</v>
      </c>
    </row>
    <row r="233" spans="2:4" ht="15">
      <c r="B233">
        <v>231</v>
      </c>
      <c r="C233" s="221" t="s">
        <v>375</v>
      </c>
      <c r="D233" t="s">
        <v>376</v>
      </c>
    </row>
    <row r="234" spans="2:4" ht="15">
      <c r="B234">
        <v>232</v>
      </c>
      <c r="C234" s="221" t="s">
        <v>28</v>
      </c>
      <c r="D234" t="s">
        <v>29</v>
      </c>
    </row>
    <row r="235" spans="2:4" ht="15">
      <c r="B235">
        <v>233</v>
      </c>
      <c r="C235" s="221" t="s">
        <v>377</v>
      </c>
      <c r="D235" t="s">
        <v>378</v>
      </c>
    </row>
    <row r="236" spans="2:4" ht="15">
      <c r="B236">
        <v>234</v>
      </c>
      <c r="C236" s="221" t="s">
        <v>379</v>
      </c>
      <c r="D236" t="s">
        <v>380</v>
      </c>
    </row>
    <row r="237" spans="2:4" ht="15">
      <c r="B237">
        <v>235</v>
      </c>
      <c r="C237" s="221" t="s">
        <v>34</v>
      </c>
      <c r="D237" t="s">
        <v>34</v>
      </c>
    </row>
    <row r="238" spans="2:4" ht="15">
      <c r="B238">
        <v>236</v>
      </c>
      <c r="C238" s="221" t="s">
        <v>381</v>
      </c>
      <c r="D238" t="s">
        <v>382</v>
      </c>
    </row>
    <row r="239" spans="2:4" ht="15">
      <c r="B239">
        <v>237</v>
      </c>
      <c r="C239" s="221" t="s">
        <v>36</v>
      </c>
      <c r="D239" t="s">
        <v>36</v>
      </c>
    </row>
    <row r="240" spans="2:4" ht="15">
      <c r="B240">
        <v>238</v>
      </c>
      <c r="C240" s="221" t="s">
        <v>383</v>
      </c>
      <c r="D240" t="s">
        <v>40</v>
      </c>
    </row>
    <row r="241" spans="2:4" ht="15">
      <c r="B241">
        <v>239</v>
      </c>
      <c r="C241" s="221" t="s">
        <v>384</v>
      </c>
      <c r="D241" t="s">
        <v>385</v>
      </c>
    </row>
    <row r="242" spans="2:4" ht="15">
      <c r="B242">
        <v>240</v>
      </c>
      <c r="C242" s="221" t="s">
        <v>386</v>
      </c>
      <c r="D242" t="s">
        <v>387</v>
      </c>
    </row>
    <row r="243" spans="2:4" ht="15">
      <c r="B243">
        <v>241</v>
      </c>
      <c r="C243" s="221" t="s">
        <v>388</v>
      </c>
      <c r="D243" t="s">
        <v>389</v>
      </c>
    </row>
    <row r="244" spans="2:4" ht="15">
      <c r="B244">
        <v>242</v>
      </c>
      <c r="C244" s="221" t="s">
        <v>390</v>
      </c>
      <c r="D244" t="s">
        <v>391</v>
      </c>
    </row>
    <row r="245" spans="2:4" ht="15">
      <c r="B245">
        <v>243</v>
      </c>
      <c r="C245" t="s">
        <v>392</v>
      </c>
      <c r="D245" t="s">
        <v>393</v>
      </c>
    </row>
    <row r="246" spans="2:4" ht="15">
      <c r="B246">
        <v>244</v>
      </c>
      <c r="C246" t="s">
        <v>394</v>
      </c>
      <c r="D246" t="s">
        <v>395</v>
      </c>
    </row>
    <row r="247" spans="2:4" ht="15.75">
      <c r="B247">
        <v>245</v>
      </c>
      <c r="C247" s="243" t="s">
        <v>396</v>
      </c>
      <c r="D247" s="243" t="s">
        <v>397</v>
      </c>
    </row>
    <row r="248" spans="2:4" ht="15">
      <c r="B248">
        <v>246</v>
      </c>
      <c r="C248" s="221" t="s">
        <v>398</v>
      </c>
      <c r="D248" t="s">
        <v>398</v>
      </c>
    </row>
    <row r="249" spans="2:4" ht="15">
      <c r="B249">
        <v>247</v>
      </c>
      <c r="C249" t="s">
        <v>403</v>
      </c>
      <c r="D249" t="s">
        <v>404</v>
      </c>
    </row>
    <row r="250" spans="2:4" ht="15">
      <c r="B250">
        <v>248</v>
      </c>
      <c r="C250" t="s">
        <v>405</v>
      </c>
      <c r="D250" t="s">
        <v>406</v>
      </c>
    </row>
    <row r="251" spans="2:4" ht="15">
      <c r="B251">
        <v>249</v>
      </c>
      <c r="C251" t="s">
        <v>407</v>
      </c>
      <c r="D251" t="s">
        <v>408</v>
      </c>
    </row>
    <row r="252" spans="2:4" ht="15">
      <c r="B252">
        <v>250</v>
      </c>
      <c r="C252" t="s">
        <v>409</v>
      </c>
      <c r="D252" t="s">
        <v>410</v>
      </c>
    </row>
    <row r="253" spans="2:4" ht="15">
      <c r="B253">
        <v>251</v>
      </c>
      <c r="C253" t="s">
        <v>411</v>
      </c>
      <c r="D253" t="s">
        <v>412</v>
      </c>
    </row>
    <row r="254" spans="2:4" ht="15">
      <c r="B254">
        <v>252</v>
      </c>
      <c r="C254" t="s">
        <v>413</v>
      </c>
      <c r="D254" t="s">
        <v>414</v>
      </c>
    </row>
    <row r="255" spans="2:4" ht="15">
      <c r="B255">
        <v>253</v>
      </c>
      <c r="C255" t="s">
        <v>415</v>
      </c>
      <c r="D255" t="s">
        <v>416</v>
      </c>
    </row>
    <row r="256" spans="2:4" ht="15">
      <c r="B256">
        <v>254</v>
      </c>
      <c r="C256" t="s">
        <v>417</v>
      </c>
      <c r="D256" t="s">
        <v>418</v>
      </c>
    </row>
    <row r="257" spans="2:4" ht="15">
      <c r="B257">
        <v>255</v>
      </c>
      <c r="C257" t="s">
        <v>419</v>
      </c>
      <c r="D257" t="s">
        <v>420</v>
      </c>
    </row>
    <row r="258" spans="2:4" ht="15">
      <c r="B258">
        <v>256</v>
      </c>
      <c r="C258" t="s">
        <v>424</v>
      </c>
      <c r="D258" t="s">
        <v>425</v>
      </c>
    </row>
    <row r="1000" ht="15">
      <c r="A1000" t="s">
        <v>399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000"/>
  <sheetViews>
    <sheetView showGridLines="0" zoomScalePageLayoutView="0" workbookViewId="0" topLeftCell="A13">
      <selection activeCell="A6" sqref="A6"/>
    </sheetView>
  </sheetViews>
  <sheetFormatPr defaultColWidth="11.421875" defaultRowHeight="15"/>
  <cols>
    <col min="1" max="1" width="62.00390625" style="31" customWidth="1"/>
    <col min="2" max="16384" width="11.421875" style="31" customWidth="1"/>
  </cols>
  <sheetData>
    <row r="1" spans="1:9" ht="18">
      <c r="A1" s="29" t="str">
        <f>HLOOKUP(INDICE!$F$2,Nombres!$C$3:$D$636,13,FALSE)</f>
        <v>América del Sur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791.12410111</v>
      </c>
      <c r="C8" s="41">
        <v>761.73039582</v>
      </c>
      <c r="D8" s="41">
        <v>673.5030182399998</v>
      </c>
      <c r="E8" s="42">
        <v>782.9736345700001</v>
      </c>
      <c r="F8" s="52">
        <v>760.2469960400001</v>
      </c>
      <c r="G8" s="52">
        <v>852.45497825</v>
      </c>
      <c r="H8" s="52">
        <v>762.84097045</v>
      </c>
      <c r="I8" s="52">
        <v>820.8909661000001</v>
      </c>
    </row>
    <row r="9" spans="1:9" ht="15">
      <c r="A9" s="43" t="str">
        <f>HLOOKUP(INDICE!$F$2,Nombres!$C$3:$D$636,34,FALSE)</f>
        <v>Comisiones netas</v>
      </c>
      <c r="B9" s="44">
        <v>163.14159989</v>
      </c>
      <c r="C9" s="44">
        <v>157.38317693</v>
      </c>
      <c r="D9" s="44">
        <v>134.23518327000002</v>
      </c>
      <c r="E9" s="45">
        <v>176.73583408000002</v>
      </c>
      <c r="F9" s="44">
        <v>134.72437054999997</v>
      </c>
      <c r="G9" s="44">
        <v>163.64929165</v>
      </c>
      <c r="H9" s="44">
        <v>125.36818768</v>
      </c>
      <c r="I9" s="44">
        <v>132.77113398999998</v>
      </c>
    </row>
    <row r="10" spans="1:9" ht="15">
      <c r="A10" s="43" t="str">
        <f>HLOOKUP(INDICE!$F$2,Nombres!$C$3:$D$636,35,FALSE)</f>
        <v>Resultados de operaciones financieras</v>
      </c>
      <c r="B10" s="44">
        <v>111.51594849999995</v>
      </c>
      <c r="C10" s="44">
        <v>107.37846949999998</v>
      </c>
      <c r="D10" s="44">
        <v>83.74162171</v>
      </c>
      <c r="E10" s="45">
        <v>101.92795367000002</v>
      </c>
      <c r="F10" s="44">
        <v>206.19724782999998</v>
      </c>
      <c r="G10" s="44">
        <v>108.25140378999998</v>
      </c>
      <c r="H10" s="44">
        <v>102.93838012</v>
      </c>
      <c r="I10" s="44">
        <v>158.35670112999995</v>
      </c>
    </row>
    <row r="11" spans="1:9" ht="15">
      <c r="A11" s="43" t="str">
        <f>HLOOKUP(INDICE!$F$2,Nombres!$C$3:$D$636,36,FALSE)</f>
        <v>Otros ingresos y cargas de explotación</v>
      </c>
      <c r="B11" s="44">
        <v>-58.08843105</v>
      </c>
      <c r="C11" s="44">
        <v>-47.484126079999996</v>
      </c>
      <c r="D11" s="44">
        <v>-101.65844287</v>
      </c>
      <c r="E11" s="45">
        <v>-137.16999999999996</v>
      </c>
      <c r="F11" s="44">
        <v>-116.178</v>
      </c>
      <c r="G11" s="44">
        <v>-114.885</v>
      </c>
      <c r="H11" s="44">
        <v>-101.61699999999996</v>
      </c>
      <c r="I11" s="44">
        <v>-146.413</v>
      </c>
    </row>
    <row r="12" spans="1:9" ht="15">
      <c r="A12" s="41" t="str">
        <f>HLOOKUP(INDICE!$F$2,Nombres!$C$3:$D$636,37,FALSE)</f>
        <v>Margen bruto</v>
      </c>
      <c r="B12" s="41">
        <f>+SUM(B8:B11)</f>
        <v>1007.6932184499999</v>
      </c>
      <c r="C12" s="41">
        <f aca="true" t="shared" si="0" ref="C12:I12">+SUM(C8:C11)</f>
        <v>979.0079161699999</v>
      </c>
      <c r="D12" s="41">
        <f t="shared" si="0"/>
        <v>789.8213803499998</v>
      </c>
      <c r="E12" s="42">
        <f t="shared" si="0"/>
        <v>924.4674223200001</v>
      </c>
      <c r="F12" s="52">
        <f t="shared" si="0"/>
        <v>984.99061442</v>
      </c>
      <c r="G12" s="52">
        <f t="shared" si="0"/>
        <v>1009.47067369</v>
      </c>
      <c r="H12" s="52">
        <f t="shared" si="0"/>
        <v>889.5305382500001</v>
      </c>
      <c r="I12" s="52">
        <f t="shared" si="0"/>
        <v>965.6058012200001</v>
      </c>
    </row>
    <row r="13" spans="1:9" ht="15">
      <c r="A13" s="43" t="str">
        <f>HLOOKUP(INDICE!$F$2,Nombres!$C$3:$D$636,38,FALSE)</f>
        <v>Gastos de explotación</v>
      </c>
      <c r="B13" s="44">
        <v>-484.64725783</v>
      </c>
      <c r="C13" s="44">
        <v>-424.2609111</v>
      </c>
      <c r="D13" s="44">
        <v>-354.89016196</v>
      </c>
      <c r="E13" s="45">
        <v>-445.52052251</v>
      </c>
      <c r="F13" s="44">
        <v>-378.57976147000005</v>
      </c>
      <c r="G13" s="44">
        <v>-400.71090519000006</v>
      </c>
      <c r="H13" s="44">
        <v>-371.24367008</v>
      </c>
      <c r="I13" s="44">
        <v>-423.51330616000007</v>
      </c>
    </row>
    <row r="14" spans="1:9" ht="15">
      <c r="A14" s="43" t="str">
        <f>HLOOKUP(INDICE!$F$2,Nombres!$C$3:$D$636,39,FALSE)</f>
        <v>  Gastos de administración</v>
      </c>
      <c r="B14" s="44">
        <v>-457.80051861</v>
      </c>
      <c r="C14" s="44">
        <v>-398.73946805</v>
      </c>
      <c r="D14" s="44">
        <v>-316.47534422999996</v>
      </c>
      <c r="E14" s="45">
        <v>-410.99552251</v>
      </c>
      <c r="F14" s="44">
        <v>-337.35576147</v>
      </c>
      <c r="G14" s="44">
        <v>-357.70790518999996</v>
      </c>
      <c r="H14" s="44">
        <v>-332.54767008</v>
      </c>
      <c r="I14" s="44">
        <v>-375.10430615999996</v>
      </c>
    </row>
    <row r="15" spans="1:9" ht="15">
      <c r="A15" s="46" t="str">
        <f>HLOOKUP(INDICE!$F$2,Nombres!$C$3:$D$636,40,FALSE)</f>
        <v>  Gastos de personal</v>
      </c>
      <c r="B15" s="44">
        <v>-246.44333397000003</v>
      </c>
      <c r="C15" s="44">
        <v>-218.94017542999998</v>
      </c>
      <c r="D15" s="44">
        <v>-160.79345786000002</v>
      </c>
      <c r="E15" s="45">
        <v>-219.64062291</v>
      </c>
      <c r="F15" s="44">
        <v>-194.99451276</v>
      </c>
      <c r="G15" s="44">
        <v>-206.80953108</v>
      </c>
      <c r="H15" s="44">
        <v>-181.89978388</v>
      </c>
      <c r="I15" s="44">
        <v>-210.33530349999998</v>
      </c>
    </row>
    <row r="16" spans="1:9" ht="15">
      <c r="A16" s="46" t="str">
        <f>HLOOKUP(INDICE!$F$2,Nombres!$C$3:$D$636,41,FALSE)</f>
        <v>  Otros gastos de administración</v>
      </c>
      <c r="B16" s="44">
        <v>-211.35718463999996</v>
      </c>
      <c r="C16" s="44">
        <v>-179.79929262</v>
      </c>
      <c r="D16" s="44">
        <v>-155.68188636999997</v>
      </c>
      <c r="E16" s="45">
        <v>-191.35489960000004</v>
      </c>
      <c r="F16" s="44">
        <v>-142.36124870999998</v>
      </c>
      <c r="G16" s="44">
        <v>-150.89837411</v>
      </c>
      <c r="H16" s="44">
        <v>-150.64788620000002</v>
      </c>
      <c r="I16" s="44">
        <v>-164.76900266</v>
      </c>
    </row>
    <row r="17" spans="1:9" ht="15">
      <c r="A17" s="43" t="str">
        <f>HLOOKUP(INDICE!$F$2,Nombres!$C$3:$D$636,42,FALSE)</f>
        <v>  Amortización</v>
      </c>
      <c r="B17" s="44">
        <v>-26.846739220000003</v>
      </c>
      <c r="C17" s="44">
        <v>-25.52144305</v>
      </c>
      <c r="D17" s="44">
        <v>-38.414817729999996</v>
      </c>
      <c r="E17" s="45">
        <v>-34.525</v>
      </c>
      <c r="F17" s="44">
        <v>-41.224</v>
      </c>
      <c r="G17" s="44">
        <v>-43.003</v>
      </c>
      <c r="H17" s="44">
        <v>-38.696</v>
      </c>
      <c r="I17" s="44">
        <v>-48.409000000000006</v>
      </c>
    </row>
    <row r="18" spans="1:9" ht="15">
      <c r="A18" s="41" t="str">
        <f>HLOOKUP(INDICE!$F$2,Nombres!$C$3:$D$636,43,FALSE)</f>
        <v>Margen neto</v>
      </c>
      <c r="B18" s="41">
        <f>+B12+B13</f>
        <v>523.04596062</v>
      </c>
      <c r="C18" s="41">
        <f aca="true" t="shared" si="1" ref="C18:I18">+C12+C13</f>
        <v>554.7470050699999</v>
      </c>
      <c r="D18" s="41">
        <f t="shared" si="1"/>
        <v>434.9312183899998</v>
      </c>
      <c r="E18" s="42">
        <f t="shared" si="1"/>
        <v>478.9468998100001</v>
      </c>
      <c r="F18" s="52">
        <f t="shared" si="1"/>
        <v>606.4108529499999</v>
      </c>
      <c r="G18" s="52">
        <f t="shared" si="1"/>
        <v>608.7597685</v>
      </c>
      <c r="H18" s="52">
        <f t="shared" si="1"/>
        <v>518.28686817</v>
      </c>
      <c r="I18" s="52">
        <f t="shared" si="1"/>
        <v>542.09249506</v>
      </c>
    </row>
    <row r="19" spans="1:9" ht="15">
      <c r="A19" s="43" t="str">
        <f>HLOOKUP(INDICE!$F$2,Nombres!$C$3:$D$636,44,FALSE)</f>
        <v>Deterioro de activos financieros no valorados a valor razonable con cambios en resultados</v>
      </c>
      <c r="B19" s="44">
        <v>-166.76951220999993</v>
      </c>
      <c r="C19" s="44">
        <v>-153.75077930999998</v>
      </c>
      <c r="D19" s="44">
        <v>-181.82970847999997</v>
      </c>
      <c r="E19" s="45">
        <v>-135.70400005</v>
      </c>
      <c r="F19" s="44">
        <v>-176.95100000000002</v>
      </c>
      <c r="G19" s="44">
        <v>-172.462</v>
      </c>
      <c r="H19" s="44">
        <v>-213.607</v>
      </c>
      <c r="I19" s="44">
        <v>-213.52</v>
      </c>
    </row>
    <row r="20" spans="1:9" ht="15">
      <c r="A20" s="43" t="str">
        <f>HLOOKUP(INDICE!$F$2,Nombres!$C$3:$D$636,45,FALSE)</f>
        <v>Provisiones o reversión de provisiones y otros resultados</v>
      </c>
      <c r="B20" s="44">
        <v>-10.842929990000005</v>
      </c>
      <c r="C20" s="44">
        <v>-22.88396877</v>
      </c>
      <c r="D20" s="44">
        <v>-4.38081325</v>
      </c>
      <c r="E20" s="45">
        <v>-27.37199998000001</v>
      </c>
      <c r="F20" s="44">
        <v>-12.426999999999996</v>
      </c>
      <c r="G20" s="44">
        <v>-6.579999999999991</v>
      </c>
      <c r="H20" s="44">
        <v>-14.749000000000011</v>
      </c>
      <c r="I20" s="44">
        <v>-69.569</v>
      </c>
    </row>
    <row r="21" spans="1:9" ht="15">
      <c r="A21" s="41" t="str">
        <f>HLOOKUP(INDICE!$F$2,Nombres!$C$3:$D$636,46,FALSE)</f>
        <v>Resultado antes de impuestos</v>
      </c>
      <c r="B21" s="41">
        <f>+B18+B19+B20</f>
        <v>345.43351842000004</v>
      </c>
      <c r="C21" s="41">
        <f aca="true" t="shared" si="2" ref="C21:I21">+C18+C19+C20</f>
        <v>378.1122569899999</v>
      </c>
      <c r="D21" s="41">
        <f t="shared" si="2"/>
        <v>248.72069665999985</v>
      </c>
      <c r="E21" s="42">
        <f t="shared" si="2"/>
        <v>315.8708997800001</v>
      </c>
      <c r="F21" s="52">
        <f t="shared" si="2"/>
        <v>417.0328529499999</v>
      </c>
      <c r="G21" s="52">
        <f t="shared" si="2"/>
        <v>429.7177685</v>
      </c>
      <c r="H21" s="52">
        <f t="shared" si="2"/>
        <v>289.93086817000005</v>
      </c>
      <c r="I21" s="52">
        <f t="shared" si="2"/>
        <v>259.00349506000003</v>
      </c>
    </row>
    <row r="22" spans="1:9" ht="15">
      <c r="A22" s="43" t="str">
        <f>HLOOKUP(INDICE!$F$2,Nombres!$C$3:$D$636,47,FALSE)</f>
        <v>Impuesto sobre beneficios</v>
      </c>
      <c r="B22" s="44">
        <v>-132.83929408999998</v>
      </c>
      <c r="C22" s="44">
        <v>-125.97407058000002</v>
      </c>
      <c r="D22" s="44">
        <v>-75.40175269000001</v>
      </c>
      <c r="E22" s="45">
        <v>-134.66705856</v>
      </c>
      <c r="F22" s="44">
        <v>-137.76212581</v>
      </c>
      <c r="G22" s="44">
        <v>-133.42388688</v>
      </c>
      <c r="H22" s="44">
        <v>-49.62055457</v>
      </c>
      <c r="I22" s="44">
        <v>-46.78526213999998</v>
      </c>
    </row>
    <row r="23" spans="1:9" ht="15">
      <c r="A23" s="41" t="str">
        <f>HLOOKUP(INDICE!$F$2,Nombres!$C$3:$D$636,48,FALSE)</f>
        <v>Resultado del ejercicio</v>
      </c>
      <c r="B23" s="41">
        <f>+B21+B22</f>
        <v>212.59422433000006</v>
      </c>
      <c r="C23" s="41">
        <f aca="true" t="shared" si="3" ref="C23:I23">+C21+C22</f>
        <v>252.13818640999986</v>
      </c>
      <c r="D23" s="41">
        <f t="shared" si="3"/>
        <v>173.31894396999985</v>
      </c>
      <c r="E23" s="42">
        <f t="shared" si="3"/>
        <v>181.20384122000013</v>
      </c>
      <c r="F23" s="52">
        <f t="shared" si="3"/>
        <v>279.2707271399999</v>
      </c>
      <c r="G23" s="52">
        <f t="shared" si="3"/>
        <v>296.29388162</v>
      </c>
      <c r="H23" s="52">
        <f t="shared" si="3"/>
        <v>240.31031360000006</v>
      </c>
      <c r="I23" s="52">
        <f t="shared" si="3"/>
        <v>212.21823292000005</v>
      </c>
    </row>
    <row r="24" spans="1:9" ht="15">
      <c r="A24" s="43" t="str">
        <f>HLOOKUP(INDICE!$F$2,Nombres!$C$3:$D$636,49,FALSE)</f>
        <v>Minoritarios</v>
      </c>
      <c r="B24" s="44">
        <v>-55.50989721</v>
      </c>
      <c r="C24" s="44">
        <v>-77.55336223</v>
      </c>
      <c r="D24" s="44">
        <v>-48.110629160000016</v>
      </c>
      <c r="E24" s="45">
        <v>-60.17477248</v>
      </c>
      <c r="F24" s="44">
        <v>-86.11211804999999</v>
      </c>
      <c r="G24" s="44">
        <v>-85.25376215000001</v>
      </c>
      <c r="H24" s="44">
        <v>-75.68045953999999</v>
      </c>
      <c r="I24" s="44">
        <v>-59.75962380000001</v>
      </c>
    </row>
    <row r="25" spans="1:9" ht="15">
      <c r="A25" s="47" t="str">
        <f>HLOOKUP(INDICE!$F$2,Nombres!$C$3:$D$636,50,FALSE)</f>
        <v>Resultado atribuido</v>
      </c>
      <c r="B25" s="47">
        <f>+B23+B24</f>
        <v>157.08432712000007</v>
      </c>
      <c r="C25" s="47">
        <f aca="true" t="shared" si="4" ref="C25:I25">+C23+C24</f>
        <v>174.58482417999986</v>
      </c>
      <c r="D25" s="47">
        <f t="shared" si="4"/>
        <v>125.20831480999983</v>
      </c>
      <c r="E25" s="47">
        <f t="shared" si="4"/>
        <v>121.02906874000013</v>
      </c>
      <c r="F25" s="53">
        <f t="shared" si="4"/>
        <v>193.1586090899999</v>
      </c>
      <c r="G25" s="53">
        <f t="shared" si="4"/>
        <v>211.04011946999998</v>
      </c>
      <c r="H25" s="53">
        <f t="shared" si="4"/>
        <v>164.62985406000007</v>
      </c>
      <c r="I25" s="53">
        <f t="shared" si="4"/>
        <v>152.45860912000003</v>
      </c>
    </row>
    <row r="26" spans="1:9" ht="15">
      <c r="A26" s="65"/>
      <c r="B26" s="66">
        <v>0</v>
      </c>
      <c r="C26" s="66">
        <v>0</v>
      </c>
      <c r="D26" s="66">
        <v>0</v>
      </c>
      <c r="E26" s="66">
        <v>0</v>
      </c>
      <c r="F26" s="66">
        <v>0</v>
      </c>
      <c r="G26" s="66">
        <v>0</v>
      </c>
      <c r="H26" s="66">
        <v>0</v>
      </c>
      <c r="I26" s="66">
        <v>0</v>
      </c>
    </row>
    <row r="27" spans="1:9" ht="15">
      <c r="A27" s="47" t="str">
        <f>HLOOKUP(INDICE!$F$2,Nombres!$C$3:$D$636,254,FALSE)</f>
        <v>Resultado atribuido sin BBVA Chile (*)</v>
      </c>
      <c r="B27" s="47">
        <v>128.01342763000002</v>
      </c>
      <c r="C27" s="47">
        <v>138.30600582000002</v>
      </c>
      <c r="D27" s="47">
        <v>125.97730234999986</v>
      </c>
      <c r="E27" s="47">
        <v>121.55160072000011</v>
      </c>
      <c r="F27" s="47">
        <v>193.15860909000003</v>
      </c>
      <c r="G27" s="47">
        <v>211.04011947000004</v>
      </c>
      <c r="H27" s="47">
        <v>164.62985406</v>
      </c>
      <c r="I27" s="47">
        <v>152.4586091200001</v>
      </c>
    </row>
    <row r="28" spans="1:9" ht="15">
      <c r="A28" s="49" t="str">
        <f>HLOOKUP(INDICE!$F$2,Nombres!$C$3:$D$636,251,FALSE)</f>
        <v>(*) Resultados generados por BBVA Chile hasta su venta el 6 de julio del 2018 y las plusvalías de la operación</v>
      </c>
      <c r="B28" s="66"/>
      <c r="C28" s="66"/>
      <c r="D28" s="66"/>
      <c r="E28" s="66"/>
      <c r="F28" s="66"/>
      <c r="G28" s="66"/>
      <c r="H28" s="66"/>
      <c r="I28" s="66"/>
    </row>
    <row r="29" spans="1:9" ht="15">
      <c r="A29" s="65"/>
      <c r="B29" s="66"/>
      <c r="C29" s="66"/>
      <c r="D29" s="66"/>
      <c r="E29" s="66"/>
      <c r="F29" s="66"/>
      <c r="G29" s="66"/>
      <c r="H29" s="66"/>
      <c r="I29" s="66"/>
    </row>
    <row r="30" spans="1:9" ht="15">
      <c r="A30" s="41"/>
      <c r="B30" s="41"/>
      <c r="C30" s="41"/>
      <c r="D30" s="41"/>
      <c r="E30" s="41"/>
      <c r="F30" s="41"/>
      <c r="G30" s="41"/>
      <c r="H30" s="41"/>
      <c r="I30" s="41"/>
    </row>
    <row r="31" spans="1:9" ht="18">
      <c r="A31" s="33" t="str">
        <f>HLOOKUP(INDICE!$F$2,Nombres!$C$3:$D$636,51,FALSE)</f>
        <v>Balances</v>
      </c>
      <c r="B31" s="34"/>
      <c r="C31" s="34"/>
      <c r="D31" s="34"/>
      <c r="E31" s="34"/>
      <c r="F31" s="34"/>
      <c r="G31" s="34"/>
      <c r="H31" s="34"/>
      <c r="I31" s="34"/>
    </row>
    <row r="32" spans="1:9" ht="15">
      <c r="A32" s="35" t="str">
        <f>HLOOKUP(INDICE!$F$2,Nombres!$C$3:$D$636,32,FALSE)</f>
        <v>(Millones de euros)</v>
      </c>
      <c r="B32" s="30"/>
      <c r="C32" s="54"/>
      <c r="D32" s="54"/>
      <c r="E32" s="54"/>
      <c r="F32" s="30"/>
      <c r="G32" s="60"/>
      <c r="H32" s="60"/>
      <c r="I32" s="60"/>
    </row>
    <row r="33" spans="1:9" ht="15.75">
      <c r="A33" s="30"/>
      <c r="B33" s="55">
        <f>+España!B30</f>
        <v>43190</v>
      </c>
      <c r="C33" s="55">
        <f>+España!C30</f>
        <v>43281</v>
      </c>
      <c r="D33" s="55">
        <f>+España!D30</f>
        <v>43373</v>
      </c>
      <c r="E33" s="71">
        <f>+España!E30</f>
        <v>43465</v>
      </c>
      <c r="F33" s="80">
        <f>+España!F30</f>
        <v>43555</v>
      </c>
      <c r="G33" s="80">
        <f>+España!G30</f>
        <v>43646</v>
      </c>
      <c r="H33" s="80">
        <f>+España!H30</f>
        <v>43738</v>
      </c>
      <c r="I33" s="80">
        <f>+España!I30</f>
        <v>43830</v>
      </c>
    </row>
    <row r="34" spans="1:10" ht="15">
      <c r="A34" s="43" t="str">
        <f>HLOOKUP(INDICE!$F$2,Nombres!$C$3:$D$636,52,FALSE)</f>
        <v>Efectivo, saldos en efectivo en bancos centrales y otros depósitos a la vista</v>
      </c>
      <c r="B34" s="44">
        <v>7920.8240000000005</v>
      </c>
      <c r="C34" s="44">
        <v>7514.108</v>
      </c>
      <c r="D34" s="44">
        <v>7211.144</v>
      </c>
      <c r="E34" s="45">
        <v>8987.174</v>
      </c>
      <c r="F34" s="44">
        <v>8830.099</v>
      </c>
      <c r="G34" s="44">
        <v>7661.6630000000005</v>
      </c>
      <c r="H34" s="44">
        <v>7162.622</v>
      </c>
      <c r="I34" s="44">
        <v>8600.637</v>
      </c>
      <c r="J34" s="86"/>
    </row>
    <row r="35" spans="1:10" ht="15">
      <c r="A35" s="43" t="str">
        <f>HLOOKUP(INDICE!$F$2,Nombres!$C$3:$D$636,53,FALSE)</f>
        <v>Activos financieros a valor razonable</v>
      </c>
      <c r="B35" s="60">
        <v>10176.386000000002</v>
      </c>
      <c r="C35" s="60">
        <v>10097.913</v>
      </c>
      <c r="D35" s="60">
        <v>6582.870000000001</v>
      </c>
      <c r="E35" s="68">
        <v>5633.866</v>
      </c>
      <c r="F35" s="44">
        <v>6861.115999999999</v>
      </c>
      <c r="G35" s="44">
        <v>7377.868</v>
      </c>
      <c r="H35" s="44">
        <v>7100.55</v>
      </c>
      <c r="I35" s="44">
        <v>6119.976000000001</v>
      </c>
      <c r="J35" s="86"/>
    </row>
    <row r="36" spans="1:10" ht="15">
      <c r="A36" s="43" t="str">
        <f>HLOOKUP(INDICE!$F$2,Nombres!$C$3:$D$636,54,FALSE)</f>
        <v>Activos financieros a coste amortizado</v>
      </c>
      <c r="B36" s="44">
        <v>51933.614999979996</v>
      </c>
      <c r="C36" s="44">
        <v>51383.013999999996</v>
      </c>
      <c r="D36" s="44">
        <v>36502.24999999999</v>
      </c>
      <c r="E36" s="45">
        <v>36648.668999999994</v>
      </c>
      <c r="F36" s="44">
        <v>37985.671</v>
      </c>
      <c r="G36" s="44">
        <v>37996.3510643</v>
      </c>
      <c r="H36" s="44">
        <v>38230.965000000004</v>
      </c>
      <c r="I36" s="44">
        <v>37868.638999999996</v>
      </c>
      <c r="J36" s="86"/>
    </row>
    <row r="37" spans="1:10" ht="15">
      <c r="A37" s="43" t="str">
        <f>HLOOKUP(INDICE!$F$2,Nombres!$C$3:$D$636,55,FALSE)</f>
        <v>    de los que préstamos y anticipos a la clientela</v>
      </c>
      <c r="B37" s="44">
        <v>48400.22699998</v>
      </c>
      <c r="C37" s="44">
        <v>48837.024</v>
      </c>
      <c r="D37" s="44">
        <v>34794.928</v>
      </c>
      <c r="E37" s="45">
        <v>34469.28999999999</v>
      </c>
      <c r="F37" s="44">
        <v>35691.312</v>
      </c>
      <c r="G37" s="44">
        <v>35712.0800643</v>
      </c>
      <c r="H37" s="44">
        <v>35874.947</v>
      </c>
      <c r="I37" s="44">
        <v>35701.328</v>
      </c>
      <c r="J37" s="86"/>
    </row>
    <row r="38" spans="1:10" ht="15">
      <c r="A38" s="43" t="str">
        <f>HLOOKUP(INDICE!$F$2,Nombres!$C$3:$D$636,56,FALSE)</f>
        <v>Activos tangibles</v>
      </c>
      <c r="B38" s="44">
        <v>977.4850452399999</v>
      </c>
      <c r="C38" s="44">
        <v>867.0092219599999</v>
      </c>
      <c r="D38" s="44">
        <v>722.8199999999999</v>
      </c>
      <c r="E38" s="45">
        <v>813.0357542200002</v>
      </c>
      <c r="F38" s="44">
        <v>972.435</v>
      </c>
      <c r="G38" s="44">
        <v>1000.5010000000001</v>
      </c>
      <c r="H38" s="44">
        <v>961.4799999999999</v>
      </c>
      <c r="I38" s="44">
        <v>968.006</v>
      </c>
      <c r="J38" s="86"/>
    </row>
    <row r="39" spans="1:10" ht="15">
      <c r="A39" s="43" t="str">
        <f>HLOOKUP(INDICE!$F$2,Nombres!$C$3:$D$636,57,FALSE)</f>
        <v>Otros activos</v>
      </c>
      <c r="B39" s="60">
        <f aca="true" t="shared" si="5" ref="B39:I39">+B40-B38-B36-B35-B34</f>
        <v>3208.4397557000084</v>
      </c>
      <c r="C39" s="60">
        <f t="shared" si="5"/>
        <v>3038.5657413299996</v>
      </c>
      <c r="D39" s="60">
        <f t="shared" si="5"/>
        <v>2045.3390000000018</v>
      </c>
      <c r="E39" s="68">
        <f t="shared" si="5"/>
        <v>2290.4712517000007</v>
      </c>
      <c r="F39" s="44">
        <f t="shared" si="5"/>
        <v>2382.012999999997</v>
      </c>
      <c r="G39" s="44">
        <f t="shared" si="5"/>
        <v>2396.9912348399976</v>
      </c>
      <c r="H39" s="44">
        <f t="shared" si="5"/>
        <v>2517.655699839989</v>
      </c>
      <c r="I39" s="44">
        <f t="shared" si="5"/>
        <v>1438.490874760002</v>
      </c>
      <c r="J39" s="86"/>
    </row>
    <row r="40" spans="1:10" ht="15.75" customHeight="1">
      <c r="A40" s="47" t="str">
        <f>HLOOKUP(INDICE!$F$2,Nombres!$C$3:$D$636,58,FALSE)</f>
        <v>Total activo / pasivo</v>
      </c>
      <c r="B40" s="47">
        <v>74216.74980092</v>
      </c>
      <c r="C40" s="47">
        <v>72900.60996329</v>
      </c>
      <c r="D40" s="47">
        <v>53064.422999999995</v>
      </c>
      <c r="E40" s="47">
        <v>54373.216005919996</v>
      </c>
      <c r="F40" s="53">
        <v>57031.333999999995</v>
      </c>
      <c r="G40" s="53">
        <v>56433.37429913999</v>
      </c>
      <c r="H40" s="53">
        <v>55973.272699839996</v>
      </c>
      <c r="I40" s="53">
        <v>54995.74887476</v>
      </c>
      <c r="J40" s="86"/>
    </row>
    <row r="41" spans="1:10" ht="15">
      <c r="A41" s="43" t="str">
        <f>HLOOKUP(INDICE!$F$2,Nombres!$C$3:$D$636,59,FALSE)</f>
        <v>Pasivos financieros mantenidos para negociar y designados a valor razonable con cambios en resultados</v>
      </c>
      <c r="B41" s="60">
        <v>2575.2990000000004</v>
      </c>
      <c r="C41" s="60">
        <v>2656.99</v>
      </c>
      <c r="D41" s="60">
        <v>566.779</v>
      </c>
      <c r="E41" s="68">
        <v>1356.829</v>
      </c>
      <c r="F41" s="44">
        <v>2324.884</v>
      </c>
      <c r="G41" s="44">
        <v>1931.3759999999997</v>
      </c>
      <c r="H41" s="44">
        <v>1641.4089999999999</v>
      </c>
      <c r="I41" s="44">
        <v>1860.009</v>
      </c>
      <c r="J41" s="86"/>
    </row>
    <row r="42" spans="1:10" ht="15">
      <c r="A42" s="43" t="str">
        <f>HLOOKUP(INDICE!$F$2,Nombres!$C$3:$D$636,60,FALSE)</f>
        <v>Depósitos de bancos centrales y entidades de crédito</v>
      </c>
      <c r="B42" s="60">
        <v>5257.337</v>
      </c>
      <c r="C42" s="60">
        <v>5041.677000000001</v>
      </c>
      <c r="D42" s="60">
        <v>2988.6760000000004</v>
      </c>
      <c r="E42" s="68">
        <v>3075.554</v>
      </c>
      <c r="F42" s="44">
        <v>3153.6319999999996</v>
      </c>
      <c r="G42" s="44">
        <v>3230.6949999999997</v>
      </c>
      <c r="H42" s="44">
        <v>3682.479</v>
      </c>
      <c r="I42" s="44">
        <v>3656.085</v>
      </c>
      <c r="J42" s="86"/>
    </row>
    <row r="43" spans="1:10" ht="15">
      <c r="A43" s="43" t="str">
        <f>HLOOKUP(INDICE!$F$2,Nombres!$C$3:$D$636,61,FALSE)</f>
        <v>Depósitos de la clientela</v>
      </c>
      <c r="B43" s="60">
        <v>45229.64100001001</v>
      </c>
      <c r="C43" s="60">
        <v>45614.869999999995</v>
      </c>
      <c r="D43" s="60">
        <v>36404.816</v>
      </c>
      <c r="E43" s="68">
        <v>35841.565999989994</v>
      </c>
      <c r="F43" s="44">
        <v>37235.835</v>
      </c>
      <c r="G43" s="44">
        <v>36895.21650859</v>
      </c>
      <c r="H43" s="44">
        <v>36159.263000000006</v>
      </c>
      <c r="I43" s="44">
        <v>36104.399000000005</v>
      </c>
      <c r="J43" s="86"/>
    </row>
    <row r="44" spans="1:10" ht="15">
      <c r="A44" s="43" t="str">
        <f>HLOOKUP(INDICE!$F$2,Nombres!$C$3:$D$636,62,FALSE)</f>
        <v>Valores representativos de deuda emitidos</v>
      </c>
      <c r="B44" s="44">
        <v>7411.900999999999</v>
      </c>
      <c r="C44" s="44">
        <v>6808.783</v>
      </c>
      <c r="D44" s="44">
        <v>3077.3810000000003</v>
      </c>
      <c r="E44" s="45">
        <v>3205.7799999999997</v>
      </c>
      <c r="F44" s="44">
        <v>3387.7419999999997</v>
      </c>
      <c r="G44" s="44">
        <v>3201.6079999999997</v>
      </c>
      <c r="H44" s="44">
        <v>3306.9010000000003</v>
      </c>
      <c r="I44" s="44">
        <v>3220.065</v>
      </c>
      <c r="J44" s="86"/>
    </row>
    <row r="45" spans="1:10" ht="15">
      <c r="A45" s="43" t="str">
        <f>HLOOKUP(INDICE!$F$2,Nombres!$C$3:$D$636,63,FALSE)</f>
        <v>Otros pasivos</v>
      </c>
      <c r="B45" s="60">
        <f aca="true" t="shared" si="6" ref="B45:I45">+B40-B41-B42-B43-B44-B46</f>
        <v>10819.592518910002</v>
      </c>
      <c r="C45" s="60">
        <f t="shared" si="6"/>
        <v>9504.423013289997</v>
      </c>
      <c r="D45" s="60">
        <f>+D40-D41-D42-D43-D44-D46</f>
        <v>7659.859968179993</v>
      </c>
      <c r="E45" s="68">
        <f t="shared" si="6"/>
        <v>8538.952747610001</v>
      </c>
      <c r="F45" s="44">
        <f t="shared" si="6"/>
        <v>8500.71126</v>
      </c>
      <c r="G45" s="44">
        <f t="shared" si="6"/>
        <v>8722.063850549997</v>
      </c>
      <c r="H45" s="44">
        <f t="shared" si="6"/>
        <v>8807.81862014999</v>
      </c>
      <c r="I45" s="44">
        <f t="shared" si="6"/>
        <v>7663.649798599998</v>
      </c>
      <c r="J45" s="86"/>
    </row>
    <row r="46" spans="1:10" ht="15">
      <c r="A46" s="43" t="str">
        <f>HLOOKUP(INDICE!$F$2,Nombres!$C$3:$D$636,64,FALSE)</f>
        <v>Dotación de capital económico</v>
      </c>
      <c r="B46" s="44">
        <v>2922.9792820000002</v>
      </c>
      <c r="C46" s="44">
        <v>3273.8669499999996</v>
      </c>
      <c r="D46" s="44">
        <v>2366.91103182</v>
      </c>
      <c r="E46" s="45">
        <v>2354.53425832</v>
      </c>
      <c r="F46" s="44">
        <v>2428.52974</v>
      </c>
      <c r="G46" s="44">
        <v>2452.4149400000006</v>
      </c>
      <c r="H46" s="44">
        <v>2375.40207969</v>
      </c>
      <c r="I46" s="44">
        <v>2491.54107616</v>
      </c>
      <c r="J46" s="86"/>
    </row>
    <row r="47" spans="1:10" ht="15">
      <c r="A47" s="65"/>
      <c r="B47" s="60"/>
      <c r="C47" s="60"/>
      <c r="D47" s="60"/>
      <c r="E47" s="60"/>
      <c r="F47" s="44"/>
      <c r="G47" s="44"/>
      <c r="H47" s="44"/>
      <c r="I47" s="44"/>
      <c r="J47" s="86"/>
    </row>
    <row r="48" spans="1:10" ht="15">
      <c r="A48" s="43"/>
      <c r="B48" s="60"/>
      <c r="C48" s="60"/>
      <c r="D48" s="60"/>
      <c r="E48" s="60"/>
      <c r="F48" s="44"/>
      <c r="G48" s="44"/>
      <c r="H48" s="44"/>
      <c r="I48" s="44"/>
      <c r="J48" s="86"/>
    </row>
    <row r="49" spans="1:10" ht="18">
      <c r="A49" s="33" t="str">
        <f>HLOOKUP(INDICE!$F$2,Nombres!$C$3:$D$636,65,FALSE)</f>
        <v>Indicadores relevantes y de gestión</v>
      </c>
      <c r="B49" s="34"/>
      <c r="C49" s="34"/>
      <c r="D49" s="34"/>
      <c r="E49" s="34"/>
      <c r="F49" s="72"/>
      <c r="G49" s="72"/>
      <c r="H49" s="72"/>
      <c r="I49" s="72"/>
      <c r="J49" s="86"/>
    </row>
    <row r="50" spans="1:10" ht="15">
      <c r="A50" s="35" t="str">
        <f>HLOOKUP(INDICE!$F$2,Nombres!$C$3:$D$636,32,FALSE)</f>
        <v>(Millones de euros)</v>
      </c>
      <c r="B50" s="30"/>
      <c r="C50" s="30"/>
      <c r="D50" s="30"/>
      <c r="E50" s="30"/>
      <c r="F50" s="73"/>
      <c r="G50" s="44"/>
      <c r="H50" s="44"/>
      <c r="I50" s="44"/>
      <c r="J50" s="86"/>
    </row>
    <row r="51" spans="1:10" ht="15.75">
      <c r="A51" s="30"/>
      <c r="B51" s="55">
        <f aca="true" t="shared" si="7" ref="B51:I51">+B$33</f>
        <v>43190</v>
      </c>
      <c r="C51" s="55">
        <f t="shared" si="7"/>
        <v>43281</v>
      </c>
      <c r="D51" s="55">
        <f t="shared" si="7"/>
        <v>43373</v>
      </c>
      <c r="E51" s="71">
        <f t="shared" si="7"/>
        <v>43465</v>
      </c>
      <c r="F51" s="55">
        <f t="shared" si="7"/>
        <v>43555</v>
      </c>
      <c r="G51" s="55">
        <f t="shared" si="7"/>
        <v>43646</v>
      </c>
      <c r="H51" s="55">
        <f t="shared" si="7"/>
        <v>43738</v>
      </c>
      <c r="I51" s="55">
        <f t="shared" si="7"/>
        <v>43830</v>
      </c>
      <c r="J51" s="86"/>
    </row>
    <row r="52" spans="1:10" ht="15">
      <c r="A52" s="43" t="str">
        <f>HLOOKUP(INDICE!$F$2,Nombres!$C$3:$D$636,66,FALSE)</f>
        <v>Préstamos y anticipos a la clientela bruto (*)</v>
      </c>
      <c r="B52" s="44">
        <v>49820.80301327999</v>
      </c>
      <c r="C52" s="44">
        <v>50019.67536535</v>
      </c>
      <c r="D52" s="44">
        <v>36307.506418720004</v>
      </c>
      <c r="E52" s="45">
        <v>35980.557186759994</v>
      </c>
      <c r="F52" s="44">
        <v>37226.72492212999</v>
      </c>
      <c r="G52" s="44">
        <v>37236.317957219995</v>
      </c>
      <c r="H52" s="44">
        <v>37401.43582346001</v>
      </c>
      <c r="I52" s="44">
        <v>37424.3042611</v>
      </c>
      <c r="J52" s="86"/>
    </row>
    <row r="53" spans="1:10" ht="15">
      <c r="A53" s="43" t="str">
        <f>HLOOKUP(INDICE!$F$2,Nombres!$C$3:$D$636,67,FALSE)</f>
        <v>Depósitos de clientes en gestión (**)</v>
      </c>
      <c r="B53" s="44">
        <v>45233.86553773</v>
      </c>
      <c r="C53" s="44">
        <v>45343.53756411999</v>
      </c>
      <c r="D53" s="44">
        <v>36433.72286839</v>
      </c>
      <c r="E53" s="45">
        <v>35983.68052552</v>
      </c>
      <c r="F53" s="44">
        <v>37341.46268891</v>
      </c>
      <c r="G53" s="44">
        <v>36909.436516860005</v>
      </c>
      <c r="H53" s="44">
        <v>36163.63943142</v>
      </c>
      <c r="I53" s="44">
        <v>36123.41847488</v>
      </c>
      <c r="J53" s="86"/>
    </row>
    <row r="54" spans="1:10" ht="15">
      <c r="A54" s="43" t="str">
        <f>HLOOKUP(INDICE!$F$2,Nombres!$C$3:$D$636,68,FALSE)</f>
        <v>Fondos de inversión</v>
      </c>
      <c r="B54" s="44">
        <v>6142.394477799999</v>
      </c>
      <c r="C54" s="44">
        <v>5561.9444846900005</v>
      </c>
      <c r="D54" s="44">
        <v>3885.47672081</v>
      </c>
      <c r="E54" s="45">
        <v>3740.82961555</v>
      </c>
      <c r="F54" s="44">
        <v>4200.42768723</v>
      </c>
      <c r="G54" s="44">
        <v>4164.98669668</v>
      </c>
      <c r="H54" s="44">
        <v>3938.4021081</v>
      </c>
      <c r="I54" s="44">
        <v>3859.8348800199997</v>
      </c>
      <c r="J54" s="86"/>
    </row>
    <row r="55" spans="1:10" ht="15">
      <c r="A55" s="43" t="str">
        <f>HLOOKUP(INDICE!$F$2,Nombres!$C$3:$D$636,69,FALSE)</f>
        <v>Fondos de pensiones</v>
      </c>
      <c r="B55" s="44">
        <v>6875.24034009</v>
      </c>
      <c r="C55" s="44">
        <v>7407.77517479</v>
      </c>
      <c r="D55" s="44">
        <v>7656.76104086</v>
      </c>
      <c r="E55" s="45">
        <v>7921.10404079</v>
      </c>
      <c r="F55" s="44">
        <v>8280.6570624</v>
      </c>
      <c r="G55" s="44">
        <v>8412.01073898</v>
      </c>
      <c r="H55" s="44">
        <v>9047.52912357</v>
      </c>
      <c r="I55" s="44">
        <v>9004.5869315</v>
      </c>
      <c r="J55" s="86"/>
    </row>
    <row r="56" spans="1:10" ht="15">
      <c r="A56" s="43" t="str">
        <f>HLOOKUP(INDICE!$F$2,Nombres!$C$3:$D$636,70,FALSE)</f>
        <v>Otros recursos fuera de balance</v>
      </c>
      <c r="B56" s="44" t="s">
        <v>400</v>
      </c>
      <c r="C56" s="44" t="s">
        <v>400</v>
      </c>
      <c r="D56" s="44" t="s">
        <v>400</v>
      </c>
      <c r="E56" s="45" t="s">
        <v>400</v>
      </c>
      <c r="F56" s="44" t="s">
        <v>400</v>
      </c>
      <c r="G56" s="44" t="s">
        <v>400</v>
      </c>
      <c r="H56" s="44" t="s">
        <v>400</v>
      </c>
      <c r="I56" s="44" t="s">
        <v>400</v>
      </c>
      <c r="J56" s="86"/>
    </row>
    <row r="57" spans="1:9" ht="15">
      <c r="A57" s="65" t="str">
        <f>HLOOKUP(INDICE!$F$2,Nombres!$C$3:$D$636,71,FALSE)</f>
        <v>(*) No incluye las adquisiciones temporales de activos.</v>
      </c>
      <c r="B57" s="60"/>
      <c r="C57" s="60"/>
      <c r="D57" s="60"/>
      <c r="E57" s="60"/>
      <c r="F57" s="60"/>
      <c r="G57" s="60"/>
      <c r="H57" s="60"/>
      <c r="I57" s="60"/>
    </row>
    <row r="58" spans="1:9" ht="15">
      <c r="A58" s="65" t="str">
        <f>HLOOKUP(INDICE!$F$2,Nombres!$C$3:$D$636,72,FALSE)</f>
        <v>(**) No incluye las cesiones temporales de activos.</v>
      </c>
      <c r="B58" s="30"/>
      <c r="C58" s="30"/>
      <c r="D58" s="30"/>
      <c r="E58" s="30"/>
      <c r="F58" s="30"/>
      <c r="G58" s="30"/>
      <c r="H58" s="30"/>
      <c r="I58" s="30"/>
    </row>
    <row r="59" spans="1:9" ht="15">
      <c r="A59" s="65"/>
      <c r="B59" s="30"/>
      <c r="C59" s="30"/>
      <c r="D59" s="30"/>
      <c r="E59" s="30"/>
      <c r="F59" s="30"/>
      <c r="G59" s="30"/>
      <c r="H59" s="30"/>
      <c r="I59" s="30"/>
    </row>
    <row r="60" spans="1:9" ht="18">
      <c r="A60" s="33" t="str">
        <f>HLOOKUP(INDICE!$F$2,Nombres!$C$3:$D$636,31,FALSE)</f>
        <v>Cuenta de resultados  </v>
      </c>
      <c r="B60" s="34"/>
      <c r="C60" s="34"/>
      <c r="D60" s="34"/>
      <c r="E60" s="34"/>
      <c r="F60" s="34"/>
      <c r="G60" s="34"/>
      <c r="H60" s="34"/>
      <c r="I60" s="34"/>
    </row>
    <row r="61" spans="1:9" ht="15">
      <c r="A61" s="35" t="str">
        <f>HLOOKUP(INDICE!$F$2,Nombres!$C$3:$D$636,73,FALSE)</f>
        <v>(Millones de euros constantes)</v>
      </c>
      <c r="B61" s="30"/>
      <c r="C61" s="36"/>
      <c r="D61" s="36"/>
      <c r="E61" s="36"/>
      <c r="F61" s="30"/>
      <c r="G61" s="30"/>
      <c r="H61" s="30"/>
      <c r="I61" s="30"/>
    </row>
    <row r="62" spans="1:9" ht="15">
      <c r="A62" s="37"/>
      <c r="B62" s="30"/>
      <c r="C62" s="36"/>
      <c r="D62" s="36"/>
      <c r="E62" s="36"/>
      <c r="F62" s="30"/>
      <c r="G62" s="30"/>
      <c r="H62" s="30"/>
      <c r="I62" s="30"/>
    </row>
    <row r="63" spans="1:9" ht="15.75">
      <c r="A63" s="38"/>
      <c r="B63" s="295">
        <f>+B$6</f>
        <v>2018</v>
      </c>
      <c r="C63" s="295"/>
      <c r="D63" s="295"/>
      <c r="E63" s="296"/>
      <c r="F63" s="295">
        <f>+F$6</f>
        <v>2019</v>
      </c>
      <c r="G63" s="295"/>
      <c r="H63" s="295"/>
      <c r="I63" s="295"/>
    </row>
    <row r="64" spans="1:9" ht="15.75">
      <c r="A64" s="38"/>
      <c r="B64" s="39" t="str">
        <f>+B$7</f>
        <v>1er Trim.</v>
      </c>
      <c r="C64" s="39" t="str">
        <f aca="true" t="shared" si="8" ref="C64:I64">+C$7</f>
        <v>2º Trim.</v>
      </c>
      <c r="D64" s="39" t="str">
        <f t="shared" si="8"/>
        <v>3er Trim.</v>
      </c>
      <c r="E64" s="40" t="str">
        <f t="shared" si="8"/>
        <v>4º Trim.</v>
      </c>
      <c r="F64" s="39" t="str">
        <f t="shared" si="8"/>
        <v>1er Trim.</v>
      </c>
      <c r="G64" s="39" t="str">
        <f t="shared" si="8"/>
        <v>2º Trim.</v>
      </c>
      <c r="H64" s="39" t="str">
        <f t="shared" si="8"/>
        <v>3er Trim.</v>
      </c>
      <c r="I64" s="39" t="str">
        <f t="shared" si="8"/>
        <v>4º Trim.</v>
      </c>
    </row>
    <row r="65" spans="1:9" ht="15">
      <c r="A65" s="41" t="str">
        <f>HLOOKUP(INDICE!$F$2,Nombres!$C$3:$D$636,33,FALSE)</f>
        <v>Margen de intereses</v>
      </c>
      <c r="B65" s="41">
        <v>670.0177710500584</v>
      </c>
      <c r="C65" s="41">
        <v>697.4828926610243</v>
      </c>
      <c r="D65" s="41">
        <v>704.619180915982</v>
      </c>
      <c r="E65" s="42">
        <v>703.1159111823744</v>
      </c>
      <c r="F65" s="52">
        <v>694.7809165322076</v>
      </c>
      <c r="G65" s="52">
        <v>771.7857662805613</v>
      </c>
      <c r="H65" s="52">
        <v>851.6789998785137</v>
      </c>
      <c r="I65" s="52">
        <v>878.1882281487176</v>
      </c>
    </row>
    <row r="66" spans="1:9" ht="15">
      <c r="A66" s="43" t="str">
        <f>HLOOKUP(INDICE!$F$2,Nombres!$C$3:$D$636,34,FALSE)</f>
        <v>Comisiones netas</v>
      </c>
      <c r="B66" s="44">
        <v>135.86567991898153</v>
      </c>
      <c r="C66" s="44">
        <v>147.66881196743617</v>
      </c>
      <c r="D66" s="44">
        <v>143.18758921971875</v>
      </c>
      <c r="E66" s="45">
        <v>159.28140961611007</v>
      </c>
      <c r="F66" s="44">
        <v>125.51624985451473</v>
      </c>
      <c r="G66" s="44">
        <v>149.4315169156405</v>
      </c>
      <c r="H66" s="44">
        <v>140.97280782285443</v>
      </c>
      <c r="I66" s="44">
        <v>140.59240927699037</v>
      </c>
    </row>
    <row r="67" spans="1:9" ht="15">
      <c r="A67" s="43" t="str">
        <f>HLOOKUP(INDICE!$F$2,Nombres!$C$3:$D$636,35,FALSE)</f>
        <v>Resultados de operaciones financieras</v>
      </c>
      <c r="B67" s="44">
        <v>87.03021477350605</v>
      </c>
      <c r="C67" s="44">
        <v>96.94780692383668</v>
      </c>
      <c r="D67" s="44">
        <v>90.87600280927472</v>
      </c>
      <c r="E67" s="45">
        <v>89.20220171116276</v>
      </c>
      <c r="F67" s="44">
        <v>169.49009594218126</v>
      </c>
      <c r="G67" s="44">
        <v>99.87232309207985</v>
      </c>
      <c r="H67" s="44">
        <v>134.28123555553978</v>
      </c>
      <c r="I67" s="44">
        <v>172.1000782801991</v>
      </c>
    </row>
    <row r="68" spans="1:9" ht="15">
      <c r="A68" s="43" t="str">
        <f>HLOOKUP(INDICE!$F$2,Nombres!$C$3:$D$636,36,FALSE)</f>
        <v>Otros ingresos y cargas de explotación</v>
      </c>
      <c r="B68" s="44">
        <v>-67.99284341997485</v>
      </c>
      <c r="C68" s="44">
        <v>-52.76293554591088</v>
      </c>
      <c r="D68" s="44">
        <v>-95.91523244847488</v>
      </c>
      <c r="E68" s="45">
        <v>-141.8265968951929</v>
      </c>
      <c r="F68" s="44">
        <v>-109.21005917641656</v>
      </c>
      <c r="G68" s="44">
        <v>-112.24822829374611</v>
      </c>
      <c r="H68" s="44">
        <v>-107.40607086525834</v>
      </c>
      <c r="I68" s="44">
        <v>-150.228641664579</v>
      </c>
    </row>
    <row r="69" spans="1:9" ht="15">
      <c r="A69" s="41" t="str">
        <f>HLOOKUP(INDICE!$F$2,Nombres!$C$3:$D$636,37,FALSE)</f>
        <v>Margen bruto</v>
      </c>
      <c r="B69" s="41">
        <f>+SUM(B65:B68)</f>
        <v>824.9208223225711</v>
      </c>
      <c r="C69" s="41">
        <f aca="true" t="shared" si="9" ref="C69:I69">+SUM(C65:C68)</f>
        <v>889.3365760063863</v>
      </c>
      <c r="D69" s="41">
        <f t="shared" si="9"/>
        <v>842.7675404965007</v>
      </c>
      <c r="E69" s="42">
        <f t="shared" si="9"/>
        <v>809.7729256144543</v>
      </c>
      <c r="F69" s="52">
        <f t="shared" si="9"/>
        <v>880.5772031524871</v>
      </c>
      <c r="G69" s="52">
        <f t="shared" si="9"/>
        <v>908.8413779945355</v>
      </c>
      <c r="H69" s="52">
        <f t="shared" si="9"/>
        <v>1019.5269723916496</v>
      </c>
      <c r="I69" s="52">
        <f t="shared" si="9"/>
        <v>1040.652074041328</v>
      </c>
    </row>
    <row r="70" spans="1:9" ht="15">
      <c r="A70" s="43" t="str">
        <f>HLOOKUP(INDICE!$F$2,Nombres!$C$3:$D$636,38,FALSE)</f>
        <v>Gastos de explotación</v>
      </c>
      <c r="B70" s="44">
        <v>-385.6182307487994</v>
      </c>
      <c r="C70" s="44">
        <v>-387.96239647306976</v>
      </c>
      <c r="D70" s="44">
        <v>-385.1199972456733</v>
      </c>
      <c r="E70" s="45">
        <v>-389.88160584405637</v>
      </c>
      <c r="F70" s="44">
        <v>-348.2368498900035</v>
      </c>
      <c r="G70" s="44">
        <v>-366.89075267813706</v>
      </c>
      <c r="H70" s="44">
        <v>-410.26290836153913</v>
      </c>
      <c r="I70" s="44">
        <v>-448.6571319703203</v>
      </c>
    </row>
    <row r="71" spans="1:9" ht="15">
      <c r="A71" s="43" t="str">
        <f>HLOOKUP(INDICE!$F$2,Nombres!$C$3:$D$636,39,FALSE)</f>
        <v>  Gastos de administración</v>
      </c>
      <c r="B71" s="44">
        <v>-363.3080793378194</v>
      </c>
      <c r="C71" s="44">
        <v>-364.2057320312566</v>
      </c>
      <c r="D71" s="44">
        <v>-345.30920077680025</v>
      </c>
      <c r="E71" s="45">
        <v>-358.049289169393</v>
      </c>
      <c r="F71" s="44">
        <v>-309.13134731513776</v>
      </c>
      <c r="G71" s="44">
        <v>-326.1751853523952</v>
      </c>
      <c r="H71" s="44">
        <v>-368.8090191894537</v>
      </c>
      <c r="I71" s="44">
        <v>-398.60009104301344</v>
      </c>
    </row>
    <row r="72" spans="1:9" ht="15">
      <c r="A72" s="46" t="str">
        <f>HLOOKUP(INDICE!$F$2,Nombres!$C$3:$D$636,40,FALSE)</f>
        <v>  Gastos de personal</v>
      </c>
      <c r="B72" s="44">
        <v>-193.2733508640238</v>
      </c>
      <c r="C72" s="44">
        <v>-200.6581713015979</v>
      </c>
      <c r="D72" s="44">
        <v>-176.73695317053108</v>
      </c>
      <c r="E72" s="45">
        <v>-191.56239880967263</v>
      </c>
      <c r="F72" s="44">
        <v>-177.4881330101387</v>
      </c>
      <c r="G72" s="44">
        <v>-187.23388417898255</v>
      </c>
      <c r="H72" s="44">
        <v>-205.15619887525577</v>
      </c>
      <c r="I72" s="44">
        <v>-224.16091515562294</v>
      </c>
    </row>
    <row r="73" spans="1:9" ht="15">
      <c r="A73" s="46" t="str">
        <f>HLOOKUP(INDICE!$F$2,Nombres!$C$3:$D$636,41,FALSE)</f>
        <v>  Otros gastos de administración</v>
      </c>
      <c r="B73" s="44">
        <v>-170.0347284737956</v>
      </c>
      <c r="C73" s="44">
        <v>-163.5475607296587</v>
      </c>
      <c r="D73" s="44">
        <v>-168.5722476062691</v>
      </c>
      <c r="E73" s="45">
        <v>-166.48689035972038</v>
      </c>
      <c r="F73" s="44">
        <v>-131.64321430499905</v>
      </c>
      <c r="G73" s="44">
        <v>-138.94130117341265</v>
      </c>
      <c r="H73" s="44">
        <v>-163.65282031419792</v>
      </c>
      <c r="I73" s="44">
        <v>-174.43917588739038</v>
      </c>
    </row>
    <row r="74" spans="1:9" ht="15">
      <c r="A74" s="43" t="str">
        <f>HLOOKUP(INDICE!$F$2,Nombres!$C$3:$D$636,42,FALSE)</f>
        <v>  Amortización</v>
      </c>
      <c r="B74" s="44">
        <v>-22.310151410980033</v>
      </c>
      <c r="C74" s="44">
        <v>-23.756664441813204</v>
      </c>
      <c r="D74" s="44">
        <v>-39.8107964688731</v>
      </c>
      <c r="E74" s="45">
        <v>-31.832316674663332</v>
      </c>
      <c r="F74" s="44">
        <v>-39.10550257486568</v>
      </c>
      <c r="G74" s="44">
        <v>-40.715567325741894</v>
      </c>
      <c r="H74" s="44">
        <v>-41.45388917208544</v>
      </c>
      <c r="I74" s="44">
        <v>-50.057040927306986</v>
      </c>
    </row>
    <row r="75" spans="1:9" ht="15">
      <c r="A75" s="41" t="str">
        <f>HLOOKUP(INDICE!$F$2,Nombres!$C$3:$D$636,43,FALSE)</f>
        <v>Margen neto</v>
      </c>
      <c r="B75" s="41">
        <f>+B69+B70</f>
        <v>439.3025915737717</v>
      </c>
      <c r="C75" s="41">
        <f aca="true" t="shared" si="10" ref="C75:I75">+C69+C70</f>
        <v>501.3741795333165</v>
      </c>
      <c r="D75" s="41">
        <f t="shared" si="10"/>
        <v>457.6475432508274</v>
      </c>
      <c r="E75" s="42">
        <f t="shared" si="10"/>
        <v>419.8913197703979</v>
      </c>
      <c r="F75" s="52">
        <f t="shared" si="10"/>
        <v>532.3403532624836</v>
      </c>
      <c r="G75" s="52">
        <f t="shared" si="10"/>
        <v>541.9506253163984</v>
      </c>
      <c r="H75" s="52">
        <f t="shared" si="10"/>
        <v>609.2640640301104</v>
      </c>
      <c r="I75" s="52">
        <f t="shared" si="10"/>
        <v>591.9949420710077</v>
      </c>
    </row>
    <row r="76" spans="1:9" ht="15">
      <c r="A76" s="43" t="str">
        <f>HLOOKUP(INDICE!$F$2,Nombres!$C$3:$D$636,44,FALSE)</f>
        <v>Deterioro de activos financieros no valorados a valor razonable con cambios en resultados</v>
      </c>
      <c r="B76" s="44">
        <v>-156.15086524985853</v>
      </c>
      <c r="C76" s="44">
        <v>-141.8563626697907</v>
      </c>
      <c r="D76" s="44">
        <v>-180.86624153137458</v>
      </c>
      <c r="E76" s="45">
        <v>-121.10752109153852</v>
      </c>
      <c r="F76" s="44">
        <v>-168.48982981289254</v>
      </c>
      <c r="G76" s="44">
        <v>-161.45680046006652</v>
      </c>
      <c r="H76" s="44">
        <v>-219.21249467853787</v>
      </c>
      <c r="I76" s="44">
        <v>-227.38087504850307</v>
      </c>
    </row>
    <row r="77" spans="1:9" ht="15">
      <c r="A77" s="43" t="str">
        <f>HLOOKUP(INDICE!$F$2,Nombres!$C$3:$D$636,45,FALSE)</f>
        <v>Provisiones o reversión de provisiones y otros resultados</v>
      </c>
      <c r="B77" s="44">
        <v>-5.731643790430358</v>
      </c>
      <c r="C77" s="44">
        <v>-20.409521123209874</v>
      </c>
      <c r="D77" s="44">
        <v>-5.558182065176049</v>
      </c>
      <c r="E77" s="45">
        <v>-24.6369582282927</v>
      </c>
      <c r="F77" s="44">
        <v>-10.956361330761865</v>
      </c>
      <c r="G77" s="44">
        <v>-3.5426892756610577</v>
      </c>
      <c r="H77" s="44">
        <v>-17.04605424581468</v>
      </c>
      <c r="I77" s="44">
        <v>-71.77989514776242</v>
      </c>
    </row>
    <row r="78" spans="1:9" ht="15">
      <c r="A78" s="41" t="str">
        <f>HLOOKUP(INDICE!$F$2,Nombres!$C$3:$D$636,46,FALSE)</f>
        <v>Resultado antes de impuestos</v>
      </c>
      <c r="B78" s="41">
        <f>+B75+B76+B77</f>
        <v>277.4200825334828</v>
      </c>
      <c r="C78" s="41">
        <f aca="true" t="shared" si="11" ref="C78:I78">+C75+C76+C77</f>
        <v>339.10829574031595</v>
      </c>
      <c r="D78" s="41">
        <f t="shared" si="11"/>
        <v>271.2231196542768</v>
      </c>
      <c r="E78" s="42">
        <f t="shared" si="11"/>
        <v>274.1468404505667</v>
      </c>
      <c r="F78" s="52">
        <f t="shared" si="11"/>
        <v>352.89416211882923</v>
      </c>
      <c r="G78" s="52">
        <f t="shared" si="11"/>
        <v>376.9511355806708</v>
      </c>
      <c r="H78" s="52">
        <f t="shared" si="11"/>
        <v>373.00551510575787</v>
      </c>
      <c r="I78" s="52">
        <f t="shared" si="11"/>
        <v>292.8341718747422</v>
      </c>
    </row>
    <row r="79" spans="1:9" ht="15">
      <c r="A79" s="43" t="str">
        <f>HLOOKUP(INDICE!$F$2,Nombres!$C$3:$D$636,47,FALSE)</f>
        <v>Impuesto sobre beneficios</v>
      </c>
      <c r="B79" s="44">
        <v>-112.77166233159927</v>
      </c>
      <c r="C79" s="44">
        <v>-110.64421578823877</v>
      </c>
      <c r="D79" s="44">
        <v>-94.38500052241979</v>
      </c>
      <c r="E79" s="45">
        <v>-121.4695111926165</v>
      </c>
      <c r="F79" s="44">
        <v>-119.85930352578248</v>
      </c>
      <c r="G79" s="44">
        <v>-119.53369522588454</v>
      </c>
      <c r="H79" s="44">
        <v>-71.22114889367512</v>
      </c>
      <c r="I79" s="44">
        <v>-56.977681754657794</v>
      </c>
    </row>
    <row r="80" spans="1:9" ht="15">
      <c r="A80" s="41" t="str">
        <f>HLOOKUP(INDICE!$F$2,Nombres!$C$3:$D$636,48,FALSE)</f>
        <v>Resultado del ejercicio</v>
      </c>
      <c r="B80" s="41">
        <f>+B78+B79</f>
        <v>164.64842020188354</v>
      </c>
      <c r="C80" s="41">
        <f aca="true" t="shared" si="12" ref="C80:I80">+C78+C79</f>
        <v>228.46407995207718</v>
      </c>
      <c r="D80" s="41">
        <f t="shared" si="12"/>
        <v>176.838119131857</v>
      </c>
      <c r="E80" s="42">
        <f t="shared" si="12"/>
        <v>152.6773292579502</v>
      </c>
      <c r="F80" s="52">
        <f t="shared" si="12"/>
        <v>233.03485859304675</v>
      </c>
      <c r="G80" s="52">
        <f t="shared" si="12"/>
        <v>257.4174403547862</v>
      </c>
      <c r="H80" s="52">
        <f t="shared" si="12"/>
        <v>301.7843662120828</v>
      </c>
      <c r="I80" s="52">
        <f t="shared" si="12"/>
        <v>235.8564901200844</v>
      </c>
    </row>
    <row r="81" spans="1:9" ht="15">
      <c r="A81" s="43" t="str">
        <f>HLOOKUP(INDICE!$F$2,Nombres!$C$3:$D$636,49,FALSE)</f>
        <v>Minoritarios</v>
      </c>
      <c r="B81" s="44">
        <v>-43.2017513495159</v>
      </c>
      <c r="C81" s="44">
        <v>-72.65964707625007</v>
      </c>
      <c r="D81" s="44">
        <v>-50.84894014267814</v>
      </c>
      <c r="E81" s="45">
        <v>-54.35683233329436</v>
      </c>
      <c r="F81" s="44">
        <v>-71.90832664414626</v>
      </c>
      <c r="G81" s="44">
        <v>-74.26484648998407</v>
      </c>
      <c r="H81" s="44">
        <v>-94.36636902096704</v>
      </c>
      <c r="I81" s="44">
        <v>-66.26642138490261</v>
      </c>
    </row>
    <row r="82" spans="1:9" ht="15">
      <c r="A82" s="47" t="str">
        <f>HLOOKUP(INDICE!$F$2,Nombres!$C$3:$D$636,50,FALSE)</f>
        <v>Resultado atribuido</v>
      </c>
      <c r="B82" s="47">
        <f>+B80+B81</f>
        <v>121.44666885236764</v>
      </c>
      <c r="C82" s="47">
        <f aca="true" t="shared" si="13" ref="C82:I82">+C80+C81</f>
        <v>155.8044328758271</v>
      </c>
      <c r="D82" s="47">
        <f t="shared" si="13"/>
        <v>125.98917898917887</v>
      </c>
      <c r="E82" s="47">
        <f t="shared" si="13"/>
        <v>98.32049692465583</v>
      </c>
      <c r="F82" s="53">
        <f t="shared" si="13"/>
        <v>161.1265319489005</v>
      </c>
      <c r="G82" s="53">
        <f t="shared" si="13"/>
        <v>183.15259386480216</v>
      </c>
      <c r="H82" s="53">
        <f t="shared" si="13"/>
        <v>207.41799719111572</v>
      </c>
      <c r="I82" s="53">
        <f t="shared" si="13"/>
        <v>169.59006873518177</v>
      </c>
    </row>
    <row r="83" spans="1:9" ht="15">
      <c r="A83" s="65"/>
      <c r="B83" s="66">
        <v>0</v>
      </c>
      <c r="C83" s="66">
        <v>0</v>
      </c>
      <c r="D83" s="66">
        <v>1.2789769243681803E-13</v>
      </c>
      <c r="E83" s="66">
        <v>-1.1368683772161603E-13</v>
      </c>
      <c r="F83" s="66">
        <v>2.2737367544323206E-13</v>
      </c>
      <c r="G83" s="66">
        <v>0</v>
      </c>
      <c r="H83" s="66">
        <v>0</v>
      </c>
      <c r="I83" s="66">
        <v>0</v>
      </c>
    </row>
    <row r="84" spans="1:9" ht="15">
      <c r="A84" s="47" t="str">
        <f>HLOOKUP(INDICE!$F$2,Nombres!$C$3:$D$636,254,FALSE)</f>
        <v>Resultado atribuido sin BBVA Chile (*)</v>
      </c>
      <c r="B84" s="47">
        <v>94.09605950719559</v>
      </c>
      <c r="C84" s="47">
        <v>121.67243813620291</v>
      </c>
      <c r="D84" s="47">
        <v>125.89220791225004</v>
      </c>
      <c r="E84" s="47">
        <v>98.26388169697078</v>
      </c>
      <c r="F84" s="47">
        <v>161.12653194890026</v>
      </c>
      <c r="G84" s="47">
        <v>183.15259386480224</v>
      </c>
      <c r="H84" s="47">
        <v>207.41799719111572</v>
      </c>
      <c r="I84" s="47">
        <v>169.59006873518172</v>
      </c>
    </row>
    <row r="85" spans="1:9" ht="15">
      <c r="A85" s="49" t="str">
        <f>HLOOKUP(INDICE!$F$2,Nombres!$C$3:$D$636,251,FALSE)</f>
        <v>(*) Resultados generados por BBVA Chile hasta su venta el 6 de julio del 2018 y las plusvalías de la operación</v>
      </c>
      <c r="B85" s="66"/>
      <c r="C85" s="66"/>
      <c r="D85" s="66"/>
      <c r="E85" s="66"/>
      <c r="F85" s="66"/>
      <c r="G85" s="66"/>
      <c r="H85" s="66"/>
      <c r="I85" s="66"/>
    </row>
    <row r="86" spans="1:9" ht="15">
      <c r="A86" s="65"/>
      <c r="B86" s="66"/>
      <c r="C86" s="66"/>
      <c r="D86" s="66"/>
      <c r="E86" s="66"/>
      <c r="F86" s="66"/>
      <c r="G86" s="66"/>
      <c r="H86" s="66"/>
      <c r="I86" s="66"/>
    </row>
    <row r="87" spans="1:9" ht="15">
      <c r="A87" s="41"/>
      <c r="B87" s="41"/>
      <c r="C87" s="41"/>
      <c r="D87" s="41"/>
      <c r="E87" s="41"/>
      <c r="F87" s="52"/>
      <c r="G87" s="52"/>
      <c r="H87" s="52"/>
      <c r="I87" s="52"/>
    </row>
    <row r="88" spans="1:9" ht="18">
      <c r="A88" s="33" t="str">
        <f>HLOOKUP(INDICE!$F$2,Nombres!$C$3:$D$636,51,FALSE)</f>
        <v>Balances</v>
      </c>
      <c r="B88" s="34"/>
      <c r="C88" s="34"/>
      <c r="D88" s="34"/>
      <c r="E88" s="34"/>
      <c r="F88" s="72"/>
      <c r="G88" s="72"/>
      <c r="H88" s="72"/>
      <c r="I88" s="72"/>
    </row>
    <row r="89" spans="1:9" ht="15">
      <c r="A89" s="35" t="str">
        <f>HLOOKUP(INDICE!$F$2,Nombres!$C$3:$D$636,73,FALSE)</f>
        <v>(Millones de euros constantes)</v>
      </c>
      <c r="B89" s="30"/>
      <c r="C89" s="54"/>
      <c r="D89" s="54"/>
      <c r="E89" s="54"/>
      <c r="F89" s="73"/>
      <c r="G89" s="44"/>
      <c r="H89" s="44"/>
      <c r="I89" s="44"/>
    </row>
    <row r="90" spans="1:9" ht="15.75">
      <c r="A90" s="30"/>
      <c r="B90" s="55">
        <f aca="true" t="shared" si="14" ref="B90:I90">+B$33</f>
        <v>43190</v>
      </c>
      <c r="C90" s="55">
        <f t="shared" si="14"/>
        <v>43281</v>
      </c>
      <c r="D90" s="55">
        <f t="shared" si="14"/>
        <v>43373</v>
      </c>
      <c r="E90" s="71">
        <f t="shared" si="14"/>
        <v>43465</v>
      </c>
      <c r="F90" s="55">
        <f t="shared" si="14"/>
        <v>43555</v>
      </c>
      <c r="G90" s="55">
        <f t="shared" si="14"/>
        <v>43646</v>
      </c>
      <c r="H90" s="55">
        <f t="shared" si="14"/>
        <v>43738</v>
      </c>
      <c r="I90" s="55">
        <f t="shared" si="14"/>
        <v>43830</v>
      </c>
    </row>
    <row r="91" spans="1:9" ht="15">
      <c r="A91" s="43" t="str">
        <f>HLOOKUP(INDICE!$F$2,Nombres!$C$3:$D$636,52,FALSE)</f>
        <v>Efectivo, saldos en efectivo en bancos centrales y otros depósitos a la vista</v>
      </c>
      <c r="B91" s="44">
        <v>6861.618716099769</v>
      </c>
      <c r="C91" s="44">
        <v>6430.899362728696</v>
      </c>
      <c r="D91" s="44">
        <v>6484.17919096761</v>
      </c>
      <c r="E91" s="45">
        <v>8170.180684196074</v>
      </c>
      <c r="F91" s="44">
        <v>8116.74264007158</v>
      </c>
      <c r="G91" s="44">
        <v>7095.350554252118</v>
      </c>
      <c r="H91" s="44">
        <v>6994.919970261443</v>
      </c>
      <c r="I91" s="44">
        <v>8600.637</v>
      </c>
    </row>
    <row r="92" spans="1:9" ht="15">
      <c r="A92" s="43" t="str">
        <f>HLOOKUP(INDICE!$F$2,Nombres!$C$3:$D$636,53,FALSE)</f>
        <v>Activos financieros a valor razonable</v>
      </c>
      <c r="B92" s="60">
        <v>9090.853316847553</v>
      </c>
      <c r="C92" s="60">
        <v>9062.340130429227</v>
      </c>
      <c r="D92" s="60">
        <v>6199.856526832906</v>
      </c>
      <c r="E92" s="68">
        <v>5411.453437833543</v>
      </c>
      <c r="F92" s="44">
        <v>6475.53324436756</v>
      </c>
      <c r="G92" s="44">
        <v>6860.835620314925</v>
      </c>
      <c r="H92" s="44">
        <v>7036.64815604443</v>
      </c>
      <c r="I92" s="44">
        <v>6119.976000000001</v>
      </c>
    </row>
    <row r="93" spans="1:9" ht="15">
      <c r="A93" s="43" t="str">
        <f>HLOOKUP(INDICE!$F$2,Nombres!$C$3:$D$636,54,FALSE)</f>
        <v>Activos financieros a coste amortizado</v>
      </c>
      <c r="B93" s="44">
        <v>46067.67100728189</v>
      </c>
      <c r="C93" s="44">
        <v>46161.37869433813</v>
      </c>
      <c r="D93" s="44">
        <v>34236.96589263838</v>
      </c>
      <c r="E93" s="45">
        <v>35275.62762945997</v>
      </c>
      <c r="F93" s="44">
        <v>36075.69399502501</v>
      </c>
      <c r="G93" s="44">
        <v>36524.12418570896</v>
      </c>
      <c r="H93" s="44">
        <v>37860.77889224016</v>
      </c>
      <c r="I93" s="44">
        <v>37868.638999999996</v>
      </c>
    </row>
    <row r="94" spans="1:9" ht="15">
      <c r="A94" s="43" t="str">
        <f>HLOOKUP(INDICE!$F$2,Nombres!$C$3:$D$636,55,FALSE)</f>
        <v>    de los que préstamos y anticipos a la clientela</v>
      </c>
      <c r="B94" s="44">
        <v>42819.079066959224</v>
      </c>
      <c r="C94" s="44">
        <v>43888.44377432506</v>
      </c>
      <c r="D94" s="44">
        <v>32697.831138580863</v>
      </c>
      <c r="E94" s="45">
        <v>33200.092563973856</v>
      </c>
      <c r="F94" s="44">
        <v>33920.81491341031</v>
      </c>
      <c r="G94" s="44">
        <v>34325.9356581088</v>
      </c>
      <c r="H94" s="44">
        <v>35528.304147546165</v>
      </c>
      <c r="I94" s="44">
        <v>35701.328</v>
      </c>
    </row>
    <row r="95" spans="1:9" ht="15">
      <c r="A95" s="43" t="str">
        <f>HLOOKUP(INDICE!$F$2,Nombres!$C$3:$D$636,56,FALSE)</f>
        <v>Activos tangibles</v>
      </c>
      <c r="B95" s="44">
        <v>848.0661360003924</v>
      </c>
      <c r="C95" s="44">
        <v>773.355338331769</v>
      </c>
      <c r="D95" s="44">
        <v>672.0492464389313</v>
      </c>
      <c r="E95" s="45">
        <v>772.3468414389766</v>
      </c>
      <c r="F95" s="44">
        <v>923.4281469143439</v>
      </c>
      <c r="G95" s="44">
        <v>953.9921596946928</v>
      </c>
      <c r="H95" s="44">
        <v>949.7925026906266</v>
      </c>
      <c r="I95" s="44">
        <v>968.006</v>
      </c>
    </row>
    <row r="96" spans="1:9" ht="15">
      <c r="A96" s="43" t="str">
        <f>HLOOKUP(INDICE!$F$2,Nombres!$C$3:$D$636,57,FALSE)</f>
        <v>Otros activos</v>
      </c>
      <c r="B96" s="60">
        <f>+B97-B95-B93-B92-B91</f>
        <v>2936.5847148714365</v>
      </c>
      <c r="C96" s="60">
        <f aca="true" t="shared" si="15" ref="C96:I96">+C97-C95-C93-C92-C91</f>
        <v>2798.2864071267777</v>
      </c>
      <c r="D96" s="60">
        <f t="shared" si="15"/>
        <v>1899.0089905789919</v>
      </c>
      <c r="E96" s="68">
        <f t="shared" si="15"/>
        <v>2183.157714099186</v>
      </c>
      <c r="F96" s="44">
        <f t="shared" si="15"/>
        <v>2213.8208799867016</v>
      </c>
      <c r="G96" s="44">
        <f t="shared" si="15"/>
        <v>2241.229929396959</v>
      </c>
      <c r="H96" s="44">
        <f t="shared" si="15"/>
        <v>2435.7611796693227</v>
      </c>
      <c r="I96" s="44">
        <f t="shared" si="15"/>
        <v>1438.490874760002</v>
      </c>
    </row>
    <row r="97" spans="1:9" ht="15">
      <c r="A97" s="47" t="str">
        <f>HLOOKUP(INDICE!$F$2,Nombres!$C$3:$D$636,58,FALSE)</f>
        <v>Total activo / pasivo</v>
      </c>
      <c r="B97" s="47">
        <v>65804.79389110104</v>
      </c>
      <c r="C97" s="47">
        <v>65226.2599329546</v>
      </c>
      <c r="D97" s="47">
        <v>49492.05984745682</v>
      </c>
      <c r="E97" s="47">
        <v>51812.76630702775</v>
      </c>
      <c r="F97" s="53">
        <v>53805.2189063652</v>
      </c>
      <c r="G97" s="53">
        <v>53675.53244936766</v>
      </c>
      <c r="H97" s="53">
        <v>55277.90070090598</v>
      </c>
      <c r="I97" s="53">
        <v>54995.74887476</v>
      </c>
    </row>
    <row r="98" spans="1:9" ht="15">
      <c r="A98" s="43" t="str">
        <f>HLOOKUP(INDICE!$F$2,Nombres!$C$3:$D$636,59,FALSE)</f>
        <v>Pasivos financieros mantenidos para negociar y designados a valor razonable con cambios en resultados</v>
      </c>
      <c r="B98" s="60">
        <v>2301.0375571748414</v>
      </c>
      <c r="C98" s="60">
        <v>2377.8528758986704</v>
      </c>
      <c r="D98" s="60">
        <v>507.47318204141266</v>
      </c>
      <c r="E98" s="68">
        <v>1367.5826145245342</v>
      </c>
      <c r="F98" s="44">
        <v>2250.2693617810637</v>
      </c>
      <c r="G98" s="44">
        <v>1891.615011617618</v>
      </c>
      <c r="H98" s="44">
        <v>1669.0070495774023</v>
      </c>
      <c r="I98" s="44">
        <v>1860.009</v>
      </c>
    </row>
    <row r="99" spans="1:9" ht="15">
      <c r="A99" s="43" t="str">
        <f>HLOOKUP(INDICE!$F$2,Nombres!$C$3:$D$636,60,FALSE)</f>
        <v>Depósitos de bancos centrales y entidades de crédito</v>
      </c>
      <c r="B99" s="60">
        <v>5108.829483180871</v>
      </c>
      <c r="C99" s="60">
        <v>4779.437424453836</v>
      </c>
      <c r="D99" s="60">
        <v>2898.7046645556247</v>
      </c>
      <c r="E99" s="68">
        <v>3047.492978219244</v>
      </c>
      <c r="F99" s="44">
        <v>3049.0893816271223</v>
      </c>
      <c r="G99" s="44">
        <v>3166.386711274059</v>
      </c>
      <c r="H99" s="44">
        <v>3616.185910602515</v>
      </c>
      <c r="I99" s="44">
        <v>3656.085</v>
      </c>
    </row>
    <row r="100" spans="1:9" ht="15">
      <c r="A100" s="43" t="str">
        <f>HLOOKUP(INDICE!$F$2,Nombres!$C$3:$D$636,61,FALSE)</f>
        <v>Depósitos de la clientela</v>
      </c>
      <c r="B100" s="60">
        <v>39625.5199275041</v>
      </c>
      <c r="C100" s="60">
        <v>40507.00181223237</v>
      </c>
      <c r="D100" s="60">
        <v>33812.61800475567</v>
      </c>
      <c r="E100" s="68">
        <v>33931.09174502033</v>
      </c>
      <c r="F100" s="44">
        <v>35082.99865060518</v>
      </c>
      <c r="G100" s="44">
        <v>35062.53942227816</v>
      </c>
      <c r="H100" s="44">
        <v>35809.95639424327</v>
      </c>
      <c r="I100" s="44">
        <v>36104.399000000005</v>
      </c>
    </row>
    <row r="101" spans="1:9" ht="15">
      <c r="A101" s="43" t="str">
        <f>HLOOKUP(INDICE!$F$2,Nombres!$C$3:$D$636,62,FALSE)</f>
        <v>Valores representativos de deuda emitidos</v>
      </c>
      <c r="B101" s="44">
        <v>6879.990099755829</v>
      </c>
      <c r="C101" s="44">
        <v>6296.761482688551</v>
      </c>
      <c r="D101" s="44">
        <v>2977.8443024048443</v>
      </c>
      <c r="E101" s="45">
        <v>3191.2821784639073</v>
      </c>
      <c r="F101" s="44">
        <v>3248.1634300112664</v>
      </c>
      <c r="G101" s="44">
        <v>3092.101629325293</v>
      </c>
      <c r="H101" s="44">
        <v>3230.34926951989</v>
      </c>
      <c r="I101" s="44">
        <v>3220.065</v>
      </c>
    </row>
    <row r="102" spans="1:9" ht="15">
      <c r="A102" s="43" t="str">
        <f>HLOOKUP(INDICE!$F$2,Nombres!$C$3:$D$636,63,FALSE)</f>
        <v>Otros pasivos</v>
      </c>
      <c r="B102" s="60">
        <f>+B97-B98-B99-B100-B101-B103</f>
        <v>9417.650706613662</v>
      </c>
      <c r="C102" s="60">
        <f aca="true" t="shared" si="16" ref="C102:I102">+C97-C98-C99-C100-C101-C103</f>
        <v>8399.871281134905</v>
      </c>
      <c r="D102" s="60">
        <f t="shared" si="16"/>
        <v>7128.954951369982</v>
      </c>
      <c r="E102" s="68">
        <f t="shared" si="16"/>
        <v>8049.210602237343</v>
      </c>
      <c r="F102" s="44">
        <f t="shared" si="16"/>
        <v>7909.783205181169</v>
      </c>
      <c r="G102" s="44">
        <f t="shared" si="16"/>
        <v>8167.623649022838</v>
      </c>
      <c r="H102" s="44">
        <f t="shared" si="16"/>
        <v>8600.70926652616</v>
      </c>
      <c r="I102" s="44">
        <f t="shared" si="16"/>
        <v>7663.649798599998</v>
      </c>
    </row>
    <row r="103" spans="1:9" ht="15">
      <c r="A103" s="43" t="str">
        <f>HLOOKUP(INDICE!$F$2,Nombres!$C$3:$D$636,64,FALSE)</f>
        <v>Dotación de capital económico</v>
      </c>
      <c r="B103" s="44">
        <v>2471.7661168717304</v>
      </c>
      <c r="C103" s="44">
        <v>2865.33505654627</v>
      </c>
      <c r="D103" s="44">
        <v>2166.464742329286</v>
      </c>
      <c r="E103" s="45">
        <v>2226.106188562393</v>
      </c>
      <c r="F103" s="44">
        <v>2264.914877159395</v>
      </c>
      <c r="G103" s="44">
        <v>2295.266025849684</v>
      </c>
      <c r="H103" s="44">
        <v>2351.692810436734</v>
      </c>
      <c r="I103" s="44">
        <v>2491.54107616</v>
      </c>
    </row>
    <row r="104" spans="1:9" ht="15">
      <c r="A104" s="65"/>
      <c r="B104" s="60"/>
      <c r="C104" s="60"/>
      <c r="D104" s="60"/>
      <c r="E104" s="60"/>
      <c r="F104" s="44"/>
      <c r="G104" s="44"/>
      <c r="H104" s="44"/>
      <c r="I104" s="44"/>
    </row>
    <row r="105" spans="1:9" ht="15">
      <c r="A105" s="43"/>
      <c r="B105" s="60"/>
      <c r="C105" s="60"/>
      <c r="D105" s="60"/>
      <c r="E105" s="60"/>
      <c r="F105" s="44"/>
      <c r="G105" s="44"/>
      <c r="H105" s="44"/>
      <c r="I105" s="44"/>
    </row>
    <row r="106" spans="1:9" ht="18">
      <c r="A106" s="33" t="str">
        <f>HLOOKUP(INDICE!$F$2,Nombres!$C$3:$D$636,65,FALSE)</f>
        <v>Indicadores relevantes y de gestión</v>
      </c>
      <c r="B106" s="34"/>
      <c r="C106" s="34"/>
      <c r="D106" s="34"/>
      <c r="E106" s="34"/>
      <c r="F106" s="72"/>
      <c r="G106" s="72"/>
      <c r="H106" s="72"/>
      <c r="I106" s="72"/>
    </row>
    <row r="107" spans="1:9" ht="15">
      <c r="A107" s="35" t="str">
        <f>HLOOKUP(INDICE!$F$2,Nombres!$C$3:$D$636,73,FALSE)</f>
        <v>(Millones de euros constantes)</v>
      </c>
      <c r="B107" s="30"/>
      <c r="C107" s="30"/>
      <c r="D107" s="30"/>
      <c r="E107" s="30"/>
      <c r="F107" s="73"/>
      <c r="G107" s="44"/>
      <c r="H107" s="44"/>
      <c r="I107" s="44"/>
    </row>
    <row r="108" spans="1:9" ht="15.75">
      <c r="A108" s="30"/>
      <c r="B108" s="55">
        <f aca="true" t="shared" si="17" ref="B108:I108">+B$33</f>
        <v>43190</v>
      </c>
      <c r="C108" s="55">
        <f t="shared" si="17"/>
        <v>43281</v>
      </c>
      <c r="D108" s="55">
        <f t="shared" si="17"/>
        <v>43373</v>
      </c>
      <c r="E108" s="71">
        <f t="shared" si="17"/>
        <v>43465</v>
      </c>
      <c r="F108" s="55">
        <f t="shared" si="17"/>
        <v>43555</v>
      </c>
      <c r="G108" s="55">
        <f t="shared" si="17"/>
        <v>43646</v>
      </c>
      <c r="H108" s="55">
        <f t="shared" si="17"/>
        <v>43738</v>
      </c>
      <c r="I108" s="55">
        <f t="shared" si="17"/>
        <v>43830</v>
      </c>
    </row>
    <row r="109" spans="1:9" ht="15">
      <c r="A109" s="43" t="str">
        <f>HLOOKUP(INDICE!$F$2,Nombres!$C$3:$D$636,66,FALSE)</f>
        <v>Préstamos y anticipos a la clientela bruto (*)</v>
      </c>
      <c r="B109" s="44">
        <v>44290.12231975011</v>
      </c>
      <c r="C109" s="44">
        <v>45104.308631457534</v>
      </c>
      <c r="D109" s="44">
        <v>34189.94985468891</v>
      </c>
      <c r="E109" s="45">
        <v>34731.141977564526</v>
      </c>
      <c r="F109" s="44">
        <v>35426.4976067395</v>
      </c>
      <c r="G109" s="44">
        <v>35789.132713502746</v>
      </c>
      <c r="H109" s="44">
        <v>37043.20260717292</v>
      </c>
      <c r="I109" s="44">
        <v>37424.3042611</v>
      </c>
    </row>
    <row r="110" spans="1:9" ht="15">
      <c r="A110" s="43" t="str">
        <f>HLOOKUP(INDICE!$F$2,Nombres!$C$3:$D$636,67,FALSE)</f>
        <v>Depósitos de clientes en gestión (**)</v>
      </c>
      <c r="B110" s="44">
        <v>39584.47470928871</v>
      </c>
      <c r="C110" s="44">
        <v>40256.586068416465</v>
      </c>
      <c r="D110" s="44">
        <v>33838.59575589954</v>
      </c>
      <c r="E110" s="45">
        <v>34073.18947862076</v>
      </c>
      <c r="F110" s="44">
        <v>35183.96400751485</v>
      </c>
      <c r="G110" s="44">
        <v>35076.42043127286</v>
      </c>
      <c r="H110" s="44">
        <v>35815.04642958027</v>
      </c>
      <c r="I110" s="44">
        <v>36123.41847488</v>
      </c>
    </row>
    <row r="111" spans="1:9" ht="15">
      <c r="A111" s="43" t="str">
        <f>HLOOKUP(INDICE!$F$2,Nombres!$C$3:$D$636,68,FALSE)</f>
        <v>Fondos de inversión</v>
      </c>
      <c r="B111" s="44">
        <v>4882.042477919358</v>
      </c>
      <c r="C111" s="44">
        <v>4756.5069234895955</v>
      </c>
      <c r="D111" s="44">
        <v>3593.3830098628796</v>
      </c>
      <c r="E111" s="45">
        <v>3547.272173291907</v>
      </c>
      <c r="F111" s="44">
        <v>3884.679662521038</v>
      </c>
      <c r="G111" s="44">
        <v>3869.9122891924176</v>
      </c>
      <c r="H111" s="44">
        <v>3906.6986948988683</v>
      </c>
      <c r="I111" s="44">
        <v>3859.8348800199997</v>
      </c>
    </row>
    <row r="112" spans="1:9" ht="15">
      <c r="A112" s="43" t="str">
        <f>HLOOKUP(INDICE!$F$2,Nombres!$C$3:$D$636,69,FALSE)</f>
        <v>Fondos de pensiones</v>
      </c>
      <c r="B112" s="44">
        <v>7540.501156688793</v>
      </c>
      <c r="C112" s="44">
        <v>7687.366362259583</v>
      </c>
      <c r="D112" s="44">
        <v>7889.8818783879415</v>
      </c>
      <c r="E112" s="45">
        <v>8073.411719173353</v>
      </c>
      <c r="F112" s="44">
        <v>8281.394169102818</v>
      </c>
      <c r="G112" s="44">
        <v>8521.335428986602</v>
      </c>
      <c r="H112" s="44">
        <v>8769.67639544288</v>
      </c>
      <c r="I112" s="44">
        <v>9004.5869315</v>
      </c>
    </row>
    <row r="113" spans="1:9" ht="15">
      <c r="A113" s="43" t="str">
        <f>HLOOKUP(INDICE!$F$2,Nombres!$C$3:$D$636,70,FALSE)</f>
        <v>Otros recursos fuera de balance</v>
      </c>
      <c r="B113" s="44" t="s">
        <v>400</v>
      </c>
      <c r="C113" s="44" t="s">
        <v>400</v>
      </c>
      <c r="D113" s="44" t="s">
        <v>400</v>
      </c>
      <c r="E113" s="45" t="s">
        <v>400</v>
      </c>
      <c r="F113" s="44" t="s">
        <v>400</v>
      </c>
      <c r="G113" s="44" t="s">
        <v>400</v>
      </c>
      <c r="H113" s="44" t="s">
        <v>400</v>
      </c>
      <c r="I113" s="44" t="s">
        <v>400</v>
      </c>
    </row>
    <row r="114" spans="1:9" ht="15">
      <c r="A114" s="65" t="str">
        <f>HLOOKUP(INDICE!$F$2,Nombres!$C$3:$D$636,71,FALSE)</f>
        <v>(*) No incluye las adquisiciones temporales de activos.</v>
      </c>
      <c r="B114" s="60"/>
      <c r="C114" s="60"/>
      <c r="D114" s="60"/>
      <c r="E114" s="60"/>
      <c r="F114" s="60"/>
      <c r="G114" s="60"/>
      <c r="H114" s="60"/>
      <c r="I114" s="60"/>
    </row>
    <row r="115" spans="1:9" ht="15">
      <c r="A115" s="65" t="str">
        <f>HLOOKUP(INDICE!$F$2,Nombres!$C$3:$D$636,72,FALSE)</f>
        <v>(**) No incluye las cesiones temporales de activos.</v>
      </c>
      <c r="B115" s="30"/>
      <c r="C115" s="30"/>
      <c r="D115" s="30"/>
      <c r="E115" s="30"/>
      <c r="F115" s="30"/>
      <c r="G115" s="30"/>
      <c r="H115" s="30"/>
      <c r="I115" s="30"/>
    </row>
    <row r="116" spans="1:9" ht="15">
      <c r="A116" s="65"/>
      <c r="B116" s="60"/>
      <c r="C116" s="44"/>
      <c r="D116" s="44"/>
      <c r="E116" s="44"/>
      <c r="F116" s="44"/>
      <c r="G116" s="30"/>
      <c r="H116" s="30"/>
      <c r="I116" s="30"/>
    </row>
    <row r="122" spans="6:9" ht="15">
      <c r="F122" s="86"/>
      <c r="G122" s="86"/>
      <c r="H122" s="86"/>
      <c r="I122" s="86"/>
    </row>
    <row r="123" spans="6:9" ht="15">
      <c r="F123" s="86"/>
      <c r="G123" s="86"/>
      <c r="H123" s="86"/>
      <c r="I123" s="86"/>
    </row>
    <row r="124" spans="6:9" ht="15">
      <c r="F124" s="86"/>
      <c r="G124" s="86"/>
      <c r="H124" s="86"/>
      <c r="I124" s="86"/>
    </row>
    <row r="125" spans="6:9" ht="15">
      <c r="F125" s="86"/>
      <c r="G125" s="86"/>
      <c r="H125" s="86"/>
      <c r="I125" s="86"/>
    </row>
    <row r="126" spans="6:9" ht="15">
      <c r="F126" s="86"/>
      <c r="G126" s="86"/>
      <c r="H126" s="86"/>
      <c r="I126" s="86"/>
    </row>
    <row r="127" spans="6:9" ht="15">
      <c r="F127" s="86"/>
      <c r="G127" s="86"/>
      <c r="H127" s="86"/>
      <c r="I127" s="86"/>
    </row>
    <row r="128" spans="6:9" ht="15">
      <c r="F128" s="86"/>
      <c r="G128" s="86"/>
      <c r="H128" s="86"/>
      <c r="I128" s="86"/>
    </row>
    <row r="129" spans="6:9" ht="15">
      <c r="F129" s="86"/>
      <c r="G129" s="86"/>
      <c r="H129" s="86"/>
      <c r="I129" s="86"/>
    </row>
    <row r="130" spans="6:9" ht="15">
      <c r="F130" s="86"/>
      <c r="G130" s="86"/>
      <c r="H130" s="86"/>
      <c r="I130" s="86"/>
    </row>
    <row r="131" spans="6:9" ht="15">
      <c r="F131" s="86"/>
      <c r="G131" s="86"/>
      <c r="H131" s="86"/>
      <c r="I131" s="86"/>
    </row>
    <row r="132" spans="6:9" ht="15">
      <c r="F132" s="86"/>
      <c r="G132" s="86"/>
      <c r="H132" s="86"/>
      <c r="I132" s="86"/>
    </row>
    <row r="133" spans="6:9" ht="15">
      <c r="F133" s="86"/>
      <c r="G133" s="86"/>
      <c r="H133" s="86"/>
      <c r="I133" s="86"/>
    </row>
    <row r="134" spans="6:9" ht="15">
      <c r="F134" s="86"/>
      <c r="G134" s="86"/>
      <c r="H134" s="86"/>
      <c r="I134" s="86"/>
    </row>
    <row r="135" spans="6:9" ht="15">
      <c r="F135" s="86"/>
      <c r="G135" s="86"/>
      <c r="H135" s="86"/>
      <c r="I135" s="86"/>
    </row>
    <row r="136" spans="6:9" ht="15">
      <c r="F136" s="86"/>
      <c r="G136" s="86"/>
      <c r="H136" s="86"/>
      <c r="I136" s="86"/>
    </row>
    <row r="137" spans="6:9" ht="15">
      <c r="F137" s="86"/>
      <c r="G137" s="86"/>
      <c r="H137" s="86"/>
      <c r="I137" s="86"/>
    </row>
    <row r="138" spans="6:9" ht="15">
      <c r="F138" s="86"/>
      <c r="G138" s="86"/>
      <c r="H138" s="86"/>
      <c r="I138" s="86"/>
    </row>
    <row r="139" spans="6:9" ht="15">
      <c r="F139" s="86"/>
      <c r="G139" s="86"/>
      <c r="H139" s="86"/>
      <c r="I139" s="86"/>
    </row>
    <row r="140" spans="6:9" ht="15">
      <c r="F140" s="86"/>
      <c r="G140" s="86"/>
      <c r="H140" s="86"/>
      <c r="I140" s="86"/>
    </row>
    <row r="141" spans="6:9" ht="15">
      <c r="F141" s="86"/>
      <c r="G141" s="86"/>
      <c r="H141" s="86"/>
      <c r="I141" s="86"/>
    </row>
    <row r="142" spans="6:9" ht="15">
      <c r="F142" s="86"/>
      <c r="G142" s="86"/>
      <c r="H142" s="86"/>
      <c r="I142" s="86"/>
    </row>
    <row r="143" spans="6:9" ht="15">
      <c r="F143" s="86"/>
      <c r="G143" s="86"/>
      <c r="H143" s="86"/>
      <c r="I143" s="86"/>
    </row>
    <row r="144" spans="6:9" ht="15">
      <c r="F144" s="86"/>
      <c r="G144" s="86"/>
      <c r="H144" s="86"/>
      <c r="I144" s="86"/>
    </row>
    <row r="145" spans="6:9" ht="15">
      <c r="F145" s="86"/>
      <c r="G145" s="86"/>
      <c r="H145" s="86"/>
      <c r="I145" s="86"/>
    </row>
    <row r="146" spans="6:9" ht="15">
      <c r="F146" s="86"/>
      <c r="G146" s="86"/>
      <c r="H146" s="86"/>
      <c r="I146" s="86"/>
    </row>
    <row r="147" spans="6:9" ht="15">
      <c r="F147" s="86"/>
      <c r="G147" s="86"/>
      <c r="H147" s="86"/>
      <c r="I147" s="86"/>
    </row>
    <row r="148" spans="6:9" ht="15">
      <c r="F148" s="86"/>
      <c r="G148" s="86"/>
      <c r="H148" s="86"/>
      <c r="I148" s="86"/>
    </row>
    <row r="149" spans="6:9" ht="15">
      <c r="F149" s="86"/>
      <c r="G149" s="86"/>
      <c r="H149" s="86"/>
      <c r="I149" s="86"/>
    </row>
    <row r="150" spans="6:9" ht="15">
      <c r="F150" s="86"/>
      <c r="G150" s="86"/>
      <c r="H150" s="86"/>
      <c r="I150" s="86"/>
    </row>
    <row r="151" spans="6:9" ht="15">
      <c r="F151" s="86"/>
      <c r="G151" s="86"/>
      <c r="H151" s="86"/>
      <c r="I151" s="86"/>
    </row>
    <row r="152" spans="6:9" ht="15">
      <c r="F152" s="86"/>
      <c r="G152" s="86"/>
      <c r="H152" s="86"/>
      <c r="I152" s="86"/>
    </row>
    <row r="153" spans="6:9" ht="15">
      <c r="F153" s="86"/>
      <c r="G153" s="86"/>
      <c r="H153" s="86"/>
      <c r="I153" s="86"/>
    </row>
    <row r="154" spans="6:9" ht="15">
      <c r="F154" s="86"/>
      <c r="G154" s="86"/>
      <c r="H154" s="86"/>
      <c r="I154" s="86"/>
    </row>
    <row r="155" spans="6:9" ht="15">
      <c r="F155" s="86"/>
      <c r="G155" s="86"/>
      <c r="H155" s="86"/>
      <c r="I155" s="86"/>
    </row>
    <row r="156" spans="6:9" ht="15">
      <c r="F156" s="86"/>
      <c r="G156" s="86"/>
      <c r="H156" s="86"/>
      <c r="I156" s="86"/>
    </row>
    <row r="157" spans="6:9" ht="15">
      <c r="F157" s="86"/>
      <c r="G157" s="86"/>
      <c r="H157" s="86"/>
      <c r="I157" s="86"/>
    </row>
    <row r="158" spans="6:9" ht="15">
      <c r="F158" s="86"/>
      <c r="G158" s="86"/>
      <c r="H158" s="86"/>
      <c r="I158" s="86"/>
    </row>
    <row r="159" spans="6:9" ht="15">
      <c r="F159" s="86"/>
      <c r="G159" s="86"/>
      <c r="H159" s="86"/>
      <c r="I159" s="86"/>
    </row>
    <row r="160" spans="6:9" ht="15">
      <c r="F160" s="86"/>
      <c r="G160" s="86"/>
      <c r="H160" s="86"/>
      <c r="I160" s="86"/>
    </row>
    <row r="161" spans="6:9" ht="15">
      <c r="F161" s="86"/>
      <c r="G161" s="86"/>
      <c r="H161" s="86"/>
      <c r="I161" s="86"/>
    </row>
    <row r="162" spans="6:9" ht="15">
      <c r="F162" s="86"/>
      <c r="G162" s="86"/>
      <c r="H162" s="86"/>
      <c r="I162" s="86"/>
    </row>
    <row r="163" spans="6:9" ht="15">
      <c r="F163" s="86"/>
      <c r="G163" s="86"/>
      <c r="H163" s="86"/>
      <c r="I163" s="86"/>
    </row>
    <row r="164" spans="6:9" ht="15">
      <c r="F164" s="86"/>
      <c r="G164" s="86"/>
      <c r="H164" s="86"/>
      <c r="I164" s="86"/>
    </row>
    <row r="165" spans="6:9" ht="15">
      <c r="F165" s="86"/>
      <c r="G165" s="86"/>
      <c r="H165" s="86"/>
      <c r="I165" s="86"/>
    </row>
    <row r="166" spans="6:9" ht="15">
      <c r="F166" s="86"/>
      <c r="G166" s="86"/>
      <c r="H166" s="86"/>
      <c r="I166" s="86"/>
    </row>
    <row r="167" spans="6:9" ht="15">
      <c r="F167" s="86"/>
      <c r="G167" s="86"/>
      <c r="H167" s="86"/>
      <c r="I167" s="86"/>
    </row>
    <row r="168" spans="6:9" ht="15">
      <c r="F168" s="86"/>
      <c r="G168" s="86"/>
      <c r="H168" s="86"/>
      <c r="I168" s="86"/>
    </row>
    <row r="1000" ht="15">
      <c r="A1000" s="31" t="s">
        <v>399</v>
      </c>
    </row>
  </sheetData>
  <sheetProtection/>
  <mergeCells count="4">
    <mergeCell ref="B6:E6"/>
    <mergeCell ref="F6:I6"/>
    <mergeCell ref="B63:E63"/>
    <mergeCell ref="F63:I63"/>
  </mergeCells>
  <conditionalFormatting sqref="B26:I26 B28:I29">
    <cfRule type="cellIs" priority="2" dxfId="116" operator="notBetween">
      <formula>0.5</formula>
      <formula>-0.5</formula>
    </cfRule>
  </conditionalFormatting>
  <conditionalFormatting sqref="B83:I83 B85:I86">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A9" sqref="A9"/>
    </sheetView>
  </sheetViews>
  <sheetFormatPr defaultColWidth="11.421875" defaultRowHeight="15"/>
  <cols>
    <col min="1" max="1" width="62.00390625" style="31" customWidth="1"/>
    <col min="2"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179.91014893</v>
      </c>
      <c r="C8" s="41">
        <v>136.94955721000002</v>
      </c>
      <c r="D8" s="41">
        <v>89.75229385999994</v>
      </c>
      <c r="E8" s="42">
        <v>248.99500000000003</v>
      </c>
      <c r="F8" s="52">
        <v>218.803</v>
      </c>
      <c r="G8" s="52">
        <v>307.63999999999993</v>
      </c>
      <c r="H8" s="52">
        <v>215.18200000000002</v>
      </c>
      <c r="I8" s="52">
        <v>298.85300000000007</v>
      </c>
    </row>
    <row r="9" spans="1:9" ht="15">
      <c r="A9" s="43" t="str">
        <f>HLOOKUP(INDICE!$F$2,Nombres!$C$3:$D$636,34,FALSE)</f>
        <v>Comisiones netas</v>
      </c>
      <c r="B9" s="44">
        <v>44.985002560000005</v>
      </c>
      <c r="C9" s="44">
        <v>28.91543819000002</v>
      </c>
      <c r="D9" s="44">
        <v>18.769394690000006</v>
      </c>
      <c r="E9" s="45">
        <v>56.59070104999999</v>
      </c>
      <c r="F9" s="44">
        <v>31.991350079999993</v>
      </c>
      <c r="G9" s="44">
        <v>53.86807381</v>
      </c>
      <c r="H9" s="44">
        <v>17.358043630000008</v>
      </c>
      <c r="I9" s="44">
        <v>30.810872999999987</v>
      </c>
    </row>
    <row r="10" spans="1:9" ht="15">
      <c r="A10" s="43" t="str">
        <f>HLOOKUP(INDICE!$F$2,Nombres!$C$3:$D$636,35,FALSE)</f>
        <v>Resultados de operaciones financieras</v>
      </c>
      <c r="B10" s="44">
        <v>40.061317700000004</v>
      </c>
      <c r="C10" s="44">
        <v>28.76541553</v>
      </c>
      <c r="D10" s="44">
        <v>23.658349509999994</v>
      </c>
      <c r="E10" s="45">
        <v>42.56423600000001</v>
      </c>
      <c r="F10" s="44">
        <v>136.71650434999998</v>
      </c>
      <c r="G10" s="44">
        <v>41.24706275000001</v>
      </c>
      <c r="H10" s="44">
        <v>36.24441836</v>
      </c>
      <c r="I10" s="44">
        <v>83.88556699999998</v>
      </c>
    </row>
    <row r="11" spans="1:9" ht="15">
      <c r="A11" s="43" t="str">
        <f>HLOOKUP(INDICE!$F$2,Nombres!$C$3:$D$636,36,FALSE)</f>
        <v>Otros ingresos y cargas de explotación</v>
      </c>
      <c r="B11" s="44">
        <v>-55.12543105</v>
      </c>
      <c r="C11" s="44">
        <v>-44.02712607999999</v>
      </c>
      <c r="D11" s="44">
        <v>-54.504442870000005</v>
      </c>
      <c r="E11" s="45">
        <v>-121.57</v>
      </c>
      <c r="F11" s="44">
        <v>-108.839</v>
      </c>
      <c r="G11" s="44">
        <v>-106.07900000000002</v>
      </c>
      <c r="H11" s="44">
        <v>-85.68499999999997</v>
      </c>
      <c r="I11" s="44">
        <v>-141.24200000000002</v>
      </c>
    </row>
    <row r="12" spans="1:9" ht="15">
      <c r="A12" s="41" t="str">
        <f>HLOOKUP(INDICE!$F$2,Nombres!$C$3:$D$636,37,FALSE)</f>
        <v>Margen bruto</v>
      </c>
      <c r="B12" s="41">
        <f>+SUM(B8:B11)</f>
        <v>209.83103814</v>
      </c>
      <c r="C12" s="41">
        <f aca="true" t="shared" si="0" ref="C12:I12">+SUM(C8:C11)</f>
        <v>150.60328485000005</v>
      </c>
      <c r="D12" s="41">
        <f t="shared" si="0"/>
        <v>77.67559518999992</v>
      </c>
      <c r="E12" s="42">
        <f t="shared" si="0"/>
        <v>226.57993705</v>
      </c>
      <c r="F12" s="52">
        <f t="shared" si="0"/>
        <v>278.67185443</v>
      </c>
      <c r="G12" s="52">
        <f t="shared" si="0"/>
        <v>296.6761365599999</v>
      </c>
      <c r="H12" s="52">
        <f t="shared" si="0"/>
        <v>183.09946199000004</v>
      </c>
      <c r="I12" s="52">
        <f t="shared" si="0"/>
        <v>272.30744000000004</v>
      </c>
    </row>
    <row r="13" spans="1:9" ht="15">
      <c r="A13" s="43" t="str">
        <f>HLOOKUP(INDICE!$F$2,Nombres!$C$3:$D$636,38,FALSE)</f>
        <v>Gastos de explotación</v>
      </c>
      <c r="B13" s="44">
        <v>-148.05925408</v>
      </c>
      <c r="C13" s="44">
        <v>-90.21826501</v>
      </c>
      <c r="D13" s="44">
        <v>-72.40776008</v>
      </c>
      <c r="E13" s="45">
        <v>-179.34065288000002</v>
      </c>
      <c r="F13" s="44">
        <v>-104.91064276</v>
      </c>
      <c r="G13" s="44">
        <v>-135.33064227</v>
      </c>
      <c r="H13" s="44">
        <v>-96.90064226999999</v>
      </c>
      <c r="I13" s="44">
        <v>-145.91062627</v>
      </c>
    </row>
    <row r="14" spans="1:9" ht="15">
      <c r="A14" s="43" t="str">
        <f>HLOOKUP(INDICE!$F$2,Nombres!$C$3:$D$636,39,FALSE)</f>
        <v>  Gastos de administración</v>
      </c>
      <c r="B14" s="44">
        <v>-143.90851486000003</v>
      </c>
      <c r="C14" s="44">
        <v>-87.82682195999999</v>
      </c>
      <c r="D14" s="44">
        <v>-57.824942349999986</v>
      </c>
      <c r="E14" s="45">
        <v>-165.55265287999998</v>
      </c>
      <c r="F14" s="44">
        <v>-94.68664276000001</v>
      </c>
      <c r="G14" s="44">
        <v>-122.40764227000001</v>
      </c>
      <c r="H14" s="44">
        <v>-89.45064227</v>
      </c>
      <c r="I14" s="44">
        <v>-128.76862626999997</v>
      </c>
    </row>
    <row r="15" spans="1:9" ht="15">
      <c r="A15" s="46" t="str">
        <f>HLOOKUP(INDICE!$F$2,Nombres!$C$3:$D$636,40,FALSE)</f>
        <v>  Gastos de personal</v>
      </c>
      <c r="B15" s="44">
        <v>-81.15646229000001</v>
      </c>
      <c r="C15" s="44">
        <v>-47.72713595</v>
      </c>
      <c r="D15" s="44">
        <v>-31.879401759999997</v>
      </c>
      <c r="E15" s="45">
        <v>-89.378</v>
      </c>
      <c r="F15" s="44">
        <v>-59.40199999999999</v>
      </c>
      <c r="G15" s="44">
        <v>-76.21700000000001</v>
      </c>
      <c r="H15" s="44">
        <v>-47.14</v>
      </c>
      <c r="I15" s="44">
        <v>-71.88399999999999</v>
      </c>
    </row>
    <row r="16" spans="1:9" ht="15">
      <c r="A16" s="46" t="str">
        <f>HLOOKUP(INDICE!$F$2,Nombres!$C$3:$D$636,41,FALSE)</f>
        <v>  Otros gastos de administración</v>
      </c>
      <c r="B16" s="44">
        <v>-62.752052569999975</v>
      </c>
      <c r="C16" s="44">
        <v>-40.09968601</v>
      </c>
      <c r="D16" s="44">
        <v>-25.945540590000004</v>
      </c>
      <c r="E16" s="45">
        <v>-76.17465288000001</v>
      </c>
      <c r="F16" s="44">
        <v>-35.284642760000004</v>
      </c>
      <c r="G16" s="44">
        <v>-46.19064227</v>
      </c>
      <c r="H16" s="44">
        <v>-42.31064227</v>
      </c>
      <c r="I16" s="44">
        <v>-56.88462627</v>
      </c>
    </row>
    <row r="17" spans="1:9" ht="15">
      <c r="A17" s="43" t="str">
        <f>HLOOKUP(INDICE!$F$2,Nombres!$C$3:$D$636,42,FALSE)</f>
        <v>  Amortización</v>
      </c>
      <c r="B17" s="44">
        <v>-4.15073922</v>
      </c>
      <c r="C17" s="44">
        <v>-2.3914430500000012</v>
      </c>
      <c r="D17" s="44">
        <v>-14.58281773</v>
      </c>
      <c r="E17" s="45">
        <v>-13.787999999999998</v>
      </c>
      <c r="F17" s="44">
        <v>-10.224</v>
      </c>
      <c r="G17" s="44">
        <v>-12.923</v>
      </c>
      <c r="H17" s="44">
        <v>-7.45</v>
      </c>
      <c r="I17" s="44">
        <v>-17.142</v>
      </c>
    </row>
    <row r="18" spans="1:9" ht="15">
      <c r="A18" s="41" t="str">
        <f>HLOOKUP(INDICE!$F$2,Nombres!$C$3:$D$636,43,FALSE)</f>
        <v>Margen neto</v>
      </c>
      <c r="B18" s="41">
        <f>+B12+B13</f>
        <v>61.771784060000016</v>
      </c>
      <c r="C18" s="41">
        <f aca="true" t="shared" si="1" ref="C18:I18">+C12+C13</f>
        <v>60.385019840000055</v>
      </c>
      <c r="D18" s="41">
        <f t="shared" si="1"/>
        <v>5.267835109999922</v>
      </c>
      <c r="E18" s="42">
        <f t="shared" si="1"/>
        <v>47.23928416999999</v>
      </c>
      <c r="F18" s="52">
        <f t="shared" si="1"/>
        <v>173.76121167</v>
      </c>
      <c r="G18" s="52">
        <f t="shared" si="1"/>
        <v>161.34549428999992</v>
      </c>
      <c r="H18" s="52">
        <f t="shared" si="1"/>
        <v>86.19881972000005</v>
      </c>
      <c r="I18" s="52">
        <f t="shared" si="1"/>
        <v>126.39681373000005</v>
      </c>
    </row>
    <row r="19" spans="1:9" ht="15">
      <c r="A19" s="43" t="str">
        <f>HLOOKUP(INDICE!$F$2,Nombres!$C$3:$D$636,44,FALSE)</f>
        <v>Deterioro de activos financieros no valorados a valor razonable con cambios en resultados</v>
      </c>
      <c r="B19" s="44">
        <v>-15.180512200000003</v>
      </c>
      <c r="C19" s="44">
        <v>-16.548779359999997</v>
      </c>
      <c r="D19" s="44">
        <v>-15.972708449999994</v>
      </c>
      <c r="E19" s="45">
        <v>-33.33</v>
      </c>
      <c r="F19" s="44">
        <v>-23.13300000000001</v>
      </c>
      <c r="G19" s="44">
        <v>-41.50199999999999</v>
      </c>
      <c r="H19" s="44">
        <v>-103.51800000000001</v>
      </c>
      <c r="I19" s="44">
        <v>-69.67899999999997</v>
      </c>
    </row>
    <row r="20" spans="1:9" ht="15">
      <c r="A20" s="43" t="str">
        <f>HLOOKUP(INDICE!$F$2,Nombres!$C$3:$D$636,45,FALSE)</f>
        <v>Provisiones o reversión de provisiones y otros resultados</v>
      </c>
      <c r="B20" s="44">
        <v>-8.016930020000006</v>
      </c>
      <c r="C20" s="44">
        <v>-6.528256750000003</v>
      </c>
      <c r="D20" s="44">
        <v>-4.020813229999998</v>
      </c>
      <c r="E20" s="45">
        <v>-8.844000000000001</v>
      </c>
      <c r="F20" s="44">
        <v>-5.202999999999996</v>
      </c>
      <c r="G20" s="44">
        <v>-10.908999999999986</v>
      </c>
      <c r="H20" s="44">
        <v>-14.277000000000013</v>
      </c>
      <c r="I20" s="44">
        <v>-49.57500000000001</v>
      </c>
    </row>
    <row r="21" spans="1:9" ht="15">
      <c r="A21" s="41" t="str">
        <f>HLOOKUP(INDICE!$F$2,Nombres!$C$3:$D$636,46,FALSE)</f>
        <v>Resultado antes de impuestos</v>
      </c>
      <c r="B21" s="41">
        <f>+B18+B19+B20</f>
        <v>38.57434184000001</v>
      </c>
      <c r="C21" s="41">
        <f aca="true" t="shared" si="2" ref="C21:I21">+C18+C19+C20</f>
        <v>37.30798373000005</v>
      </c>
      <c r="D21" s="41">
        <f t="shared" si="2"/>
        <v>-14.72568657000007</v>
      </c>
      <c r="E21" s="42">
        <f t="shared" si="2"/>
        <v>5.065284169999991</v>
      </c>
      <c r="F21" s="52">
        <f t="shared" si="2"/>
        <v>145.42521166999998</v>
      </c>
      <c r="G21" s="52">
        <f t="shared" si="2"/>
        <v>108.93449428999995</v>
      </c>
      <c r="H21" s="52">
        <f t="shared" si="2"/>
        <v>-31.596180279999984</v>
      </c>
      <c r="I21" s="52">
        <f t="shared" si="2"/>
        <v>7.142813730000064</v>
      </c>
    </row>
    <row r="22" spans="1:9" ht="15">
      <c r="A22" s="43" t="str">
        <f>HLOOKUP(INDICE!$F$2,Nombres!$C$3:$D$636,47,FALSE)</f>
        <v>Impuesto sobre beneficios</v>
      </c>
      <c r="B22" s="44">
        <v>-37.51791237999999</v>
      </c>
      <c r="C22" s="44">
        <v>-42.05440954</v>
      </c>
      <c r="D22" s="44">
        <v>14.061998409999994</v>
      </c>
      <c r="E22" s="45">
        <v>-51.06455323</v>
      </c>
      <c r="F22" s="44">
        <v>-53.987152</v>
      </c>
      <c r="G22" s="44">
        <v>-41.190709149999996</v>
      </c>
      <c r="H22" s="44">
        <v>47.65246832</v>
      </c>
      <c r="I22" s="44">
        <v>10.287332990000012</v>
      </c>
    </row>
    <row r="23" spans="1:9" ht="15">
      <c r="A23" s="41" t="str">
        <f>HLOOKUP(INDICE!$F$2,Nombres!$C$3:$D$636,48,FALSE)</f>
        <v>Resultado del ejercicio</v>
      </c>
      <c r="B23" s="41">
        <f>+B21+B22</f>
        <v>1.0564294600000181</v>
      </c>
      <c r="C23" s="41">
        <f aca="true" t="shared" si="3" ref="C23:I23">+C21+C22</f>
        <v>-4.746425809999948</v>
      </c>
      <c r="D23" s="41">
        <f t="shared" si="3"/>
        <v>-0.6636881600000759</v>
      </c>
      <c r="E23" s="42">
        <f t="shared" si="3"/>
        <v>-45.99926906000001</v>
      </c>
      <c r="F23" s="52">
        <f t="shared" si="3"/>
        <v>91.43805966999997</v>
      </c>
      <c r="G23" s="52">
        <f t="shared" si="3"/>
        <v>67.74378513999994</v>
      </c>
      <c r="H23" s="52">
        <f t="shared" si="3"/>
        <v>16.056288040000013</v>
      </c>
      <c r="I23" s="52">
        <f t="shared" si="3"/>
        <v>17.430146720000074</v>
      </c>
    </row>
    <row r="24" spans="1:9" ht="15">
      <c r="A24" s="43" t="str">
        <f>HLOOKUP(INDICE!$F$2,Nombres!$C$3:$D$636,49,FALSE)</f>
        <v>Minoritarios</v>
      </c>
      <c r="B24" s="44">
        <v>0.3141556699999981</v>
      </c>
      <c r="C24" s="44">
        <v>0.9279448600000004</v>
      </c>
      <c r="D24" s="44">
        <v>-1.08647252</v>
      </c>
      <c r="E24" s="45">
        <v>18.029060999999995</v>
      </c>
      <c r="F24" s="44">
        <v>-31.90341145</v>
      </c>
      <c r="G24" s="44">
        <v>-17.31513072</v>
      </c>
      <c r="H24" s="44">
        <v>-8.739709660000003</v>
      </c>
      <c r="I24" s="44">
        <v>-2.0607148499999983</v>
      </c>
    </row>
    <row r="25" spans="1:9" ht="15">
      <c r="A25" s="47" t="str">
        <f>HLOOKUP(INDICE!$F$2,Nombres!$C$3:$D$636,50,FALSE)</f>
        <v>Resultado atribuido</v>
      </c>
      <c r="B25" s="47">
        <f>+B23+B24</f>
        <v>1.3705851300000162</v>
      </c>
      <c r="C25" s="47">
        <f aca="true" t="shared" si="4" ref="C25:I25">+C23+C24</f>
        <v>-3.818480949999948</v>
      </c>
      <c r="D25" s="47">
        <f t="shared" si="4"/>
        <v>-1.750160680000076</v>
      </c>
      <c r="E25" s="47">
        <f t="shared" si="4"/>
        <v>-27.970208060000015</v>
      </c>
      <c r="F25" s="53">
        <f t="shared" si="4"/>
        <v>59.53464821999997</v>
      </c>
      <c r="G25" s="53">
        <f t="shared" si="4"/>
        <v>50.428654419999944</v>
      </c>
      <c r="H25" s="53">
        <f t="shared" si="4"/>
        <v>7.31657838000001</v>
      </c>
      <c r="I25" s="53">
        <f t="shared" si="4"/>
        <v>15.369431870000076</v>
      </c>
    </row>
    <row r="26" spans="1:9" ht="15">
      <c r="A26" s="65"/>
      <c r="B26" s="66">
        <v>3.197442310920451E-14</v>
      </c>
      <c r="C26" s="66">
        <v>-2.1316282072803006E-14</v>
      </c>
      <c r="D26" s="66">
        <v>-3.8191672047105385E-14</v>
      </c>
      <c r="E26" s="66">
        <v>-3.197442310920451E-14</v>
      </c>
      <c r="F26" s="66">
        <v>0</v>
      </c>
      <c r="G26" s="66">
        <v>0</v>
      </c>
      <c r="H26" s="66">
        <v>1.0658141036401503E-14</v>
      </c>
      <c r="I26" s="66">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4"/>
      <c r="D29" s="54"/>
      <c r="E29" s="54"/>
      <c r="F29" s="30"/>
      <c r="G29" s="60"/>
      <c r="H29" s="60"/>
      <c r="I29" s="60"/>
    </row>
    <row r="30" spans="1:9" ht="15.75">
      <c r="A30" s="30"/>
      <c r="B30" s="55">
        <f>+España!B30</f>
        <v>43190</v>
      </c>
      <c r="C30" s="55">
        <f>+España!C30</f>
        <v>43281</v>
      </c>
      <c r="D30" s="55">
        <f>+España!D30</f>
        <v>43373</v>
      </c>
      <c r="E30" s="71">
        <f>+España!E30</f>
        <v>43465</v>
      </c>
      <c r="F30" s="80">
        <f>+España!F30</f>
        <v>43555</v>
      </c>
      <c r="G30" s="80">
        <f>+España!G30</f>
        <v>43646</v>
      </c>
      <c r="H30" s="80">
        <f>+España!H30</f>
        <v>43738</v>
      </c>
      <c r="I30" s="80">
        <f>+España!I30</f>
        <v>43830</v>
      </c>
    </row>
    <row r="31" spans="1:9" ht="15">
      <c r="A31" s="43" t="str">
        <f>HLOOKUP(INDICE!$F$2,Nombres!$C$3:$D$636,52,FALSE)</f>
        <v>Efectivo, saldos en efectivo en bancos centrales y otros depósitos a la vista</v>
      </c>
      <c r="B31" s="44">
        <v>1487.6400000000003</v>
      </c>
      <c r="C31" s="44">
        <v>1681.9580000000003</v>
      </c>
      <c r="D31" s="44">
        <v>1920.447</v>
      </c>
      <c r="E31" s="45">
        <v>2289.578</v>
      </c>
      <c r="F31" s="44">
        <v>2123.2569999999996</v>
      </c>
      <c r="G31" s="44">
        <v>1865.655</v>
      </c>
      <c r="H31" s="44">
        <v>1510.362</v>
      </c>
      <c r="I31" s="44">
        <v>2323.167</v>
      </c>
    </row>
    <row r="32" spans="1:9" ht="15">
      <c r="A32" s="43" t="str">
        <f>HLOOKUP(INDICE!$F$2,Nombres!$C$3:$D$636,53,FALSE)</f>
        <v>Activos financieros a valor razonable</v>
      </c>
      <c r="B32" s="60">
        <v>851.922</v>
      </c>
      <c r="C32" s="60">
        <v>806.1929999999999</v>
      </c>
      <c r="D32" s="60">
        <v>735.25</v>
      </c>
      <c r="E32" s="68">
        <v>805.4910000000001</v>
      </c>
      <c r="F32" s="44">
        <v>991.193</v>
      </c>
      <c r="G32" s="44">
        <v>1717.322</v>
      </c>
      <c r="H32" s="44">
        <v>1226.1090000000002</v>
      </c>
      <c r="I32" s="44">
        <v>877.162</v>
      </c>
    </row>
    <row r="33" spans="1:9" ht="15">
      <c r="A33" s="43" t="str">
        <f>HLOOKUP(INDICE!$F$2,Nombres!$C$3:$D$636,54,FALSE)</f>
        <v>Activos financieros a coste amortizado</v>
      </c>
      <c r="B33" s="44">
        <v>6129.679000000001</v>
      </c>
      <c r="C33" s="44">
        <v>5388.909999999999</v>
      </c>
      <c r="D33" s="44">
        <v>4295.472999999999</v>
      </c>
      <c r="E33" s="45">
        <v>4634.226000000001</v>
      </c>
      <c r="F33" s="44">
        <v>4387.527</v>
      </c>
      <c r="G33" s="44">
        <v>4120.665</v>
      </c>
      <c r="H33" s="44">
        <v>3516.2899999999995</v>
      </c>
      <c r="I33" s="44">
        <v>3045.6589999999997</v>
      </c>
    </row>
    <row r="34" spans="1:9" ht="15">
      <c r="A34" s="43" t="str">
        <f>HLOOKUP(INDICE!$F$2,Nombres!$C$3:$D$636,55,FALSE)</f>
        <v>    de los que préstamos y anticipos a la clientela</v>
      </c>
      <c r="B34" s="44">
        <v>5700.068</v>
      </c>
      <c r="C34" s="44">
        <v>5035.988</v>
      </c>
      <c r="D34" s="44">
        <v>3911.423</v>
      </c>
      <c r="E34" s="45">
        <v>4305.525000000001</v>
      </c>
      <c r="F34" s="44">
        <v>3981.7120000000004</v>
      </c>
      <c r="G34" s="44">
        <v>3831.908</v>
      </c>
      <c r="H34" s="44">
        <v>3280.766</v>
      </c>
      <c r="I34" s="44">
        <v>2877.7650000000003</v>
      </c>
    </row>
    <row r="35" spans="1:9" ht="15">
      <c r="A35" s="43" t="str">
        <f>HLOOKUP(INDICE!$F$2,Nombres!$C$3:$D$636,56,FALSE)</f>
        <v>Activos tangibles</v>
      </c>
      <c r="B35" s="44">
        <v>487.71004524</v>
      </c>
      <c r="C35" s="44">
        <v>408.06822196</v>
      </c>
      <c r="D35" s="44">
        <v>313.683</v>
      </c>
      <c r="E35" s="45">
        <v>390.15875422</v>
      </c>
      <c r="F35" s="44">
        <v>406.92499999999995</v>
      </c>
      <c r="G35" s="44">
        <v>442.01499999999993</v>
      </c>
      <c r="H35" s="44">
        <v>395.43100000000004</v>
      </c>
      <c r="I35" s="44">
        <v>405.624</v>
      </c>
    </row>
    <row r="36" spans="1:9" ht="15">
      <c r="A36" s="43" t="str">
        <f>HLOOKUP(INDICE!$F$2,Nombres!$C$3:$D$636,57,FALSE)</f>
        <v>Otros activos</v>
      </c>
      <c r="B36" s="60">
        <f>+B37-B35-B33-B32-B31</f>
        <v>145.64240008000024</v>
      </c>
      <c r="C36" s="60">
        <f aca="true" t="shared" si="5" ref="C36:I36">+C37-C35-C33-C32-C31</f>
        <v>134.0467413299964</v>
      </c>
      <c r="D36" s="60">
        <f t="shared" si="5"/>
        <v>137.4269999999999</v>
      </c>
      <c r="E36" s="68">
        <f t="shared" si="5"/>
        <v>156.93325170000162</v>
      </c>
      <c r="F36" s="44">
        <f t="shared" si="5"/>
        <v>162.85299999999916</v>
      </c>
      <c r="G36" s="44">
        <f t="shared" si="5"/>
        <v>192.2770000099997</v>
      </c>
      <c r="H36" s="44">
        <f t="shared" si="5"/>
        <v>185.45700000000102</v>
      </c>
      <c r="I36" s="44">
        <f t="shared" si="5"/>
        <v>251.7103810399999</v>
      </c>
    </row>
    <row r="37" spans="1:9" ht="15">
      <c r="A37" s="47" t="str">
        <f>HLOOKUP(INDICE!$F$2,Nombres!$C$3:$D$636,58,FALSE)</f>
        <v>Total activo / pasivo</v>
      </c>
      <c r="B37" s="47">
        <v>9102.59344532</v>
      </c>
      <c r="C37" s="47">
        <v>8419.175963289996</v>
      </c>
      <c r="D37" s="47">
        <v>7402.279999999999</v>
      </c>
      <c r="E37" s="47">
        <v>8276.387005920002</v>
      </c>
      <c r="F37" s="53">
        <v>8071.754999999999</v>
      </c>
      <c r="G37" s="53">
        <v>8337.93400001</v>
      </c>
      <c r="H37" s="53">
        <v>6833.649000000001</v>
      </c>
      <c r="I37" s="53">
        <v>6903.3223810399995</v>
      </c>
    </row>
    <row r="38" spans="1:9" ht="15">
      <c r="A38" s="43" t="str">
        <f>HLOOKUP(INDICE!$F$2,Nombres!$C$3:$D$636,59,FALSE)</f>
        <v>Pasivos financieros mantenidos para negociar y designados a valor razonable con cambios en resultados</v>
      </c>
      <c r="B38" s="60">
        <v>30.875999999999998</v>
      </c>
      <c r="C38" s="60">
        <v>74.93199999999999</v>
      </c>
      <c r="D38" s="60">
        <v>127.83</v>
      </c>
      <c r="E38" s="68">
        <v>35.328</v>
      </c>
      <c r="F38" s="44">
        <v>62.144999999999996</v>
      </c>
      <c r="G38" s="44">
        <v>70.654</v>
      </c>
      <c r="H38" s="44">
        <v>65.147</v>
      </c>
      <c r="I38" s="44">
        <v>46.093</v>
      </c>
    </row>
    <row r="39" spans="1:9" ht="15">
      <c r="A39" s="43" t="str">
        <f>HLOOKUP(INDICE!$F$2,Nombres!$C$3:$D$636,60,FALSE)</f>
        <v>Depósitos de bancos centrales y entidades de crédito</v>
      </c>
      <c r="B39" s="60">
        <v>127.13899999999998</v>
      </c>
      <c r="C39" s="60">
        <v>273.18</v>
      </c>
      <c r="D39" s="60">
        <v>177.445</v>
      </c>
      <c r="E39" s="68">
        <v>178.077</v>
      </c>
      <c r="F39" s="44">
        <v>162.027</v>
      </c>
      <c r="G39" s="44">
        <v>105.424</v>
      </c>
      <c r="H39" s="44">
        <v>200.54</v>
      </c>
      <c r="I39" s="44">
        <v>117.57600000000001</v>
      </c>
    </row>
    <row r="40" spans="1:9" ht="15.75" customHeight="1">
      <c r="A40" s="43" t="str">
        <f>HLOOKUP(INDICE!$F$2,Nombres!$C$3:$D$636,61,FALSE)</f>
        <v>Depósitos de la clientela</v>
      </c>
      <c r="B40" s="60">
        <v>6440.335000000001</v>
      </c>
      <c r="C40" s="60">
        <v>5935.339</v>
      </c>
      <c r="D40" s="60">
        <v>5400.592</v>
      </c>
      <c r="E40" s="68">
        <v>5983.884</v>
      </c>
      <c r="F40" s="44">
        <v>5681.700000000001</v>
      </c>
      <c r="G40" s="44">
        <v>5841.286</v>
      </c>
      <c r="H40" s="44">
        <v>4403.508</v>
      </c>
      <c r="I40" s="44">
        <v>4365.661</v>
      </c>
    </row>
    <row r="41" spans="1:9" ht="15">
      <c r="A41" s="43" t="str">
        <f>HLOOKUP(INDICE!$F$2,Nombres!$C$3:$D$636,62,FALSE)</f>
        <v>Valores representativos de deuda emitidos</v>
      </c>
      <c r="B41" s="44">
        <v>69.84199999999998</v>
      </c>
      <c r="C41" s="44">
        <v>51.068</v>
      </c>
      <c r="D41" s="44">
        <v>35.958</v>
      </c>
      <c r="E41" s="45">
        <v>54.259</v>
      </c>
      <c r="F41" s="44">
        <v>83.658</v>
      </c>
      <c r="G41" s="44">
        <v>85.98800000000001</v>
      </c>
      <c r="H41" s="44">
        <v>137.787</v>
      </c>
      <c r="I41" s="44">
        <v>105.927</v>
      </c>
    </row>
    <row r="42" spans="1:9" ht="15">
      <c r="A42" s="43" t="str">
        <f>HLOOKUP(INDICE!$F$2,Nombres!$C$3:$D$636,63,FALSE)</f>
        <v>Otros pasivos</v>
      </c>
      <c r="B42" s="60">
        <f>+B37-B38-B39-B40-B41-B43</f>
        <v>1898.85706532</v>
      </c>
      <c r="C42" s="60">
        <f aca="true" t="shared" si="6" ref="C42:I42">+C37-C38-C39-C40-C41-C43</f>
        <v>1557.5046632899944</v>
      </c>
      <c r="D42" s="60">
        <f t="shared" si="6"/>
        <v>1268.0930303799996</v>
      </c>
      <c r="E42" s="68">
        <f t="shared" si="6"/>
        <v>1631.094749120002</v>
      </c>
      <c r="F42" s="44">
        <f t="shared" si="6"/>
        <v>1656.840729999998</v>
      </c>
      <c r="G42" s="44">
        <f t="shared" si="6"/>
        <v>1739.5436700099997</v>
      </c>
      <c r="H42" s="44">
        <f t="shared" si="6"/>
        <v>1641.1631808400016</v>
      </c>
      <c r="I42" s="44">
        <f t="shared" si="6"/>
        <v>1827.7547079199994</v>
      </c>
    </row>
    <row r="43" spans="1:9" ht="15">
      <c r="A43" s="43" t="str">
        <f>HLOOKUP(INDICE!$F$2,Nombres!$C$3:$D$636,64,FALSE)</f>
        <v>Dotación de capital económico</v>
      </c>
      <c r="B43" s="44">
        <v>535.5443800000003</v>
      </c>
      <c r="C43" s="44">
        <v>527.1523000000002</v>
      </c>
      <c r="D43" s="44">
        <v>392.36196961999997</v>
      </c>
      <c r="E43" s="45">
        <v>393.7442567999999</v>
      </c>
      <c r="F43" s="44">
        <v>425.38427</v>
      </c>
      <c r="G43" s="44">
        <v>495.0383300000001</v>
      </c>
      <c r="H43" s="44">
        <v>385.50381916000003</v>
      </c>
      <c r="I43" s="44">
        <v>440.31067312000005</v>
      </c>
    </row>
    <row r="44" spans="1:9" ht="15">
      <c r="A44" s="65"/>
      <c r="B44" s="60"/>
      <c r="C44" s="60"/>
      <c r="D44" s="60"/>
      <c r="E44" s="60"/>
      <c r="F44" s="44"/>
      <c r="G44" s="44"/>
      <c r="H44" s="44"/>
      <c r="I44" s="44"/>
    </row>
    <row r="45" spans="1:9" ht="15">
      <c r="A45" s="43"/>
      <c r="B45" s="60"/>
      <c r="C45" s="60"/>
      <c r="D45" s="60"/>
      <c r="E45" s="60"/>
      <c r="F45" s="44"/>
      <c r="G45" s="44"/>
      <c r="H45" s="44"/>
      <c r="I45" s="44"/>
    </row>
    <row r="46" spans="1:9" ht="18">
      <c r="A46" s="33" t="str">
        <f>HLOOKUP(INDICE!$F$2,Nombres!$C$3:$D$636,65,FALSE)</f>
        <v>Indicadores relevantes y de gestión</v>
      </c>
      <c r="B46" s="34"/>
      <c r="C46" s="34"/>
      <c r="D46" s="34"/>
      <c r="E46" s="34"/>
      <c r="F46" s="72"/>
      <c r="G46" s="72"/>
      <c r="H46" s="72"/>
      <c r="I46" s="72"/>
    </row>
    <row r="47" spans="1:9" ht="15">
      <c r="A47" s="35" t="str">
        <f>HLOOKUP(INDICE!$F$2,Nombres!$C$3:$D$636,32,FALSE)</f>
        <v>(Millones de euros)</v>
      </c>
      <c r="B47" s="30"/>
      <c r="C47" s="30"/>
      <c r="D47" s="30"/>
      <c r="E47" s="30"/>
      <c r="F47" s="73"/>
      <c r="G47" s="44"/>
      <c r="H47" s="44"/>
      <c r="I47" s="44"/>
    </row>
    <row r="48" spans="1:9" ht="15.75">
      <c r="A48" s="30"/>
      <c r="B48" s="55">
        <f aca="true" t="shared" si="7" ref="B48:I48">+B$30</f>
        <v>43190</v>
      </c>
      <c r="C48" s="55">
        <f t="shared" si="7"/>
        <v>43281</v>
      </c>
      <c r="D48" s="55">
        <f t="shared" si="7"/>
        <v>43373</v>
      </c>
      <c r="E48" s="71">
        <f t="shared" si="7"/>
        <v>43465</v>
      </c>
      <c r="F48" s="55">
        <f t="shared" si="7"/>
        <v>43555</v>
      </c>
      <c r="G48" s="55">
        <f t="shared" si="7"/>
        <v>43646</v>
      </c>
      <c r="H48" s="55">
        <f t="shared" si="7"/>
        <v>43738</v>
      </c>
      <c r="I48" s="55">
        <f t="shared" si="7"/>
        <v>43830</v>
      </c>
    </row>
    <row r="49" spans="1:9" ht="15">
      <c r="A49" s="43" t="str">
        <f>HLOOKUP(INDICE!$F$2,Nombres!$C$3:$D$636,66,FALSE)</f>
        <v>Préstamos y anticipos a la clientela bruto (*)</v>
      </c>
      <c r="B49" s="44">
        <v>5607.887027410001</v>
      </c>
      <c r="C49" s="44">
        <v>4920.31864849</v>
      </c>
      <c r="D49" s="44">
        <v>3843.13925647</v>
      </c>
      <c r="E49" s="45">
        <v>4307.69318897</v>
      </c>
      <c r="F49" s="44">
        <v>3980.4970172299995</v>
      </c>
      <c r="G49" s="44">
        <v>4004.81999061</v>
      </c>
      <c r="H49" s="44">
        <v>3450.6767045300003</v>
      </c>
      <c r="I49" s="44">
        <v>3044.82152225</v>
      </c>
    </row>
    <row r="50" spans="1:9" ht="15">
      <c r="A50" s="43" t="str">
        <f>HLOOKUP(INDICE!$F$2,Nombres!$C$3:$D$636,67,FALSE)</f>
        <v>Depósitos de clientes en gestión (**)</v>
      </c>
      <c r="B50" s="44">
        <v>6436.25075196</v>
      </c>
      <c r="C50" s="44">
        <v>5934.343422629999</v>
      </c>
      <c r="D50" s="44">
        <v>5404.87829244</v>
      </c>
      <c r="E50" s="45">
        <v>5985.9010647</v>
      </c>
      <c r="F50" s="44">
        <v>5683.25962833</v>
      </c>
      <c r="G50" s="44">
        <v>5840.041223629999</v>
      </c>
      <c r="H50" s="44">
        <v>4391.866179029999</v>
      </c>
      <c r="I50" s="44">
        <v>4365.70994146</v>
      </c>
    </row>
    <row r="51" spans="1:9" ht="15">
      <c r="A51" s="43" t="str">
        <f>HLOOKUP(INDICE!$F$2,Nombres!$C$3:$D$636,68,FALSE)</f>
        <v>Fondos de inversión</v>
      </c>
      <c r="B51" s="44">
        <v>1765.23822542</v>
      </c>
      <c r="C51" s="44">
        <v>1199.41171831</v>
      </c>
      <c r="D51" s="44">
        <v>782.5987432300002</v>
      </c>
      <c r="E51" s="45">
        <v>783.04067272</v>
      </c>
      <c r="F51" s="44">
        <v>1032.52086625</v>
      </c>
      <c r="G51" s="44">
        <v>1043.01949552</v>
      </c>
      <c r="H51" s="44">
        <v>657.67263491</v>
      </c>
      <c r="I51" s="44">
        <v>644.38993326</v>
      </c>
    </row>
    <row r="52" spans="1:9" ht="15">
      <c r="A52" s="43" t="str">
        <f>HLOOKUP(INDICE!$F$2,Nombres!$C$3:$D$636,69,FALSE)</f>
        <v>Fondos de pensiones</v>
      </c>
      <c r="B52" s="44" t="s">
        <v>400</v>
      </c>
      <c r="C52" s="44" t="s">
        <v>400</v>
      </c>
      <c r="D52" s="44" t="s">
        <v>400</v>
      </c>
      <c r="E52" s="45" t="s">
        <v>400</v>
      </c>
      <c r="F52" s="44" t="s">
        <v>400</v>
      </c>
      <c r="G52" s="44" t="s">
        <v>400</v>
      </c>
      <c r="H52" s="44" t="s">
        <v>400</v>
      </c>
      <c r="I52" s="44" t="s">
        <v>400</v>
      </c>
    </row>
    <row r="53" spans="1:9" ht="15">
      <c r="A53" s="43" t="str">
        <f>HLOOKUP(INDICE!$F$2,Nombres!$C$3:$D$636,70,FALSE)</f>
        <v>Otros recursos fuera de balance</v>
      </c>
      <c r="B53" s="44" t="s">
        <v>400</v>
      </c>
      <c r="C53" s="44" t="s">
        <v>400</v>
      </c>
      <c r="D53" s="44" t="s">
        <v>400</v>
      </c>
      <c r="E53" s="45" t="s">
        <v>400</v>
      </c>
      <c r="F53" s="44" t="s">
        <v>400</v>
      </c>
      <c r="G53" s="44" t="s">
        <v>400</v>
      </c>
      <c r="H53" s="44" t="s">
        <v>400</v>
      </c>
      <c r="I53" s="44" t="s">
        <v>400</v>
      </c>
    </row>
    <row r="54" spans="1:9" ht="15">
      <c r="A54" s="65" t="str">
        <f>HLOOKUP(INDICE!$F$2,Nombres!$C$3:$D$636,71,FALSE)</f>
        <v>(*) No incluye las adquisiciones temporales de activos.</v>
      </c>
      <c r="B54" s="60"/>
      <c r="C54" s="60"/>
      <c r="D54" s="60"/>
      <c r="E54" s="60"/>
      <c r="F54" s="60"/>
      <c r="G54" s="60"/>
      <c r="H54" s="60"/>
      <c r="I54" s="60"/>
    </row>
    <row r="55" spans="1:9" ht="15">
      <c r="A55" s="65" t="str">
        <f>HLOOKUP(INDICE!$F$2,Nombres!$C$3:$D$636,72,FALSE)</f>
        <v>(**) No incluye las cesiones temporales de activos.</v>
      </c>
      <c r="B55" s="30"/>
      <c r="C55" s="30"/>
      <c r="D55" s="30"/>
      <c r="E55" s="30"/>
      <c r="F55" s="30"/>
      <c r="G55" s="30"/>
      <c r="H55" s="30"/>
      <c r="I55" s="30"/>
    </row>
    <row r="56" spans="1:9" ht="15">
      <c r="A56" s="65"/>
      <c r="B56" s="30"/>
      <c r="C56" s="30"/>
      <c r="D56" s="30"/>
      <c r="E56" s="30"/>
      <c r="F56" s="30"/>
      <c r="G56" s="30"/>
      <c r="H56" s="30"/>
      <c r="I56" s="30"/>
    </row>
    <row r="57" spans="1:9" ht="18">
      <c r="A57" s="33" t="str">
        <f>HLOOKUP(INDICE!$F$2,Nombres!$C$3:$D$636,31,FALSE)</f>
        <v>Cuenta de resultados  </v>
      </c>
      <c r="B57" s="34"/>
      <c r="C57" s="34"/>
      <c r="D57" s="34"/>
      <c r="E57" s="34"/>
      <c r="F57" s="34"/>
      <c r="G57" s="34"/>
      <c r="H57" s="34"/>
      <c r="I57" s="34"/>
    </row>
    <row r="58" spans="1:9" ht="15">
      <c r="A58" s="35" t="str">
        <f>HLOOKUP(INDICE!$F$2,Nombres!$C$3:$D$636,73,FALSE)</f>
        <v>(Millones de euros constantes)</v>
      </c>
      <c r="B58" s="30"/>
      <c r="C58" s="36"/>
      <c r="D58" s="36"/>
      <c r="E58" s="36"/>
      <c r="F58" s="30"/>
      <c r="G58" s="30"/>
      <c r="H58" s="30"/>
      <c r="I58" s="30"/>
    </row>
    <row r="59" spans="1:9" ht="15">
      <c r="A59" s="37"/>
      <c r="B59" s="30"/>
      <c r="C59" s="36"/>
      <c r="D59" s="36"/>
      <c r="E59" s="36"/>
      <c r="F59" s="30"/>
      <c r="G59" s="30"/>
      <c r="H59" s="30"/>
      <c r="I59" s="30"/>
    </row>
    <row r="60" spans="1:9" ht="15.75">
      <c r="A60" s="38"/>
      <c r="B60" s="295">
        <f>+B$6</f>
        <v>2018</v>
      </c>
      <c r="C60" s="295"/>
      <c r="D60" s="295"/>
      <c r="E60" s="296"/>
      <c r="F60" s="295">
        <f>+F$6</f>
        <v>2019</v>
      </c>
      <c r="G60" s="295"/>
      <c r="H60" s="295"/>
      <c r="I60" s="295"/>
    </row>
    <row r="61" spans="1:9" ht="15.7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5">
      <c r="A62" s="41" t="str">
        <f>HLOOKUP(INDICE!$F$2,Nombres!$C$3:$D$636,33,FALSE)</f>
        <v>Margen de intereses</v>
      </c>
      <c r="B62" s="41">
        <v>68.94131050393507</v>
      </c>
      <c r="C62" s="41">
        <v>93.9527121480709</v>
      </c>
      <c r="D62" s="41">
        <v>129.09068870495355</v>
      </c>
      <c r="E62" s="42">
        <v>169.32733875093692</v>
      </c>
      <c r="F62" s="52">
        <v>161.12492338519627</v>
      </c>
      <c r="G62" s="52">
        <v>229.93346086435037</v>
      </c>
      <c r="H62" s="52">
        <v>303.21434963161096</v>
      </c>
      <c r="I62" s="52">
        <v>346.2052661188424</v>
      </c>
    </row>
    <row r="63" spans="1:9" ht="15">
      <c r="A63" s="43" t="str">
        <f>HLOOKUP(INDICE!$F$2,Nombres!$C$3:$D$636,34,FALSE)</f>
        <v>Comisiones netas</v>
      </c>
      <c r="B63" s="44">
        <v>17.24740675753494</v>
      </c>
      <c r="C63" s="44">
        <v>20.93007624461333</v>
      </c>
      <c r="D63" s="44">
        <v>28.123478551399412</v>
      </c>
      <c r="E63" s="45">
        <v>38.73141562514148</v>
      </c>
      <c r="F63" s="44">
        <v>23.538441920237513</v>
      </c>
      <c r="G63" s="44">
        <v>40.00463410384214</v>
      </c>
      <c r="H63" s="44">
        <v>33.04970534565134</v>
      </c>
      <c r="I63" s="44">
        <v>37.435559150269015</v>
      </c>
    </row>
    <row r="64" spans="1:9" ht="15">
      <c r="A64" s="43" t="str">
        <f>HLOOKUP(INDICE!$F$2,Nombres!$C$3:$D$636,35,FALSE)</f>
        <v>Resultados de operaciones financieras</v>
      </c>
      <c r="B64" s="44">
        <v>15.3383560707849</v>
      </c>
      <c r="C64" s="44">
        <v>19.82231803411934</v>
      </c>
      <c r="D64" s="44">
        <v>31.067043430997924</v>
      </c>
      <c r="E64" s="45">
        <v>29.269517064519093</v>
      </c>
      <c r="F64" s="44">
        <v>100.45500746762441</v>
      </c>
      <c r="G64" s="44">
        <v>33.07574485646785</v>
      </c>
      <c r="H64" s="44">
        <v>67.57644821694863</v>
      </c>
      <c r="I64" s="44">
        <v>96.98635191895909</v>
      </c>
    </row>
    <row r="65" spans="1:9" ht="15">
      <c r="A65" s="43" t="str">
        <f>HLOOKUP(INDICE!$F$2,Nombres!$C$3:$D$636,36,FALSE)</f>
        <v>Otros ingresos y cargas de explotación</v>
      </c>
      <c r="B65" s="44">
        <v>-64.34320336387137</v>
      </c>
      <c r="C65" s="44">
        <v>-48.66149727920206</v>
      </c>
      <c r="D65" s="44">
        <v>-48.94211275526246</v>
      </c>
      <c r="E65" s="45">
        <v>-126.12009577155223</v>
      </c>
      <c r="F65" s="44">
        <v>-101.64874785443335</v>
      </c>
      <c r="G65" s="44">
        <v>-103.51262384181389</v>
      </c>
      <c r="H65" s="44">
        <v>-91.59986432382517</v>
      </c>
      <c r="I65" s="44">
        <v>-145.08376397992757</v>
      </c>
    </row>
    <row r="66" spans="1:9" ht="15">
      <c r="A66" s="41" t="str">
        <f>HLOOKUP(INDICE!$F$2,Nombres!$C$3:$D$636,37,FALSE)</f>
        <v>Margen bruto</v>
      </c>
      <c r="B66" s="41">
        <f>+SUM(B62:B65)</f>
        <v>37.18386996838353</v>
      </c>
      <c r="C66" s="41">
        <f aca="true" t="shared" si="9" ref="C66:I66">+SUM(C62:C65)</f>
        <v>86.04360914760153</v>
      </c>
      <c r="D66" s="41">
        <f t="shared" si="9"/>
        <v>139.33909793208844</v>
      </c>
      <c r="E66" s="42">
        <f t="shared" si="9"/>
        <v>111.20817566904529</v>
      </c>
      <c r="F66" s="52">
        <f t="shared" si="9"/>
        <v>183.46962491862485</v>
      </c>
      <c r="G66" s="52">
        <f t="shared" si="9"/>
        <v>199.50121598284647</v>
      </c>
      <c r="H66" s="52">
        <f t="shared" si="9"/>
        <v>312.24063887038574</v>
      </c>
      <c r="I66" s="52">
        <f t="shared" si="9"/>
        <v>335.54341320814297</v>
      </c>
    </row>
    <row r="67" spans="1:9" ht="15">
      <c r="A67" s="43" t="str">
        <f>HLOOKUP(INDICE!$F$2,Nombres!$C$3:$D$636,38,FALSE)</f>
        <v>Gastos de explotación</v>
      </c>
      <c r="B67" s="44">
        <v>-54.62182372078569</v>
      </c>
      <c r="C67" s="44">
        <v>-65.28876483147565</v>
      </c>
      <c r="D67" s="44">
        <v>-105.96463132897003</v>
      </c>
      <c r="E67" s="45">
        <v>-123.95119702253675</v>
      </c>
      <c r="F67" s="44">
        <v>-78.27917205433883</v>
      </c>
      <c r="G67" s="44">
        <v>-102.75372076879029</v>
      </c>
      <c r="H67" s="44">
        <v>-135.60355207404163</v>
      </c>
      <c r="I67" s="44">
        <v>-166.41610867282927</v>
      </c>
    </row>
    <row r="68" spans="1:9" ht="15">
      <c r="A68" s="43" t="str">
        <f>HLOOKUP(INDICE!$F$2,Nombres!$C$3:$D$636,39,FALSE)</f>
        <v>  Gastos de administración</v>
      </c>
      <c r="B68" s="44">
        <v>-54.9507840401497</v>
      </c>
      <c r="C68" s="44">
        <v>-64.12675224308612</v>
      </c>
      <c r="D68" s="44">
        <v>-89.87194412208967</v>
      </c>
      <c r="E68" s="45">
        <v>-112.88656009172888</v>
      </c>
      <c r="F68" s="44">
        <v>-69.97467347899519</v>
      </c>
      <c r="G68" s="44">
        <v>-92.00951084796733</v>
      </c>
      <c r="H68" s="44">
        <v>-125.36677961346518</v>
      </c>
      <c r="I68" s="44">
        <v>-147.96258962957228</v>
      </c>
    </row>
    <row r="69" spans="1:9" ht="15">
      <c r="A69" s="46" t="str">
        <f>HLOOKUP(INDICE!$F$2,Nombres!$C$3:$D$636,40,FALSE)</f>
        <v>  Gastos de personal</v>
      </c>
      <c r="B69" s="44">
        <v>-31.1317153339774</v>
      </c>
      <c r="C69" s="44">
        <v>-35.51305437529162</v>
      </c>
      <c r="D69" s="44">
        <v>-49.261447675193075</v>
      </c>
      <c r="E69" s="45">
        <v>-61.35429983941167</v>
      </c>
      <c r="F69" s="44">
        <v>-43.8389280475258</v>
      </c>
      <c r="G69" s="44">
        <v>-57.22910671256825</v>
      </c>
      <c r="H69" s="44">
        <v>-70.23467515428155</v>
      </c>
      <c r="I69" s="44">
        <v>-83.34029008562442</v>
      </c>
    </row>
    <row r="70" spans="1:9" ht="15">
      <c r="A70" s="46" t="str">
        <f>HLOOKUP(INDICE!$F$2,Nombres!$C$3:$D$636,41,FALSE)</f>
        <v>  Otros gastos de administración</v>
      </c>
      <c r="B70" s="44">
        <v>-23.819068706172303</v>
      </c>
      <c r="C70" s="44">
        <v>-28.613697867794514</v>
      </c>
      <c r="D70" s="44">
        <v>-40.61049644689662</v>
      </c>
      <c r="E70" s="45">
        <v>-51.532260252317215</v>
      </c>
      <c r="F70" s="44">
        <v>-26.135745431469388</v>
      </c>
      <c r="G70" s="44">
        <v>-34.78040413539909</v>
      </c>
      <c r="H70" s="44">
        <v>-55.13210445918365</v>
      </c>
      <c r="I70" s="44">
        <v>-64.62229954394786</v>
      </c>
    </row>
    <row r="71" spans="1:9" ht="15">
      <c r="A71" s="43" t="str">
        <f>HLOOKUP(INDICE!$F$2,Nombres!$C$3:$D$636,42,FALSE)</f>
        <v>  Amortización</v>
      </c>
      <c r="B71" s="44">
        <v>0.32896031936400605</v>
      </c>
      <c r="C71" s="44">
        <v>-1.162012588389523</v>
      </c>
      <c r="D71" s="44">
        <v>-16.092687206880335</v>
      </c>
      <c r="E71" s="45">
        <v>-11.064636930807879</v>
      </c>
      <c r="F71" s="44">
        <v>-8.304498575343631</v>
      </c>
      <c r="G71" s="44">
        <v>-10.744209920822946</v>
      </c>
      <c r="H71" s="44">
        <v>-10.236772460576429</v>
      </c>
      <c r="I71" s="44">
        <v>-18.45351904325699</v>
      </c>
    </row>
    <row r="72" spans="1:9" ht="15">
      <c r="A72" s="41" t="str">
        <f>HLOOKUP(INDICE!$F$2,Nombres!$C$3:$D$636,43,FALSE)</f>
        <v>Margen neto</v>
      </c>
      <c r="B72" s="41">
        <f>+B66+B67</f>
        <v>-17.43795375240216</v>
      </c>
      <c r="C72" s="41">
        <f aca="true" t="shared" si="10" ref="C72:I72">+C66+C67</f>
        <v>20.754844316125883</v>
      </c>
      <c r="D72" s="41">
        <f t="shared" si="10"/>
        <v>33.37446660311841</v>
      </c>
      <c r="E72" s="42">
        <f t="shared" si="10"/>
        <v>-12.743021353491457</v>
      </c>
      <c r="F72" s="52">
        <f t="shared" si="10"/>
        <v>105.19045286428602</v>
      </c>
      <c r="G72" s="52">
        <f t="shared" si="10"/>
        <v>96.74749521405619</v>
      </c>
      <c r="H72" s="52">
        <f t="shared" si="10"/>
        <v>176.6370867963441</v>
      </c>
      <c r="I72" s="52">
        <f t="shared" si="10"/>
        <v>169.1273045353137</v>
      </c>
    </row>
    <row r="73" spans="1:9" ht="15">
      <c r="A73" s="43" t="str">
        <f>HLOOKUP(INDICE!$F$2,Nombres!$C$3:$D$636,44,FALSE)</f>
        <v>Deterioro de activos financieros no valorados a valor razonable con cambios en resultados</v>
      </c>
      <c r="B73" s="44">
        <v>-5.815713238427891</v>
      </c>
      <c r="C73" s="44">
        <v>-10.602767476436325</v>
      </c>
      <c r="D73" s="44">
        <v>-17.90565255212998</v>
      </c>
      <c r="E73" s="45">
        <v>-22.80303821468475</v>
      </c>
      <c r="F73" s="44">
        <v>-17.04047847348641</v>
      </c>
      <c r="G73" s="44">
        <v>-30.862991444579507</v>
      </c>
      <c r="H73" s="44">
        <v>-108.79952461989717</v>
      </c>
      <c r="I73" s="44">
        <v>-81.12900546203689</v>
      </c>
    </row>
    <row r="74" spans="1:9" ht="15">
      <c r="A74" s="43" t="str">
        <f>HLOOKUP(INDICE!$F$2,Nombres!$C$3:$D$636,45,FALSE)</f>
        <v>Provisiones o reversión de provisiones y otros resultados</v>
      </c>
      <c r="B74" s="44">
        <v>-2.9909556656840657</v>
      </c>
      <c r="C74" s="44">
        <v>-4.898567758104157</v>
      </c>
      <c r="D74" s="44">
        <v>-5.0436458125952495</v>
      </c>
      <c r="E74" s="45">
        <v>-5.681618070022318</v>
      </c>
      <c r="F74" s="44">
        <v>-3.801389454734808</v>
      </c>
      <c r="G74" s="44">
        <v>-8.044260517345702</v>
      </c>
      <c r="H74" s="44">
        <v>-16.495343299822757</v>
      </c>
      <c r="I74" s="44">
        <v>-51.62300672809675</v>
      </c>
    </row>
    <row r="75" spans="1:9" ht="15">
      <c r="A75" s="41" t="str">
        <f>HLOOKUP(INDICE!$F$2,Nombres!$C$3:$D$636,46,FALSE)</f>
        <v>Resultado antes de impuestos</v>
      </c>
      <c r="B75" s="41">
        <f>+B72+B73+B74</f>
        <v>-26.244622656514114</v>
      </c>
      <c r="C75" s="41">
        <f aca="true" t="shared" si="11" ref="C75:I75">+C72+C73+C74</f>
        <v>5.253509081585401</v>
      </c>
      <c r="D75" s="41">
        <f t="shared" si="11"/>
        <v>10.425168238393178</v>
      </c>
      <c r="E75" s="42">
        <f t="shared" si="11"/>
        <v>-41.22767763819852</v>
      </c>
      <c r="F75" s="52">
        <f t="shared" si="11"/>
        <v>84.3485849360648</v>
      </c>
      <c r="G75" s="52">
        <f t="shared" si="11"/>
        <v>57.840243252130975</v>
      </c>
      <c r="H75" s="52">
        <f t="shared" si="11"/>
        <v>51.34221887662418</v>
      </c>
      <c r="I75" s="52">
        <f t="shared" si="11"/>
        <v>36.375292345180064</v>
      </c>
    </row>
    <row r="76" spans="1:9" ht="15">
      <c r="A76" s="43" t="str">
        <f>HLOOKUP(INDICE!$F$2,Nombres!$C$3:$D$636,47,FALSE)</f>
        <v>Impuesto sobre beneficios</v>
      </c>
      <c r="B76" s="44">
        <v>-18.421007632485853</v>
      </c>
      <c r="C76" s="44">
        <v>-27.95751816838862</v>
      </c>
      <c r="D76" s="44">
        <v>-6.031350676137837</v>
      </c>
      <c r="E76" s="45">
        <v>-36.69198822292658</v>
      </c>
      <c r="F76" s="44">
        <v>-37.13240902800627</v>
      </c>
      <c r="G76" s="44">
        <v>-27.69698218010197</v>
      </c>
      <c r="H76" s="44">
        <v>26.150467778114418</v>
      </c>
      <c r="I76" s="44">
        <v>1.4408635899938425</v>
      </c>
    </row>
    <row r="77" spans="1:9" ht="15">
      <c r="A77" s="41" t="str">
        <f>HLOOKUP(INDICE!$F$2,Nombres!$C$3:$D$636,48,FALSE)</f>
        <v>Resultado del ejercicio</v>
      </c>
      <c r="B77" s="41">
        <f>+B75+B76</f>
        <v>-44.665630288999964</v>
      </c>
      <c r="C77" s="41">
        <f aca="true" t="shared" si="12" ref="C77:I77">+C75+C76</f>
        <v>-22.704009086803218</v>
      </c>
      <c r="D77" s="41">
        <f t="shared" si="12"/>
        <v>4.393817562255341</v>
      </c>
      <c r="E77" s="42">
        <f t="shared" si="12"/>
        <v>-77.91966586112511</v>
      </c>
      <c r="F77" s="52">
        <f t="shared" si="12"/>
        <v>47.216175908058524</v>
      </c>
      <c r="G77" s="52">
        <f t="shared" si="12"/>
        <v>30.143261072029006</v>
      </c>
      <c r="H77" s="52">
        <f t="shared" si="12"/>
        <v>77.4926866547386</v>
      </c>
      <c r="I77" s="52">
        <f t="shared" si="12"/>
        <v>37.81615593517391</v>
      </c>
    </row>
    <row r="78" spans="1:9" ht="15">
      <c r="A78" s="43" t="str">
        <f>HLOOKUP(INDICE!$F$2,Nombres!$C$3:$D$636,49,FALSE)</f>
        <v>Minoritarios</v>
      </c>
      <c r="B78" s="44">
        <v>14.60058374823019</v>
      </c>
      <c r="C78" s="44">
        <v>7.061002711720451</v>
      </c>
      <c r="D78" s="44">
        <v>-2.323709154129868</v>
      </c>
      <c r="E78" s="45">
        <v>26.42982833577124</v>
      </c>
      <c r="F78" s="44">
        <v>-17.215444494458502</v>
      </c>
      <c r="G78" s="44">
        <v>-6.3509907346049115</v>
      </c>
      <c r="H78" s="44">
        <v>-27.74471731567352</v>
      </c>
      <c r="I78" s="44">
        <v>-8.707814135263073</v>
      </c>
    </row>
    <row r="79" spans="1:9" ht="15">
      <c r="A79" s="47" t="str">
        <f>HLOOKUP(INDICE!$F$2,Nombres!$C$3:$D$636,50,FALSE)</f>
        <v>Resultado atribuido</v>
      </c>
      <c r="B79" s="47">
        <f>+B77+B78</f>
        <v>-30.065046540769774</v>
      </c>
      <c r="C79" s="47">
        <f aca="true" t="shared" si="13" ref="C79:I79">+C77+C78</f>
        <v>-15.643006375082766</v>
      </c>
      <c r="D79" s="47">
        <f t="shared" si="13"/>
        <v>2.0701084081254733</v>
      </c>
      <c r="E79" s="47">
        <f t="shared" si="13"/>
        <v>-51.48983752535387</v>
      </c>
      <c r="F79" s="53">
        <f t="shared" si="13"/>
        <v>30.000731413600022</v>
      </c>
      <c r="G79" s="53">
        <f t="shared" si="13"/>
        <v>23.792270337424092</v>
      </c>
      <c r="H79" s="53">
        <f t="shared" si="13"/>
        <v>49.74796933906509</v>
      </c>
      <c r="I79" s="53">
        <f t="shared" si="13"/>
        <v>29.10834179991084</v>
      </c>
    </row>
    <row r="80" spans="1:9" ht="15">
      <c r="A80" s="65"/>
      <c r="B80" s="66">
        <v>0</v>
      </c>
      <c r="C80" s="66">
        <v>2.4868995751603507E-14</v>
      </c>
      <c r="D80" s="66">
        <v>9.769962616701378E-15</v>
      </c>
      <c r="E80" s="66">
        <v>0</v>
      </c>
      <c r="F80" s="66">
        <v>0</v>
      </c>
      <c r="G80" s="66">
        <v>0</v>
      </c>
      <c r="H80" s="66">
        <v>0</v>
      </c>
      <c r="I80" s="66">
        <v>7.105427357601002E-14</v>
      </c>
    </row>
    <row r="81" spans="1:9" ht="15">
      <c r="A81" s="41"/>
      <c r="B81" s="41"/>
      <c r="C81" s="41"/>
      <c r="D81" s="41"/>
      <c r="E81" s="41"/>
      <c r="F81" s="52"/>
      <c r="G81" s="52"/>
      <c r="H81" s="52"/>
      <c r="I81" s="52"/>
    </row>
    <row r="82" spans="1:9" ht="18">
      <c r="A82" s="33" t="str">
        <f>HLOOKUP(INDICE!$F$2,Nombres!$C$3:$D$636,51,FALSE)</f>
        <v>Balances</v>
      </c>
      <c r="B82" s="34"/>
      <c r="C82" s="34"/>
      <c r="D82" s="34"/>
      <c r="E82" s="34"/>
      <c r="F82" s="72"/>
      <c r="G82" s="72"/>
      <c r="H82" s="72"/>
      <c r="I82" s="72"/>
    </row>
    <row r="83" spans="1:9" ht="15">
      <c r="A83" s="35" t="str">
        <f>HLOOKUP(INDICE!$F$2,Nombres!$C$3:$D$636,73,FALSE)</f>
        <v>(Millones de euros constantes)</v>
      </c>
      <c r="B83" s="30"/>
      <c r="C83" s="54"/>
      <c r="D83" s="54"/>
      <c r="E83" s="54"/>
      <c r="F83" s="73"/>
      <c r="G83" s="44"/>
      <c r="H83" s="44"/>
      <c r="I83" s="44"/>
    </row>
    <row r="84" spans="1:9" ht="15.75">
      <c r="A84" s="30"/>
      <c r="B84" s="55">
        <f aca="true" t="shared" si="14" ref="B84:I84">+B$30</f>
        <v>43190</v>
      </c>
      <c r="C84" s="55">
        <f t="shared" si="14"/>
        <v>43281</v>
      </c>
      <c r="D84" s="55">
        <f t="shared" si="14"/>
        <v>43373</v>
      </c>
      <c r="E84" s="71">
        <f t="shared" si="14"/>
        <v>43465</v>
      </c>
      <c r="F84" s="55">
        <f t="shared" si="14"/>
        <v>43555</v>
      </c>
      <c r="G84" s="55">
        <f t="shared" si="14"/>
        <v>43646</v>
      </c>
      <c r="H84" s="55">
        <f t="shared" si="14"/>
        <v>43738</v>
      </c>
      <c r="I84" s="55">
        <f t="shared" si="14"/>
        <v>43830</v>
      </c>
    </row>
    <row r="85" spans="1:9" ht="15">
      <c r="A85" s="43" t="str">
        <f>HLOOKUP(INDICE!$F$2,Nombres!$C$3:$D$636,52,FALSE)</f>
        <v>Efectivo, saldos en efectivo en bancos centrales y otros depósitos a la vista</v>
      </c>
      <c r="B85" s="44">
        <v>548.7240978827242</v>
      </c>
      <c r="C85" s="44">
        <v>810.4899336672</v>
      </c>
      <c r="D85" s="44">
        <v>1305.4123547295624</v>
      </c>
      <c r="E85" s="45">
        <v>1473.053345339894</v>
      </c>
      <c r="F85" s="44">
        <v>1545.387949918953</v>
      </c>
      <c r="G85" s="44">
        <v>1351.8593869807717</v>
      </c>
      <c r="H85" s="44">
        <v>1400.9779528412628</v>
      </c>
      <c r="I85" s="44">
        <v>2323.167</v>
      </c>
    </row>
    <row r="86" spans="1:9" ht="15">
      <c r="A86" s="43" t="str">
        <f>HLOOKUP(INDICE!$F$2,Nombres!$C$3:$D$636,53,FALSE)</f>
        <v>Activos financieros a valor razonable</v>
      </c>
      <c r="B86" s="60">
        <v>314.2360590710428</v>
      </c>
      <c r="C86" s="60">
        <v>388.48253707462436</v>
      </c>
      <c r="D86" s="60">
        <v>499.7817871646085</v>
      </c>
      <c r="E86" s="68">
        <v>518.2313999309813</v>
      </c>
      <c r="F86" s="44">
        <v>721.4283142568313</v>
      </c>
      <c r="G86" s="44">
        <v>1244.376836107744</v>
      </c>
      <c r="H86" s="44">
        <v>1137.311238484713</v>
      </c>
      <c r="I86" s="44">
        <v>877.162</v>
      </c>
    </row>
    <row r="87" spans="1:9" ht="15">
      <c r="A87" s="43" t="str">
        <f>HLOOKUP(INDICE!$F$2,Nombres!$C$3:$D$636,54,FALSE)</f>
        <v>Activos financieros a coste amortizado</v>
      </c>
      <c r="B87" s="44">
        <v>2260.965408019197</v>
      </c>
      <c r="C87" s="44">
        <v>2596.7695438521714</v>
      </c>
      <c r="D87" s="44">
        <v>2919.822064137806</v>
      </c>
      <c r="E87" s="45">
        <v>2981.5372581153015</v>
      </c>
      <c r="F87" s="44">
        <v>3193.410574294141</v>
      </c>
      <c r="G87" s="44">
        <v>2985.846611969052</v>
      </c>
      <c r="H87" s="44">
        <v>3261.631824553454</v>
      </c>
      <c r="I87" s="44">
        <v>3045.6589999999997</v>
      </c>
    </row>
    <row r="88" spans="1:9" ht="15">
      <c r="A88" s="43" t="str">
        <f>HLOOKUP(INDICE!$F$2,Nombres!$C$3:$D$636,55,FALSE)</f>
        <v>    de los que préstamos y anticipos a la clientela</v>
      </c>
      <c r="B88" s="44">
        <v>2102.501056149461</v>
      </c>
      <c r="C88" s="44">
        <v>2426.706005779464</v>
      </c>
      <c r="D88" s="44">
        <v>2658.766375106092</v>
      </c>
      <c r="E88" s="45">
        <v>2770.0598121988187</v>
      </c>
      <c r="F88" s="44">
        <v>2898.042839301928</v>
      </c>
      <c r="G88" s="44">
        <v>2776.6123961004128</v>
      </c>
      <c r="H88" s="44">
        <v>3043.165038865663</v>
      </c>
      <c r="I88" s="44">
        <v>2877.7650000000003</v>
      </c>
    </row>
    <row r="89" spans="1:9" ht="15">
      <c r="A89" s="43" t="str">
        <f>HLOOKUP(INDICE!$F$2,Nombres!$C$3:$D$636,56,FALSE)</f>
        <v>Activos tangibles</v>
      </c>
      <c r="B89" s="44">
        <v>362.8033799120178</v>
      </c>
      <c r="C89" s="44">
        <v>326.61552882740443</v>
      </c>
      <c r="D89" s="44">
        <v>265.10561145527276</v>
      </c>
      <c r="E89" s="45">
        <v>342.0599151848747</v>
      </c>
      <c r="F89" s="44">
        <v>364.93277408479105</v>
      </c>
      <c r="G89" s="44">
        <v>397.8177706176625</v>
      </c>
      <c r="H89" s="44">
        <v>385.71817417505196</v>
      </c>
      <c r="I89" s="44">
        <v>405.624</v>
      </c>
    </row>
    <row r="90" spans="1:9" ht="15">
      <c r="A90" s="43" t="str">
        <f>HLOOKUP(INDICE!$F$2,Nombres!$C$3:$D$636,57,FALSE)</f>
        <v>Otros activos</v>
      </c>
      <c r="B90" s="60">
        <f>+B91-B89-B87-B86-B85</f>
        <v>26.962200342926508</v>
      </c>
      <c r="C90" s="60">
        <f aca="true" t="shared" si="15" ref="C90:I90">+C91-C89-C87-C86-C85</f>
        <v>48.030902589610946</v>
      </c>
      <c r="D90" s="60">
        <f t="shared" si="15"/>
        <v>93.41518077479873</v>
      </c>
      <c r="E90" s="68">
        <f t="shared" si="15"/>
        <v>92.82942693991345</v>
      </c>
      <c r="F90" s="44">
        <f t="shared" si="15"/>
        <v>113.21454300954542</v>
      </c>
      <c r="G90" s="44">
        <f t="shared" si="15"/>
        <v>134.0955068476003</v>
      </c>
      <c r="H90" s="44">
        <f t="shared" si="15"/>
        <v>170.9958509776177</v>
      </c>
      <c r="I90" s="44">
        <f t="shared" si="15"/>
        <v>251.7103810399999</v>
      </c>
    </row>
    <row r="91" spans="1:9" ht="15">
      <c r="A91" s="47" t="str">
        <f>HLOOKUP(INDICE!$F$2,Nombres!$C$3:$D$636,58,FALSE)</f>
        <v>Total activo / pasivo</v>
      </c>
      <c r="B91" s="47">
        <v>3513.6911452279087</v>
      </c>
      <c r="C91" s="47">
        <v>4170.388446011011</v>
      </c>
      <c r="D91" s="47">
        <v>5083.536998262049</v>
      </c>
      <c r="E91" s="47">
        <v>5407.711345510965</v>
      </c>
      <c r="F91" s="53">
        <v>5938.374155564262</v>
      </c>
      <c r="G91" s="53">
        <v>6113.996112522831</v>
      </c>
      <c r="H91" s="53">
        <v>6356.635041032099</v>
      </c>
      <c r="I91" s="53">
        <v>6903.3223810399995</v>
      </c>
    </row>
    <row r="92" spans="1:9" ht="15">
      <c r="A92" s="43" t="str">
        <f>HLOOKUP(INDICE!$F$2,Nombres!$C$3:$D$636,59,FALSE)</f>
        <v>Pasivos financieros mantenidos para negociar y designados a valor razonable con cambios en resultados</v>
      </c>
      <c r="B92" s="60">
        <v>11.38878038115874</v>
      </c>
      <c r="C92" s="60">
        <v>36.107698117046105</v>
      </c>
      <c r="D92" s="60">
        <v>86.89167746107024</v>
      </c>
      <c r="E92" s="68">
        <v>22.729091816993247</v>
      </c>
      <c r="F92" s="44">
        <v>45.23151655579769</v>
      </c>
      <c r="G92" s="44">
        <v>51.19610706574338</v>
      </c>
      <c r="H92" s="44">
        <v>60.42889763761916</v>
      </c>
      <c r="I92" s="44">
        <v>46.093</v>
      </c>
    </row>
    <row r="93" spans="1:9" ht="15">
      <c r="A93" s="43" t="str">
        <f>HLOOKUP(INDICE!$F$2,Nombres!$C$3:$D$636,60,FALSE)</f>
        <v>Depósitos de bancos centrales y entidades de crédito</v>
      </c>
      <c r="B93" s="60">
        <v>46.89591102733972</v>
      </c>
      <c r="C93" s="60">
        <v>131.63803143669796</v>
      </c>
      <c r="D93" s="60">
        <v>120.61717677446303</v>
      </c>
      <c r="E93" s="68">
        <v>114.56998651196518</v>
      </c>
      <c r="F93" s="44">
        <v>117.92947031919273</v>
      </c>
      <c r="G93" s="44">
        <v>76.39055667476617</v>
      </c>
      <c r="H93" s="44">
        <v>186.01641107415762</v>
      </c>
      <c r="I93" s="44">
        <v>117.57600000000001</v>
      </c>
    </row>
    <row r="94" spans="1:9" ht="15">
      <c r="A94" s="43" t="str">
        <f>HLOOKUP(INDICE!$F$2,Nombres!$C$3:$D$636,61,FALSE)</f>
        <v>Depósitos de la clientela</v>
      </c>
      <c r="B94" s="60">
        <v>2375.5525617337084</v>
      </c>
      <c r="C94" s="60">
        <v>2860.0788559538023</v>
      </c>
      <c r="D94" s="60">
        <v>3671.0200904547937</v>
      </c>
      <c r="E94" s="68">
        <v>3849.8711746557074</v>
      </c>
      <c r="F94" s="44">
        <v>4135.359363023184</v>
      </c>
      <c r="G94" s="44">
        <v>4232.61391368681</v>
      </c>
      <c r="H94" s="44">
        <v>4084.5953639989116</v>
      </c>
      <c r="I94" s="44">
        <v>4365.661</v>
      </c>
    </row>
    <row r="95" spans="1:9" ht="15">
      <c r="A95" s="43" t="str">
        <f>HLOOKUP(INDICE!$F$2,Nombres!$C$3:$D$636,62,FALSE)</f>
        <v>Valores representativos de deuda emitidos</v>
      </c>
      <c r="B95" s="44">
        <v>25.76160122363288</v>
      </c>
      <c r="C95" s="44">
        <v>24.608283876598925</v>
      </c>
      <c r="D95" s="44">
        <v>24.442235298014268</v>
      </c>
      <c r="E95" s="45">
        <v>34.9087916920923</v>
      </c>
      <c r="F95" s="44">
        <v>60.88950377383416</v>
      </c>
      <c r="G95" s="44">
        <v>62.30717092265323</v>
      </c>
      <c r="H95" s="44">
        <v>127.80813420103202</v>
      </c>
      <c r="I95" s="44">
        <v>105.927</v>
      </c>
    </row>
    <row r="96" spans="1:9" ht="15">
      <c r="A96" s="43" t="str">
        <f>HLOOKUP(INDICE!$F$2,Nombres!$C$3:$D$636,63,FALSE)</f>
        <v>Otros pasivos</v>
      </c>
      <c r="B96" s="60">
        <f>+B91-B92-B93-B94-B95-B97</f>
        <v>856.553836134001</v>
      </c>
      <c r="C96" s="60">
        <f aca="true" t="shared" si="16" ref="C96:I96">+C91-C92-C93-C94-C95-C97</f>
        <v>863.9351833355278</v>
      </c>
      <c r="D96" s="60">
        <f t="shared" si="16"/>
        <v>913.8601176384004</v>
      </c>
      <c r="E96" s="68">
        <f t="shared" si="16"/>
        <v>1132.3077603784507</v>
      </c>
      <c r="F96" s="44">
        <f t="shared" si="16"/>
        <v>1269.3533009898326</v>
      </c>
      <c r="G96" s="44">
        <f t="shared" si="16"/>
        <v>1332.782058169988</v>
      </c>
      <c r="H96" s="44">
        <f t="shared" si="16"/>
        <v>1540.2015283483415</v>
      </c>
      <c r="I96" s="44">
        <f t="shared" si="16"/>
        <v>1827.7547079199994</v>
      </c>
    </row>
    <row r="97" spans="1:9" ht="15">
      <c r="A97" s="43" t="str">
        <f>HLOOKUP(INDICE!$F$2,Nombres!$C$3:$D$636,64,FALSE)</f>
        <v>Dotación de capital económico</v>
      </c>
      <c r="B97" s="44">
        <v>197.53845472806793</v>
      </c>
      <c r="C97" s="44">
        <v>254.02039329133785</v>
      </c>
      <c r="D97" s="44">
        <v>266.70570063530687</v>
      </c>
      <c r="E97" s="45">
        <v>253.3245404557565</v>
      </c>
      <c r="F97" s="44">
        <v>309.61100090242047</v>
      </c>
      <c r="G97" s="44">
        <v>358.7063060028704</v>
      </c>
      <c r="H97" s="44">
        <v>357.58470577203684</v>
      </c>
      <c r="I97" s="44">
        <v>440.31067312000005</v>
      </c>
    </row>
    <row r="98" spans="1:9" ht="15">
      <c r="A98" s="65"/>
      <c r="B98" s="60"/>
      <c r="C98" s="60"/>
      <c r="D98" s="60"/>
      <c r="E98" s="60"/>
      <c r="F98" s="44"/>
      <c r="G98" s="44"/>
      <c r="H98" s="44"/>
      <c r="I98" s="44"/>
    </row>
    <row r="99" spans="1:9" ht="15">
      <c r="A99" s="43"/>
      <c r="B99" s="60"/>
      <c r="C99" s="60"/>
      <c r="D99" s="60"/>
      <c r="E99" s="60"/>
      <c r="F99" s="44"/>
      <c r="G99" s="44"/>
      <c r="H99" s="44"/>
      <c r="I99" s="44"/>
    </row>
    <row r="100" spans="1:9" ht="18">
      <c r="A100" s="33" t="str">
        <f>HLOOKUP(INDICE!$F$2,Nombres!$C$3:$D$636,65,FALSE)</f>
        <v>Indicadores relevantes y de gestión</v>
      </c>
      <c r="B100" s="34"/>
      <c r="C100" s="34"/>
      <c r="D100" s="34"/>
      <c r="E100" s="34"/>
      <c r="F100" s="72"/>
      <c r="G100" s="72"/>
      <c r="H100" s="72"/>
      <c r="I100" s="72"/>
    </row>
    <row r="101" spans="1:9" ht="15">
      <c r="A101" s="35" t="str">
        <f>HLOOKUP(INDICE!$F$2,Nombres!$C$3:$D$636,73,FALSE)</f>
        <v>(Millones de euros constantes)</v>
      </c>
      <c r="B101" s="30"/>
      <c r="C101" s="30"/>
      <c r="D101" s="30"/>
      <c r="E101" s="30"/>
      <c r="F101" s="73"/>
      <c r="G101" s="44"/>
      <c r="H101" s="44"/>
      <c r="I101" s="44"/>
    </row>
    <row r="102" spans="1:9" ht="15.75">
      <c r="A102" s="30"/>
      <c r="B102" s="55">
        <f aca="true" t="shared" si="17" ref="B102:I102">+B$30</f>
        <v>43190</v>
      </c>
      <c r="C102" s="55">
        <f t="shared" si="17"/>
        <v>43281</v>
      </c>
      <c r="D102" s="55">
        <f t="shared" si="17"/>
        <v>43373</v>
      </c>
      <c r="E102" s="71">
        <f t="shared" si="17"/>
        <v>43465</v>
      </c>
      <c r="F102" s="55">
        <f t="shared" si="17"/>
        <v>43555</v>
      </c>
      <c r="G102" s="55">
        <f t="shared" si="17"/>
        <v>43646</v>
      </c>
      <c r="H102" s="55">
        <f t="shared" si="17"/>
        <v>43738</v>
      </c>
      <c r="I102" s="55">
        <f t="shared" si="17"/>
        <v>43830</v>
      </c>
    </row>
    <row r="103" spans="1:9" ht="15">
      <c r="A103" s="43" t="str">
        <f>HLOOKUP(INDICE!$F$2,Nombres!$C$3:$D$636,66,FALSE)</f>
        <v>Préstamos y anticipos a la clientela bruto (*)</v>
      </c>
      <c r="B103" s="44">
        <v>2068.499603495324</v>
      </c>
      <c r="C103" s="44">
        <v>2370.968083053291</v>
      </c>
      <c r="D103" s="44">
        <v>2612.350909107162</v>
      </c>
      <c r="E103" s="45">
        <v>2771.454767083774</v>
      </c>
      <c r="F103" s="44">
        <v>2897.158528202463</v>
      </c>
      <c r="G103" s="44">
        <v>2901.904959638505</v>
      </c>
      <c r="H103" s="44">
        <v>3200.770401684812</v>
      </c>
      <c r="I103" s="44">
        <v>3044.82152225</v>
      </c>
    </row>
    <row r="104" spans="1:9" ht="15">
      <c r="A104" s="43" t="str">
        <f>HLOOKUP(INDICE!$F$2,Nombres!$C$3:$D$636,67,FALSE)</f>
        <v>Depósitos de clientes en gestión (**)</v>
      </c>
      <c r="B104" s="44">
        <v>2374.0460646502215</v>
      </c>
      <c r="C104" s="44">
        <v>2859.5991142262615</v>
      </c>
      <c r="D104" s="44">
        <v>3673.9336720882156</v>
      </c>
      <c r="E104" s="45">
        <v>3851.168900220899</v>
      </c>
      <c r="F104" s="44">
        <v>4136.494520391102</v>
      </c>
      <c r="G104" s="44">
        <v>4231.7119448766725</v>
      </c>
      <c r="H104" s="44">
        <v>4073.7966716921037</v>
      </c>
      <c r="I104" s="44">
        <v>4365.70994146</v>
      </c>
    </row>
    <row r="105" spans="1:9" ht="15">
      <c r="A105" s="43" t="str">
        <f>HLOOKUP(INDICE!$F$2,Nombres!$C$3:$D$636,68,FALSE)</f>
        <v>Fondos de inversión</v>
      </c>
      <c r="B105" s="44">
        <v>651.1177118064115</v>
      </c>
      <c r="C105" s="44">
        <v>577.9639705704509</v>
      </c>
      <c r="D105" s="44">
        <v>531.9668120017218</v>
      </c>
      <c r="E105" s="45">
        <v>503.7874588624615</v>
      </c>
      <c r="F105" s="44">
        <v>751.5083217635118</v>
      </c>
      <c r="G105" s="44">
        <v>755.7751544753243</v>
      </c>
      <c r="H105" s="44">
        <v>610.042401554019</v>
      </c>
      <c r="I105" s="44">
        <v>644.38993326</v>
      </c>
    </row>
    <row r="106" spans="1:9" ht="15">
      <c r="A106" s="43" t="str">
        <f>HLOOKUP(INDICE!$F$2,Nombres!$C$3:$D$636,69,FALSE)</f>
        <v>Fondos de pensiones</v>
      </c>
      <c r="B106" s="44" t="s">
        <v>400</v>
      </c>
      <c r="C106" s="44" t="s">
        <v>400</v>
      </c>
      <c r="D106" s="44" t="s">
        <v>400</v>
      </c>
      <c r="E106" s="45" t="s">
        <v>400</v>
      </c>
      <c r="F106" s="44" t="s">
        <v>400</v>
      </c>
      <c r="G106" s="44" t="s">
        <v>400</v>
      </c>
      <c r="H106" s="44" t="s">
        <v>400</v>
      </c>
      <c r="I106" s="44" t="s">
        <v>400</v>
      </c>
    </row>
    <row r="107" spans="1:9" ht="15">
      <c r="A107" s="43" t="str">
        <f>HLOOKUP(INDICE!$F$2,Nombres!$C$3:$D$636,70,FALSE)</f>
        <v>Otros recursos fuera de balance</v>
      </c>
      <c r="B107" s="44" t="s">
        <v>400</v>
      </c>
      <c r="C107" s="44" t="s">
        <v>400</v>
      </c>
      <c r="D107" s="44" t="s">
        <v>400</v>
      </c>
      <c r="E107" s="45" t="s">
        <v>400</v>
      </c>
      <c r="F107" s="44" t="s">
        <v>400</v>
      </c>
      <c r="G107" s="44" t="s">
        <v>400</v>
      </c>
      <c r="H107" s="44" t="s">
        <v>400</v>
      </c>
      <c r="I107" s="44" t="s">
        <v>400</v>
      </c>
    </row>
    <row r="108" spans="1:9" ht="15">
      <c r="A108" s="65" t="str">
        <f>HLOOKUP(INDICE!$F$2,Nombres!$C$3:$D$636,71,FALSE)</f>
        <v>(*) No incluye las adquisiciones temporales de activos.</v>
      </c>
      <c r="B108" s="60"/>
      <c r="C108" s="60"/>
      <c r="D108" s="60"/>
      <c r="E108" s="60"/>
      <c r="F108" s="60"/>
      <c r="G108" s="60"/>
      <c r="H108" s="60"/>
      <c r="I108" s="60"/>
    </row>
    <row r="109" spans="1:9" ht="15">
      <c r="A109" s="65" t="str">
        <f>HLOOKUP(INDICE!$F$2,Nombres!$C$3:$D$636,72,FALSE)</f>
        <v>(**) No incluye las cesiones temporales de activos.</v>
      </c>
      <c r="B109" s="30"/>
      <c r="C109" s="30"/>
      <c r="D109" s="30"/>
      <c r="E109" s="30"/>
      <c r="F109" s="30"/>
      <c r="G109" s="30"/>
      <c r="H109" s="30"/>
      <c r="I109" s="30"/>
    </row>
    <row r="110" spans="1:9" ht="15">
      <c r="A110" s="65"/>
      <c r="B110" s="60"/>
      <c r="C110" s="44"/>
      <c r="D110" s="44"/>
      <c r="E110" s="44"/>
      <c r="F110" s="44"/>
      <c r="G110" s="30"/>
      <c r="H110" s="30"/>
      <c r="I110" s="30"/>
    </row>
    <row r="111" spans="1:9" ht="18">
      <c r="A111" s="33" t="str">
        <f>HLOOKUP(INDICE!$F$2,Nombres!$C$3:$D$636,31,FALSE)</f>
        <v>Cuenta de resultados  </v>
      </c>
      <c r="B111" s="34"/>
      <c r="C111" s="34"/>
      <c r="D111" s="34"/>
      <c r="E111" s="34"/>
      <c r="F111" s="34"/>
      <c r="G111" s="34"/>
      <c r="H111" s="34"/>
      <c r="I111" s="34"/>
    </row>
    <row r="112" spans="1:9" ht="15">
      <c r="A112" s="35" t="str">
        <f>HLOOKUP(INDICE!$F$2,Nombres!$C$3:$D$636,78,FALSE)</f>
        <v>(Millones de pesos argentinos)</v>
      </c>
      <c r="B112" s="30"/>
      <c r="C112" s="36"/>
      <c r="D112" s="36"/>
      <c r="E112" s="36"/>
      <c r="F112" s="30"/>
      <c r="G112" s="30"/>
      <c r="H112" s="30"/>
      <c r="I112" s="30"/>
    </row>
    <row r="113" spans="1:9" ht="15">
      <c r="A113" s="37"/>
      <c r="B113" s="30"/>
      <c r="C113" s="36"/>
      <c r="D113" s="36"/>
      <c r="E113" s="36"/>
      <c r="F113" s="30"/>
      <c r="G113" s="30"/>
      <c r="H113" s="30"/>
      <c r="I113" s="30"/>
    </row>
    <row r="114" spans="1:9" ht="15.75">
      <c r="A114" s="38"/>
      <c r="B114" s="295">
        <f>+B$6</f>
        <v>2018</v>
      </c>
      <c r="C114" s="295"/>
      <c r="D114" s="295"/>
      <c r="E114" s="296"/>
      <c r="F114" s="295">
        <f>+F$6</f>
        <v>2019</v>
      </c>
      <c r="G114" s="295"/>
      <c r="H114" s="295"/>
      <c r="I114" s="295"/>
    </row>
    <row r="115" spans="1:9" ht="15.7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5">
      <c r="A116" s="41" t="str">
        <f>HLOOKUP(INDICE!$F$2,Nombres!$C$3:$D$636,33,FALSE)</f>
        <v>Margen de intereses</v>
      </c>
      <c r="B116" s="41">
        <v>4465.15806934379</v>
      </c>
      <c r="C116" s="41">
        <v>5808.485213841477</v>
      </c>
      <c r="D116" s="41">
        <v>8323.685659368697</v>
      </c>
      <c r="E116" s="42">
        <v>9783.926468701447</v>
      </c>
      <c r="F116" s="52">
        <v>10715.519182118196</v>
      </c>
      <c r="G116" s="52">
        <v>14951.564631993064</v>
      </c>
      <c r="H116" s="52">
        <v>20619.97659392892</v>
      </c>
      <c r="I116" s="52">
        <v>23722.58704058219</v>
      </c>
    </row>
    <row r="117" spans="1:9" ht="15">
      <c r="A117" s="43" t="str">
        <f>HLOOKUP(INDICE!$F$2,Nombres!$C$3:$D$636,34,FALSE)</f>
        <v>Comisiones netas</v>
      </c>
      <c r="B117" s="44">
        <v>1116.4747979747835</v>
      </c>
      <c r="C117" s="44">
        <v>1279.622755685809</v>
      </c>
      <c r="D117" s="44">
        <v>1842.3691239830218</v>
      </c>
      <c r="E117" s="45">
        <v>2223.028408503572</v>
      </c>
      <c r="F117" s="44">
        <v>1566.7240643140103</v>
      </c>
      <c r="G117" s="44">
        <v>2619.4101025681334</v>
      </c>
      <c r="H117" s="44">
        <v>2255.9803172077486</v>
      </c>
      <c r="I117" s="44">
        <v>2576.1221993662766</v>
      </c>
    </row>
    <row r="118" spans="1:9" ht="15">
      <c r="A118" s="43" t="str">
        <f>HLOOKUP(INDICE!$F$2,Nombres!$C$3:$D$636,35,FALSE)</f>
        <v>Resultados de operaciones financieras</v>
      </c>
      <c r="B118" s="44">
        <v>994.2747369204803</v>
      </c>
      <c r="C118" s="44">
        <v>1237.3163800628538</v>
      </c>
      <c r="D118" s="44">
        <v>1998.425473759439</v>
      </c>
      <c r="E118" s="45">
        <v>1616.2742638026818</v>
      </c>
      <c r="F118" s="44">
        <v>6695.467269071129</v>
      </c>
      <c r="G118" s="44">
        <v>1981.2665703263228</v>
      </c>
      <c r="H118" s="44">
        <v>4692.634726753385</v>
      </c>
      <c r="I118" s="44">
        <v>6688.167022715068</v>
      </c>
    </row>
    <row r="119" spans="1:9" ht="15">
      <c r="A119" s="43" t="str">
        <f>HLOOKUP(INDICE!$F$2,Nombres!$C$3:$D$636,36,FALSE)</f>
        <v>Otros ingresos y cargas de explotación</v>
      </c>
      <c r="B119" s="44">
        <v>-1368.1482937059468</v>
      </c>
      <c r="C119" s="44">
        <v>-1846.7066810038648</v>
      </c>
      <c r="D119" s="44">
        <v>-3812.9990318763566</v>
      </c>
      <c r="E119" s="45">
        <v>-4886.734738002576</v>
      </c>
      <c r="F119" s="44">
        <v>-5330.212073246537</v>
      </c>
      <c r="G119" s="44">
        <v>-5148.260086438676</v>
      </c>
      <c r="H119" s="44">
        <v>-8283.070695313068</v>
      </c>
      <c r="I119" s="44">
        <v>-10968.458814365751</v>
      </c>
    </row>
    <row r="120" spans="1:9" ht="15">
      <c r="A120" s="41" t="str">
        <f>HLOOKUP(INDICE!$F$2,Nombres!$C$3:$D$636,37,FALSE)</f>
        <v>Margen bruto</v>
      </c>
      <c r="B120" s="41">
        <f>+SUM(B116:B119)</f>
        <v>5207.759310533107</v>
      </c>
      <c r="C120" s="41">
        <f aca="true" t="shared" si="19" ref="C120:I120">+SUM(C116:C119)</f>
        <v>6478.717668586274</v>
      </c>
      <c r="D120" s="41">
        <f t="shared" si="19"/>
        <v>8351.481225234802</v>
      </c>
      <c r="E120" s="42">
        <f t="shared" si="19"/>
        <v>8736.494403005123</v>
      </c>
      <c r="F120" s="52">
        <f t="shared" si="19"/>
        <v>13647.498442256798</v>
      </c>
      <c r="G120" s="52">
        <f t="shared" si="19"/>
        <v>14403.981218448844</v>
      </c>
      <c r="H120" s="52">
        <f t="shared" si="19"/>
        <v>19285.520942576986</v>
      </c>
      <c r="I120" s="52">
        <f t="shared" si="19"/>
        <v>22018.417448297783</v>
      </c>
    </row>
    <row r="121" spans="1:9" ht="15">
      <c r="A121" s="43" t="str">
        <f>HLOOKUP(INDICE!$F$2,Nombres!$C$3:$D$636,38,FALSE)</f>
        <v>Gastos de explotación</v>
      </c>
      <c r="B121" s="44">
        <v>-3674.656360567855</v>
      </c>
      <c r="C121" s="44">
        <v>-4051.0916158928158</v>
      </c>
      <c r="D121" s="44">
        <v>-6484.153193041707</v>
      </c>
      <c r="E121" s="45">
        <v>-7003.342642185937</v>
      </c>
      <c r="F121" s="44">
        <v>-5137.827200281208</v>
      </c>
      <c r="G121" s="44">
        <v>-6575.298814263201</v>
      </c>
      <c r="H121" s="44">
        <v>-9328.921860079816</v>
      </c>
      <c r="I121" s="44">
        <v>-11460.64701617834</v>
      </c>
    </row>
    <row r="122" spans="1:9" ht="15">
      <c r="A122" s="43" t="str">
        <f>HLOOKUP(INDICE!$F$2,Nombres!$C$3:$D$636,39,FALSE)</f>
        <v>  Gastos de administración</v>
      </c>
      <c r="B122" s="44">
        <v>-3571.6399002283324</v>
      </c>
      <c r="C122" s="44">
        <v>-3941.9888145113077</v>
      </c>
      <c r="D122" s="44">
        <v>-5730.072308403425</v>
      </c>
      <c r="E122" s="45">
        <v>-6458.157507159967</v>
      </c>
      <c r="F122" s="44">
        <v>-4637.123516520125</v>
      </c>
      <c r="G122" s="44">
        <v>-5947.4548887954925</v>
      </c>
      <c r="H122" s="44">
        <v>-8547.818112754008</v>
      </c>
      <c r="I122" s="44">
        <v>-10158.129965952805</v>
      </c>
    </row>
    <row r="123" spans="1:9" ht="15">
      <c r="A123" s="46" t="str">
        <f>HLOOKUP(INDICE!$F$2,Nombres!$C$3:$D$636,40,FALSE)</f>
        <v>  Gastos de personal</v>
      </c>
      <c r="B123" s="44">
        <v>-2014.2078400178696</v>
      </c>
      <c r="C123" s="44">
        <v>-2164.6261603712105</v>
      </c>
      <c r="D123" s="44">
        <v>-3174.0291536540963</v>
      </c>
      <c r="E123" s="45">
        <v>-3475.751564571544</v>
      </c>
      <c r="F123" s="44">
        <v>-2909.1158277362965</v>
      </c>
      <c r="G123" s="44">
        <v>-3703.080060110924</v>
      </c>
      <c r="H123" s="44">
        <v>-4794.346331081504</v>
      </c>
      <c r="I123" s="44">
        <v>-5727.377628737007</v>
      </c>
    </row>
    <row r="124" spans="1:9" ht="15">
      <c r="A124" s="46" t="str">
        <f>HLOOKUP(INDICE!$F$2,Nombres!$C$3:$D$636,41,FALSE)</f>
        <v>  Otros gastos de administración</v>
      </c>
      <c r="B124" s="44">
        <v>-1557.4320602104635</v>
      </c>
      <c r="C124" s="44">
        <v>-1777.3626541400972</v>
      </c>
      <c r="D124" s="44">
        <v>-2556.043154749329</v>
      </c>
      <c r="E124" s="45">
        <v>-2982.405942588423</v>
      </c>
      <c r="F124" s="44">
        <v>-1728.0076887838281</v>
      </c>
      <c r="G124" s="44">
        <v>-2244.3748286845675</v>
      </c>
      <c r="H124" s="44">
        <v>-3753.4717816725047</v>
      </c>
      <c r="I124" s="44">
        <v>-4430.752337215797</v>
      </c>
    </row>
    <row r="125" spans="1:9" ht="15">
      <c r="A125" s="43" t="str">
        <f>HLOOKUP(INDICE!$F$2,Nombres!$C$3:$D$636,42,FALSE)</f>
        <v>  Amortización</v>
      </c>
      <c r="B125" s="44">
        <v>-103.0164603395215</v>
      </c>
      <c r="C125" s="44">
        <v>-109.10280138150827</v>
      </c>
      <c r="D125" s="44">
        <v>-754.0808846382823</v>
      </c>
      <c r="E125" s="45">
        <v>-545.1851350259694</v>
      </c>
      <c r="F125" s="44">
        <v>-500.70368376108377</v>
      </c>
      <c r="G125" s="44">
        <v>-627.8439254677089</v>
      </c>
      <c r="H125" s="44">
        <v>-781.1037473258076</v>
      </c>
      <c r="I125" s="44">
        <v>-1302.5170502255369</v>
      </c>
    </row>
    <row r="126" spans="1:9" ht="15">
      <c r="A126" s="41" t="str">
        <f>HLOOKUP(INDICE!$F$2,Nombres!$C$3:$D$636,43,FALSE)</f>
        <v>Margen neto</v>
      </c>
      <c r="B126" s="41">
        <f>+B120+B121</f>
        <v>1533.1029499652523</v>
      </c>
      <c r="C126" s="41">
        <f aca="true" t="shared" si="20" ref="C126:I126">+C120+C121</f>
        <v>2427.6260526934584</v>
      </c>
      <c r="D126" s="41">
        <f t="shared" si="20"/>
        <v>1867.3280321930952</v>
      </c>
      <c r="E126" s="42">
        <f t="shared" si="20"/>
        <v>1733.1517608191862</v>
      </c>
      <c r="F126" s="52">
        <f t="shared" si="20"/>
        <v>8509.67124197559</v>
      </c>
      <c r="G126" s="52">
        <f t="shared" si="20"/>
        <v>7828.682404185643</v>
      </c>
      <c r="H126" s="52">
        <f t="shared" si="20"/>
        <v>9956.59908249717</v>
      </c>
      <c r="I126" s="52">
        <f t="shared" si="20"/>
        <v>10557.770432119443</v>
      </c>
    </row>
    <row r="127" spans="1:9" ht="15">
      <c r="A127" s="43" t="str">
        <f>HLOOKUP(INDICE!$F$2,Nombres!$C$3:$D$636,44,FALSE)</f>
        <v>Deterioro de activos financieros no valorados a valor razonable con cambios en resultados</v>
      </c>
      <c r="B127" s="44">
        <v>-376.7624391938846</v>
      </c>
      <c r="C127" s="44">
        <v>-652.0064979697232</v>
      </c>
      <c r="D127" s="44">
        <v>-1152.9910340219024</v>
      </c>
      <c r="E127" s="45">
        <v>-1326.1188171261786</v>
      </c>
      <c r="F127" s="44">
        <v>-1132.9008525474514</v>
      </c>
      <c r="G127" s="44">
        <v>-2018.422201088138</v>
      </c>
      <c r="H127" s="44">
        <v>-7343.614507521574</v>
      </c>
      <c r="I127" s="44">
        <v>-5507.836617634463</v>
      </c>
    </row>
    <row r="128" spans="1:9" ht="15">
      <c r="A128" s="43" t="str">
        <f>HLOOKUP(INDICE!$F$2,Nombres!$C$3:$D$636,45,FALSE)</f>
        <v>Provisiones o reversión de provisiones y otros resultados</v>
      </c>
      <c r="B128" s="44">
        <v>-198.9707639233594</v>
      </c>
      <c r="C128" s="44">
        <v>-272.63246446649845</v>
      </c>
      <c r="D128" s="44">
        <v>-377.5552055655021</v>
      </c>
      <c r="E128" s="45">
        <v>-337.42165262472645</v>
      </c>
      <c r="F128" s="44">
        <v>-254.80841809555153</v>
      </c>
      <c r="G128" s="44">
        <v>-530.7430175070881</v>
      </c>
      <c r="H128" s="44">
        <v>-1111.1180115437392</v>
      </c>
      <c r="I128" s="44">
        <v>-3483.791695310876</v>
      </c>
    </row>
    <row r="129" spans="1:9" ht="15">
      <c r="A129" s="41" t="str">
        <f>HLOOKUP(INDICE!$F$2,Nombres!$C$3:$D$636,46,FALSE)</f>
        <v>Resultado antes de impuestos</v>
      </c>
      <c r="B129" s="41">
        <f>+B126+B127+B128</f>
        <v>957.3697468480083</v>
      </c>
      <c r="C129" s="41">
        <f aca="true" t="shared" si="21" ref="C129:I129">+C126+C127+C128</f>
        <v>1502.9870902572368</v>
      </c>
      <c r="D129" s="41">
        <f t="shared" si="21"/>
        <v>336.7817926056907</v>
      </c>
      <c r="E129" s="42">
        <f t="shared" si="21"/>
        <v>69.61129106828116</v>
      </c>
      <c r="F129" s="52">
        <f t="shared" si="21"/>
        <v>7121.961971332587</v>
      </c>
      <c r="G129" s="52">
        <f t="shared" si="21"/>
        <v>5279.517185590417</v>
      </c>
      <c r="H129" s="52">
        <f t="shared" si="21"/>
        <v>1501.8665634318577</v>
      </c>
      <c r="I129" s="52">
        <f t="shared" si="21"/>
        <v>1566.1421191741038</v>
      </c>
    </row>
    <row r="130" spans="1:9" ht="15">
      <c r="A130" s="43" t="str">
        <f>HLOOKUP(INDICE!$F$2,Nombres!$C$3:$D$636,47,FALSE)</f>
        <v>Impuesto sobre beneficios</v>
      </c>
      <c r="B130" s="44">
        <v>-931.1504114960787</v>
      </c>
      <c r="C130" s="44">
        <v>-1648.8483538239393</v>
      </c>
      <c r="D130" s="44">
        <v>-416.26557377621293</v>
      </c>
      <c r="E130" s="45">
        <v>-2050.2671215098294</v>
      </c>
      <c r="F130" s="44">
        <v>-2643.9325002122027</v>
      </c>
      <c r="G130" s="44">
        <v>-1996.5283652279181</v>
      </c>
      <c r="H130" s="44">
        <v>1674.25728703048</v>
      </c>
      <c r="I130" s="44">
        <v>460.60188277638076</v>
      </c>
    </row>
    <row r="131" spans="1:9" ht="15">
      <c r="A131" s="41" t="str">
        <f>HLOOKUP(INDICE!$F$2,Nombres!$C$3:$D$636,48,FALSE)</f>
        <v>Resultado del ejercicio</v>
      </c>
      <c r="B131" s="41">
        <f>+B129+B130</f>
        <v>26.219335351929544</v>
      </c>
      <c r="C131" s="41">
        <f aca="true" t="shared" si="22" ref="C131:I131">+C129+C130</f>
        <v>-145.86126356670252</v>
      </c>
      <c r="D131" s="41">
        <f t="shared" si="22"/>
        <v>-79.4837811705222</v>
      </c>
      <c r="E131" s="42">
        <f t="shared" si="22"/>
        <v>-1980.6558304415482</v>
      </c>
      <c r="F131" s="52">
        <f t="shared" si="22"/>
        <v>4478.029471120384</v>
      </c>
      <c r="G131" s="52">
        <f t="shared" si="22"/>
        <v>3282.988820362499</v>
      </c>
      <c r="H131" s="52">
        <f t="shared" si="22"/>
        <v>3176.123850462338</v>
      </c>
      <c r="I131" s="52">
        <f t="shared" si="22"/>
        <v>2026.7440019504845</v>
      </c>
    </row>
    <row r="132" spans="1:9" ht="15">
      <c r="A132" s="43" t="str">
        <f>HLOOKUP(INDICE!$F$2,Nombres!$C$3:$D$636,49,FALSE)</f>
        <v>Minoritarios</v>
      </c>
      <c r="B132" s="44">
        <v>7.796973840961016</v>
      </c>
      <c r="C132" s="44">
        <v>32.476047688122634</v>
      </c>
      <c r="D132" s="44">
        <v>-33.15501887632112</v>
      </c>
      <c r="E132" s="45">
        <v>780.097971806112</v>
      </c>
      <c r="F132" s="44">
        <v>-1562.4174136894108</v>
      </c>
      <c r="G132" s="44">
        <v>-837.2658323329686</v>
      </c>
      <c r="H132" s="44">
        <v>-1217.666632419711</v>
      </c>
      <c r="I132" s="44">
        <v>-421.0888944079006</v>
      </c>
    </row>
    <row r="133" spans="1:9" ht="15">
      <c r="A133" s="47" t="str">
        <f>HLOOKUP(INDICE!$F$2,Nombres!$C$3:$D$636,50,FALSE)</f>
        <v>Resultado atribuido</v>
      </c>
      <c r="B133" s="47">
        <f>+B131+B132</f>
        <v>34.01630919289056</v>
      </c>
      <c r="C133" s="47">
        <f aca="true" t="shared" si="23" ref="C133:I133">+C131+C132</f>
        <v>-113.38521587857988</v>
      </c>
      <c r="D133" s="47">
        <f t="shared" si="23"/>
        <v>-112.63880004684333</v>
      </c>
      <c r="E133" s="47">
        <f t="shared" si="23"/>
        <v>-1200.5578586354363</v>
      </c>
      <c r="F133" s="53">
        <f t="shared" si="23"/>
        <v>2915.6120574309734</v>
      </c>
      <c r="G133" s="53">
        <f t="shared" si="23"/>
        <v>2445.722988029531</v>
      </c>
      <c r="H133" s="53">
        <f t="shared" si="23"/>
        <v>1958.457218042627</v>
      </c>
      <c r="I133" s="53">
        <f t="shared" si="23"/>
        <v>1605.655107542584</v>
      </c>
    </row>
    <row r="134" spans="1:9" ht="15">
      <c r="A134" s="65"/>
      <c r="B134" s="66">
        <v>-6.252776074688882E-13</v>
      </c>
      <c r="C134" s="66">
        <v>-3.410605131648481E-13</v>
      </c>
      <c r="D134" s="66">
        <v>2.6147972675971687E-12</v>
      </c>
      <c r="E134" s="66">
        <v>-4.547473508864641E-12</v>
      </c>
      <c r="F134" s="66">
        <v>0</v>
      </c>
      <c r="G134" s="66">
        <v>0</v>
      </c>
      <c r="H134" s="66">
        <v>2.9558577807620168E-12</v>
      </c>
      <c r="I134" s="66">
        <v>0</v>
      </c>
    </row>
    <row r="135" spans="1:9" ht="15">
      <c r="A135" s="41"/>
      <c r="B135" s="41"/>
      <c r="C135" s="41"/>
      <c r="D135" s="41"/>
      <c r="E135" s="41"/>
      <c r="F135" s="52"/>
      <c r="G135" s="52"/>
      <c r="H135" s="52"/>
      <c r="I135" s="52"/>
    </row>
    <row r="136" spans="1:9" ht="18">
      <c r="A136" s="33" t="str">
        <f>HLOOKUP(INDICE!$F$2,Nombres!$C$3:$D$636,51,FALSE)</f>
        <v>Balances</v>
      </c>
      <c r="B136" s="34"/>
      <c r="C136" s="34"/>
      <c r="D136" s="34"/>
      <c r="E136" s="34"/>
      <c r="F136" s="72"/>
      <c r="G136" s="72"/>
      <c r="H136" s="72"/>
      <c r="I136" s="72"/>
    </row>
    <row r="137" spans="1:9" ht="15">
      <c r="A137" s="35" t="str">
        <f>HLOOKUP(INDICE!$F$2,Nombres!$C$3:$D$636,78,FALSE)</f>
        <v>(Millones de pesos argentinos)</v>
      </c>
      <c r="B137" s="30"/>
      <c r="C137" s="54"/>
      <c r="D137" s="54"/>
      <c r="E137" s="54"/>
      <c r="F137" s="73"/>
      <c r="G137" s="44"/>
      <c r="H137" s="44"/>
      <c r="I137" s="44"/>
    </row>
    <row r="138" spans="1:9" ht="15.75">
      <c r="A138" s="30"/>
      <c r="B138" s="55">
        <f aca="true" t="shared" si="24" ref="B138:I138">+B$30</f>
        <v>43190</v>
      </c>
      <c r="C138" s="55">
        <f t="shared" si="24"/>
        <v>43281</v>
      </c>
      <c r="D138" s="55">
        <f t="shared" si="24"/>
        <v>43373</v>
      </c>
      <c r="E138" s="71">
        <f t="shared" si="24"/>
        <v>43465</v>
      </c>
      <c r="F138" s="55">
        <f t="shared" si="24"/>
        <v>43555</v>
      </c>
      <c r="G138" s="55">
        <f t="shared" si="24"/>
        <v>43646</v>
      </c>
      <c r="H138" s="55">
        <f t="shared" si="24"/>
        <v>43738</v>
      </c>
      <c r="I138" s="55">
        <f t="shared" si="24"/>
        <v>43830</v>
      </c>
    </row>
    <row r="139" spans="1:9" ht="15">
      <c r="A139" s="43" t="str">
        <f>HLOOKUP(INDICE!$F$2,Nombres!$C$3:$D$636,52,FALSE)</f>
        <v>Efectivo, saldos en efectivo en bancos centrales y otros depósitos a la vista</v>
      </c>
      <c r="B139" s="44">
        <v>36921.473245309244</v>
      </c>
      <c r="C139" s="44">
        <v>54534.66052785163</v>
      </c>
      <c r="D139" s="44">
        <v>87836.03183315038</v>
      </c>
      <c r="E139" s="45">
        <v>99115.93073593074</v>
      </c>
      <c r="F139" s="44">
        <v>103983.04005003006</v>
      </c>
      <c r="G139" s="44">
        <v>90961.2688424307</v>
      </c>
      <c r="H139" s="44">
        <v>94266.26277702124</v>
      </c>
      <c r="I139" s="44">
        <v>156316.7146583337</v>
      </c>
    </row>
    <row r="140" spans="1:9" ht="15">
      <c r="A140" s="43" t="str">
        <f>HLOOKUP(INDICE!$F$2,Nombres!$C$3:$D$636,53,FALSE)</f>
        <v>Activos financieros a valor razonable</v>
      </c>
      <c r="B140" s="60">
        <v>21143.700982825372</v>
      </c>
      <c r="C140" s="60">
        <v>26139.45269437779</v>
      </c>
      <c r="D140" s="60">
        <v>33628.338821807534</v>
      </c>
      <c r="E140" s="68">
        <v>34869.74025974026</v>
      </c>
      <c r="F140" s="44">
        <v>48542.056574550064</v>
      </c>
      <c r="G140" s="44">
        <v>83729.19330263138</v>
      </c>
      <c r="H140" s="44">
        <v>76525.1728971404</v>
      </c>
      <c r="I140" s="44">
        <v>59020.76005002364</v>
      </c>
    </row>
    <row r="141" spans="1:9" ht="15">
      <c r="A141" s="43" t="str">
        <f>HLOOKUP(INDICE!$F$2,Nombres!$C$3:$D$636,54,FALSE)</f>
        <v>Activos financieros a coste amortizado</v>
      </c>
      <c r="B141" s="44">
        <v>152131.4156656408</v>
      </c>
      <c r="C141" s="44">
        <v>174726.34718889825</v>
      </c>
      <c r="D141" s="44">
        <v>196463.27296011703</v>
      </c>
      <c r="E141" s="45">
        <v>200615.84415584416</v>
      </c>
      <c r="F141" s="44">
        <v>214871.96121882004</v>
      </c>
      <c r="G141" s="44">
        <v>200905.8035245502</v>
      </c>
      <c r="H141" s="44">
        <v>219462.2991972865</v>
      </c>
      <c r="I141" s="44">
        <v>204930.34243753713</v>
      </c>
    </row>
    <row r="142" spans="1:9" ht="15">
      <c r="A142" s="43" t="str">
        <f>HLOOKUP(INDICE!$F$2,Nombres!$C$3:$D$636,55,FALSE)</f>
        <v>    de los que préstamos y anticipos a la clientela</v>
      </c>
      <c r="B142" s="44">
        <v>141468.97647175615</v>
      </c>
      <c r="C142" s="44">
        <v>163283.4446533947</v>
      </c>
      <c r="D142" s="44">
        <v>178897.86864251734</v>
      </c>
      <c r="E142" s="45">
        <v>186386.36363636365</v>
      </c>
      <c r="F142" s="44">
        <v>194997.83510130204</v>
      </c>
      <c r="G142" s="44">
        <v>186827.26107852784</v>
      </c>
      <c r="H142" s="44">
        <v>204762.53366141158</v>
      </c>
      <c r="I142" s="44">
        <v>193633.41953408413</v>
      </c>
    </row>
    <row r="143" spans="1:9" ht="15">
      <c r="A143" s="43" t="str">
        <f>HLOOKUP(INDICE!$F$2,Nombres!$C$3:$D$636,56,FALSE)</f>
        <v>Activos tangibles</v>
      </c>
      <c r="B143" s="44">
        <v>12104.38909063834</v>
      </c>
      <c r="C143" s="44">
        <v>13230.926073536086</v>
      </c>
      <c r="D143" s="44">
        <v>14347.008781558725</v>
      </c>
      <c r="E143" s="45">
        <v>16889.98936017316</v>
      </c>
      <c r="F143" s="44">
        <v>19928.486552668135</v>
      </c>
      <c r="G143" s="44">
        <v>21550.739685197426</v>
      </c>
      <c r="H143" s="44">
        <v>24680.04528462732</v>
      </c>
      <c r="I143" s="44">
        <v>27292.83390585865</v>
      </c>
    </row>
    <row r="144" spans="1:9" ht="15">
      <c r="A144" s="43" t="str">
        <f>HLOOKUP(INDICE!$F$2,Nombres!$C$3:$D$636,57,FALSE)</f>
        <v>Otros activos</v>
      </c>
      <c r="B144" s="60">
        <f>+B145-B143-B141-B140-B139</f>
        <v>3614.672889903719</v>
      </c>
      <c r="C144" s="60">
        <f aca="true" t="shared" si="25" ref="C144:H144">+C145-C143-C141-C140-C139</f>
        <v>4346.240235069148</v>
      </c>
      <c r="D144" s="60">
        <f t="shared" si="25"/>
        <v>6285.537870471933</v>
      </c>
      <c r="E144" s="68">
        <f t="shared" si="25"/>
        <v>6793.647259740304</v>
      </c>
      <c r="F144" s="44">
        <f t="shared" si="25"/>
        <v>7975.459410362295</v>
      </c>
      <c r="G144" s="44">
        <f t="shared" si="25"/>
        <v>9374.594922494085</v>
      </c>
      <c r="H144" s="44">
        <f t="shared" si="25"/>
        <v>11574.932563079565</v>
      </c>
      <c r="I144" s="44">
        <f>+I145-I143-I141-I140-I139</f>
        <v>16936.595522220246</v>
      </c>
    </row>
    <row r="145" spans="1:9" ht="15">
      <c r="A145" s="47" t="str">
        <f>HLOOKUP(INDICE!$F$2,Nombres!$C$3:$D$636,58,FALSE)</f>
        <v>Total activo / pasivo</v>
      </c>
      <c r="B145" s="47">
        <v>225915.65187431747</v>
      </c>
      <c r="C145" s="47">
        <v>272977.6267197329</v>
      </c>
      <c r="D145" s="47">
        <v>338560.1902671056</v>
      </c>
      <c r="E145" s="47">
        <v>358285.15177142865</v>
      </c>
      <c r="F145" s="53">
        <v>395301.0038064306</v>
      </c>
      <c r="G145" s="53">
        <v>406521.6002773038</v>
      </c>
      <c r="H145" s="53">
        <v>426508.712719155</v>
      </c>
      <c r="I145" s="53">
        <v>464497.24657397333</v>
      </c>
    </row>
    <row r="146" spans="1:9" ht="15">
      <c r="A146" s="43" t="str">
        <f>HLOOKUP(INDICE!$F$2,Nombres!$C$3:$D$636,59,FALSE)</f>
        <v>Pasivos financieros mantenidos para negociar y designados a valor razonable con cambios en resultados</v>
      </c>
      <c r="B146" s="60">
        <v>766.3059664449518</v>
      </c>
      <c r="C146" s="60">
        <v>2429.544128136956</v>
      </c>
      <c r="D146" s="60">
        <v>5846.5971459934135</v>
      </c>
      <c r="E146" s="68">
        <v>1529.3506493506495</v>
      </c>
      <c r="F146" s="44">
        <v>3043.4497679315873</v>
      </c>
      <c r="G146" s="44">
        <v>3444.7834614615767</v>
      </c>
      <c r="H146" s="44">
        <v>4066.021404891413</v>
      </c>
      <c r="I146" s="44">
        <v>3101.4155800020294</v>
      </c>
    </row>
    <row r="147" spans="1:9" ht="15">
      <c r="A147" s="43" t="str">
        <f>HLOOKUP(INDICE!$F$2,Nombres!$C$3:$D$636,60,FALSE)</f>
        <v>Depósitos de bancos centrales y entidades de crédito</v>
      </c>
      <c r="B147" s="60">
        <v>3155.4402859128363</v>
      </c>
      <c r="C147" s="60">
        <v>8857.402243693663</v>
      </c>
      <c r="D147" s="60">
        <v>8115.852542993047</v>
      </c>
      <c r="E147" s="68">
        <v>7708.961038961039</v>
      </c>
      <c r="F147" s="44">
        <v>7935.0074108721765</v>
      </c>
      <c r="G147" s="44">
        <v>5140.018281217273</v>
      </c>
      <c r="H147" s="44">
        <v>12516.308234253669</v>
      </c>
      <c r="I147" s="44">
        <v>7911.223791775725</v>
      </c>
    </row>
    <row r="148" spans="1:9" ht="15">
      <c r="A148" s="43" t="str">
        <f>HLOOKUP(INDICE!$F$2,Nombres!$C$3:$D$636,61,FALSE)</f>
        <v>Depósitos de la clientela</v>
      </c>
      <c r="B148" s="60">
        <v>159841.53181773057</v>
      </c>
      <c r="C148" s="60">
        <v>192443.38888528632</v>
      </c>
      <c r="D148" s="60">
        <v>247008.41566044636</v>
      </c>
      <c r="E148" s="68">
        <v>259042.59740259743</v>
      </c>
      <c r="F148" s="44">
        <v>278251.9679211023</v>
      </c>
      <c r="G148" s="44">
        <v>284795.84179900715</v>
      </c>
      <c r="H148" s="44">
        <v>274836.2592998998</v>
      </c>
      <c r="I148" s="44">
        <v>293748.0537697099</v>
      </c>
    </row>
    <row r="149" spans="1:9" ht="15">
      <c r="A149" s="43" t="str">
        <f>HLOOKUP(INDICE!$F$2,Nombres!$C$3:$D$636,62,FALSE)</f>
        <v>Valores representativos de deuda emitidos</v>
      </c>
      <c r="B149" s="44">
        <v>1733.396207683907</v>
      </c>
      <c r="C149" s="44">
        <v>1655.794047078659</v>
      </c>
      <c r="D149" s="44">
        <v>1644.621295279912</v>
      </c>
      <c r="E149" s="45">
        <v>2348.874458874459</v>
      </c>
      <c r="F149" s="44">
        <v>4097.013769178869</v>
      </c>
      <c r="G149" s="44">
        <v>4192.40298191409</v>
      </c>
      <c r="H149" s="44">
        <v>8599.70361360881</v>
      </c>
      <c r="I149" s="44">
        <v>7127.408676867961</v>
      </c>
    </row>
    <row r="150" spans="1:9" ht="15">
      <c r="A150" s="43" t="str">
        <f>HLOOKUP(INDICE!$F$2,Nombres!$C$3:$D$636,63,FALSE)</f>
        <v>Otros pasivos</v>
      </c>
      <c r="B150" s="60">
        <f>+B145-B146-B147-B148-B149-B151</f>
        <v>47127.39663754589</v>
      </c>
      <c r="C150" s="60">
        <f aca="true" t="shared" si="26" ref="C150:I150">+C145-C146-C147-C148-C149-C151</f>
        <v>50499.470309642755</v>
      </c>
      <c r="D150" s="60">
        <f t="shared" si="26"/>
        <v>57999.132381082934</v>
      </c>
      <c r="E150" s="68">
        <f t="shared" si="26"/>
        <v>70610.16229956715</v>
      </c>
      <c r="F150" s="44">
        <f t="shared" si="26"/>
        <v>81141.065817332</v>
      </c>
      <c r="G150" s="44">
        <f t="shared" si="26"/>
        <v>84812.62582359981</v>
      </c>
      <c r="H150" s="44">
        <f t="shared" si="26"/>
        <v>102429.96027775822</v>
      </c>
      <c r="I150" s="44">
        <f t="shared" si="26"/>
        <v>122982.38187067758</v>
      </c>
    </row>
    <row r="151" spans="1:9" ht="15">
      <c r="A151" s="43" t="str">
        <f>HLOOKUP(INDICE!$F$2,Nombres!$C$3:$D$636,64,FALSE)</f>
        <v>Dotación de capital económico</v>
      </c>
      <c r="B151" s="44">
        <v>13291.580958999306</v>
      </c>
      <c r="C151" s="44">
        <v>17092.027105894565</v>
      </c>
      <c r="D151" s="44">
        <v>17945.571241309914</v>
      </c>
      <c r="E151" s="45">
        <v>17045.20592207792</v>
      </c>
      <c r="F151" s="44">
        <v>20832.499120013643</v>
      </c>
      <c r="G151" s="44">
        <v>24135.92793010387</v>
      </c>
      <c r="H151" s="44">
        <v>24060.459888743117</v>
      </c>
      <c r="I151" s="44">
        <v>29626.7628849402</v>
      </c>
    </row>
    <row r="152" spans="1:9" ht="15">
      <c r="A152" s="65"/>
      <c r="B152" s="60"/>
      <c r="C152" s="60"/>
      <c r="D152" s="60"/>
      <c r="E152" s="60"/>
      <c r="F152" s="44"/>
      <c r="G152" s="44"/>
      <c r="H152" s="44"/>
      <c r="I152" s="44"/>
    </row>
    <row r="153" spans="1:9" ht="15">
      <c r="A153" s="43"/>
      <c r="B153" s="60"/>
      <c r="C153" s="60"/>
      <c r="D153" s="60"/>
      <c r="E153" s="60"/>
      <c r="F153" s="44"/>
      <c r="G153" s="44"/>
      <c r="H153" s="44"/>
      <c r="I153" s="44"/>
    </row>
    <row r="154" spans="1:9" ht="18">
      <c r="A154" s="33" t="str">
        <f>HLOOKUP(INDICE!$F$2,Nombres!$C$3:$D$636,65,FALSE)</f>
        <v>Indicadores relevantes y de gestión</v>
      </c>
      <c r="B154" s="34"/>
      <c r="C154" s="34"/>
      <c r="D154" s="34"/>
      <c r="E154" s="34"/>
      <c r="F154" s="72"/>
      <c r="G154" s="72"/>
      <c r="H154" s="72"/>
      <c r="I154" s="72"/>
    </row>
    <row r="155" spans="1:9" ht="15">
      <c r="A155" s="35" t="str">
        <f>HLOOKUP(INDICE!$F$2,Nombres!$C$3:$D$636,78,FALSE)</f>
        <v>(Millones de pesos argentinos)</v>
      </c>
      <c r="B155" s="30"/>
      <c r="C155" s="30"/>
      <c r="D155" s="30"/>
      <c r="E155" s="30"/>
      <c r="F155" s="73"/>
      <c r="G155" s="44"/>
      <c r="H155" s="44"/>
      <c r="I155" s="44"/>
    </row>
    <row r="156" spans="1:9" ht="15.75" customHeight="1">
      <c r="A156" s="30"/>
      <c r="B156" s="55">
        <f aca="true" t="shared" si="27" ref="B156:I156">+B$30</f>
        <v>43190</v>
      </c>
      <c r="C156" s="55">
        <f t="shared" si="27"/>
        <v>43281</v>
      </c>
      <c r="D156" s="55">
        <f t="shared" si="27"/>
        <v>43373</v>
      </c>
      <c r="E156" s="71">
        <f t="shared" si="27"/>
        <v>43465</v>
      </c>
      <c r="F156" s="55">
        <f t="shared" si="27"/>
        <v>43555</v>
      </c>
      <c r="G156" s="55">
        <f t="shared" si="27"/>
        <v>43646</v>
      </c>
      <c r="H156" s="55">
        <f t="shared" si="27"/>
        <v>43738</v>
      </c>
      <c r="I156" s="55">
        <f t="shared" si="27"/>
        <v>43830</v>
      </c>
    </row>
    <row r="157" spans="1:9" ht="15.75" customHeight="1">
      <c r="A157" s="43" t="str">
        <f>HLOOKUP(INDICE!$F$2,Nombres!$C$3:$D$636,66,FALSE)</f>
        <v>Préstamos y anticipos a la clientela bruto (*)</v>
      </c>
      <c r="B157" s="44">
        <v>139181.15326640525</v>
      </c>
      <c r="C157" s="44">
        <v>159533.0603881071</v>
      </c>
      <c r="D157" s="44">
        <v>175774.75560144533</v>
      </c>
      <c r="E157" s="45">
        <v>186480.22463073593</v>
      </c>
      <c r="F157" s="44">
        <v>194938.33330663803</v>
      </c>
      <c r="G157" s="44">
        <v>195257.7018963404</v>
      </c>
      <c r="H157" s="44">
        <v>215367.17488110185</v>
      </c>
      <c r="I157" s="44">
        <v>204873.99187363902</v>
      </c>
    </row>
    <row r="158" spans="1:9" ht="15.75" customHeight="1">
      <c r="A158" s="43" t="str">
        <f>HLOOKUP(INDICE!$F$2,Nombres!$C$3:$D$636,67,FALSE)</f>
        <v>Depósitos de clientes en gestión (**)</v>
      </c>
      <c r="B158" s="44">
        <v>159740.16559019158</v>
      </c>
      <c r="C158" s="44">
        <v>192411.108962778</v>
      </c>
      <c r="D158" s="44">
        <v>247204.459039517</v>
      </c>
      <c r="E158" s="45">
        <v>259129.91622077924</v>
      </c>
      <c r="F158" s="44">
        <v>278328.3481685719</v>
      </c>
      <c r="G158" s="44">
        <v>284735.1518868636</v>
      </c>
      <c r="H158" s="44">
        <v>274109.65802499943</v>
      </c>
      <c r="I158" s="44">
        <v>293751.3468468919</v>
      </c>
    </row>
    <row r="159" spans="1:9" ht="15.75" customHeight="1">
      <c r="A159" s="43" t="str">
        <f>HLOOKUP(INDICE!$F$2,Nombres!$C$3:$D$636,68,FALSE)</f>
        <v>Fondos de inversión</v>
      </c>
      <c r="B159" s="44">
        <v>43811.134354710615</v>
      </c>
      <c r="C159" s="44">
        <v>38888.90857629207</v>
      </c>
      <c r="D159" s="44">
        <v>35793.94178695572</v>
      </c>
      <c r="E159" s="45">
        <v>33897.864619913424</v>
      </c>
      <c r="F159" s="44">
        <v>50566.02125308689</v>
      </c>
      <c r="G159" s="44">
        <v>50853.11954240798</v>
      </c>
      <c r="H159" s="44">
        <v>41047.339262827074</v>
      </c>
      <c r="I159" s="44">
        <v>43358.448758141836</v>
      </c>
    </row>
    <row r="160" spans="1:9" ht="15.75" customHeight="1">
      <c r="A160" s="43" t="str">
        <f>HLOOKUP(INDICE!$F$2,Nombres!$C$3:$D$636,69,FALSE)</f>
        <v>Fondos de pensiones</v>
      </c>
      <c r="B160" s="44" t="s">
        <v>400</v>
      </c>
      <c r="C160" s="44" t="s">
        <v>400</v>
      </c>
      <c r="D160" s="44" t="s">
        <v>400</v>
      </c>
      <c r="E160" s="45" t="s">
        <v>400</v>
      </c>
      <c r="F160" s="44" t="s">
        <v>400</v>
      </c>
      <c r="G160" s="44" t="s">
        <v>400</v>
      </c>
      <c r="H160" s="44" t="s">
        <v>400</v>
      </c>
      <c r="I160" s="44" t="s">
        <v>400</v>
      </c>
    </row>
    <row r="161" spans="1:9" ht="15">
      <c r="A161" s="43" t="str">
        <f>HLOOKUP(INDICE!$F$2,Nombres!$C$3:$D$636,70,FALSE)</f>
        <v>Otros recursos fuera de balance</v>
      </c>
      <c r="B161" s="44" t="s">
        <v>400</v>
      </c>
      <c r="C161" s="44" t="s">
        <v>400</v>
      </c>
      <c r="D161" s="44" t="s">
        <v>400</v>
      </c>
      <c r="E161" s="45" t="s">
        <v>400</v>
      </c>
      <c r="F161" s="44" t="s">
        <v>400</v>
      </c>
      <c r="G161" s="44" t="s">
        <v>400</v>
      </c>
      <c r="H161" s="44" t="s">
        <v>400</v>
      </c>
      <c r="I161" s="44" t="s">
        <v>400</v>
      </c>
    </row>
    <row r="162" spans="1:9" ht="15">
      <c r="A162" s="65" t="str">
        <f>HLOOKUP(INDICE!$F$2,Nombres!$C$3:$D$636,71,FALSE)</f>
        <v>(*) No incluye las adquisiciones temporales de activos.</v>
      </c>
      <c r="B162" s="60"/>
      <c r="C162" s="60"/>
      <c r="D162" s="60"/>
      <c r="E162" s="60"/>
      <c r="F162" s="44"/>
      <c r="G162" s="44"/>
      <c r="H162" s="44"/>
      <c r="I162" s="44"/>
    </row>
    <row r="163" spans="1:9" ht="15">
      <c r="A163" s="65" t="str">
        <f>HLOOKUP(INDICE!$F$2,Nombres!$C$3:$D$636,72,FALSE)</f>
        <v>(**) No incluye las cesiones temporales de activos.</v>
      </c>
      <c r="B163" s="30"/>
      <c r="C163" s="30"/>
      <c r="D163" s="30"/>
      <c r="E163" s="30"/>
      <c r="F163" s="30"/>
      <c r="G163" s="30"/>
      <c r="H163" s="30"/>
      <c r="I163" s="30"/>
    </row>
    <row r="164" spans="1:9" ht="15">
      <c r="A164" s="30"/>
      <c r="B164" s="30"/>
      <c r="C164" s="30"/>
      <c r="D164" s="30"/>
      <c r="E164" s="30"/>
      <c r="F164" s="30"/>
      <c r="G164" s="30"/>
      <c r="H164" s="30"/>
      <c r="I164" s="30"/>
    </row>
    <row r="165" spans="1:9" ht="15">
      <c r="A165" s="30"/>
      <c r="B165" s="30"/>
      <c r="C165" s="30"/>
      <c r="D165" s="30"/>
      <c r="E165" s="30"/>
      <c r="F165" s="30"/>
      <c r="G165" s="30"/>
      <c r="H165" s="30"/>
      <c r="I165" s="30"/>
    </row>
    <row r="166" spans="1:9" ht="15">
      <c r="A166" s="77"/>
      <c r="B166" s="78"/>
      <c r="C166" s="79"/>
      <c r="D166" s="79"/>
      <c r="E166" s="79"/>
      <c r="F166" s="78"/>
      <c r="G166" s="78"/>
      <c r="H166" s="78"/>
      <c r="I166" s="78"/>
    </row>
    <row r="167" spans="1:15" ht="15">
      <c r="A167" s="77"/>
      <c r="B167" s="78"/>
      <c r="C167" s="79"/>
      <c r="D167" s="79"/>
      <c r="E167" s="79"/>
      <c r="F167" s="78"/>
      <c r="G167" s="78"/>
      <c r="H167" s="78"/>
      <c r="I167" s="78"/>
      <c r="J167" s="78"/>
      <c r="K167" s="78"/>
      <c r="L167" s="78"/>
      <c r="M167" s="78"/>
      <c r="N167" s="78"/>
      <c r="O167" s="78"/>
    </row>
    <row r="168" spans="1:15" ht="15">
      <c r="A168" s="78"/>
      <c r="B168" s="78"/>
      <c r="C168" s="78"/>
      <c r="D168" s="78"/>
      <c r="E168" s="78"/>
      <c r="F168" s="78"/>
      <c r="G168" s="78"/>
      <c r="H168" s="78"/>
      <c r="I168" s="78"/>
      <c r="J168" s="78"/>
      <c r="K168" s="78"/>
      <c r="L168" s="78"/>
      <c r="M168" s="78"/>
      <c r="N168" s="78"/>
      <c r="O168" s="78"/>
    </row>
    <row r="169" spans="1:15" ht="15">
      <c r="A169" s="78"/>
      <c r="B169" s="78"/>
      <c r="C169" s="78"/>
      <c r="D169" s="78"/>
      <c r="E169" s="78"/>
      <c r="F169" s="78"/>
      <c r="G169" s="78"/>
      <c r="H169" s="78"/>
      <c r="I169" s="78"/>
      <c r="J169" s="78"/>
      <c r="K169" s="78"/>
      <c r="L169" s="78"/>
      <c r="M169" s="78"/>
      <c r="N169" s="78"/>
      <c r="O169" s="78"/>
    </row>
    <row r="170" spans="1:15" ht="15">
      <c r="A170" s="78"/>
      <c r="B170" s="78"/>
      <c r="C170" s="78"/>
      <c r="D170" s="78"/>
      <c r="E170" s="78"/>
      <c r="F170" s="78"/>
      <c r="G170" s="78"/>
      <c r="H170" s="78"/>
      <c r="I170" s="78"/>
      <c r="J170" s="78"/>
      <c r="K170" s="78"/>
      <c r="L170" s="78"/>
      <c r="M170" s="78"/>
      <c r="N170" s="78"/>
      <c r="O170" s="78"/>
    </row>
    <row r="171" spans="1:15" ht="15">
      <c r="A171" s="78"/>
      <c r="B171" s="78"/>
      <c r="C171" s="78"/>
      <c r="D171" s="78"/>
      <c r="E171" s="78"/>
      <c r="F171" s="78"/>
      <c r="G171" s="78"/>
      <c r="H171" s="78"/>
      <c r="I171" s="78"/>
      <c r="J171" s="78"/>
      <c r="K171" s="78"/>
      <c r="L171" s="78"/>
      <c r="M171" s="78"/>
      <c r="N171" s="78"/>
      <c r="O171" s="78"/>
    </row>
    <row r="172" spans="1:15" ht="15">
      <c r="A172" s="78"/>
      <c r="B172" s="78"/>
      <c r="C172" s="78"/>
      <c r="D172" s="78"/>
      <c r="E172" s="78"/>
      <c r="F172" s="78"/>
      <c r="G172" s="78"/>
      <c r="H172" s="78"/>
      <c r="I172" s="78"/>
      <c r="J172" s="78"/>
      <c r="K172" s="78"/>
      <c r="L172" s="78"/>
      <c r="M172" s="78"/>
      <c r="N172" s="78"/>
      <c r="O172" s="78"/>
    </row>
    <row r="173" spans="1:15" ht="15">
      <c r="A173" s="78"/>
      <c r="B173" s="78"/>
      <c r="C173" s="78"/>
      <c r="D173" s="78"/>
      <c r="E173" s="78"/>
      <c r="F173" s="78"/>
      <c r="G173" s="78"/>
      <c r="H173" s="78"/>
      <c r="I173" s="78"/>
      <c r="J173" s="78"/>
      <c r="K173" s="78"/>
      <c r="L173" s="78"/>
      <c r="M173" s="78"/>
      <c r="N173" s="78"/>
      <c r="O173" s="78"/>
    </row>
    <row r="174" spans="1:15" ht="15">
      <c r="A174" s="78"/>
      <c r="B174" s="78"/>
      <c r="C174" s="78"/>
      <c r="D174" s="78"/>
      <c r="E174" s="78"/>
      <c r="F174" s="78"/>
      <c r="G174" s="78"/>
      <c r="H174" s="78"/>
      <c r="I174" s="78"/>
      <c r="J174" s="78"/>
      <c r="K174" s="78"/>
      <c r="L174" s="78"/>
      <c r="M174" s="78"/>
      <c r="N174" s="78"/>
      <c r="O174" s="78"/>
    </row>
    <row r="1000" ht="15">
      <c r="A1000" s="31" t="s">
        <v>399</v>
      </c>
    </row>
  </sheetData>
  <sheetProtection/>
  <mergeCells count="6">
    <mergeCell ref="B6:E6"/>
    <mergeCell ref="B60:E60"/>
    <mergeCell ref="B114:E114"/>
    <mergeCell ref="F6:I6"/>
    <mergeCell ref="F60:I60"/>
    <mergeCell ref="F114:I114"/>
  </mergeCells>
  <conditionalFormatting sqref="B26:I26">
    <cfRule type="cellIs" priority="3" dxfId="116" operator="notBetween">
      <formula>0.5</formula>
      <formula>-0.5</formula>
    </cfRule>
  </conditionalFormatting>
  <conditionalFormatting sqref="B80:I80">
    <cfRule type="cellIs" priority="2" dxfId="116" operator="notBetween">
      <formula>0.5</formula>
      <formula>-0.5</formula>
    </cfRule>
  </conditionalFormatting>
  <conditionalFormatting sqref="B134:I134">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A5" sqref="A5"/>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152.806</v>
      </c>
      <c r="C8" s="41">
        <v>158.88999999999996</v>
      </c>
      <c r="D8" s="41">
        <v>39.458</v>
      </c>
      <c r="E8" s="42">
        <v>44.110000000000014</v>
      </c>
      <c r="F8" s="52">
        <v>46.31</v>
      </c>
      <c r="G8" s="52">
        <v>46.683</v>
      </c>
      <c r="H8" s="52">
        <v>46.277000000000015</v>
      </c>
      <c r="I8" s="52">
        <v>41.771</v>
      </c>
    </row>
    <row r="9" spans="1:9" ht="15">
      <c r="A9" s="43" t="str">
        <f>HLOOKUP(INDICE!$F$2,Nombres!$C$3:$D$636,34,FALSE)</f>
        <v>Comisiones netas</v>
      </c>
      <c r="B9" s="44">
        <v>19.284331769999998</v>
      </c>
      <c r="C9" s="44">
        <v>25.06924255000001</v>
      </c>
      <c r="D9" s="44">
        <v>7.396655829999995</v>
      </c>
      <c r="E9" s="45">
        <v>7.4655590000000025</v>
      </c>
      <c r="F9" s="44">
        <v>5.179</v>
      </c>
      <c r="G9" s="44">
        <v>4.452999999999999</v>
      </c>
      <c r="H9" s="44">
        <v>4.7310000000000025</v>
      </c>
      <c r="I9" s="44">
        <v>3.2279999999999944</v>
      </c>
    </row>
    <row r="10" spans="1:9" ht="15">
      <c r="A10" s="43" t="str">
        <f>HLOOKUP(INDICE!$F$2,Nombres!$C$3:$D$636,35,FALSE)</f>
        <v>Resultados de operaciones financieras</v>
      </c>
      <c r="B10" s="44">
        <v>18.48020702000001</v>
      </c>
      <c r="C10" s="44">
        <v>19.191988620000004</v>
      </c>
      <c r="D10" s="44">
        <v>-0.595067999999999</v>
      </c>
      <c r="E10" s="45">
        <v>-0.15798300000000076</v>
      </c>
      <c r="F10" s="44">
        <v>0.374</v>
      </c>
      <c r="G10" s="44">
        <v>0.36499999999999994</v>
      </c>
      <c r="H10" s="44">
        <v>0.343</v>
      </c>
      <c r="I10" s="44">
        <v>0.28800000000000003</v>
      </c>
    </row>
    <row r="11" spans="1:9" ht="15">
      <c r="A11" s="43" t="str">
        <f>HLOOKUP(INDICE!$F$2,Nombres!$C$3:$D$636,36,FALSE)</f>
        <v>Otros ingresos y cargas de explotación</v>
      </c>
      <c r="B11" s="44">
        <v>4.5089999999999995</v>
      </c>
      <c r="C11" s="44">
        <v>4.374000000000001</v>
      </c>
      <c r="D11" s="44">
        <v>-0.529000000000001</v>
      </c>
      <c r="E11" s="45">
        <v>-0.44799999999999895</v>
      </c>
      <c r="F11" s="44">
        <v>0.053000000000000005</v>
      </c>
      <c r="G11" s="44">
        <v>-0.03999999999999999</v>
      </c>
      <c r="H11" s="44">
        <v>-0.03599999999999999</v>
      </c>
      <c r="I11" s="44">
        <v>-0.192</v>
      </c>
    </row>
    <row r="12" spans="1:9" ht="15">
      <c r="A12" s="41" t="str">
        <f>HLOOKUP(INDICE!$F$2,Nombres!$C$3:$D$636,37,FALSE)</f>
        <v>Margen bruto</v>
      </c>
      <c r="B12" s="41">
        <v>195.07953878999996</v>
      </c>
      <c r="C12" s="41">
        <v>207.52523116999998</v>
      </c>
      <c r="D12" s="41">
        <v>45.73058782999999</v>
      </c>
      <c r="E12" s="42">
        <v>50.96957600000002</v>
      </c>
      <c r="F12" s="52">
        <f>+SUM(F8:F11)</f>
        <v>51.916000000000004</v>
      </c>
      <c r="G12" s="52">
        <f>+SUM(G8:G11)</f>
        <v>51.461</v>
      </c>
      <c r="H12" s="52">
        <f>+SUM(H8:H11)</f>
        <v>51.31500000000002</v>
      </c>
      <c r="I12" s="52">
        <f>+SUM(I8:I11)</f>
        <v>45.09499999999999</v>
      </c>
    </row>
    <row r="13" spans="1:9" ht="15">
      <c r="A13" s="43" t="str">
        <f>HLOOKUP(INDICE!$F$2,Nombres!$C$3:$D$636,38,FALSE)</f>
        <v>Gastos de explotación</v>
      </c>
      <c r="B13" s="44">
        <v>-87.71438929</v>
      </c>
      <c r="C13" s="44">
        <v>-94.85038987000001</v>
      </c>
      <c r="D13" s="44">
        <v>-12.026999999999997</v>
      </c>
      <c r="E13" s="45">
        <v>-15.372000000000002</v>
      </c>
      <c r="F13" s="44">
        <v>-16.61</v>
      </c>
      <c r="G13" s="44">
        <v>-17.019000000000002</v>
      </c>
      <c r="H13" s="44">
        <v>-17.613</v>
      </c>
      <c r="I13" s="44">
        <v>-14.694</v>
      </c>
    </row>
    <row r="14" spans="1:9" ht="15">
      <c r="A14" s="43" t="str">
        <f>HLOOKUP(INDICE!$F$2,Nombres!$C$3:$D$636,39,FALSE)</f>
        <v>  Gastos de administración</v>
      </c>
      <c r="B14" s="44">
        <v>-83.26438929</v>
      </c>
      <c r="C14" s="44">
        <v>-88.88038987</v>
      </c>
      <c r="D14" s="44">
        <v>-11.503999999999998</v>
      </c>
      <c r="E14" s="45">
        <v>-14.699000000000002</v>
      </c>
      <c r="F14" s="44">
        <v>-15.440000000000001</v>
      </c>
      <c r="G14" s="44">
        <v>-15.911999999999999</v>
      </c>
      <c r="H14" s="44">
        <v>-16.583</v>
      </c>
      <c r="I14" s="44">
        <v>-13.777</v>
      </c>
    </row>
    <row r="15" spans="1:9" ht="15">
      <c r="A15" s="46" t="str">
        <f>HLOOKUP(INDICE!$F$2,Nombres!$C$3:$D$636,40,FALSE)</f>
        <v>  Gastos de personal</v>
      </c>
      <c r="B15" s="44">
        <v>-45.123</v>
      </c>
      <c r="C15" s="44">
        <v>-53.656000000000006</v>
      </c>
      <c r="D15" s="44">
        <v>-3.483999999999999</v>
      </c>
      <c r="E15" s="45">
        <v>-6.603000000000002</v>
      </c>
      <c r="F15" s="44">
        <v>-6.602</v>
      </c>
      <c r="G15" s="44">
        <v>-6.782</v>
      </c>
      <c r="H15" s="44">
        <v>-7.768999999999998</v>
      </c>
      <c r="I15" s="44">
        <v>-6.751000000000001</v>
      </c>
    </row>
    <row r="16" spans="1:9" ht="15">
      <c r="A16" s="46" t="str">
        <f>HLOOKUP(INDICE!$F$2,Nombres!$C$3:$D$636,41,FALSE)</f>
        <v>  Otros gastos de administración</v>
      </c>
      <c r="B16" s="44">
        <v>-38.141389290000006</v>
      </c>
      <c r="C16" s="44">
        <v>-35.22438987000001</v>
      </c>
      <c r="D16" s="44">
        <v>-8.02</v>
      </c>
      <c r="E16" s="45">
        <v>-8.096</v>
      </c>
      <c r="F16" s="44">
        <v>-8.838</v>
      </c>
      <c r="G16" s="44">
        <v>-9.129999999999999</v>
      </c>
      <c r="H16" s="44">
        <v>-8.814</v>
      </c>
      <c r="I16" s="44">
        <v>-7.026000000000001</v>
      </c>
    </row>
    <row r="17" spans="1:9" ht="15">
      <c r="A17" s="43" t="str">
        <f>HLOOKUP(INDICE!$F$2,Nombres!$C$3:$D$636,42,FALSE)</f>
        <v>  Amortización</v>
      </c>
      <c r="B17" s="44">
        <v>-4.449999999999999</v>
      </c>
      <c r="C17" s="44">
        <v>-5.970000000000001</v>
      </c>
      <c r="D17" s="44">
        <v>-0.5229999999999997</v>
      </c>
      <c r="E17" s="45">
        <v>-0.6729999999999995</v>
      </c>
      <c r="F17" s="44">
        <v>-1.17</v>
      </c>
      <c r="G17" s="44">
        <v>-1.107</v>
      </c>
      <c r="H17" s="44">
        <v>-1.03</v>
      </c>
      <c r="I17" s="44">
        <v>-0.9169999999999998</v>
      </c>
    </row>
    <row r="18" spans="1:9" ht="15">
      <c r="A18" s="41" t="str">
        <f>HLOOKUP(INDICE!$F$2,Nombres!$C$3:$D$636,43,FALSE)</f>
        <v>Margen neto</v>
      </c>
      <c r="B18" s="41">
        <f aca="true" t="shared" si="0" ref="B18:I18">+B12+B13</f>
        <v>107.36514949999996</v>
      </c>
      <c r="C18" s="41">
        <f t="shared" si="0"/>
        <v>112.67484129999997</v>
      </c>
      <c r="D18" s="41">
        <f t="shared" si="0"/>
        <v>33.70358782999999</v>
      </c>
      <c r="E18" s="42">
        <f t="shared" si="0"/>
        <v>35.59757600000002</v>
      </c>
      <c r="F18" s="52">
        <f t="shared" si="0"/>
        <v>35.306000000000004</v>
      </c>
      <c r="G18" s="52">
        <f t="shared" si="0"/>
        <v>34.44199999999999</v>
      </c>
      <c r="H18" s="52">
        <f t="shared" si="0"/>
        <v>33.70200000000002</v>
      </c>
      <c r="I18" s="52">
        <f t="shared" si="0"/>
        <v>30.40099999999999</v>
      </c>
    </row>
    <row r="19" spans="1:9" ht="15">
      <c r="A19" s="43" t="str">
        <f>HLOOKUP(INDICE!$F$2,Nombres!$C$3:$D$636,44,FALSE)</f>
        <v>Deterioro de activos financieros no valorados a valor razonable con cambios en resultados</v>
      </c>
      <c r="B19" s="44">
        <v>-33.86799999999999</v>
      </c>
      <c r="C19" s="44">
        <v>-22.713000000000005</v>
      </c>
      <c r="D19" s="44">
        <v>-13.674999999999999</v>
      </c>
      <c r="E19" s="45">
        <v>-6.474</v>
      </c>
      <c r="F19" s="44">
        <v>-12.503</v>
      </c>
      <c r="G19" s="44">
        <v>-11.61</v>
      </c>
      <c r="H19" s="44">
        <v>-13.782</v>
      </c>
      <c r="I19" s="44">
        <v>-20.267</v>
      </c>
    </row>
    <row r="20" spans="1:9" ht="15">
      <c r="A20" s="43" t="str">
        <f>HLOOKUP(INDICE!$F$2,Nombres!$C$3:$D$636,45,FALSE)</f>
        <v>Provisiones o reversión de provisiones y otros resultados</v>
      </c>
      <c r="B20" s="44">
        <v>1.6859999999999997</v>
      </c>
      <c r="C20" s="44">
        <v>0.4892879999999997</v>
      </c>
      <c r="D20" s="44">
        <v>1.1910000000000003</v>
      </c>
      <c r="E20" s="45">
        <v>-0.31400000000000095</v>
      </c>
      <c r="F20" s="44">
        <v>-0.553</v>
      </c>
      <c r="G20" s="44">
        <v>-0.2849999999999999</v>
      </c>
      <c r="H20" s="44">
        <v>-0.377</v>
      </c>
      <c r="I20" s="44">
        <v>-0.45999999999999996</v>
      </c>
    </row>
    <row r="21" spans="1:9" ht="15">
      <c r="A21" s="41" t="str">
        <f>HLOOKUP(INDICE!$F$2,Nombres!$C$3:$D$636,46,FALSE)</f>
        <v>Resultado antes de impuestos</v>
      </c>
      <c r="B21" s="41">
        <f aca="true" t="shared" si="1" ref="B21:I21">+B18+B19+B20</f>
        <v>75.18314949999997</v>
      </c>
      <c r="C21" s="41">
        <f t="shared" si="1"/>
        <v>90.45112929999996</v>
      </c>
      <c r="D21" s="41">
        <f t="shared" si="1"/>
        <v>21.21958782999999</v>
      </c>
      <c r="E21" s="42">
        <f t="shared" si="1"/>
        <v>28.809576000000018</v>
      </c>
      <c r="F21" s="52">
        <f t="shared" si="1"/>
        <v>22.250000000000004</v>
      </c>
      <c r="G21" s="52">
        <f t="shared" si="1"/>
        <v>22.546999999999993</v>
      </c>
      <c r="H21" s="52">
        <f t="shared" si="1"/>
        <v>19.54300000000002</v>
      </c>
      <c r="I21" s="52">
        <f t="shared" si="1"/>
        <v>9.673999999999989</v>
      </c>
    </row>
    <row r="22" spans="1:9" ht="15">
      <c r="A22" s="43" t="str">
        <f>HLOOKUP(INDICE!$F$2,Nombres!$C$3:$D$636,47,FALSE)</f>
        <v>Impuesto sobre beneficios</v>
      </c>
      <c r="B22" s="44">
        <v>-17.794950460000003</v>
      </c>
      <c r="C22" s="44">
        <v>-17.654181890000004</v>
      </c>
      <c r="D22" s="44">
        <v>-6.118609369999999</v>
      </c>
      <c r="E22" s="45">
        <v>-8.180961980000003</v>
      </c>
      <c r="F22" s="44">
        <v>-5.583</v>
      </c>
      <c r="G22" s="44">
        <v>-5.790000000000001</v>
      </c>
      <c r="H22" s="44">
        <v>-5.564</v>
      </c>
      <c r="I22" s="44">
        <v>-2.3970000000000002</v>
      </c>
    </row>
    <row r="23" spans="1:9" ht="15">
      <c r="A23" s="41" t="str">
        <f>HLOOKUP(INDICE!$F$2,Nombres!$C$3:$D$636,48,FALSE)</f>
        <v>Resultado del ejercicio</v>
      </c>
      <c r="B23" s="41">
        <f aca="true" t="shared" si="2" ref="B23:I23">+B21+B22</f>
        <v>57.38819903999997</v>
      </c>
      <c r="C23" s="41">
        <f t="shared" si="2"/>
        <v>72.79694740999996</v>
      </c>
      <c r="D23" s="41">
        <f t="shared" si="2"/>
        <v>15.100978459999993</v>
      </c>
      <c r="E23" s="42">
        <f t="shared" si="2"/>
        <v>20.628614020000015</v>
      </c>
      <c r="F23" s="52">
        <f t="shared" si="2"/>
        <v>16.667</v>
      </c>
      <c r="G23" s="52">
        <f t="shared" si="2"/>
        <v>16.75699999999999</v>
      </c>
      <c r="H23" s="52">
        <f t="shared" si="2"/>
        <v>13.97900000000002</v>
      </c>
      <c r="I23" s="52">
        <f t="shared" si="2"/>
        <v>7.276999999999989</v>
      </c>
    </row>
    <row r="24" spans="1:9" ht="15">
      <c r="A24" s="43" t="str">
        <f>HLOOKUP(INDICE!$F$2,Nombres!$C$3:$D$636,49,FALSE)</f>
        <v>Minoritarios</v>
      </c>
      <c r="B24" s="44">
        <v>-12.181299550000002</v>
      </c>
      <c r="C24" s="44">
        <v>-17.454129039999998</v>
      </c>
      <c r="D24" s="44">
        <v>0.2920339999999999</v>
      </c>
      <c r="E24" s="45">
        <v>0.23685400000000034</v>
      </c>
      <c r="F24" s="44" t="s">
        <v>400</v>
      </c>
      <c r="G24" s="44" t="s">
        <v>400</v>
      </c>
      <c r="H24" s="44" t="s">
        <v>400</v>
      </c>
      <c r="I24" s="44" t="s">
        <v>400</v>
      </c>
    </row>
    <row r="25" spans="1:9" ht="15">
      <c r="A25" s="47" t="str">
        <f>HLOOKUP(INDICE!$F$2,Nombres!$C$3:$D$636,50,FALSE)</f>
        <v>Resultado atribuido</v>
      </c>
      <c r="B25" s="47">
        <f aca="true" t="shared" si="3" ref="B25:I25">+B23+B24</f>
        <v>45.20689948999997</v>
      </c>
      <c r="C25" s="47">
        <f t="shared" si="3"/>
        <v>55.34281836999996</v>
      </c>
      <c r="D25" s="47">
        <f t="shared" si="3"/>
        <v>15.393012459999992</v>
      </c>
      <c r="E25" s="74">
        <f t="shared" si="3"/>
        <v>20.865468020000016</v>
      </c>
      <c r="F25" s="53">
        <f t="shared" si="3"/>
        <v>16.667</v>
      </c>
      <c r="G25" s="53">
        <f t="shared" si="3"/>
        <v>16.75699999999999</v>
      </c>
      <c r="H25" s="53">
        <f t="shared" si="3"/>
        <v>13.97900000000002</v>
      </c>
      <c r="I25" s="53">
        <f t="shared" si="3"/>
        <v>7.276999999999989</v>
      </c>
    </row>
    <row r="26" spans="1:9" ht="15">
      <c r="A26" s="48"/>
      <c r="B26" s="48"/>
      <c r="C26" s="48"/>
      <c r="D26" s="48"/>
      <c r="E26" s="48"/>
      <c r="F26" s="281"/>
      <c r="G26" s="281"/>
      <c r="H26" s="281"/>
      <c r="I26" s="281"/>
    </row>
    <row r="27" spans="1:9" ht="15">
      <c r="A27" s="47" t="str">
        <f>HLOOKUP(INDICE!$F$2,Nombres!$C$3:$D$636,254,FALSE)</f>
        <v>Resultado atribuido sin BBVA Chile (*)</v>
      </c>
      <c r="B27" s="47">
        <v>16.454000000000004</v>
      </c>
      <c r="C27" s="47">
        <v>19.30499999999999</v>
      </c>
      <c r="D27" s="47">
        <f aca="true" t="shared" si="4" ref="D27:I27">+D25</f>
        <v>15.393012459999992</v>
      </c>
      <c r="E27" s="47">
        <f t="shared" si="4"/>
        <v>20.865468020000016</v>
      </c>
      <c r="F27" s="47">
        <f t="shared" si="4"/>
        <v>16.667</v>
      </c>
      <c r="G27" s="47">
        <f t="shared" si="4"/>
        <v>16.75699999999999</v>
      </c>
      <c r="H27" s="47">
        <f t="shared" si="4"/>
        <v>13.97900000000002</v>
      </c>
      <c r="I27" s="47">
        <f t="shared" si="4"/>
        <v>7.276999999999989</v>
      </c>
    </row>
    <row r="28" spans="1:9" ht="15">
      <c r="A28" s="49" t="str">
        <f>HLOOKUP(INDICE!$F$2,Nombres!$C$3:$D$636,251,FALSE)</f>
        <v>(*) Resultados generados por BBVA Chile hasta su venta el 6 de julio del 2018 y las plusvalías de la operación</v>
      </c>
      <c r="B28" s="48"/>
      <c r="C28" s="48"/>
      <c r="D28" s="48"/>
      <c r="E28" s="48"/>
      <c r="F28" s="281"/>
      <c r="G28" s="281"/>
      <c r="H28" s="281"/>
      <c r="I28" s="281"/>
    </row>
    <row r="29" spans="1:9" ht="15">
      <c r="A29" s="49"/>
      <c r="B29" s="66"/>
      <c r="C29" s="66"/>
      <c r="D29" s="66"/>
      <c r="E29" s="66"/>
      <c r="F29" s="66">
        <v>0</v>
      </c>
      <c r="G29" s="66">
        <v>0</v>
      </c>
      <c r="H29" s="66">
        <v>0</v>
      </c>
      <c r="I29" s="66">
        <v>-1.2434497875801753E-14</v>
      </c>
    </row>
    <row r="30" spans="1:9" ht="15">
      <c r="A30" s="41"/>
      <c r="B30" s="41"/>
      <c r="C30" s="41"/>
      <c r="D30" s="41"/>
      <c r="E30" s="41"/>
      <c r="F30" s="41"/>
      <c r="G30" s="41"/>
      <c r="H30" s="41"/>
      <c r="I30" s="41"/>
    </row>
    <row r="31" spans="1:9" ht="18">
      <c r="A31" s="33" t="str">
        <f>HLOOKUP(INDICE!$F$2,Nombres!$C$3:$D$636,51,FALSE)</f>
        <v>Balances</v>
      </c>
      <c r="B31" s="34"/>
      <c r="C31" s="34"/>
      <c r="D31" s="34"/>
      <c r="E31" s="34"/>
      <c r="F31" s="34"/>
      <c r="G31" s="34"/>
      <c r="H31" s="34"/>
      <c r="I31" s="34"/>
    </row>
    <row r="32" spans="1:9" ht="15">
      <c r="A32" s="35" t="str">
        <f>HLOOKUP(INDICE!$F$2,Nombres!$C$3:$D$636,32,FALSE)</f>
        <v>(Millones de euros)</v>
      </c>
      <c r="B32" s="30"/>
      <c r="C32" s="54"/>
      <c r="D32" s="54"/>
      <c r="E32" s="54"/>
      <c r="F32" s="30"/>
      <c r="G32" s="60"/>
      <c r="H32" s="60"/>
      <c r="I32" s="60"/>
    </row>
    <row r="33" spans="1:9" ht="15.75">
      <c r="A33" s="30"/>
      <c r="B33" s="55">
        <f>+España!B30</f>
        <v>43190</v>
      </c>
      <c r="C33" s="55">
        <f>+España!C30</f>
        <v>43281</v>
      </c>
      <c r="D33" s="55">
        <f>+España!D30</f>
        <v>43373</v>
      </c>
      <c r="E33" s="71">
        <f>+España!E30</f>
        <v>43465</v>
      </c>
      <c r="F33" s="80">
        <f>+España!F30</f>
        <v>43555</v>
      </c>
      <c r="G33" s="80">
        <f>+España!G30</f>
        <v>43646</v>
      </c>
      <c r="H33" s="80">
        <f>+España!H30</f>
        <v>43738</v>
      </c>
      <c r="I33" s="80">
        <f>+España!I30</f>
        <v>43830</v>
      </c>
    </row>
    <row r="34" spans="1:9" ht="15">
      <c r="A34" s="43" t="str">
        <f>HLOOKUP(INDICE!$F$2,Nombres!$C$3:$D$636,52,FALSE)</f>
        <v>Efectivo, saldos en efectivo en bancos centrales y otros depósitos a la vista</v>
      </c>
      <c r="B34" s="44">
        <v>697.377</v>
      </c>
      <c r="C34" s="44">
        <v>568.6980000000001</v>
      </c>
      <c r="D34" s="44">
        <v>39.689</v>
      </c>
      <c r="E34" s="45">
        <v>27.104999999999997</v>
      </c>
      <c r="F34" s="44">
        <v>26.067999999999998</v>
      </c>
      <c r="G34" s="44">
        <v>37.254</v>
      </c>
      <c r="H34" s="44">
        <v>24.968</v>
      </c>
      <c r="I34" s="44">
        <v>28.694000000000003</v>
      </c>
    </row>
    <row r="35" spans="1:9" ht="15">
      <c r="A35" s="43" t="str">
        <f>HLOOKUP(INDICE!$F$2,Nombres!$C$3:$D$636,53,FALSE)</f>
        <v>Activos financieros a valor razonable</v>
      </c>
      <c r="B35" s="60">
        <v>4135.213</v>
      </c>
      <c r="C35" s="60">
        <v>4384.057</v>
      </c>
      <c r="D35" s="60">
        <v>0</v>
      </c>
      <c r="E35" s="68">
        <v>0</v>
      </c>
      <c r="F35" s="44">
        <v>0</v>
      </c>
      <c r="G35" s="44">
        <v>0</v>
      </c>
      <c r="H35" s="44">
        <v>0</v>
      </c>
      <c r="I35" s="44">
        <v>0</v>
      </c>
    </row>
    <row r="36" spans="1:9" ht="15">
      <c r="A36" s="43" t="str">
        <f>HLOOKUP(INDICE!$F$2,Nombres!$C$3:$D$636,54,FALSE)</f>
        <v>Activos financieros a coste amortizado</v>
      </c>
      <c r="B36" s="44">
        <v>15410.626999999999</v>
      </c>
      <c r="C36" s="44">
        <v>15544.317999999997</v>
      </c>
      <c r="D36" s="44">
        <v>1993.3819999999996</v>
      </c>
      <c r="E36" s="45">
        <v>2084.355</v>
      </c>
      <c r="F36" s="44">
        <v>2203.2079999999996</v>
      </c>
      <c r="G36" s="44">
        <v>2075.379</v>
      </c>
      <c r="H36" s="44">
        <v>2076.5119999999997</v>
      </c>
      <c r="I36" s="44">
        <v>1867.973</v>
      </c>
    </row>
    <row r="37" spans="1:9" ht="15">
      <c r="A37" s="43" t="str">
        <f>HLOOKUP(INDICE!$F$2,Nombres!$C$3:$D$636,55,FALSE)</f>
        <v>    de los que préstamos y anticipos a la clientela</v>
      </c>
      <c r="B37" s="44">
        <v>14866.773999999998</v>
      </c>
      <c r="C37" s="44">
        <v>15022.825999999997</v>
      </c>
      <c r="D37" s="44">
        <v>1993.3819999999996</v>
      </c>
      <c r="E37" s="45">
        <v>2049.2599999999998</v>
      </c>
      <c r="F37" s="44">
        <v>2130.033</v>
      </c>
      <c r="G37" s="44">
        <v>2074.513</v>
      </c>
      <c r="H37" s="44">
        <v>2043.33</v>
      </c>
      <c r="I37" s="44">
        <v>1838.739</v>
      </c>
    </row>
    <row r="38" spans="1:9" ht="15">
      <c r="A38" s="43" t="str">
        <f>HLOOKUP(INDICE!$F$2,Nombres!$C$3:$D$636,56,FALSE)</f>
        <v>Activos tangibles</v>
      </c>
      <c r="B38" s="44">
        <v>90.72300000000001</v>
      </c>
      <c r="C38" s="44">
        <v>88.108</v>
      </c>
      <c r="D38" s="44">
        <v>2.2</v>
      </c>
      <c r="E38" s="45">
        <v>2.141</v>
      </c>
      <c r="F38" s="44">
        <v>15.241000000000001</v>
      </c>
      <c r="G38" s="44">
        <v>14.600000000000001</v>
      </c>
      <c r="H38" s="44">
        <v>14.113999999999999</v>
      </c>
      <c r="I38" s="44">
        <v>13.004999999999999</v>
      </c>
    </row>
    <row r="39" spans="1:9" ht="15">
      <c r="A39" s="43" t="str">
        <f>HLOOKUP(INDICE!$F$2,Nombres!$C$3:$D$636,57,FALSE)</f>
        <v>Otros activos</v>
      </c>
      <c r="B39" s="60">
        <f>+B40-B38-B36-B35-B34</f>
        <v>1199.7070000000008</v>
      </c>
      <c r="C39" s="60">
        <f aca="true" t="shared" si="5" ref="C39:I39">+C40-C38-C36-C35-C34</f>
        <v>1241.0369999999996</v>
      </c>
      <c r="D39" s="60">
        <f t="shared" si="5"/>
        <v>873.8855357700007</v>
      </c>
      <c r="E39" s="68">
        <f t="shared" si="5"/>
        <v>1008.7319683800001</v>
      </c>
      <c r="F39" s="44">
        <f t="shared" si="5"/>
        <v>1168.8700000000006</v>
      </c>
      <c r="G39" s="44">
        <f t="shared" si="5"/>
        <v>1160.2350000000006</v>
      </c>
      <c r="H39" s="44">
        <f t="shared" si="5"/>
        <v>1183.2180028</v>
      </c>
      <c r="I39" s="44">
        <f t="shared" si="5"/>
        <v>193.28400000000005</v>
      </c>
    </row>
    <row r="40" spans="1:9" ht="15.75" customHeight="1">
      <c r="A40" s="47" t="str">
        <f>HLOOKUP(INDICE!$F$2,Nombres!$C$3:$D$636,58,FALSE)</f>
        <v>Total activo / pasivo</v>
      </c>
      <c r="B40" s="47">
        <v>21533.647</v>
      </c>
      <c r="C40" s="47">
        <v>21826.217999999997</v>
      </c>
      <c r="D40" s="47">
        <v>2909.15653577</v>
      </c>
      <c r="E40" s="47">
        <v>3122.3329683800002</v>
      </c>
      <c r="F40" s="53">
        <v>3413.387</v>
      </c>
      <c r="G40" s="53">
        <v>3287.4680000000003</v>
      </c>
      <c r="H40" s="53">
        <v>3298.8120028</v>
      </c>
      <c r="I40" s="53">
        <v>2102.956</v>
      </c>
    </row>
    <row r="41" spans="1:9" ht="15">
      <c r="A41" s="43" t="str">
        <f>HLOOKUP(INDICE!$F$2,Nombres!$C$3:$D$636,59,FALSE)</f>
        <v>Pasivos financieros mantenidos para negociar y designados a valor razonable con cambios en resultados</v>
      </c>
      <c r="B41" s="60">
        <v>2049.245</v>
      </c>
      <c r="C41" s="60">
        <v>2134.319</v>
      </c>
      <c r="D41" s="60">
        <v>0</v>
      </c>
      <c r="E41" s="68">
        <v>0</v>
      </c>
      <c r="F41" s="44">
        <v>0</v>
      </c>
      <c r="G41" s="44">
        <v>0</v>
      </c>
      <c r="H41" s="44">
        <v>0</v>
      </c>
      <c r="I41" s="44">
        <v>0</v>
      </c>
    </row>
    <row r="42" spans="1:9" ht="15">
      <c r="A42" s="43" t="str">
        <f>HLOOKUP(INDICE!$F$2,Nombres!$C$3:$D$636,60,FALSE)</f>
        <v>Depósitos de bancos centrales y entidades de crédito</v>
      </c>
      <c r="B42" s="60">
        <v>1858.1740000000002</v>
      </c>
      <c r="C42" s="60">
        <v>1517.3490000000002</v>
      </c>
      <c r="D42" s="60">
        <v>566.8929999999999</v>
      </c>
      <c r="E42" s="68">
        <v>587.325</v>
      </c>
      <c r="F42" s="44">
        <v>549.569</v>
      </c>
      <c r="G42" s="44">
        <v>512.402</v>
      </c>
      <c r="H42" s="44">
        <v>542.526</v>
      </c>
      <c r="I42" s="44">
        <v>533.471</v>
      </c>
    </row>
    <row r="43" spans="1:9" ht="15">
      <c r="A43" s="43" t="str">
        <f>HLOOKUP(INDICE!$F$2,Nombres!$C$3:$D$636,61,FALSE)</f>
        <v>Depósitos de la clientela</v>
      </c>
      <c r="B43" s="60">
        <v>8789.339</v>
      </c>
      <c r="C43" s="60">
        <v>9613.758</v>
      </c>
      <c r="D43" s="60">
        <v>14.068999999999999</v>
      </c>
      <c r="E43" s="68">
        <v>10.187000000000001</v>
      </c>
      <c r="F43" s="44">
        <v>10.806</v>
      </c>
      <c r="G43" s="44">
        <v>7.268</v>
      </c>
      <c r="H43" s="44">
        <v>9.172</v>
      </c>
      <c r="I43" s="44">
        <v>5.854</v>
      </c>
    </row>
    <row r="44" spans="1:9" ht="15">
      <c r="A44" s="43" t="str">
        <f>HLOOKUP(INDICE!$F$2,Nombres!$C$3:$D$636,62,FALSE)</f>
        <v>Valores representativos de deuda emitidos</v>
      </c>
      <c r="B44" s="44">
        <v>4960.477</v>
      </c>
      <c r="C44" s="44">
        <v>4658.97</v>
      </c>
      <c r="D44" s="44">
        <v>932.336</v>
      </c>
      <c r="E44" s="45">
        <v>1041.467</v>
      </c>
      <c r="F44" s="44">
        <v>1125.34</v>
      </c>
      <c r="G44" s="44">
        <v>1058.501</v>
      </c>
      <c r="H44" s="44">
        <v>1041.367</v>
      </c>
      <c r="I44" s="44">
        <v>986.123</v>
      </c>
    </row>
    <row r="45" spans="1:9" ht="15">
      <c r="A45" s="43" t="str">
        <f>HLOOKUP(INDICE!$F$2,Nombres!$C$3:$D$636,63,FALSE)</f>
        <v>Otros pasivos</v>
      </c>
      <c r="B45" s="60">
        <f>+B40-B41-B42-B43-B44-B46</f>
        <v>3336.5794170000026</v>
      </c>
      <c r="C45" s="60">
        <f aca="true" t="shared" si="6" ref="C45:I45">+C40-C41-C42-C43-C44-C46</f>
        <v>3348.3485199999955</v>
      </c>
      <c r="D45" s="60">
        <f t="shared" si="6"/>
        <v>1322.4981871700002</v>
      </c>
      <c r="E45" s="68">
        <f t="shared" si="6"/>
        <v>1433.8074647800004</v>
      </c>
      <c r="F45" s="44">
        <f t="shared" si="6"/>
        <v>1669.6641300000003</v>
      </c>
      <c r="G45" s="44">
        <f t="shared" si="6"/>
        <v>1654.5344800000003</v>
      </c>
      <c r="H45" s="44">
        <f t="shared" si="6"/>
        <v>1650.51489244</v>
      </c>
      <c r="I45" s="44">
        <f t="shared" si="6"/>
        <v>532.5898313</v>
      </c>
    </row>
    <row r="46" spans="1:9" ht="15">
      <c r="A46" s="43" t="str">
        <f>HLOOKUP(INDICE!$F$2,Nombres!$C$3:$D$636,64,FALSE)</f>
        <v>Dotación de capital económico</v>
      </c>
      <c r="B46" s="44">
        <v>539.8325830000001</v>
      </c>
      <c r="C46" s="44">
        <v>553.4734800000001</v>
      </c>
      <c r="D46" s="44">
        <v>73.3603486</v>
      </c>
      <c r="E46" s="45">
        <v>49.546503599999994</v>
      </c>
      <c r="F46" s="44">
        <v>58.007870000000004</v>
      </c>
      <c r="G46" s="44">
        <v>54.76252</v>
      </c>
      <c r="H46" s="44">
        <v>55.23211036</v>
      </c>
      <c r="I46" s="44">
        <v>44.9181687</v>
      </c>
    </row>
    <row r="47" spans="1:9" ht="15">
      <c r="A47" s="65"/>
      <c r="B47" s="60"/>
      <c r="C47" s="60"/>
      <c r="D47" s="60"/>
      <c r="E47" s="60"/>
      <c r="F47" s="44"/>
      <c r="G47" s="44"/>
      <c r="H47" s="44"/>
      <c r="I47" s="44"/>
    </row>
    <row r="48" spans="1:9" ht="15">
      <c r="A48" s="43"/>
      <c r="B48" s="60"/>
      <c r="C48" s="60"/>
      <c r="D48" s="60"/>
      <c r="E48" s="60"/>
      <c r="F48" s="44"/>
      <c r="G48" s="44"/>
      <c r="H48" s="44"/>
      <c r="I48" s="44"/>
    </row>
    <row r="49" spans="1:9" ht="18">
      <c r="A49" s="33" t="str">
        <f>HLOOKUP(INDICE!$F$2,Nombres!$C$3:$D$636,65,FALSE)</f>
        <v>Indicadores relevantes y de gestión</v>
      </c>
      <c r="B49" s="34"/>
      <c r="C49" s="34"/>
      <c r="D49" s="34"/>
      <c r="E49" s="34"/>
      <c r="F49" s="72"/>
      <c r="G49" s="72"/>
      <c r="H49" s="72"/>
      <c r="I49" s="72"/>
    </row>
    <row r="50" spans="1:9" ht="15">
      <c r="A50" s="35" t="str">
        <f>HLOOKUP(INDICE!$F$2,Nombres!$C$3:$D$636,32,FALSE)</f>
        <v>(Millones de euros)</v>
      </c>
      <c r="B50" s="30"/>
      <c r="C50" s="30"/>
      <c r="D50" s="30"/>
      <c r="E50" s="30"/>
      <c r="F50" s="73"/>
      <c r="G50" s="44"/>
      <c r="H50" s="44"/>
      <c r="I50" s="44"/>
    </row>
    <row r="51" spans="1:9" ht="15.75">
      <c r="A51" s="30"/>
      <c r="B51" s="55">
        <f aca="true" t="shared" si="7" ref="B51:I51">+B$33</f>
        <v>43190</v>
      </c>
      <c r="C51" s="55">
        <f t="shared" si="7"/>
        <v>43281</v>
      </c>
      <c r="D51" s="55">
        <f t="shared" si="7"/>
        <v>43373</v>
      </c>
      <c r="E51" s="71">
        <f t="shared" si="7"/>
        <v>43465</v>
      </c>
      <c r="F51" s="55">
        <f t="shared" si="7"/>
        <v>43555</v>
      </c>
      <c r="G51" s="55">
        <f t="shared" si="7"/>
        <v>43646</v>
      </c>
      <c r="H51" s="55">
        <f t="shared" si="7"/>
        <v>43738</v>
      </c>
      <c r="I51" s="55">
        <f t="shared" si="7"/>
        <v>43830</v>
      </c>
    </row>
    <row r="52" spans="1:9" ht="15">
      <c r="A52" s="43" t="str">
        <f>HLOOKUP(INDICE!$F$2,Nombres!$C$3:$D$636,66,FALSE)</f>
        <v>Préstamos y anticipos a la clientela bruto (*)</v>
      </c>
      <c r="B52" s="44">
        <v>14785.95111694</v>
      </c>
      <c r="C52" s="44">
        <v>14865.842525419997</v>
      </c>
      <c r="D52" s="44">
        <v>2052.174</v>
      </c>
      <c r="E52" s="45">
        <v>2103.299</v>
      </c>
      <c r="F52" s="44">
        <v>2185.3759999999997</v>
      </c>
      <c r="G52" s="44">
        <v>2131.284</v>
      </c>
      <c r="H52" s="44">
        <v>2103.848</v>
      </c>
      <c r="I52" s="44">
        <v>1880.0230000000001</v>
      </c>
    </row>
    <row r="53" spans="1:9" ht="15">
      <c r="A53" s="43" t="str">
        <f>HLOOKUP(INDICE!$F$2,Nombres!$C$3:$D$636,67,FALSE)</f>
        <v>Depósitos de clientes en gestión (**)</v>
      </c>
      <c r="B53" s="44">
        <v>9046.773117230001</v>
      </c>
      <c r="C53" s="44">
        <v>9501.56150286</v>
      </c>
      <c r="D53" s="44">
        <v>14.068999999999999</v>
      </c>
      <c r="E53" s="45">
        <v>10.186999999999998</v>
      </c>
      <c r="F53" s="44">
        <v>10.806000000000001</v>
      </c>
      <c r="G53" s="44">
        <v>7.268</v>
      </c>
      <c r="H53" s="44">
        <v>9.171999999999999</v>
      </c>
      <c r="I53" s="44">
        <v>5.853999999999999</v>
      </c>
    </row>
    <row r="54" spans="1:9" ht="15">
      <c r="A54" s="43" t="str">
        <f>HLOOKUP(INDICE!$F$2,Nombres!$C$3:$D$636,68,FALSE)</f>
        <v>Fondos de inversión</v>
      </c>
      <c r="B54" s="44">
        <v>1501.39164602</v>
      </c>
      <c r="C54" s="44">
        <v>1397.59056803</v>
      </c>
      <c r="D54" s="44">
        <v>0</v>
      </c>
      <c r="E54" s="45">
        <v>0</v>
      </c>
      <c r="F54" s="44">
        <v>0</v>
      </c>
      <c r="G54" s="44">
        <v>0</v>
      </c>
      <c r="H54" s="44">
        <v>0</v>
      </c>
      <c r="I54" s="44">
        <v>0</v>
      </c>
    </row>
    <row r="55" spans="1:9" ht="15">
      <c r="A55" s="43" t="str">
        <f>HLOOKUP(INDICE!$F$2,Nombres!$C$3:$D$636,69,FALSE)</f>
        <v>Fondos de pensiones</v>
      </c>
      <c r="B55" s="44">
        <v>0</v>
      </c>
      <c r="C55" s="44">
        <v>0</v>
      </c>
      <c r="D55" s="44">
        <v>0</v>
      </c>
      <c r="E55" s="45">
        <v>0</v>
      </c>
      <c r="F55" s="44">
        <v>0</v>
      </c>
      <c r="G55" s="44">
        <v>0</v>
      </c>
      <c r="H55" s="44">
        <v>0</v>
      </c>
      <c r="I55" s="44">
        <v>0</v>
      </c>
    </row>
    <row r="56" spans="1:9" ht="15">
      <c r="A56" s="43" t="str">
        <f>HLOOKUP(INDICE!$F$2,Nombres!$C$3:$D$636,70,FALSE)</f>
        <v>Otros recursos fuera de balance</v>
      </c>
      <c r="B56" s="44">
        <v>0</v>
      </c>
      <c r="C56" s="44">
        <v>0</v>
      </c>
      <c r="D56" s="44">
        <v>0</v>
      </c>
      <c r="E56" s="45">
        <v>0</v>
      </c>
      <c r="F56" s="44">
        <v>0</v>
      </c>
      <c r="G56" s="44">
        <v>0</v>
      </c>
      <c r="H56" s="44">
        <v>0</v>
      </c>
      <c r="I56" s="44">
        <v>0</v>
      </c>
    </row>
    <row r="57" spans="1:9" ht="15">
      <c r="A57" s="65" t="str">
        <f>HLOOKUP(INDICE!$F$2,Nombres!$C$3:$D$636,71,FALSE)</f>
        <v>(*) No incluye las adquisiciones temporales de activos.</v>
      </c>
      <c r="B57" s="60"/>
      <c r="C57" s="60"/>
      <c r="D57" s="60"/>
      <c r="E57" s="60"/>
      <c r="F57" s="60"/>
      <c r="G57" s="60"/>
      <c r="H57" s="60"/>
      <c r="I57" s="60"/>
    </row>
    <row r="58" spans="1:9" ht="15">
      <c r="A58" s="65" t="str">
        <f>HLOOKUP(INDICE!$F$2,Nombres!$C$3:$D$636,72,FALSE)</f>
        <v>(**) No incluye las cesiones temporales de activos.</v>
      </c>
      <c r="B58" s="30"/>
      <c r="C58" s="30"/>
      <c r="D58" s="30"/>
      <c r="E58" s="30"/>
      <c r="F58" s="30"/>
      <c r="G58" s="30"/>
      <c r="H58" s="30"/>
      <c r="I58" s="30"/>
    </row>
    <row r="59" spans="1:9" ht="15">
      <c r="A59" s="65"/>
      <c r="B59" s="30"/>
      <c r="C59" s="30"/>
      <c r="D59" s="30"/>
      <c r="E59" s="30"/>
      <c r="F59" s="30"/>
      <c r="G59" s="30"/>
      <c r="H59" s="30"/>
      <c r="I59" s="30"/>
    </row>
    <row r="60" spans="1:9" ht="18">
      <c r="A60" s="33" t="str">
        <f>HLOOKUP(INDICE!$F$2,Nombres!$C$3:$D$636,31,FALSE)</f>
        <v>Cuenta de resultados  </v>
      </c>
      <c r="B60" s="34"/>
      <c r="C60" s="34"/>
      <c r="D60" s="34"/>
      <c r="E60" s="34"/>
      <c r="F60" s="34"/>
      <c r="G60" s="34"/>
      <c r="H60" s="34"/>
      <c r="I60" s="34"/>
    </row>
    <row r="61" spans="1:9" ht="15">
      <c r="A61" s="35" t="str">
        <f>HLOOKUP(INDICE!$F$2,Nombres!$C$3:$D$636,73,FALSE)</f>
        <v>(Millones de euros constantes)</v>
      </c>
      <c r="B61" s="30"/>
      <c r="C61" s="36"/>
      <c r="D61" s="36"/>
      <c r="E61" s="36"/>
      <c r="F61" s="30"/>
      <c r="G61" s="30"/>
      <c r="H61" s="30"/>
      <c r="I61" s="30"/>
    </row>
    <row r="62" spans="1:9" ht="15">
      <c r="A62" s="37"/>
      <c r="B62" s="30"/>
      <c r="C62" s="36"/>
      <c r="D62" s="36"/>
      <c r="E62" s="36"/>
      <c r="F62" s="30"/>
      <c r="G62" s="30"/>
      <c r="H62" s="30"/>
      <c r="I62" s="30"/>
    </row>
    <row r="63" spans="1:9" ht="15.75">
      <c r="A63" s="38"/>
      <c r="B63" s="295">
        <f>+B$6</f>
        <v>2018</v>
      </c>
      <c r="C63" s="295"/>
      <c r="D63" s="295"/>
      <c r="E63" s="296"/>
      <c r="F63" s="295">
        <f>+F$6</f>
        <v>2019</v>
      </c>
      <c r="G63" s="295"/>
      <c r="H63" s="295"/>
      <c r="I63" s="295"/>
    </row>
    <row r="64" spans="1:9" ht="15.75">
      <c r="A64" s="38"/>
      <c r="B64" s="39" t="str">
        <f>+B$7</f>
        <v>1er Trim.</v>
      </c>
      <c r="C64" s="39" t="str">
        <f aca="true" t="shared" si="8" ref="C64:I64">+C$7</f>
        <v>2º Trim.</v>
      </c>
      <c r="D64" s="39" t="str">
        <f t="shared" si="8"/>
        <v>3er Trim.</v>
      </c>
      <c r="E64" s="40" t="str">
        <f t="shared" si="8"/>
        <v>4º Trim.</v>
      </c>
      <c r="F64" s="39" t="str">
        <f t="shared" si="8"/>
        <v>1er Trim.</v>
      </c>
      <c r="G64" s="39" t="str">
        <f t="shared" si="8"/>
        <v>2º Trim.</v>
      </c>
      <c r="H64" s="39" t="str">
        <f t="shared" si="8"/>
        <v>3er Trim.</v>
      </c>
      <c r="I64" s="39" t="str">
        <f t="shared" si="8"/>
        <v>4º Trim.</v>
      </c>
    </row>
    <row r="65" spans="1:9" ht="15">
      <c r="A65" s="41" t="str">
        <f>HLOOKUP(INDICE!$F$2,Nombres!$C$3:$D$636,33,FALSE)</f>
        <v>Margen de intereses</v>
      </c>
      <c r="B65" s="41">
        <v>143.76360157125535</v>
      </c>
      <c r="C65" s="41">
        <v>149.4875767552109</v>
      </c>
      <c r="D65" s="41">
        <v>41.5842134775802</v>
      </c>
      <c r="E65" s="42">
        <v>45.483877129718806</v>
      </c>
      <c r="F65" s="41">
        <v>44.615413508341376</v>
      </c>
      <c r="G65" s="41">
        <v>45.604335777885176</v>
      </c>
      <c r="H65" s="41">
        <v>46.163491028729126</v>
      </c>
      <c r="I65" s="41">
        <v>44.65775968504434</v>
      </c>
    </row>
    <row r="66" spans="1:9" ht="15">
      <c r="A66" s="43" t="str">
        <f>HLOOKUP(INDICE!$F$2,Nombres!$C$3:$D$636,34,FALSE)</f>
        <v>Comisiones netas</v>
      </c>
      <c r="B66" s="44">
        <v>18.143168390967514</v>
      </c>
      <c r="C66" s="44">
        <v>23.5857531618612</v>
      </c>
      <c r="D66" s="44">
        <v>7.616404395971045</v>
      </c>
      <c r="E66" s="45">
        <v>7.631544292011434</v>
      </c>
      <c r="F66" s="44">
        <v>4.989488805003239</v>
      </c>
      <c r="G66" s="44">
        <v>4.355264296035919</v>
      </c>
      <c r="H66" s="44">
        <v>4.720533612852627</v>
      </c>
      <c r="I66" s="44">
        <v>3.525713286108209</v>
      </c>
    </row>
    <row r="67" spans="1:9" ht="15">
      <c r="A67" s="43" t="str">
        <f>HLOOKUP(INDICE!$F$2,Nombres!$C$3:$D$636,35,FALSE)</f>
        <v>Resultados de operaciones financieras</v>
      </c>
      <c r="B67" s="44">
        <v>17.386628267067987</v>
      </c>
      <c r="C67" s="44">
        <v>18.056289709342256</v>
      </c>
      <c r="D67" s="44">
        <v>-0.0888153311091949</v>
      </c>
      <c r="E67" s="45">
        <v>0.16914788888557888</v>
      </c>
      <c r="F67" s="44">
        <v>0.3603145033927807</v>
      </c>
      <c r="G67" s="44">
        <v>0.35664693158104976</v>
      </c>
      <c r="H67" s="44">
        <v>0.34261109335805745</v>
      </c>
      <c r="I67" s="44">
        <v>0.310427471668112</v>
      </c>
    </row>
    <row r="68" spans="1:9" ht="15">
      <c r="A68" s="43" t="str">
        <f>HLOOKUP(INDICE!$F$2,Nombres!$C$3:$D$636,36,FALSE)</f>
        <v>Otros ingresos y cargas de explotación</v>
      </c>
      <c r="B68" s="44">
        <v>4.242176874499629</v>
      </c>
      <c r="C68" s="44">
        <v>4.115165590831978</v>
      </c>
      <c r="D68" s="44">
        <v>-0.39156430779672297</v>
      </c>
      <c r="E68" s="45">
        <v>-0.3587000016938538</v>
      </c>
      <c r="F68" s="44">
        <v>0.05106061144336197</v>
      </c>
      <c r="G68" s="44">
        <v>-0.038448299326095677</v>
      </c>
      <c r="H68" s="44">
        <v>-0.03513557288587387</v>
      </c>
      <c r="I68" s="44">
        <v>-0.19247673923139239</v>
      </c>
    </row>
    <row r="69" spans="1:9" ht="15">
      <c r="A69" s="41" t="str">
        <f>HLOOKUP(INDICE!$F$2,Nombres!$C$3:$D$636,37,FALSE)</f>
        <v>Margen bruto</v>
      </c>
      <c r="B69" s="41">
        <f aca="true" t="shared" si="9" ref="B69:I69">+SUM(B65:B68)</f>
        <v>183.53557510379045</v>
      </c>
      <c r="C69" s="41">
        <f t="shared" si="9"/>
        <v>195.24478521724632</v>
      </c>
      <c r="D69" s="41">
        <f t="shared" si="9"/>
        <v>48.72023823464533</v>
      </c>
      <c r="E69" s="42">
        <f t="shared" si="9"/>
        <v>52.92586930892196</v>
      </c>
      <c r="F69" s="41">
        <f t="shared" si="9"/>
        <v>50.01627742818076</v>
      </c>
      <c r="G69" s="41">
        <f t="shared" si="9"/>
        <v>50.27779870617604</v>
      </c>
      <c r="H69" s="41">
        <f t="shared" si="9"/>
        <v>51.19150016205394</v>
      </c>
      <c r="I69" s="41">
        <f t="shared" si="9"/>
        <v>48.301423703589265</v>
      </c>
    </row>
    <row r="70" spans="1:9" ht="15">
      <c r="A70" s="43" t="str">
        <f>HLOOKUP(INDICE!$F$2,Nombres!$C$3:$D$636,38,FALSE)</f>
        <v>Gastos de explotación</v>
      </c>
      <c r="B70" s="44">
        <v>-82.52383096183101</v>
      </c>
      <c r="C70" s="44">
        <v>-89.23755387974894</v>
      </c>
      <c r="D70" s="44">
        <v>-13.787447342832285</v>
      </c>
      <c r="E70" s="45">
        <v>-16.476323136339868</v>
      </c>
      <c r="F70" s="44">
        <v>-16.002202944797027</v>
      </c>
      <c r="G70" s="44">
        <v>-16.62390814686055</v>
      </c>
      <c r="H70" s="44">
        <v>-17.553755356385498</v>
      </c>
      <c r="I70" s="44">
        <v>-15.75613355195693</v>
      </c>
    </row>
    <row r="71" spans="1:9" ht="15">
      <c r="A71" s="43" t="str">
        <f>HLOOKUP(INDICE!$F$2,Nombres!$C$3:$D$636,39,FALSE)</f>
        <v>  Gastos de administración</v>
      </c>
      <c r="B71" s="44">
        <v>-78.33716272241575</v>
      </c>
      <c r="C71" s="44">
        <v>-83.62083266866827</v>
      </c>
      <c r="D71" s="44">
        <v>-13.156373018142167</v>
      </c>
      <c r="E71" s="45">
        <v>-15.733981971195863</v>
      </c>
      <c r="F71" s="44">
        <v>-14.875015861990732</v>
      </c>
      <c r="G71" s="44">
        <v>-15.542000253434892</v>
      </c>
      <c r="H71" s="44">
        <v>-16.524397142974607</v>
      </c>
      <c r="I71" s="44">
        <v>-14.770586741599772</v>
      </c>
    </row>
    <row r="72" spans="1:9" ht="15">
      <c r="A72" s="46" t="str">
        <f>HLOOKUP(INDICE!$F$2,Nombres!$C$3:$D$636,40,FALSE)</f>
        <v>  Gastos de personal</v>
      </c>
      <c r="B72" s="44">
        <v>-42.45281594767061</v>
      </c>
      <c r="C72" s="44">
        <v>-50.48086989978978</v>
      </c>
      <c r="D72" s="44">
        <v>-4.577012228190763</v>
      </c>
      <c r="E72" s="45">
        <v>-7.239133762672843</v>
      </c>
      <c r="F72" s="44">
        <v>-6.360418051869353</v>
      </c>
      <c r="G72" s="44">
        <v>-6.624442361783893</v>
      </c>
      <c r="H72" s="44">
        <v>-7.729684588014429</v>
      </c>
      <c r="I72" s="44">
        <v>-7.189454998332327</v>
      </c>
    </row>
    <row r="73" spans="1:9" ht="15">
      <c r="A73" s="46" t="str">
        <f>HLOOKUP(INDICE!$F$2,Nombres!$C$3:$D$636,41,FALSE)</f>
        <v>  Otros gastos de administración</v>
      </c>
      <c r="B73" s="44">
        <v>-35.88434677474515</v>
      </c>
      <c r="C73" s="44">
        <v>-33.139962768878476</v>
      </c>
      <c r="D73" s="44">
        <v>-8.579360789951405</v>
      </c>
      <c r="E73" s="45">
        <v>-8.494848208523019</v>
      </c>
      <c r="F73" s="44">
        <v>-8.514597810121378</v>
      </c>
      <c r="G73" s="44">
        <v>-8.917557891650999</v>
      </c>
      <c r="H73" s="44">
        <v>-8.794712554960176</v>
      </c>
      <c r="I73" s="44">
        <v>-7.581131743267446</v>
      </c>
    </row>
    <row r="74" spans="1:9" ht="15">
      <c r="A74" s="43" t="str">
        <f>HLOOKUP(INDICE!$F$2,Nombres!$C$3:$D$636,42,FALSE)</f>
        <v>  Amortización</v>
      </c>
      <c r="B74" s="44">
        <v>-4.186668239415248</v>
      </c>
      <c r="C74" s="44">
        <v>-5.616721211080682</v>
      </c>
      <c r="D74" s="44">
        <v>-0.6310743246901167</v>
      </c>
      <c r="E74" s="45">
        <v>-0.7423411651440067</v>
      </c>
      <c r="F74" s="44">
        <v>-1.1271870828062924</v>
      </c>
      <c r="G74" s="44">
        <v>-1.081907893425659</v>
      </c>
      <c r="H74" s="44">
        <v>-1.0293582134108892</v>
      </c>
      <c r="I74" s="44">
        <v>-0.9855468103571592</v>
      </c>
    </row>
    <row r="75" spans="1:9" ht="15">
      <c r="A75" s="41" t="str">
        <f>HLOOKUP(INDICE!$F$2,Nombres!$C$3:$D$636,43,FALSE)</f>
        <v>Margen neto</v>
      </c>
      <c r="B75" s="41">
        <f aca="true" t="shared" si="10" ref="B75:I75">+B69+B70</f>
        <v>101.01174414195944</v>
      </c>
      <c r="C75" s="41">
        <f t="shared" si="10"/>
        <v>106.00723133749737</v>
      </c>
      <c r="D75" s="41">
        <f t="shared" si="10"/>
        <v>34.93279089181304</v>
      </c>
      <c r="E75" s="42">
        <f t="shared" si="10"/>
        <v>36.44954617258209</v>
      </c>
      <c r="F75" s="41">
        <f t="shared" si="10"/>
        <v>34.01407448338373</v>
      </c>
      <c r="G75" s="41">
        <f t="shared" si="10"/>
        <v>33.65389055931549</v>
      </c>
      <c r="H75" s="41">
        <f t="shared" si="10"/>
        <v>33.63774480566845</v>
      </c>
      <c r="I75" s="41">
        <f t="shared" si="10"/>
        <v>32.54529015163234</v>
      </c>
    </row>
    <row r="76" spans="1:9" ht="15">
      <c r="A76" s="43" t="str">
        <f>HLOOKUP(INDICE!$F$2,Nombres!$C$3:$D$636,44,FALSE)</f>
        <v>Deterioro de activos financieros no valorados a valor razonable con cambios en resultados</v>
      </c>
      <c r="B76" s="44">
        <v>-31.86383818708216</v>
      </c>
      <c r="C76" s="44">
        <v>-21.368942858840132</v>
      </c>
      <c r="D76" s="44">
        <v>-13.758326236310271</v>
      </c>
      <c r="E76" s="45">
        <v>-6.837770392657687</v>
      </c>
      <c r="F76" s="44">
        <v>-12.045487261818014</v>
      </c>
      <c r="G76" s="44">
        <v>-11.348411360000627</v>
      </c>
      <c r="H76" s="44">
        <v>-13.715621674980703</v>
      </c>
      <c r="I76" s="44">
        <v>-21.052479703200653</v>
      </c>
    </row>
    <row r="77" spans="1:9" ht="15">
      <c r="A77" s="43" t="str">
        <f>HLOOKUP(INDICE!$F$2,Nombres!$C$3:$D$636,45,FALSE)</f>
        <v>Provisiones o reversión de provisiones y otros resultados</v>
      </c>
      <c r="B77" s="44">
        <v>1.5862298093604739</v>
      </c>
      <c r="C77" s="44">
        <v>0.46033405157910323</v>
      </c>
      <c r="D77" s="44">
        <v>1.1632881168401414</v>
      </c>
      <c r="E77" s="45">
        <v>-0.2729694366545371</v>
      </c>
      <c r="F77" s="44">
        <v>-0.5327644929845127</v>
      </c>
      <c r="G77" s="44">
        <v>-0.28024454965157675</v>
      </c>
      <c r="H77" s="44">
        <v>-0.3768066892707904</v>
      </c>
      <c r="I77" s="44">
        <v>-0.48518426809312015</v>
      </c>
    </row>
    <row r="78" spans="1:9" ht="15">
      <c r="A78" s="41" t="str">
        <f>HLOOKUP(INDICE!$F$2,Nombres!$C$3:$D$636,46,FALSE)</f>
        <v>Resultado antes de impuestos</v>
      </c>
      <c r="B78" s="41">
        <f aca="true" t="shared" si="11" ref="B78:I78">+B75+B76+B77</f>
        <v>70.73413576423775</v>
      </c>
      <c r="C78" s="41">
        <f t="shared" si="11"/>
        <v>85.09862253023636</v>
      </c>
      <c r="D78" s="41">
        <f t="shared" si="11"/>
        <v>22.337752772342913</v>
      </c>
      <c r="E78" s="42">
        <f t="shared" si="11"/>
        <v>29.338806343269862</v>
      </c>
      <c r="F78" s="41">
        <f t="shared" si="11"/>
        <v>21.435822728581204</v>
      </c>
      <c r="G78" s="41">
        <f t="shared" si="11"/>
        <v>22.02523464966329</v>
      </c>
      <c r="H78" s="41">
        <f t="shared" si="11"/>
        <v>19.545316441416954</v>
      </c>
      <c r="I78" s="41">
        <f t="shared" si="11"/>
        <v>11.007626180338564</v>
      </c>
    </row>
    <row r="79" spans="1:9" ht="15">
      <c r="A79" s="43" t="str">
        <f>HLOOKUP(INDICE!$F$2,Nombres!$C$3:$D$636,47,FALSE)</f>
        <v>Impuesto sobre beneficios</v>
      </c>
      <c r="B79" s="44">
        <v>-16.741922227606686</v>
      </c>
      <c r="C79" s="44">
        <v>-16.609483732971434</v>
      </c>
      <c r="D79" s="44">
        <v>-6.284625766885076</v>
      </c>
      <c r="E79" s="45">
        <v>-8.231698755420418</v>
      </c>
      <c r="F79" s="44">
        <v>-5.378705541288488</v>
      </c>
      <c r="G79" s="44">
        <v>-5.655127205609178</v>
      </c>
      <c r="H79" s="44">
        <v>-5.552100628663505</v>
      </c>
      <c r="I79" s="44">
        <v>-2.7480666244388305</v>
      </c>
    </row>
    <row r="80" spans="1:9" ht="15">
      <c r="A80" s="41" t="str">
        <f>HLOOKUP(INDICE!$F$2,Nombres!$C$3:$D$636,48,FALSE)</f>
        <v>Resultado del ejercicio</v>
      </c>
      <c r="B80" s="41">
        <f aca="true" t="shared" si="12" ref="B80:I80">+B78+B79</f>
        <v>53.99221353663106</v>
      </c>
      <c r="C80" s="41">
        <f t="shared" si="12"/>
        <v>68.48913879726493</v>
      </c>
      <c r="D80" s="41">
        <f t="shared" si="12"/>
        <v>16.05312700545784</v>
      </c>
      <c r="E80" s="42">
        <f t="shared" si="12"/>
        <v>21.107107587849445</v>
      </c>
      <c r="F80" s="41">
        <f t="shared" si="12"/>
        <v>16.057117187292718</v>
      </c>
      <c r="G80" s="41">
        <f t="shared" si="12"/>
        <v>16.370107444054113</v>
      </c>
      <c r="H80" s="41">
        <f t="shared" si="12"/>
        <v>13.99321581275345</v>
      </c>
      <c r="I80" s="41">
        <f t="shared" si="12"/>
        <v>8.259559555899733</v>
      </c>
    </row>
    <row r="81" spans="1:9" ht="15">
      <c r="A81" s="43" t="str">
        <f>HLOOKUP(INDICE!$F$2,Nombres!$C$3:$D$636,49,FALSE)</f>
        <v>Minoritarios</v>
      </c>
      <c r="B81" s="44">
        <v>-11.460462908042306</v>
      </c>
      <c r="C81" s="44">
        <v>-16.42126914571311</v>
      </c>
      <c r="D81" s="44">
        <v>-0.09803472778028814</v>
      </c>
      <c r="E81" s="45">
        <v>-0.02627029338072341</v>
      </c>
      <c r="F81" s="44">
        <v>0</v>
      </c>
      <c r="G81" s="44">
        <v>0</v>
      </c>
      <c r="H81" s="44">
        <v>0</v>
      </c>
      <c r="I81" s="44">
        <v>0</v>
      </c>
    </row>
    <row r="82" spans="1:9" ht="15">
      <c r="A82" s="47" t="str">
        <f>HLOOKUP(INDICE!$F$2,Nombres!$C$3:$D$636,50,FALSE)</f>
        <v>Resultado atribuido</v>
      </c>
      <c r="B82" s="47">
        <f aca="true" t="shared" si="13" ref="B82:I82">+B80+B81</f>
        <v>42.53175062858875</v>
      </c>
      <c r="C82" s="47">
        <f t="shared" si="13"/>
        <v>52.06786965155182</v>
      </c>
      <c r="D82" s="47">
        <f t="shared" si="13"/>
        <v>15.95509227767755</v>
      </c>
      <c r="E82" s="74">
        <f t="shared" si="13"/>
        <v>21.080837294468722</v>
      </c>
      <c r="F82" s="47">
        <f t="shared" si="13"/>
        <v>16.057117187292718</v>
      </c>
      <c r="G82" s="47">
        <f t="shared" si="13"/>
        <v>16.370107444054113</v>
      </c>
      <c r="H82" s="47">
        <f t="shared" si="13"/>
        <v>13.99321581275345</v>
      </c>
      <c r="I82" s="47">
        <f t="shared" si="13"/>
        <v>8.259559555899733</v>
      </c>
    </row>
    <row r="83" spans="1:9" ht="15">
      <c r="A83" s="48"/>
      <c r="B83" s="48"/>
      <c r="C83" s="48"/>
      <c r="D83" s="48"/>
      <c r="E83" s="48"/>
      <c r="F83" s="48"/>
      <c r="G83" s="48"/>
      <c r="H83" s="48"/>
      <c r="I83" s="48"/>
    </row>
    <row r="84" spans="1:9" ht="15">
      <c r="A84" s="47" t="str">
        <f>HLOOKUP(INDICE!$F$2,Nombres!$C$3:$D$636,254,FALSE)</f>
        <v>Resultado atribuido sin BBVA Chile (*)</v>
      </c>
      <c r="B84" s="47">
        <v>15.480323418278315</v>
      </c>
      <c r="C84" s="47">
        <v>18.16261356447445</v>
      </c>
      <c r="D84" s="47">
        <f aca="true" t="shared" si="14" ref="D84:I84">+D82</f>
        <v>15.95509227767755</v>
      </c>
      <c r="E84" s="47">
        <f t="shared" si="14"/>
        <v>21.080837294468722</v>
      </c>
      <c r="F84" s="47">
        <f t="shared" si="14"/>
        <v>16.057117187292718</v>
      </c>
      <c r="G84" s="47">
        <f t="shared" si="14"/>
        <v>16.370107444054113</v>
      </c>
      <c r="H84" s="47">
        <f t="shared" si="14"/>
        <v>13.99321581275345</v>
      </c>
      <c r="I84" s="47">
        <f t="shared" si="14"/>
        <v>8.259559555899733</v>
      </c>
    </row>
    <row r="85" spans="1:9" ht="15">
      <c r="A85" s="49" t="str">
        <f>HLOOKUP(INDICE!$F$2,Nombres!$C$3:$D$636,251,FALSE)</f>
        <v>(*) Resultados generados por BBVA Chile hasta su venta el 6 de julio del 2018 y las plusvalías de la operación</v>
      </c>
      <c r="B85" s="87"/>
      <c r="C85" s="87"/>
      <c r="D85" s="87"/>
      <c r="E85" s="87"/>
      <c r="F85" s="66">
        <v>0</v>
      </c>
      <c r="G85" s="66">
        <v>0</v>
      </c>
      <c r="H85" s="66">
        <v>0</v>
      </c>
      <c r="I85" s="66">
        <v>0</v>
      </c>
    </row>
    <row r="86" spans="2:9" ht="15">
      <c r="B86" s="87"/>
      <c r="C86" s="87"/>
      <c r="D86" s="87"/>
      <c r="E86" s="87"/>
      <c r="F86" s="66"/>
      <c r="G86" s="66"/>
      <c r="H86" s="66"/>
      <c r="I86" s="66"/>
    </row>
    <row r="87" spans="1:9" ht="15">
      <c r="A87" s="41"/>
      <c r="B87" s="41"/>
      <c r="C87" s="41"/>
      <c r="D87" s="41"/>
      <c r="E87" s="41"/>
      <c r="F87" s="52"/>
      <c r="G87" s="52"/>
      <c r="H87" s="52"/>
      <c r="I87" s="52"/>
    </row>
    <row r="88" spans="1:9" ht="18">
      <c r="A88" s="33" t="str">
        <f>HLOOKUP(INDICE!$F$2,Nombres!$C$3:$D$636,51,FALSE)</f>
        <v>Balances</v>
      </c>
      <c r="B88" s="34"/>
      <c r="C88" s="34"/>
      <c r="D88" s="34"/>
      <c r="E88" s="34"/>
      <c r="F88" s="72"/>
      <c r="G88" s="72"/>
      <c r="H88" s="72"/>
      <c r="I88" s="72"/>
    </row>
    <row r="89" spans="1:9" ht="15">
      <c r="A89" s="35" t="str">
        <f>HLOOKUP(INDICE!$F$2,Nombres!$C$3:$D$636,73,FALSE)</f>
        <v>(Millones de euros constantes)</v>
      </c>
      <c r="B89" s="30"/>
      <c r="C89" s="54"/>
      <c r="D89" s="54"/>
      <c r="E89" s="54"/>
      <c r="F89" s="73"/>
      <c r="G89" s="44"/>
      <c r="H89" s="44"/>
      <c r="I89" s="44"/>
    </row>
    <row r="90" spans="1:9" ht="15.75">
      <c r="A90" s="30"/>
      <c r="B90" s="55">
        <f aca="true" t="shared" si="15" ref="B90:I90">+B$33</f>
        <v>43190</v>
      </c>
      <c r="C90" s="55">
        <f t="shared" si="15"/>
        <v>43281</v>
      </c>
      <c r="D90" s="55">
        <f t="shared" si="15"/>
        <v>43373</v>
      </c>
      <c r="E90" s="71">
        <f t="shared" si="15"/>
        <v>43465</v>
      </c>
      <c r="F90" s="55">
        <f t="shared" si="15"/>
        <v>43555</v>
      </c>
      <c r="G90" s="55">
        <f t="shared" si="15"/>
        <v>43646</v>
      </c>
      <c r="H90" s="55">
        <f t="shared" si="15"/>
        <v>43738</v>
      </c>
      <c r="I90" s="55">
        <f t="shared" si="15"/>
        <v>43830</v>
      </c>
    </row>
    <row r="91" spans="1:9" ht="15">
      <c r="A91" s="43" t="str">
        <f>HLOOKUP(INDICE!$F$2,Nombres!$C$3:$D$636,52,FALSE)</f>
        <v>Efectivo, saldos en efectivo en bancos centrales y otros depósitos a la vista</v>
      </c>
      <c r="B91" s="44">
        <v>618.2631858447764</v>
      </c>
      <c r="C91" s="44">
        <v>510.6557908448111</v>
      </c>
      <c r="D91" s="44">
        <v>36.1294645322856</v>
      </c>
      <c r="E91" s="45">
        <v>25.63590652022673</v>
      </c>
      <c r="F91" s="44">
        <v>23.71482031408985</v>
      </c>
      <c r="G91" s="44">
        <v>34.26645738876867</v>
      </c>
      <c r="H91" s="44">
        <v>23.455864963869548</v>
      </c>
      <c r="I91" s="44">
        <v>28.694000000000003</v>
      </c>
    </row>
    <row r="92" spans="1:9" ht="15">
      <c r="A92" s="43" t="str">
        <f>HLOOKUP(INDICE!$F$2,Nombres!$C$3:$D$636,53,FALSE)</f>
        <v>Activos financieros a valor razonable</v>
      </c>
      <c r="B92" s="60">
        <v>3666.094470461079</v>
      </c>
      <c r="C92" s="60">
        <v>3936.613271795804</v>
      </c>
      <c r="D92" s="60">
        <v>0</v>
      </c>
      <c r="E92" s="68">
        <v>0</v>
      </c>
      <c r="F92" s="44">
        <v>0</v>
      </c>
      <c r="G92" s="44">
        <v>0</v>
      </c>
      <c r="H92" s="44">
        <v>0</v>
      </c>
      <c r="I92" s="44">
        <v>0</v>
      </c>
    </row>
    <row r="93" spans="1:9" ht="15">
      <c r="A93" s="43" t="str">
        <f>HLOOKUP(INDICE!$F$2,Nombres!$C$3:$D$636,54,FALSE)</f>
        <v>Activos financieros a coste amortizado</v>
      </c>
      <c r="B93" s="44">
        <v>13662.37106312013</v>
      </c>
      <c r="C93" s="44">
        <v>13957.84054354549</v>
      </c>
      <c r="D93" s="44">
        <v>1814.6041540048009</v>
      </c>
      <c r="E93" s="45">
        <v>1971.3827683072193</v>
      </c>
      <c r="F93" s="44">
        <v>2004.322611422636</v>
      </c>
      <c r="G93" s="44">
        <v>1908.9463163430864</v>
      </c>
      <c r="H93" s="44">
        <v>1950.7523657423374</v>
      </c>
      <c r="I93" s="44">
        <v>1867.973</v>
      </c>
    </row>
    <row r="94" spans="1:9" ht="15">
      <c r="A94" s="43" t="str">
        <f>HLOOKUP(INDICE!$F$2,Nombres!$C$3:$D$636,55,FALSE)</f>
        <v>    de los que préstamos y anticipos a la clientela</v>
      </c>
      <c r="B94" s="44">
        <v>13180.21537342684</v>
      </c>
      <c r="C94" s="44">
        <v>13489.572834358463</v>
      </c>
      <c r="D94" s="44">
        <v>1814.604154004801</v>
      </c>
      <c r="E94" s="45">
        <v>1938.1899205179793</v>
      </c>
      <c r="F94" s="44">
        <v>1937.7531785362034</v>
      </c>
      <c r="G94" s="44">
        <v>1908.14976423865</v>
      </c>
      <c r="H94" s="44">
        <v>1919.579964619656</v>
      </c>
      <c r="I94" s="44">
        <v>1838.739</v>
      </c>
    </row>
    <row r="95" spans="1:9" ht="15">
      <c r="A95" s="43" t="str">
        <f>HLOOKUP(INDICE!$F$2,Nombres!$C$3:$D$636,56,FALSE)</f>
        <v>Activos tangibles</v>
      </c>
      <c r="B95" s="44">
        <v>80.43094482524612</v>
      </c>
      <c r="C95" s="44">
        <v>79.11555943533233</v>
      </c>
      <c r="D95" s="44">
        <v>2.002691475497703</v>
      </c>
      <c r="E95" s="45">
        <v>2.024957604124901</v>
      </c>
      <c r="F95" s="44">
        <v>13.865182461525373</v>
      </c>
      <c r="G95" s="44">
        <v>13.429169428142552</v>
      </c>
      <c r="H95" s="44">
        <v>13.259214919098639</v>
      </c>
      <c r="I95" s="44">
        <v>13.004999999999999</v>
      </c>
    </row>
    <row r="96" spans="1:9" ht="15">
      <c r="A96" s="43" t="str">
        <f>HLOOKUP(INDICE!$F$2,Nombres!$C$3:$D$636,57,FALSE)</f>
        <v>Otros activos</v>
      </c>
      <c r="B96" s="60">
        <f>+B97-B95-B93-B92-B91</f>
        <v>1063.6064451513</v>
      </c>
      <c r="C96" s="60">
        <f aca="true" t="shared" si="16" ref="C96:I96">+C97-C95-C93-C92-C91</f>
        <v>1114.374818801321</v>
      </c>
      <c r="D96" s="60">
        <f t="shared" si="16"/>
        <v>795.510505930601</v>
      </c>
      <c r="E96" s="68">
        <f t="shared" si="16"/>
        <v>954.0586034072688</v>
      </c>
      <c r="F96" s="44">
        <f t="shared" si="16"/>
        <v>1063.3551488618305</v>
      </c>
      <c r="G96" s="44">
        <f t="shared" si="16"/>
        <v>1067.191259689108</v>
      </c>
      <c r="H96" s="44">
        <f t="shared" si="16"/>
        <v>1111.5588632047507</v>
      </c>
      <c r="I96" s="44">
        <f t="shared" si="16"/>
        <v>193.28400000000005</v>
      </c>
    </row>
    <row r="97" spans="1:9" ht="15">
      <c r="A97" s="47" t="str">
        <f>HLOOKUP(INDICE!$F$2,Nombres!$C$3:$D$636,58,FALSE)</f>
        <v>Total activo / pasivo</v>
      </c>
      <c r="B97" s="47">
        <v>19090.76610940253</v>
      </c>
      <c r="C97" s="47">
        <v>19598.59998442276</v>
      </c>
      <c r="D97" s="47">
        <v>2648.246815943185</v>
      </c>
      <c r="E97" s="47">
        <v>2953.10223583884</v>
      </c>
      <c r="F97" s="53">
        <v>3105.2577630600817</v>
      </c>
      <c r="G97" s="53">
        <v>3023.8332028491054</v>
      </c>
      <c r="H97" s="53">
        <v>3099.026308830056</v>
      </c>
      <c r="I97" s="53">
        <v>2102.956</v>
      </c>
    </row>
    <row r="98" spans="1:9" ht="15">
      <c r="A98" s="43" t="str">
        <f>HLOOKUP(INDICE!$F$2,Nombres!$C$3:$D$636,59,FALSE)</f>
        <v>Pasivos financieros mantenidos para negociar y designados a valor razonable con cambios en resultados</v>
      </c>
      <c r="B98" s="60">
        <v>1816.7687524487885</v>
      </c>
      <c r="C98" s="60">
        <v>1916.487057911416</v>
      </c>
      <c r="D98" s="60">
        <v>0</v>
      </c>
      <c r="E98" s="68">
        <v>0</v>
      </c>
      <c r="F98" s="44">
        <v>0</v>
      </c>
      <c r="G98" s="44">
        <v>0</v>
      </c>
      <c r="H98" s="44">
        <v>0</v>
      </c>
      <c r="I98" s="44">
        <v>0</v>
      </c>
    </row>
    <row r="99" spans="1:9" ht="15">
      <c r="A99" s="43" t="str">
        <f>HLOOKUP(INDICE!$F$2,Nombres!$C$3:$D$636,60,FALSE)</f>
        <v>Depósitos de bancos centrales y entidades de crédito</v>
      </c>
      <c r="B99" s="60">
        <v>1647.373769272476</v>
      </c>
      <c r="C99" s="60">
        <v>1362.4859830394748</v>
      </c>
      <c r="D99" s="60">
        <v>516.0508084633269</v>
      </c>
      <c r="E99" s="68">
        <v>555.4919312670048</v>
      </c>
      <c r="F99" s="44">
        <v>499.95895677436107</v>
      </c>
      <c r="G99" s="44">
        <v>471.31049817254114</v>
      </c>
      <c r="H99" s="44">
        <v>509.6690401869709</v>
      </c>
      <c r="I99" s="44">
        <v>533.471</v>
      </c>
    </row>
    <row r="100" spans="1:9" ht="15">
      <c r="A100" s="43" t="str">
        <f>HLOOKUP(INDICE!$F$2,Nombres!$C$3:$D$636,61,FALSE)</f>
        <v>Depósitos de la clientela</v>
      </c>
      <c r="B100" s="60">
        <v>7792.233944637894</v>
      </c>
      <c r="C100" s="60">
        <v>8632.56279164096</v>
      </c>
      <c r="D100" s="60">
        <v>12.80721198580781</v>
      </c>
      <c r="E100" s="68">
        <v>9.634863668015116</v>
      </c>
      <c r="F100" s="44">
        <v>9.83053353974432</v>
      </c>
      <c r="G100" s="44">
        <v>6.685150918064388</v>
      </c>
      <c r="H100" s="44">
        <v>8.616516879550286</v>
      </c>
      <c r="I100" s="44">
        <v>5.854</v>
      </c>
    </row>
    <row r="101" spans="1:9" ht="15">
      <c r="A101" s="43" t="str">
        <f>HLOOKUP(INDICE!$F$2,Nombres!$C$3:$D$636,62,FALSE)</f>
        <v>Valores representativos de deuda emitidos</v>
      </c>
      <c r="B101" s="44">
        <v>4397.736537525239</v>
      </c>
      <c r="C101" s="44">
        <v>4183.468220166503</v>
      </c>
      <c r="D101" s="44">
        <v>848.7187997725574</v>
      </c>
      <c r="E101" s="45">
        <v>985.019393318612</v>
      </c>
      <c r="F101" s="44">
        <v>1023.7546375731882</v>
      </c>
      <c r="G101" s="44">
        <v>973.6157033464602</v>
      </c>
      <c r="H101" s="44">
        <v>978.2987716208723</v>
      </c>
      <c r="I101" s="44">
        <v>986.123</v>
      </c>
    </row>
    <row r="102" spans="1:9" ht="15">
      <c r="A102" s="43" t="str">
        <f>HLOOKUP(INDICE!$F$2,Nombres!$C$3:$D$636,63,FALSE)</f>
        <v>Otros pasivos</v>
      </c>
      <c r="B102" s="60">
        <f>+B97-B98-B99-B100-B101-B103</f>
        <v>2958.0617373078344</v>
      </c>
      <c r="C102" s="60">
        <f aca="true" t="shared" si="17" ref="C102:I102">+C97-C98-C99-C100-C101-C103</f>
        <v>3006.610822448213</v>
      </c>
      <c r="D102" s="60">
        <f t="shared" si="17"/>
        <v>1203.8890208211474</v>
      </c>
      <c r="E102" s="68">
        <f t="shared" si="17"/>
        <v>1356.0949690132222</v>
      </c>
      <c r="F102" s="44">
        <f t="shared" si="17"/>
        <v>1518.942183053213</v>
      </c>
      <c r="G102" s="44">
        <f t="shared" si="17"/>
        <v>1521.8509490838178</v>
      </c>
      <c r="H102" s="44">
        <f t="shared" si="17"/>
        <v>1550.5548877734823</v>
      </c>
      <c r="I102" s="44">
        <f t="shared" si="17"/>
        <v>532.5898313</v>
      </c>
    </row>
    <row r="103" spans="1:9" ht="15">
      <c r="A103" s="43" t="str">
        <f>HLOOKUP(INDICE!$F$2,Nombres!$C$3:$D$636,64,FALSE)</f>
        <v>Dotación de capital económico</v>
      </c>
      <c r="B103" s="44">
        <v>478.59136821030035</v>
      </c>
      <c r="C103" s="44">
        <v>496.98510921619174</v>
      </c>
      <c r="D103" s="44">
        <v>66.78097490034537</v>
      </c>
      <c r="E103" s="45">
        <v>46.86107857198587</v>
      </c>
      <c r="F103" s="44">
        <v>52.77145211957509</v>
      </c>
      <c r="G103" s="44">
        <v>50.37090132822227</v>
      </c>
      <c r="H103" s="44">
        <v>51.887092369180564</v>
      </c>
      <c r="I103" s="44">
        <v>44.9181687</v>
      </c>
    </row>
    <row r="104" spans="1:9" ht="15">
      <c r="A104" s="65"/>
      <c r="B104" s="60"/>
      <c r="C104" s="60"/>
      <c r="D104" s="60"/>
      <c r="E104" s="60"/>
      <c r="F104" s="44"/>
      <c r="G104" s="44"/>
      <c r="H104" s="44"/>
      <c r="I104" s="44"/>
    </row>
    <row r="105" spans="1:9" ht="15">
      <c r="A105" s="43"/>
      <c r="B105" s="60"/>
      <c r="C105" s="60"/>
      <c r="D105" s="60"/>
      <c r="E105" s="60"/>
      <c r="F105" s="44"/>
      <c r="G105" s="44"/>
      <c r="H105" s="44"/>
      <c r="I105" s="44"/>
    </row>
    <row r="106" spans="1:9" ht="18">
      <c r="A106" s="33" t="str">
        <f>HLOOKUP(INDICE!$F$2,Nombres!$C$3:$D$636,65,FALSE)</f>
        <v>Indicadores relevantes y de gestión</v>
      </c>
      <c r="B106" s="34"/>
      <c r="C106" s="34"/>
      <c r="D106" s="34"/>
      <c r="E106" s="34"/>
      <c r="F106" s="72"/>
      <c r="G106" s="72"/>
      <c r="H106" s="72"/>
      <c r="I106" s="72"/>
    </row>
    <row r="107" spans="1:9" ht="15">
      <c r="A107" s="35" t="str">
        <f>HLOOKUP(INDICE!$F$2,Nombres!$C$3:$D$636,73,FALSE)</f>
        <v>(Millones de euros constantes)</v>
      </c>
      <c r="B107" s="30"/>
      <c r="C107" s="30"/>
      <c r="D107" s="30"/>
      <c r="E107" s="30"/>
      <c r="F107" s="73"/>
      <c r="G107" s="44"/>
      <c r="H107" s="44"/>
      <c r="I107" s="44"/>
    </row>
    <row r="108" spans="1:9" ht="15.75">
      <c r="A108" s="30"/>
      <c r="B108" s="55">
        <f aca="true" t="shared" si="18" ref="B108:I108">+B$33</f>
        <v>43190</v>
      </c>
      <c r="C108" s="55">
        <f t="shared" si="18"/>
        <v>43281</v>
      </c>
      <c r="D108" s="55">
        <f t="shared" si="18"/>
        <v>43373</v>
      </c>
      <c r="E108" s="71">
        <f t="shared" si="18"/>
        <v>43465</v>
      </c>
      <c r="F108" s="55">
        <f t="shared" si="18"/>
        <v>43555</v>
      </c>
      <c r="G108" s="55">
        <f t="shared" si="18"/>
        <v>43646</v>
      </c>
      <c r="H108" s="55">
        <f t="shared" si="18"/>
        <v>43738</v>
      </c>
      <c r="I108" s="55">
        <f t="shared" si="18"/>
        <v>43830</v>
      </c>
    </row>
    <row r="109" spans="1:9" ht="15">
      <c r="A109" s="43" t="str">
        <f>HLOOKUP(INDICE!$F$2,Nombres!$C$3:$D$636,66,FALSE)</f>
        <v>Préstamos y anticipos a la clientela bruto (*)</v>
      </c>
      <c r="B109" s="44">
        <v>13108.561428473342</v>
      </c>
      <c r="C109" s="44">
        <v>13348.611339221827</v>
      </c>
      <c r="D109" s="44">
        <v>1868.123352744556</v>
      </c>
      <c r="E109" s="45">
        <v>1989.3000017740771</v>
      </c>
      <c r="F109" s="44">
        <v>1988.1003206507758</v>
      </c>
      <c r="G109" s="44">
        <v>1960.3680777732447</v>
      </c>
      <c r="H109" s="44">
        <v>1976.432817706946</v>
      </c>
      <c r="I109" s="44">
        <v>1880.0230000000001</v>
      </c>
    </row>
    <row r="110" spans="1:9" ht="15">
      <c r="A110" s="43" t="str">
        <f>HLOOKUP(INDICE!$F$2,Nombres!$C$3:$D$636,67,FALSE)</f>
        <v>Depósitos de clientes en gestión (**)</v>
      </c>
      <c r="B110" s="44">
        <v>8020.46349259224</v>
      </c>
      <c r="C110" s="44">
        <v>8531.817244835724</v>
      </c>
      <c r="D110" s="44">
        <v>12.807211985807811</v>
      </c>
      <c r="E110" s="45">
        <v>9.634863668015115</v>
      </c>
      <c r="F110" s="44">
        <v>9.83053353974432</v>
      </c>
      <c r="G110" s="44">
        <v>6.685150918064388</v>
      </c>
      <c r="H110" s="44">
        <v>8.616516879550286</v>
      </c>
      <c r="I110" s="44">
        <v>5.853999999999999</v>
      </c>
    </row>
    <row r="111" spans="1:9" ht="15">
      <c r="A111" s="43" t="str">
        <f>HLOOKUP(INDICE!$F$2,Nombres!$C$3:$D$636,68,FALSE)</f>
        <v>Fondos de inversión</v>
      </c>
      <c r="B111" s="44">
        <v>1331.0665282466414</v>
      </c>
      <c r="C111" s="44">
        <v>1254.950284324208</v>
      </c>
      <c r="D111" s="44">
        <v>0</v>
      </c>
      <c r="E111" s="45">
        <v>0</v>
      </c>
      <c r="F111" s="44">
        <v>0</v>
      </c>
      <c r="G111" s="44">
        <v>0</v>
      </c>
      <c r="H111" s="44">
        <v>0</v>
      </c>
      <c r="I111" s="44">
        <v>0</v>
      </c>
    </row>
    <row r="112" spans="1:9" ht="15">
      <c r="A112" s="43" t="str">
        <f>HLOOKUP(INDICE!$F$2,Nombres!$C$3:$D$636,69,FALSE)</f>
        <v>Fondos de pensiones</v>
      </c>
      <c r="B112" s="44">
        <v>0</v>
      </c>
      <c r="C112" s="44">
        <v>0</v>
      </c>
      <c r="D112" s="44">
        <v>0</v>
      </c>
      <c r="E112" s="45">
        <v>0</v>
      </c>
      <c r="F112" s="44">
        <v>0</v>
      </c>
      <c r="G112" s="44">
        <v>0</v>
      </c>
      <c r="H112" s="44">
        <v>0</v>
      </c>
      <c r="I112" s="44">
        <v>0</v>
      </c>
    </row>
    <row r="113" spans="1:9" ht="15">
      <c r="A113" s="43" t="str">
        <f>HLOOKUP(INDICE!$F$2,Nombres!$C$3:$D$636,70,FALSE)</f>
        <v>Otros recursos fuera de balance</v>
      </c>
      <c r="B113" s="44">
        <v>0</v>
      </c>
      <c r="C113" s="44">
        <v>0</v>
      </c>
      <c r="D113" s="44">
        <v>0</v>
      </c>
      <c r="E113" s="45">
        <v>0</v>
      </c>
      <c r="F113" s="44">
        <v>0</v>
      </c>
      <c r="G113" s="44">
        <v>0</v>
      </c>
      <c r="H113" s="44">
        <v>0</v>
      </c>
      <c r="I113" s="44">
        <v>0</v>
      </c>
    </row>
    <row r="114" spans="1:9" ht="15">
      <c r="A114" s="65" t="str">
        <f>HLOOKUP(INDICE!$F$2,Nombres!$C$3:$D$636,71,FALSE)</f>
        <v>(*) No incluye las adquisiciones temporales de activos.</v>
      </c>
      <c r="B114" s="60"/>
      <c r="C114" s="60"/>
      <c r="D114" s="60"/>
      <c r="E114" s="60"/>
      <c r="F114" s="60"/>
      <c r="G114" s="60"/>
      <c r="H114" s="60"/>
      <c r="I114" s="60"/>
    </row>
    <row r="115" spans="1:9" ht="15">
      <c r="A115" s="65" t="str">
        <f>HLOOKUP(INDICE!$F$2,Nombres!$C$3:$D$636,72,FALSE)</f>
        <v>(**) No incluye las cesiones temporales de activos.</v>
      </c>
      <c r="B115" s="30"/>
      <c r="C115" s="30"/>
      <c r="D115" s="30"/>
      <c r="E115" s="30"/>
      <c r="F115" s="30"/>
      <c r="G115" s="30"/>
      <c r="H115" s="30"/>
      <c r="I115" s="30"/>
    </row>
    <row r="116" spans="1:9" ht="15">
      <c r="A116" s="65"/>
      <c r="B116" s="60"/>
      <c r="C116" s="44"/>
      <c r="D116" s="44"/>
      <c r="E116" s="44"/>
      <c r="F116" s="44"/>
      <c r="G116" s="30"/>
      <c r="H116" s="30"/>
      <c r="I116" s="30"/>
    </row>
    <row r="117" spans="1:9" ht="18">
      <c r="A117" s="33" t="str">
        <f>HLOOKUP(INDICE!$F$2,Nombres!$C$3:$D$636,31,FALSE)</f>
        <v>Cuenta de resultados  </v>
      </c>
      <c r="B117" s="34"/>
      <c r="C117" s="34"/>
      <c r="D117" s="34"/>
      <c r="E117" s="34"/>
      <c r="F117" s="34"/>
      <c r="G117" s="34"/>
      <c r="H117" s="34"/>
      <c r="I117" s="34"/>
    </row>
    <row r="118" spans="1:9" ht="15">
      <c r="A118" s="35" t="str">
        <f>HLOOKUP(INDICE!$F$2,Nombres!$C$3:$D$636,81,FALSE)</f>
        <v>(Millones de pesos chilenos)</v>
      </c>
      <c r="B118" s="30"/>
      <c r="C118" s="36"/>
      <c r="D118" s="36"/>
      <c r="E118" s="36"/>
      <c r="F118" s="30"/>
      <c r="G118" s="30"/>
      <c r="H118" s="30"/>
      <c r="I118" s="30"/>
    </row>
    <row r="119" spans="1:9" ht="15">
      <c r="A119" s="37"/>
      <c r="B119" s="30"/>
      <c r="C119" s="36"/>
      <c r="D119" s="36"/>
      <c r="E119" s="36"/>
      <c r="F119" s="30"/>
      <c r="G119" s="30"/>
      <c r="H119" s="30"/>
      <c r="I119" s="30"/>
    </row>
    <row r="120" spans="1:9" ht="15.75">
      <c r="A120" s="38"/>
      <c r="B120" s="295">
        <f>+B$6</f>
        <v>2018</v>
      </c>
      <c r="C120" s="295"/>
      <c r="D120" s="295"/>
      <c r="E120" s="296"/>
      <c r="F120" s="295">
        <f>+F$6</f>
        <v>2019</v>
      </c>
      <c r="G120" s="295"/>
      <c r="H120" s="295"/>
      <c r="I120" s="295"/>
    </row>
    <row r="121" spans="1:9" ht="15.75">
      <c r="A121" s="38"/>
      <c r="B121" s="39" t="str">
        <f>+B$7</f>
        <v>1er Trim.</v>
      </c>
      <c r="C121" s="39" t="str">
        <f aca="true" t="shared" si="19" ref="C121:I121">+C$7</f>
        <v>2º Trim.</v>
      </c>
      <c r="D121" s="39" t="str">
        <f t="shared" si="19"/>
        <v>3er Trim.</v>
      </c>
      <c r="E121" s="40" t="str">
        <f t="shared" si="19"/>
        <v>4º Trim.</v>
      </c>
      <c r="F121" s="39" t="str">
        <f t="shared" si="19"/>
        <v>1er Trim.</v>
      </c>
      <c r="G121" s="39" t="str">
        <f t="shared" si="19"/>
        <v>2º Trim.</v>
      </c>
      <c r="H121" s="39" t="str">
        <f t="shared" si="19"/>
        <v>3er Trim.</v>
      </c>
      <c r="I121" s="39" t="str">
        <f t="shared" si="19"/>
        <v>4º Trim.</v>
      </c>
    </row>
    <row r="122" spans="1:9" ht="15">
      <c r="A122" s="41" t="str">
        <f>HLOOKUP(INDICE!$F$2,Nombres!$C$3:$D$636,33,FALSE)</f>
        <v>Margen de intereses</v>
      </c>
      <c r="B122" s="41">
        <v>113105.84752035528</v>
      </c>
      <c r="C122" s="41">
        <v>117609.17838638043</v>
      </c>
      <c r="D122" s="41">
        <v>32716.331932724122</v>
      </c>
      <c r="E122" s="42">
        <v>35784.387807777064</v>
      </c>
      <c r="F122" s="52">
        <v>35101.1250565458</v>
      </c>
      <c r="G122" s="52">
        <v>35879.1585101183</v>
      </c>
      <c r="H122" s="52">
        <v>36319.07325801654</v>
      </c>
      <c r="I122" s="52">
        <v>35134.44086216619</v>
      </c>
    </row>
    <row r="123" spans="1:9" ht="15">
      <c r="A123" s="43" t="str">
        <f>HLOOKUP(INDICE!$F$2,Nombres!$C$3:$D$636,34,FALSE)</f>
        <v>Comisiones netas</v>
      </c>
      <c r="B123" s="44">
        <v>14274.116780162843</v>
      </c>
      <c r="C123" s="44">
        <v>18556.06406365655</v>
      </c>
      <c r="D123" s="44">
        <v>5992.197363232365</v>
      </c>
      <c r="E123" s="45">
        <v>6004.108658958839</v>
      </c>
      <c r="F123" s="44">
        <v>3925.4745555571303</v>
      </c>
      <c r="G123" s="44">
        <v>3426.4991555190677</v>
      </c>
      <c r="H123" s="44">
        <v>3713.874368717645</v>
      </c>
      <c r="I123" s="44">
        <v>2773.850856410231</v>
      </c>
    </row>
    <row r="124" spans="1:9" ht="15">
      <c r="A124" s="43" t="str">
        <f>HLOOKUP(INDICE!$F$2,Nombres!$C$3:$D$636,35,FALSE)</f>
        <v>Resultados de operaciones financieras</v>
      </c>
      <c r="B124" s="44">
        <v>13678.909711324915</v>
      </c>
      <c r="C124" s="44">
        <v>14205.765077720236</v>
      </c>
      <c r="D124" s="44">
        <v>-69.87535918768334</v>
      </c>
      <c r="E124" s="45">
        <v>133.07690625154407</v>
      </c>
      <c r="F124" s="44">
        <v>283.47701945903975</v>
      </c>
      <c r="G124" s="44">
        <v>280.5915615714117</v>
      </c>
      <c r="H124" s="44">
        <v>269.5488820578264</v>
      </c>
      <c r="I124" s="44">
        <v>244.22845485837595</v>
      </c>
    </row>
    <row r="125" spans="1:9" ht="15">
      <c r="A125" s="43" t="str">
        <f>HLOOKUP(INDICE!$F$2,Nombres!$C$3:$D$636,36,FALSE)</f>
        <v>Otros ingresos y cargas de explotación</v>
      </c>
      <c r="B125" s="44">
        <v>3337.527757216875</v>
      </c>
      <c r="C125" s="44">
        <v>3237.6017764618814</v>
      </c>
      <c r="D125" s="44">
        <v>-308.06276698708393</v>
      </c>
      <c r="E125" s="45">
        <v>-282.20681211180886</v>
      </c>
      <c r="F125" s="44">
        <v>40.171877089115256</v>
      </c>
      <c r="G125" s="44">
        <v>-30.24915509534548</v>
      </c>
      <c r="H125" s="44">
        <v>-27.642871393982688</v>
      </c>
      <c r="I125" s="44">
        <v>-151.43085232134223</v>
      </c>
    </row>
    <row r="126" spans="1:9" ht="15">
      <c r="A126" s="41" t="str">
        <f>HLOOKUP(INDICE!$F$2,Nombres!$C$3:$D$636,37,FALSE)</f>
        <v>Margen bruto</v>
      </c>
      <c r="B126" s="41">
        <f aca="true" t="shared" si="20" ref="B126:I126">+SUM(B122:B125)</f>
        <v>144396.40176905994</v>
      </c>
      <c r="C126" s="41">
        <f t="shared" si="20"/>
        <v>153608.60930421908</v>
      </c>
      <c r="D126" s="41">
        <f t="shared" si="20"/>
        <v>38330.59116978173</v>
      </c>
      <c r="E126" s="42">
        <f t="shared" si="20"/>
        <v>41639.36656087564</v>
      </c>
      <c r="F126" s="52">
        <f t="shared" si="20"/>
        <v>39350.248508651086</v>
      </c>
      <c r="G126" s="52">
        <f t="shared" si="20"/>
        <v>39556.000072113435</v>
      </c>
      <c r="H126" s="52">
        <f t="shared" si="20"/>
        <v>40274.85363739803</v>
      </c>
      <c r="I126" s="52">
        <f t="shared" si="20"/>
        <v>38001.08932111346</v>
      </c>
    </row>
    <row r="127" spans="1:9" ht="15">
      <c r="A127" s="43" t="str">
        <f>HLOOKUP(INDICE!$F$2,Nombres!$C$3:$D$636,38,FALSE)</f>
        <v>Gastos de explotación</v>
      </c>
      <c r="B127" s="44">
        <v>-64925.528712065134</v>
      </c>
      <c r="C127" s="44">
        <v>-70207.54246484087</v>
      </c>
      <c r="D127" s="44">
        <v>-10847.258275457094</v>
      </c>
      <c r="E127" s="45">
        <v>-12962.72820092988</v>
      </c>
      <c r="F127" s="44">
        <v>-12589.714687739706</v>
      </c>
      <c r="G127" s="44">
        <v>-13078.840537528296</v>
      </c>
      <c r="H127" s="44">
        <v>-13810.396755849866</v>
      </c>
      <c r="I127" s="44">
        <v>-12396.119877079627</v>
      </c>
    </row>
    <row r="128" spans="1:9" ht="15">
      <c r="A128" s="43" t="str">
        <f>HLOOKUP(INDICE!$F$2,Nombres!$C$3:$D$636,39,FALSE)</f>
        <v>  Gastos de administración</v>
      </c>
      <c r="B128" s="44">
        <v>-61631.67230940044</v>
      </c>
      <c r="C128" s="44">
        <v>-65788.59353811992</v>
      </c>
      <c r="D128" s="44">
        <v>-10350.761279261338</v>
      </c>
      <c r="E128" s="45">
        <v>-12378.692146496136</v>
      </c>
      <c r="F128" s="44">
        <v>-11702.901551998859</v>
      </c>
      <c r="G128" s="44">
        <v>-12227.650751745006</v>
      </c>
      <c r="H128" s="44">
        <v>-13000.550370134692</v>
      </c>
      <c r="I128" s="44">
        <v>-11620.742062124293</v>
      </c>
    </row>
    <row r="129" spans="1:9" ht="15">
      <c r="A129" s="46" t="str">
        <f>HLOOKUP(INDICE!$F$2,Nombres!$C$3:$D$636,40,FALSE)</f>
        <v>  Gastos de personal</v>
      </c>
      <c r="B129" s="44">
        <v>-33399.70392301998</v>
      </c>
      <c r="C129" s="44">
        <v>-39715.766099185785</v>
      </c>
      <c r="D129" s="44">
        <v>-3600.9590850710456</v>
      </c>
      <c r="E129" s="45">
        <v>-5695.380128150894</v>
      </c>
      <c r="F129" s="44">
        <v>-5004.051557402621</v>
      </c>
      <c r="G129" s="44">
        <v>-5211.772378336977</v>
      </c>
      <c r="H129" s="44">
        <v>-6081.320423508405</v>
      </c>
      <c r="I129" s="44">
        <v>-5656.295417674208</v>
      </c>
    </row>
    <row r="130" spans="1:9" ht="15">
      <c r="A130" s="46" t="str">
        <f>HLOOKUP(INDICE!$F$2,Nombres!$C$3:$D$636,41,FALSE)</f>
        <v>  Otros gastos de administración</v>
      </c>
      <c r="B130" s="44">
        <v>-28231.96838638046</v>
      </c>
      <c r="C130" s="44">
        <v>-26072.827438934124</v>
      </c>
      <c r="D130" s="44">
        <v>-6749.802194190293</v>
      </c>
      <c r="E130" s="45">
        <v>-6683.312018345241</v>
      </c>
      <c r="F130" s="44">
        <v>-6698.849994596238</v>
      </c>
      <c r="G130" s="44">
        <v>-7015.878373408028</v>
      </c>
      <c r="H130" s="44">
        <v>-6919.229946626287</v>
      </c>
      <c r="I130" s="44">
        <v>-5964.446644450085</v>
      </c>
    </row>
    <row r="131" spans="1:9" ht="15">
      <c r="A131" s="43" t="str">
        <f>HLOOKUP(INDICE!$F$2,Nombres!$C$3:$D$636,42,FALSE)</f>
        <v>  Amortización</v>
      </c>
      <c r="B131" s="44">
        <v>-3293.8564026646927</v>
      </c>
      <c r="C131" s="44">
        <v>-4418.948926720948</v>
      </c>
      <c r="D131" s="44">
        <v>-496.4969961957544</v>
      </c>
      <c r="E131" s="45">
        <v>-584.0360544337449</v>
      </c>
      <c r="F131" s="44">
        <v>-886.8131357408462</v>
      </c>
      <c r="G131" s="44">
        <v>-851.1897857832919</v>
      </c>
      <c r="H131" s="44">
        <v>-809.8463857151733</v>
      </c>
      <c r="I131" s="44">
        <v>-775.377814955335</v>
      </c>
    </row>
    <row r="132" spans="1:9" ht="15">
      <c r="A132" s="41" t="str">
        <f>HLOOKUP(INDICE!$F$2,Nombres!$C$3:$D$636,43,FALSE)</f>
        <v>Margen neto</v>
      </c>
      <c r="B132" s="41">
        <f aca="true" t="shared" si="21" ref="B132:I132">+B126+B127</f>
        <v>79470.87305699481</v>
      </c>
      <c r="C132" s="41">
        <f t="shared" si="21"/>
        <v>83401.06683937821</v>
      </c>
      <c r="D132" s="41">
        <f t="shared" si="21"/>
        <v>27483.332894324634</v>
      </c>
      <c r="E132" s="42">
        <f t="shared" si="21"/>
        <v>28676.638359945762</v>
      </c>
      <c r="F132" s="52">
        <f t="shared" si="21"/>
        <v>26760.53382091138</v>
      </c>
      <c r="G132" s="52">
        <f t="shared" si="21"/>
        <v>26477.15953458514</v>
      </c>
      <c r="H132" s="52">
        <f t="shared" si="21"/>
        <v>26464.456881548165</v>
      </c>
      <c r="I132" s="52">
        <f t="shared" si="21"/>
        <v>25604.969444033835</v>
      </c>
    </row>
    <row r="133" spans="1:9" ht="15">
      <c r="A133" s="43" t="str">
        <f>HLOOKUP(INDICE!$F$2,Nombres!$C$3:$D$636,44,FALSE)</f>
        <v>Deterioro de activos financieros no valorados a valor razonable con cambios en resultados</v>
      </c>
      <c r="B133" s="44">
        <v>-25068.83789785344</v>
      </c>
      <c r="C133" s="44">
        <v>-16811.99111769061</v>
      </c>
      <c r="D133" s="44">
        <v>-10824.34727852947</v>
      </c>
      <c r="E133" s="45">
        <v>-5379.607960279252</v>
      </c>
      <c r="F133" s="44">
        <v>-9476.773193305813</v>
      </c>
      <c r="G133" s="44">
        <v>-8928.349532522709</v>
      </c>
      <c r="H133" s="44">
        <v>-10790.749514217954</v>
      </c>
      <c r="I133" s="44">
        <v>-16563.01409543767</v>
      </c>
    </row>
    <row r="134" spans="1:9" ht="15">
      <c r="A134" s="43" t="str">
        <f>HLOOKUP(INDICE!$F$2,Nombres!$C$3:$D$636,45,FALSE)</f>
        <v>Provisiones o reversión de provisiones y otros resultados</v>
      </c>
      <c r="B134" s="44">
        <v>1247.9644707623984</v>
      </c>
      <c r="C134" s="44">
        <v>362.1672834937086</v>
      </c>
      <c r="D134" s="44">
        <v>915.2155825780997</v>
      </c>
      <c r="E134" s="45">
        <v>-214.75838906736536</v>
      </c>
      <c r="F134" s="44">
        <v>-419.1518496279384</v>
      </c>
      <c r="G134" s="44">
        <v>-220.48207581660608</v>
      </c>
      <c r="H134" s="44">
        <v>-296.4522276536603</v>
      </c>
      <c r="I134" s="44">
        <v>-381.71816263949233</v>
      </c>
    </row>
    <row r="135" spans="1:9" ht="15">
      <c r="A135" s="41" t="str">
        <f>HLOOKUP(INDICE!$F$2,Nombres!$C$3:$D$636,46,FALSE)</f>
        <v>Resultado antes de impuestos</v>
      </c>
      <c r="B135" s="41">
        <f aca="true" t="shared" si="22" ref="B135:I135">+B132+B133+B134</f>
        <v>55649.99962990377</v>
      </c>
      <c r="C135" s="41">
        <f t="shared" si="22"/>
        <v>66951.24300518131</v>
      </c>
      <c r="D135" s="41">
        <f t="shared" si="22"/>
        <v>17574.201198373266</v>
      </c>
      <c r="E135" s="42">
        <f t="shared" si="22"/>
        <v>23082.272010599143</v>
      </c>
      <c r="F135" s="52">
        <f t="shared" si="22"/>
        <v>16864.608777977628</v>
      </c>
      <c r="G135" s="52">
        <f t="shared" si="22"/>
        <v>17328.327926245824</v>
      </c>
      <c r="H135" s="52">
        <f t="shared" si="22"/>
        <v>15377.25513967655</v>
      </c>
      <c r="I135" s="52">
        <f t="shared" si="22"/>
        <v>8660.237185956674</v>
      </c>
    </row>
    <row r="136" spans="1:9" ht="15">
      <c r="A136" s="43" t="str">
        <f>HLOOKUP(INDICE!$F$2,Nombres!$C$3:$D$636,47,FALSE)</f>
        <v>Impuesto sobre beneficios</v>
      </c>
      <c r="B136" s="44">
        <v>-13171.687979274611</v>
      </c>
      <c r="C136" s="44">
        <v>-13067.492146558108</v>
      </c>
      <c r="D136" s="44">
        <v>-4944.422064714918</v>
      </c>
      <c r="E136" s="45">
        <v>-6476.279489997407</v>
      </c>
      <c r="F136" s="44">
        <v>-4231.690373368499</v>
      </c>
      <c r="G136" s="44">
        <v>-4449.164798565635</v>
      </c>
      <c r="H136" s="44">
        <v>-4368.108758127014</v>
      </c>
      <c r="I136" s="44">
        <v>-2162.038243355353</v>
      </c>
    </row>
    <row r="137" spans="1:9" ht="15">
      <c r="A137" s="41" t="str">
        <f>HLOOKUP(INDICE!$F$2,Nombres!$C$3:$D$636,48,FALSE)</f>
        <v>Resultado del ejercicio</v>
      </c>
      <c r="B137" s="41">
        <f aca="true" t="shared" si="23" ref="B137:I137">+B135+B136</f>
        <v>42478.311650629155</v>
      </c>
      <c r="C137" s="41">
        <f t="shared" si="23"/>
        <v>53883.75085862321</v>
      </c>
      <c r="D137" s="41">
        <f t="shared" si="23"/>
        <v>12629.779133658349</v>
      </c>
      <c r="E137" s="42">
        <f t="shared" si="23"/>
        <v>16605.992520601736</v>
      </c>
      <c r="F137" s="52">
        <f t="shared" si="23"/>
        <v>12632.918404609129</v>
      </c>
      <c r="G137" s="52">
        <f t="shared" si="23"/>
        <v>12879.163127680189</v>
      </c>
      <c r="H137" s="52">
        <f t="shared" si="23"/>
        <v>11009.146381549537</v>
      </c>
      <c r="I137" s="52">
        <f t="shared" si="23"/>
        <v>6498.198942601321</v>
      </c>
    </row>
    <row r="138" spans="1:9" ht="15">
      <c r="A138" s="43" t="str">
        <f>HLOOKUP(INDICE!$F$2,Nombres!$C$3:$D$636,49,FALSE)</f>
        <v>Minoritarios</v>
      </c>
      <c r="B138" s="44">
        <v>-9016.505958549224</v>
      </c>
      <c r="C138" s="44">
        <v>-12919.414537379718</v>
      </c>
      <c r="D138" s="44">
        <v>-77.12870887225912</v>
      </c>
      <c r="E138" s="45">
        <v>-20.668122980783743</v>
      </c>
      <c r="F138" s="44" t="s">
        <v>400</v>
      </c>
      <c r="G138" s="44" t="s">
        <v>400</v>
      </c>
      <c r="H138" s="44" t="s">
        <v>400</v>
      </c>
      <c r="I138" s="44" t="s">
        <v>400</v>
      </c>
    </row>
    <row r="139" spans="1:9" ht="15">
      <c r="A139" s="47" t="str">
        <f>HLOOKUP(INDICE!$F$2,Nombres!$C$3:$D$636,50,FALSE)</f>
        <v>Resultado atribuido</v>
      </c>
      <c r="B139" s="47">
        <f aca="true" t="shared" si="24" ref="B139:I139">+B137+B138</f>
        <v>33461.80569207993</v>
      </c>
      <c r="C139" s="47">
        <f t="shared" si="24"/>
        <v>40964.33632124349</v>
      </c>
      <c r="D139" s="47">
        <f t="shared" si="24"/>
        <v>12552.65042478609</v>
      </c>
      <c r="E139" s="74">
        <f t="shared" si="24"/>
        <v>16585.324397620952</v>
      </c>
      <c r="F139" s="53">
        <f t="shared" si="24"/>
        <v>12632.918404609129</v>
      </c>
      <c r="G139" s="53">
        <f t="shared" si="24"/>
        <v>12879.163127680189</v>
      </c>
      <c r="H139" s="53">
        <f t="shared" si="24"/>
        <v>11009.146381549537</v>
      </c>
      <c r="I139" s="53">
        <f t="shared" si="24"/>
        <v>6498.198942601321</v>
      </c>
    </row>
    <row r="140" spans="1:9" ht="15">
      <c r="A140" s="48"/>
      <c r="B140" s="48"/>
      <c r="C140" s="48"/>
      <c r="D140" s="48"/>
      <c r="E140" s="48"/>
      <c r="F140" s="281"/>
      <c r="G140" s="281"/>
      <c r="H140" s="281"/>
      <c r="I140" s="281"/>
    </row>
    <row r="141" spans="1:9" ht="15">
      <c r="A141" s="47" t="str">
        <f>HLOOKUP(INDICE!$F$2,Nombres!$C$3:$D$636,254,FALSE)</f>
        <v>Resultado atribuido sin BBVA Chile (*)</v>
      </c>
      <c r="B141" s="47">
        <v>12179.126572908954</v>
      </c>
      <c r="C141" s="47">
        <v>14289.415247964469</v>
      </c>
      <c r="D141" s="47">
        <f aca="true" t="shared" si="25" ref="D141:I141">+D139</f>
        <v>12552.65042478609</v>
      </c>
      <c r="E141" s="47">
        <f t="shared" si="25"/>
        <v>16585.324397620952</v>
      </c>
      <c r="F141" s="47">
        <f t="shared" si="25"/>
        <v>12632.918404609129</v>
      </c>
      <c r="G141" s="47">
        <f t="shared" si="25"/>
        <v>12879.163127680189</v>
      </c>
      <c r="H141" s="47">
        <f t="shared" si="25"/>
        <v>11009.146381549537</v>
      </c>
      <c r="I141" s="47">
        <f t="shared" si="25"/>
        <v>6498.198942601321</v>
      </c>
    </row>
    <row r="142" spans="1:9" ht="15">
      <c r="A142" s="49" t="str">
        <f>HLOOKUP(INDICE!$F$2,Nombres!$C$3:$D$636,251,FALSE)</f>
        <v>(*) Resultados generados por BBVA Chile hasta su venta el 6 de julio del 2018 y las plusvalías de la operación</v>
      </c>
      <c r="B142" s="48"/>
      <c r="C142" s="48"/>
      <c r="D142" s="48"/>
      <c r="E142" s="48"/>
      <c r="F142" s="281"/>
      <c r="G142" s="281"/>
      <c r="H142" s="281"/>
      <c r="I142" s="281"/>
    </row>
    <row r="143" spans="1:9" ht="15">
      <c r="A143" s="65"/>
      <c r="B143" s="87"/>
      <c r="C143" s="87"/>
      <c r="D143" s="87"/>
      <c r="E143" s="87"/>
      <c r="F143" s="66">
        <v>0</v>
      </c>
      <c r="G143" s="66">
        <v>0</v>
      </c>
      <c r="H143" s="66">
        <v>0</v>
      </c>
      <c r="I143" s="66">
        <v>1.2732925824820995E-11</v>
      </c>
    </row>
    <row r="144" spans="1:9" ht="15">
      <c r="A144" s="41"/>
      <c r="B144" s="41"/>
      <c r="C144" s="41"/>
      <c r="D144" s="41"/>
      <c r="E144" s="41"/>
      <c r="F144" s="52"/>
      <c r="G144" s="52"/>
      <c r="H144" s="52"/>
      <c r="I144" s="52"/>
    </row>
    <row r="145" spans="1:9" ht="18">
      <c r="A145" s="33" t="str">
        <f>HLOOKUP(INDICE!$F$2,Nombres!$C$3:$D$636,51,FALSE)</f>
        <v>Balances</v>
      </c>
      <c r="B145" s="34"/>
      <c r="C145" s="34"/>
      <c r="D145" s="34"/>
      <c r="E145" s="34"/>
      <c r="F145" s="72"/>
      <c r="G145" s="72"/>
      <c r="H145" s="72"/>
      <c r="I145" s="72"/>
    </row>
    <row r="146" spans="1:9" ht="15">
      <c r="A146" s="35" t="str">
        <f>HLOOKUP(INDICE!$F$2,Nombres!$C$3:$D$636,81,FALSE)</f>
        <v>(Millones de pesos chilenos)</v>
      </c>
      <c r="B146" s="30"/>
      <c r="C146" s="54"/>
      <c r="D146" s="54"/>
      <c r="E146" s="54"/>
      <c r="F146" s="73"/>
      <c r="G146" s="44"/>
      <c r="H146" s="44"/>
      <c r="I146" s="44"/>
    </row>
    <row r="147" spans="1:9" ht="15.75">
      <c r="A147" s="30"/>
      <c r="B147" s="55">
        <f aca="true" t="shared" si="26" ref="B147:I147">+B$33</f>
        <v>43190</v>
      </c>
      <c r="C147" s="55">
        <f t="shared" si="26"/>
        <v>43281</v>
      </c>
      <c r="D147" s="55">
        <f t="shared" si="26"/>
        <v>43373</v>
      </c>
      <c r="E147" s="71">
        <f t="shared" si="26"/>
        <v>43465</v>
      </c>
      <c r="F147" s="55">
        <f t="shared" si="26"/>
        <v>43555</v>
      </c>
      <c r="G147" s="55">
        <f t="shared" si="26"/>
        <v>43646</v>
      </c>
      <c r="H147" s="55">
        <f t="shared" si="26"/>
        <v>43738</v>
      </c>
      <c r="I147" s="55">
        <f t="shared" si="26"/>
        <v>43830</v>
      </c>
    </row>
    <row r="148" spans="1:9" ht="15">
      <c r="A148" s="43" t="str">
        <f>HLOOKUP(INDICE!$F$2,Nombres!$C$3:$D$636,52,FALSE)</f>
        <v>Efectivo, saldos en efectivo en bancos centrales y otros depósitos a la vista</v>
      </c>
      <c r="B148" s="44">
        <v>520042.5055928412</v>
      </c>
      <c r="C148" s="44">
        <v>429530.2114803625</v>
      </c>
      <c r="D148" s="44">
        <v>30389.739663093413</v>
      </c>
      <c r="E148" s="45">
        <v>21563.24582338902</v>
      </c>
      <c r="F148" s="44">
        <v>19947.353907175053</v>
      </c>
      <c r="G148" s="44">
        <v>28822.700051106636</v>
      </c>
      <c r="H148" s="44">
        <v>19729.537623999095</v>
      </c>
      <c r="I148" s="44">
        <v>24135.51380241389</v>
      </c>
    </row>
    <row r="149" spans="1:9" ht="15">
      <c r="A149" s="43" t="str">
        <f>HLOOKUP(INDICE!$F$2,Nombres!$C$3:$D$636,53,FALSE)</f>
        <v>Activos financieros a valor razonable</v>
      </c>
      <c r="B149" s="60">
        <v>3083678.598061149</v>
      </c>
      <c r="C149" s="60">
        <v>3311221.2990936553</v>
      </c>
      <c r="D149" s="60">
        <v>0</v>
      </c>
      <c r="E149" s="68">
        <v>0</v>
      </c>
      <c r="F149" s="44">
        <v>0</v>
      </c>
      <c r="G149" s="44">
        <v>0</v>
      </c>
      <c r="H149" s="44">
        <v>0</v>
      </c>
      <c r="I149" s="44">
        <v>0</v>
      </c>
    </row>
    <row r="150" spans="1:9" ht="15">
      <c r="A150" s="43" t="str">
        <f>HLOOKUP(INDICE!$F$2,Nombres!$C$3:$D$636,54,FALSE)</f>
        <v>Activos financieros a coste amortizado</v>
      </c>
      <c r="B150" s="44">
        <v>11491891.87173751</v>
      </c>
      <c r="C150" s="44">
        <v>11740421.450151056</v>
      </c>
      <c r="D150" s="44">
        <v>1526326.186830015</v>
      </c>
      <c r="E150" s="45">
        <v>1658198.0906921239</v>
      </c>
      <c r="F150" s="44">
        <v>1685904.9296884811</v>
      </c>
      <c r="G150" s="44">
        <v>1605680.6358878417</v>
      </c>
      <c r="H150" s="44">
        <v>1640845.147015604</v>
      </c>
      <c r="I150" s="44">
        <v>1571216.5652762416</v>
      </c>
    </row>
    <row r="151" spans="1:9" ht="15">
      <c r="A151" s="43" t="str">
        <f>HLOOKUP(INDICE!$F$2,Nombres!$C$3:$D$636,55,FALSE)</f>
        <v>    de los que préstamos y anticipos a la clientela</v>
      </c>
      <c r="B151" s="44">
        <v>11086334.07904549</v>
      </c>
      <c r="C151" s="44">
        <v>11346545.317220543</v>
      </c>
      <c r="D151" s="44">
        <v>1526326.1868300152</v>
      </c>
      <c r="E151" s="45">
        <v>1630278.4407319014</v>
      </c>
      <c r="F151" s="44">
        <v>1629911.0819764382</v>
      </c>
      <c r="G151" s="44">
        <v>1605010.628418999</v>
      </c>
      <c r="H151" s="44">
        <v>1614624.9644843824</v>
      </c>
      <c r="I151" s="44">
        <v>1546626.8388351821</v>
      </c>
    </row>
    <row r="152" spans="1:9" ht="15">
      <c r="A152" s="43" t="str">
        <f>HLOOKUP(INDICE!$F$2,Nombres!$C$3:$D$636,56,FALSE)</f>
        <v>Activos tangibles</v>
      </c>
      <c r="B152" s="44">
        <v>67653.2438478747</v>
      </c>
      <c r="C152" s="44">
        <v>66546.82779456192</v>
      </c>
      <c r="D152" s="44">
        <v>1684.532924961715</v>
      </c>
      <c r="E152" s="45">
        <v>1703.261734287987</v>
      </c>
      <c r="F152" s="44">
        <v>11662.483539176577</v>
      </c>
      <c r="G152" s="44">
        <v>11295.737927367716</v>
      </c>
      <c r="H152" s="44">
        <v>11152.78332365921</v>
      </c>
      <c r="I152" s="44">
        <v>10938.954380720452</v>
      </c>
    </row>
    <row r="153" spans="1:9" ht="15">
      <c r="A153" s="43" t="str">
        <f>HLOOKUP(INDICE!$F$2,Nombres!$C$3:$D$636,57,FALSE)</f>
        <v>Otros activos</v>
      </c>
      <c r="B153" s="60">
        <f>+B154-B152-B150-B149-B148</f>
        <v>894636.0924683041</v>
      </c>
      <c r="C153" s="60">
        <f aca="true" t="shared" si="27" ref="C153:I153">+C154-C152-C150-C149-C148</f>
        <v>937339.1238670673</v>
      </c>
      <c r="D153" s="60">
        <f t="shared" si="27"/>
        <v>669131.3443874432</v>
      </c>
      <c r="E153" s="68">
        <f t="shared" si="27"/>
        <v>802491.621622912</v>
      </c>
      <c r="F153" s="44">
        <f t="shared" si="27"/>
        <v>894424.7184854884</v>
      </c>
      <c r="G153" s="44">
        <f t="shared" si="27"/>
        <v>897651.4037095535</v>
      </c>
      <c r="H153" s="44">
        <f t="shared" si="27"/>
        <v>934970.5264192427</v>
      </c>
      <c r="I153" s="44">
        <f t="shared" si="27"/>
        <v>162577.8437926317</v>
      </c>
    </row>
    <row r="154" spans="1:9" ht="15">
      <c r="A154" s="47" t="str">
        <f>HLOOKUP(INDICE!$F$2,Nombres!$C$3:$D$636,58,FALSE)</f>
        <v>Total activo / pasivo</v>
      </c>
      <c r="B154" s="47">
        <v>16057902.31170768</v>
      </c>
      <c r="C154" s="47">
        <v>16485058.912386702</v>
      </c>
      <c r="D154" s="47">
        <v>2227531.8038055133</v>
      </c>
      <c r="E154" s="47">
        <v>2483956.219872713</v>
      </c>
      <c r="F154" s="53">
        <v>2611939.4856203212</v>
      </c>
      <c r="G154" s="53">
        <v>2543450.4775758698</v>
      </c>
      <c r="H154" s="53">
        <v>2606697.994382505</v>
      </c>
      <c r="I154" s="53">
        <v>1768868.8772520076</v>
      </c>
    </row>
    <row r="155" spans="1:9" ht="15">
      <c r="A155" s="43" t="str">
        <f>HLOOKUP(INDICE!$F$2,Nombres!$C$3:$D$636,59,FALSE)</f>
        <v>Pasivos financieros mantenidos para negociar y designados a valor razonable con cambios en resultados</v>
      </c>
      <c r="B155" s="60">
        <v>1528146.9052945562</v>
      </c>
      <c r="C155" s="60">
        <v>1612023.4138972808</v>
      </c>
      <c r="D155" s="60">
        <v>0</v>
      </c>
      <c r="E155" s="68">
        <v>0</v>
      </c>
      <c r="F155" s="44">
        <v>0</v>
      </c>
      <c r="G155" s="44">
        <v>0</v>
      </c>
      <c r="H155" s="44">
        <v>0</v>
      </c>
      <c r="I155" s="44">
        <v>0</v>
      </c>
    </row>
    <row r="156" spans="1:9" ht="15.75" customHeight="1">
      <c r="A156" s="43" t="str">
        <f>HLOOKUP(INDICE!$F$2,Nombres!$C$3:$D$636,60,FALSE)</f>
        <v>Depósitos de bancos centrales y entidades de crédito</v>
      </c>
      <c r="B156" s="60">
        <v>1385662.9381058912</v>
      </c>
      <c r="C156" s="60">
        <v>1146033.9879154079</v>
      </c>
      <c r="D156" s="60">
        <v>434068.14701378247</v>
      </c>
      <c r="E156" s="68">
        <v>467243.4367541766</v>
      </c>
      <c r="F156" s="44">
        <v>420532.7351316666</v>
      </c>
      <c r="G156" s="44">
        <v>396435.5277711694</v>
      </c>
      <c r="H156" s="44">
        <v>428700.2214433567</v>
      </c>
      <c r="I156" s="44">
        <v>448720.87139079743</v>
      </c>
    </row>
    <row r="157" spans="1:9" ht="15.75" customHeight="1">
      <c r="A157" s="43" t="str">
        <f>HLOOKUP(INDICE!$F$2,Nombres!$C$3:$D$636,61,FALSE)</f>
        <v>Depósitos de la clientela</v>
      </c>
      <c r="B157" s="60">
        <v>6554316.927665921</v>
      </c>
      <c r="C157" s="60">
        <v>7261146.525679758</v>
      </c>
      <c r="D157" s="60">
        <v>10772.588055130167</v>
      </c>
      <c r="E157" s="68">
        <v>8104.216388225935</v>
      </c>
      <c r="F157" s="44">
        <v>8268.801071080772</v>
      </c>
      <c r="G157" s="44">
        <v>5623.111181925244</v>
      </c>
      <c r="H157" s="44">
        <v>7247.649755179417</v>
      </c>
      <c r="I157" s="44">
        <v>4924.001456727222</v>
      </c>
    </row>
    <row r="158" spans="1:9" ht="15.75" customHeight="1">
      <c r="A158" s="43" t="str">
        <f>HLOOKUP(INDICE!$F$2,Nombres!$C$3:$D$636,62,FALSE)</f>
        <v>Valores representativos de deuda emitidos</v>
      </c>
      <c r="B158" s="44">
        <v>3699087.9940343034</v>
      </c>
      <c r="C158" s="44">
        <v>3518859.516616314</v>
      </c>
      <c r="D158" s="44">
        <v>713886.676875957</v>
      </c>
      <c r="E158" s="45">
        <v>828533.8106603023</v>
      </c>
      <c r="F158" s="44">
        <v>861115.3615889355</v>
      </c>
      <c r="G158" s="44">
        <v>818941.7734148394</v>
      </c>
      <c r="H158" s="44">
        <v>822880.8637812826</v>
      </c>
      <c r="I158" s="44">
        <v>829462.0923321181</v>
      </c>
    </row>
    <row r="159" spans="1:9" ht="15.75" customHeight="1">
      <c r="A159" s="43" t="str">
        <f>HLOOKUP(INDICE!$F$2,Nombres!$C$3:$D$636,63,FALSE)</f>
        <v>Otros pasivos</v>
      </c>
      <c r="B159" s="60">
        <f>+B154-B155-B156-B157-B158-B160</f>
        <v>2488127.8277404904</v>
      </c>
      <c r="C159" s="60">
        <f aca="true" t="shared" si="28" ref="C159:I159">+C154-C155-C156-C157-C158-C160</f>
        <v>2528964.138972805</v>
      </c>
      <c r="D159" s="60">
        <f t="shared" si="28"/>
        <v>1012632.6088591123</v>
      </c>
      <c r="E159" s="68">
        <f t="shared" si="28"/>
        <v>1140658.2854256167</v>
      </c>
      <c r="F159" s="44">
        <f t="shared" si="28"/>
        <v>1277634.6979908526</v>
      </c>
      <c r="G159" s="44">
        <f t="shared" si="28"/>
        <v>1280081.3614981938</v>
      </c>
      <c r="H159" s="44">
        <f t="shared" si="28"/>
        <v>1304225.2350755278</v>
      </c>
      <c r="I159" s="44">
        <f t="shared" si="28"/>
        <v>447979.6899827989</v>
      </c>
    </row>
    <row r="160" spans="1:9" ht="15.75" customHeight="1">
      <c r="A160" s="43" t="str">
        <f>HLOOKUP(INDICE!$F$2,Nombres!$C$3:$D$636,64,FALSE)</f>
        <v>Dotación de capital económico</v>
      </c>
      <c r="B160" s="44">
        <v>402559.71886651753</v>
      </c>
      <c r="C160" s="44">
        <v>418031.3293051361</v>
      </c>
      <c r="D160" s="44">
        <v>56171.78300153138</v>
      </c>
      <c r="E160" s="45">
        <v>39416.470644391404</v>
      </c>
      <c r="F160" s="44">
        <v>44387.889837785886</v>
      </c>
      <c r="G160" s="44">
        <v>42368.703709741996</v>
      </c>
      <c r="H160" s="44">
        <v>43644.02432715836</v>
      </c>
      <c r="I160" s="44">
        <v>37782.22208956597</v>
      </c>
    </row>
    <row r="161" spans="1:9" ht="15">
      <c r="A161" s="65"/>
      <c r="B161" s="60"/>
      <c r="C161" s="60"/>
      <c r="D161" s="60"/>
      <c r="E161" s="60"/>
      <c r="F161" s="44"/>
      <c r="G161" s="44"/>
      <c r="H161" s="44"/>
      <c r="I161" s="44"/>
    </row>
    <row r="162" spans="1:9" ht="15">
      <c r="A162" s="43"/>
      <c r="B162" s="60"/>
      <c r="C162" s="60"/>
      <c r="D162" s="60"/>
      <c r="E162" s="60"/>
      <c r="F162" s="44"/>
      <c r="G162" s="44"/>
      <c r="H162" s="44"/>
      <c r="I162" s="44"/>
    </row>
    <row r="163" spans="1:9" ht="18">
      <c r="A163" s="33" t="str">
        <f>HLOOKUP(INDICE!$F$2,Nombres!$C$3:$D$636,65,FALSE)</f>
        <v>Indicadores relevantes y de gestión</v>
      </c>
      <c r="B163" s="34"/>
      <c r="C163" s="34"/>
      <c r="D163" s="34"/>
      <c r="E163" s="34"/>
      <c r="F163" s="72"/>
      <c r="G163" s="72"/>
      <c r="H163" s="72"/>
      <c r="I163" s="72"/>
    </row>
    <row r="164" spans="1:9" ht="15">
      <c r="A164" s="35" t="str">
        <f>HLOOKUP(INDICE!$F$2,Nombres!$C$3:$D$636,81,FALSE)</f>
        <v>(Millones de pesos chilenos)</v>
      </c>
      <c r="B164" s="30"/>
      <c r="C164" s="30"/>
      <c r="D164" s="30"/>
      <c r="E164" s="30"/>
      <c r="F164" s="73"/>
      <c r="G164" s="44"/>
      <c r="H164" s="44"/>
      <c r="I164" s="44"/>
    </row>
    <row r="165" spans="1:9" ht="15.75">
      <c r="A165" s="30"/>
      <c r="B165" s="55">
        <f aca="true" t="shared" si="29" ref="B165:I165">+B$33</f>
        <v>43190</v>
      </c>
      <c r="C165" s="55">
        <f t="shared" si="29"/>
        <v>43281</v>
      </c>
      <c r="D165" s="55">
        <f t="shared" si="29"/>
        <v>43373</v>
      </c>
      <c r="E165" s="71">
        <f t="shared" si="29"/>
        <v>43465</v>
      </c>
      <c r="F165" s="55">
        <f t="shared" si="29"/>
        <v>43555</v>
      </c>
      <c r="G165" s="55">
        <f t="shared" si="29"/>
        <v>43646</v>
      </c>
      <c r="H165" s="55">
        <f t="shared" si="29"/>
        <v>43738</v>
      </c>
      <c r="I165" s="55">
        <f t="shared" si="29"/>
        <v>43830</v>
      </c>
    </row>
    <row r="166" spans="1:9" ht="15">
      <c r="A166" s="43" t="str">
        <f>HLOOKUP(INDICE!$F$2,Nombres!$C$3:$D$636,66,FALSE)</f>
        <v>Préstamos y anticipos a la clientela bruto (*)</v>
      </c>
      <c r="B166" s="44">
        <v>11026063.472736765</v>
      </c>
      <c r="C166" s="44">
        <v>11227977.738232628</v>
      </c>
      <c r="D166" s="44">
        <v>1571343.0321592647</v>
      </c>
      <c r="E166" s="45">
        <v>1673268.894192522</v>
      </c>
      <c r="F166" s="44">
        <v>1672259.800991506</v>
      </c>
      <c r="G166" s="44">
        <v>1648933.2543008204</v>
      </c>
      <c r="H166" s="44">
        <v>1662445.8615497933</v>
      </c>
      <c r="I166" s="44">
        <v>1581352.236194172</v>
      </c>
    </row>
    <row r="167" spans="1:9" ht="15">
      <c r="A167" s="43" t="str">
        <f>HLOOKUP(INDICE!$F$2,Nombres!$C$3:$D$636,67,FALSE)</f>
        <v>Depósitos de clientes en gestión (**)</v>
      </c>
      <c r="B167" s="44">
        <v>6746288.678023864</v>
      </c>
      <c r="C167" s="44">
        <v>7176405.968927491</v>
      </c>
      <c r="D167" s="44">
        <v>10772.588055130167</v>
      </c>
      <c r="E167" s="45">
        <v>8104.216388225934</v>
      </c>
      <c r="F167" s="44">
        <v>8268.801071080772</v>
      </c>
      <c r="G167" s="44">
        <v>5623.111181925244</v>
      </c>
      <c r="H167" s="44">
        <v>7247.649755179417</v>
      </c>
      <c r="I167" s="44">
        <v>4924.001456727222</v>
      </c>
    </row>
    <row r="168" spans="1:9" ht="15">
      <c r="A168" s="43" t="str">
        <f>HLOOKUP(INDICE!$F$2,Nombres!$C$3:$D$636,68,FALSE)</f>
        <v>Fondos de inversión</v>
      </c>
      <c r="B168" s="44">
        <v>1119606.0000149142</v>
      </c>
      <c r="C168" s="44">
        <v>1055582.0000226584</v>
      </c>
      <c r="D168" s="44">
        <v>0</v>
      </c>
      <c r="E168" s="45">
        <v>0</v>
      </c>
      <c r="F168" s="44">
        <v>0</v>
      </c>
      <c r="G168" s="44">
        <v>0</v>
      </c>
      <c r="H168" s="44">
        <v>0</v>
      </c>
      <c r="I168" s="44">
        <v>0</v>
      </c>
    </row>
    <row r="169" spans="1:9" ht="15">
      <c r="A169" s="43" t="str">
        <f>HLOOKUP(INDICE!$F$2,Nombres!$C$3:$D$636,69,FALSE)</f>
        <v>Fondos de pensiones</v>
      </c>
      <c r="B169" s="44">
        <v>0</v>
      </c>
      <c r="C169" s="44">
        <v>0</v>
      </c>
      <c r="D169" s="44">
        <v>0</v>
      </c>
      <c r="E169" s="45">
        <v>0</v>
      </c>
      <c r="F169" s="44">
        <v>0</v>
      </c>
      <c r="G169" s="44">
        <v>0</v>
      </c>
      <c r="H169" s="44">
        <v>0</v>
      </c>
      <c r="I169" s="44">
        <v>0</v>
      </c>
    </row>
    <row r="170" spans="1:9" ht="15">
      <c r="A170" s="43" t="str">
        <f>HLOOKUP(INDICE!$F$2,Nombres!$C$3:$D$636,70,FALSE)</f>
        <v>Otros recursos fuera de balance</v>
      </c>
      <c r="B170" s="44">
        <v>0</v>
      </c>
      <c r="C170" s="44">
        <v>0</v>
      </c>
      <c r="D170" s="44">
        <v>0</v>
      </c>
      <c r="E170" s="45">
        <v>0</v>
      </c>
      <c r="F170" s="44">
        <v>0</v>
      </c>
      <c r="G170" s="44">
        <v>0</v>
      </c>
      <c r="H170" s="44">
        <v>0</v>
      </c>
      <c r="I170" s="44">
        <v>0</v>
      </c>
    </row>
    <row r="171" spans="1:9" ht="15">
      <c r="A171" s="65" t="str">
        <f>HLOOKUP(INDICE!$F$2,Nombres!$C$3:$D$636,71,FALSE)</f>
        <v>(*) No incluye las adquisiciones temporales de activos.</v>
      </c>
      <c r="B171" s="44"/>
      <c r="C171" s="60"/>
      <c r="D171" s="60"/>
      <c r="E171" s="60"/>
      <c r="F171" s="44"/>
      <c r="G171" s="44"/>
      <c r="H171" s="44"/>
      <c r="I171" s="44"/>
    </row>
    <row r="172" spans="1:9" ht="15">
      <c r="A172" s="65" t="str">
        <f>HLOOKUP(INDICE!$F$2,Nombres!$C$3:$D$636,72,FALSE)</f>
        <v>(**) No incluye las cesiones temporales de activos.</v>
      </c>
      <c r="B172" s="30"/>
      <c r="C172" s="30"/>
      <c r="D172" s="30"/>
      <c r="E172" s="30"/>
      <c r="F172" s="30"/>
      <c r="G172" s="30"/>
      <c r="H172" s="30"/>
      <c r="I172" s="30"/>
    </row>
    <row r="173" spans="1:9" ht="15">
      <c r="A173" s="30"/>
      <c r="B173" s="30"/>
      <c r="C173" s="30"/>
      <c r="D173" s="30"/>
      <c r="E173" s="30"/>
      <c r="F173" s="30"/>
      <c r="G173" s="30"/>
      <c r="H173" s="30"/>
      <c r="I173" s="30"/>
    </row>
    <row r="174" spans="1:9" ht="15">
      <c r="A174" s="30"/>
      <c r="B174" s="30"/>
      <c r="C174" s="30"/>
      <c r="D174" s="30"/>
      <c r="E174" s="30"/>
      <c r="F174" s="30"/>
      <c r="G174" s="30"/>
      <c r="H174" s="30"/>
      <c r="I174" s="30"/>
    </row>
    <row r="175" spans="1:9" ht="15">
      <c r="A175" s="77"/>
      <c r="B175" s="78"/>
      <c r="C175" s="79"/>
      <c r="D175" s="79"/>
      <c r="E175" s="79"/>
      <c r="F175" s="78"/>
      <c r="G175" s="78"/>
      <c r="H175" s="78"/>
      <c r="I175" s="78"/>
    </row>
    <row r="176" spans="1:15" ht="15">
      <c r="A176" s="77"/>
      <c r="B176" s="78"/>
      <c r="C176" s="79"/>
      <c r="D176" s="79"/>
      <c r="E176" s="79"/>
      <c r="F176" s="78"/>
      <c r="G176" s="78"/>
      <c r="H176" s="78"/>
      <c r="I176" s="78"/>
      <c r="J176" s="78"/>
      <c r="K176" s="78"/>
      <c r="L176" s="78"/>
      <c r="M176" s="78"/>
      <c r="N176" s="78"/>
      <c r="O176" s="78"/>
    </row>
    <row r="177" spans="1:15" ht="15">
      <c r="A177" s="78"/>
      <c r="B177" s="78"/>
      <c r="C177" s="78"/>
      <c r="D177" s="78"/>
      <c r="E177" s="78"/>
      <c r="F177" s="78"/>
      <c r="G177" s="78"/>
      <c r="H177" s="78"/>
      <c r="I177" s="78"/>
      <c r="J177" s="78"/>
      <c r="K177" s="78"/>
      <c r="L177" s="78"/>
      <c r="M177" s="78"/>
      <c r="N177" s="78"/>
      <c r="O177" s="78"/>
    </row>
    <row r="178" spans="1:15" ht="15">
      <c r="A178" s="78"/>
      <c r="B178" s="78"/>
      <c r="C178" s="78"/>
      <c r="D178" s="78"/>
      <c r="E178" s="78"/>
      <c r="F178" s="78"/>
      <c r="G178" s="78"/>
      <c r="H178" s="78"/>
      <c r="I178" s="78"/>
      <c r="J178" s="78"/>
      <c r="K178" s="78"/>
      <c r="L178" s="78"/>
      <c r="M178" s="78"/>
      <c r="N178" s="78"/>
      <c r="O178" s="78"/>
    </row>
    <row r="179" spans="1:15" ht="15">
      <c r="A179" s="78"/>
      <c r="B179" s="78"/>
      <c r="C179" s="78"/>
      <c r="D179" s="78"/>
      <c r="E179" s="78"/>
      <c r="F179" s="78"/>
      <c r="G179" s="78"/>
      <c r="H179" s="78"/>
      <c r="I179" s="78"/>
      <c r="J179" s="78"/>
      <c r="K179" s="78"/>
      <c r="L179" s="78"/>
      <c r="M179" s="78"/>
      <c r="N179" s="78"/>
      <c r="O179" s="78"/>
    </row>
    <row r="180" spans="1:15" ht="15">
      <c r="A180" s="78"/>
      <c r="B180" s="78"/>
      <c r="C180" s="78"/>
      <c r="D180" s="78"/>
      <c r="E180" s="78"/>
      <c r="F180" s="78"/>
      <c r="G180" s="78"/>
      <c r="H180" s="78"/>
      <c r="I180" s="78"/>
      <c r="J180" s="78"/>
      <c r="K180" s="78"/>
      <c r="L180" s="78"/>
      <c r="M180" s="78"/>
      <c r="N180" s="78"/>
      <c r="O180" s="78"/>
    </row>
    <row r="181" spans="1:15" ht="15">
      <c r="A181" s="78"/>
      <c r="B181" s="78"/>
      <c r="C181" s="78"/>
      <c r="D181" s="78"/>
      <c r="E181" s="78"/>
      <c r="F181" s="78"/>
      <c r="G181" s="78"/>
      <c r="H181" s="78"/>
      <c r="I181" s="78"/>
      <c r="J181" s="78"/>
      <c r="K181" s="78"/>
      <c r="L181" s="78"/>
      <c r="M181" s="78"/>
      <c r="N181" s="78"/>
      <c r="O181" s="78"/>
    </row>
    <row r="182" spans="1:15" ht="15">
      <c r="A182" s="78"/>
      <c r="B182" s="78"/>
      <c r="C182" s="78"/>
      <c r="D182" s="78"/>
      <c r="E182" s="78"/>
      <c r="F182" s="78"/>
      <c r="G182" s="78"/>
      <c r="H182" s="78"/>
      <c r="I182" s="78"/>
      <c r="J182" s="78"/>
      <c r="K182" s="78"/>
      <c r="L182" s="78"/>
      <c r="M182" s="78"/>
      <c r="N182" s="78"/>
      <c r="O182" s="78"/>
    </row>
    <row r="183" spans="1:15" ht="15">
      <c r="A183" s="78"/>
      <c r="B183" s="78"/>
      <c r="C183" s="78"/>
      <c r="D183" s="78"/>
      <c r="E183" s="78"/>
      <c r="F183" s="78"/>
      <c r="G183" s="78"/>
      <c r="H183" s="78"/>
      <c r="I183" s="78"/>
      <c r="J183" s="78"/>
      <c r="K183" s="78"/>
      <c r="L183" s="78"/>
      <c r="M183" s="78"/>
      <c r="N183" s="78"/>
      <c r="O183" s="78"/>
    </row>
    <row r="1000" ht="15">
      <c r="A1000" s="31" t="s">
        <v>399</v>
      </c>
    </row>
  </sheetData>
  <sheetProtection/>
  <mergeCells count="6">
    <mergeCell ref="B120:E120"/>
    <mergeCell ref="F120:I120"/>
    <mergeCell ref="B6:E6"/>
    <mergeCell ref="F6:I6"/>
    <mergeCell ref="B63:E63"/>
    <mergeCell ref="F63:I63"/>
  </mergeCells>
  <conditionalFormatting sqref="G29:I29">
    <cfRule type="cellIs" priority="8" dxfId="116" operator="notBetween">
      <formula>0.5</formula>
      <formula>-0.5</formula>
    </cfRule>
  </conditionalFormatting>
  <conditionalFormatting sqref="B29">
    <cfRule type="cellIs" priority="7" dxfId="116" operator="notBetween">
      <formula>0.5</formula>
      <formula>-0.5</formula>
    </cfRule>
  </conditionalFormatting>
  <conditionalFormatting sqref="C29">
    <cfRule type="cellIs" priority="6" dxfId="116" operator="notBetween">
      <formula>0.5</formula>
      <formula>-0.5</formula>
    </cfRule>
  </conditionalFormatting>
  <conditionalFormatting sqref="D29">
    <cfRule type="cellIs" priority="5" dxfId="116" operator="notBetween">
      <formula>0.5</formula>
      <formula>-0.5</formula>
    </cfRule>
  </conditionalFormatting>
  <conditionalFormatting sqref="E29">
    <cfRule type="cellIs" priority="4" dxfId="116" operator="notBetween">
      <formula>0.5</formula>
      <formula>-0.5</formula>
    </cfRule>
  </conditionalFormatting>
  <conditionalFormatting sqref="F29:I29">
    <cfRule type="cellIs" priority="3" dxfId="116" operator="notBetween">
      <formula>0.5</formula>
      <formula>-0.5</formula>
    </cfRule>
  </conditionalFormatting>
  <conditionalFormatting sqref="F85:I86">
    <cfRule type="cellIs" priority="2" dxfId="116" operator="notBetween">
      <formula>0.5</formula>
      <formula>-0.5</formula>
    </cfRule>
  </conditionalFormatting>
  <conditionalFormatting sqref="F143:I143">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J19" sqref="J19"/>
    </sheetView>
  </sheetViews>
  <sheetFormatPr defaultColWidth="11.421875" defaultRowHeight="15"/>
  <cols>
    <col min="1" max="1" width="62.00390625" style="31" customWidth="1"/>
    <col min="2"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209.32599999999996</v>
      </c>
      <c r="C8" s="41">
        <v>211.03099999999998</v>
      </c>
      <c r="D8" s="41">
        <v>206.93699999999993</v>
      </c>
      <c r="E8" s="42">
        <v>206.78800000000004</v>
      </c>
      <c r="F8" s="52">
        <v>211.75300000000004</v>
      </c>
      <c r="G8" s="52">
        <v>206.11800000000005</v>
      </c>
      <c r="H8" s="52">
        <v>205.30499999999998</v>
      </c>
      <c r="I8" s="52">
        <v>205.65500000000003</v>
      </c>
    </row>
    <row r="9" spans="1:9" ht="15">
      <c r="A9" s="43" t="str">
        <f>HLOOKUP(INDICE!$F$2,Nombres!$C$3:$D$636,34,FALSE)</f>
        <v>Comisiones netas</v>
      </c>
      <c r="B9" s="44">
        <v>23.59070956</v>
      </c>
      <c r="C9" s="44">
        <v>24.503078489999993</v>
      </c>
      <c r="D9" s="44">
        <v>22.13998779000001</v>
      </c>
      <c r="E9" s="45">
        <v>28.124601679999987</v>
      </c>
      <c r="F9" s="44">
        <v>22.35100001</v>
      </c>
      <c r="G9" s="44">
        <v>23.259115770000008</v>
      </c>
      <c r="H9" s="44">
        <v>21.558526900000007</v>
      </c>
      <c r="I9" s="44">
        <v>20.299309989999998</v>
      </c>
    </row>
    <row r="10" spans="1:9" ht="15">
      <c r="A10" s="43" t="str">
        <f>HLOOKUP(INDICE!$F$2,Nombres!$C$3:$D$636,35,FALSE)</f>
        <v>Resultados de operaciones financieras</v>
      </c>
      <c r="B10" s="44">
        <v>14.073019979999994</v>
      </c>
      <c r="C10" s="44">
        <v>14.988929370000001</v>
      </c>
      <c r="D10" s="44">
        <v>16.10555130000001</v>
      </c>
      <c r="E10" s="45">
        <v>18.06938704000001</v>
      </c>
      <c r="F10" s="44">
        <v>20.199326500000012</v>
      </c>
      <c r="G10" s="44">
        <v>18.005204459999987</v>
      </c>
      <c r="H10" s="44">
        <v>12.435440569999997</v>
      </c>
      <c r="I10" s="44">
        <v>17.778436109999987</v>
      </c>
    </row>
    <row r="11" spans="1:9" ht="15">
      <c r="A11" s="43" t="str">
        <f>HLOOKUP(INDICE!$F$2,Nombres!$C$3:$D$636,36,FALSE)</f>
        <v>Otros ingresos y cargas de explotación</v>
      </c>
      <c r="B11" s="44">
        <v>6.585000000000001</v>
      </c>
      <c r="C11" s="44">
        <v>4.235000000000001</v>
      </c>
      <c r="D11" s="44">
        <v>2.125</v>
      </c>
      <c r="E11" s="45">
        <v>4.953000000000005</v>
      </c>
      <c r="F11" s="44">
        <v>8.365000000000002</v>
      </c>
      <c r="G11" s="44">
        <v>1.6479999999999984</v>
      </c>
      <c r="H11" s="44">
        <v>2.429000000000003</v>
      </c>
      <c r="I11" s="44">
        <v>5.097999999999997</v>
      </c>
    </row>
    <row r="12" spans="1:9" ht="15">
      <c r="A12" s="41" t="str">
        <f>HLOOKUP(INDICE!$F$2,Nombres!$C$3:$D$636,37,FALSE)</f>
        <v>Margen bruto</v>
      </c>
      <c r="B12" s="41">
        <f>+SUM(B8:B11)</f>
        <v>253.57472953999996</v>
      </c>
      <c r="C12" s="41">
        <f aca="true" t="shared" si="0" ref="C12:I12">+SUM(C8:C11)</f>
        <v>254.75800785999996</v>
      </c>
      <c r="D12" s="41">
        <f t="shared" si="0"/>
        <v>247.30753908999995</v>
      </c>
      <c r="E12" s="42">
        <f t="shared" si="0"/>
        <v>257.93498872000004</v>
      </c>
      <c r="F12" s="52">
        <f t="shared" si="0"/>
        <v>262.66832651000004</v>
      </c>
      <c r="G12" s="52">
        <f t="shared" si="0"/>
        <v>249.03032023000003</v>
      </c>
      <c r="H12" s="52">
        <f t="shared" si="0"/>
        <v>241.72796746999998</v>
      </c>
      <c r="I12" s="52">
        <f t="shared" si="0"/>
        <v>248.83074609999997</v>
      </c>
    </row>
    <row r="13" spans="1:9" ht="15">
      <c r="A13" s="43" t="str">
        <f>HLOOKUP(INDICE!$F$2,Nombres!$C$3:$D$636,38,FALSE)</f>
        <v>Gastos de explotación</v>
      </c>
      <c r="B13" s="44">
        <v>-94.23916201</v>
      </c>
      <c r="C13" s="44">
        <v>-93.6836935</v>
      </c>
      <c r="D13" s="44">
        <v>-92.76116225999999</v>
      </c>
      <c r="E13" s="45">
        <v>-94.99359135</v>
      </c>
      <c r="F13" s="44">
        <v>-93.46352602000002</v>
      </c>
      <c r="G13" s="44">
        <v>-87.35852535000001</v>
      </c>
      <c r="H13" s="44">
        <v>-89.59488135000001</v>
      </c>
      <c r="I13" s="44">
        <v>-92.74852535</v>
      </c>
    </row>
    <row r="14" spans="1:9" ht="15">
      <c r="A14" s="43" t="str">
        <f>HLOOKUP(INDICE!$F$2,Nombres!$C$3:$D$636,39,FALSE)</f>
        <v>  Gastos de administración</v>
      </c>
      <c r="B14" s="44">
        <v>-90.08616201</v>
      </c>
      <c r="C14" s="44">
        <v>-88.6726935</v>
      </c>
      <c r="D14" s="44">
        <v>-87.49616226</v>
      </c>
      <c r="E14" s="45">
        <v>-89.54359135</v>
      </c>
      <c r="F14" s="44">
        <v>-86.01652602</v>
      </c>
      <c r="G14" s="44">
        <v>-80.04252535</v>
      </c>
      <c r="H14" s="44">
        <v>-81.69388135</v>
      </c>
      <c r="I14" s="44">
        <v>-83.69652534999999</v>
      </c>
    </row>
    <row r="15" spans="1:9" ht="15">
      <c r="A15" s="46" t="str">
        <f>HLOOKUP(INDICE!$F$2,Nombres!$C$3:$D$636,40,FALSE)</f>
        <v>  Gastos de personal</v>
      </c>
      <c r="B15" s="44">
        <v>-42.891</v>
      </c>
      <c r="C15" s="44">
        <v>-40.96353124</v>
      </c>
      <c r="D15" s="44">
        <v>-42.028</v>
      </c>
      <c r="E15" s="45">
        <v>-41.336</v>
      </c>
      <c r="F15" s="44">
        <v>-44.96</v>
      </c>
      <c r="G15" s="44">
        <v>-41.422</v>
      </c>
      <c r="H15" s="44">
        <v>-42.39</v>
      </c>
      <c r="I15" s="44">
        <v>-40.967</v>
      </c>
    </row>
    <row r="16" spans="1:9" ht="15">
      <c r="A16" s="46" t="str">
        <f>HLOOKUP(INDICE!$F$2,Nombres!$C$3:$D$636,41,FALSE)</f>
        <v>  Otros gastos de administración</v>
      </c>
      <c r="B16" s="44">
        <v>-47.19516201</v>
      </c>
      <c r="C16" s="44">
        <v>-47.70916226</v>
      </c>
      <c r="D16" s="44">
        <v>-45.468162259999986</v>
      </c>
      <c r="E16" s="45">
        <v>-48.20759135</v>
      </c>
      <c r="F16" s="44">
        <v>-41.05652602000001</v>
      </c>
      <c r="G16" s="44">
        <v>-38.620525349999994</v>
      </c>
      <c r="H16" s="44">
        <v>-39.30388135000001</v>
      </c>
      <c r="I16" s="44">
        <v>-42.72952535</v>
      </c>
    </row>
    <row r="17" spans="1:9" ht="15">
      <c r="A17" s="43" t="str">
        <f>HLOOKUP(INDICE!$F$2,Nombres!$C$3:$D$636,42,FALSE)</f>
        <v>  Amortización</v>
      </c>
      <c r="B17" s="44">
        <v>-4.153</v>
      </c>
      <c r="C17" s="44">
        <v>-5.010999999999999</v>
      </c>
      <c r="D17" s="44">
        <v>-5.265</v>
      </c>
      <c r="E17" s="45">
        <v>-5.449999999999999</v>
      </c>
      <c r="F17" s="44">
        <v>-7.446999999999999</v>
      </c>
      <c r="G17" s="44">
        <v>-7.316000000000001</v>
      </c>
      <c r="H17" s="44">
        <v>-7.900999999999999</v>
      </c>
      <c r="I17" s="44">
        <v>-9.052</v>
      </c>
    </row>
    <row r="18" spans="1:9" ht="15">
      <c r="A18" s="41" t="str">
        <f>HLOOKUP(INDICE!$F$2,Nombres!$C$3:$D$636,43,FALSE)</f>
        <v>Margen neto</v>
      </c>
      <c r="B18" s="41">
        <f>+B12+B13</f>
        <v>159.33556752999996</v>
      </c>
      <c r="C18" s="41">
        <f aca="true" t="shared" si="1" ref="C18:I18">+C12+C13</f>
        <v>161.07431435999996</v>
      </c>
      <c r="D18" s="41">
        <f t="shared" si="1"/>
        <v>154.54637682999996</v>
      </c>
      <c r="E18" s="42">
        <f t="shared" si="1"/>
        <v>162.94139737000003</v>
      </c>
      <c r="F18" s="52">
        <f t="shared" si="1"/>
        <v>169.20480049000003</v>
      </c>
      <c r="G18" s="52">
        <f t="shared" si="1"/>
        <v>161.67179488000002</v>
      </c>
      <c r="H18" s="52">
        <f t="shared" si="1"/>
        <v>152.13308611999997</v>
      </c>
      <c r="I18" s="52">
        <f t="shared" si="1"/>
        <v>156.08222074999998</v>
      </c>
    </row>
    <row r="19" spans="1:9" ht="15">
      <c r="A19" s="43" t="str">
        <f>HLOOKUP(INDICE!$F$2,Nombres!$C$3:$D$636,44,FALSE)</f>
        <v>Deterioro de activos financieros no valorados a valor razonable con cambios en resultados</v>
      </c>
      <c r="B19" s="44">
        <v>-55.040999999999954</v>
      </c>
      <c r="C19" s="44">
        <v>-68.867</v>
      </c>
      <c r="D19" s="44">
        <v>-63.961</v>
      </c>
      <c r="E19" s="45">
        <v>-89.69699999999997</v>
      </c>
      <c r="F19" s="44">
        <v>-72.64700000000003</v>
      </c>
      <c r="G19" s="44">
        <v>-46.35900000000001</v>
      </c>
      <c r="H19" s="44">
        <v>-39.92100000000003</v>
      </c>
      <c r="I19" s="44">
        <v>-58.517999999999944</v>
      </c>
    </row>
    <row r="20" spans="1:9" ht="15">
      <c r="A20" s="43" t="str">
        <f>HLOOKUP(INDICE!$F$2,Nombres!$C$3:$D$636,45,FALSE)</f>
        <v>Provisiones o reversión de provisiones y otros resultados</v>
      </c>
      <c r="B20" s="44">
        <v>-2.8119999999999994</v>
      </c>
      <c r="C20" s="44">
        <v>-10.174000000000001</v>
      </c>
      <c r="D20" s="44">
        <v>1.6699999999999988</v>
      </c>
      <c r="E20" s="45">
        <v>-1.2840000000000003</v>
      </c>
      <c r="F20" s="44">
        <v>-1.3059999999999996</v>
      </c>
      <c r="G20" s="44">
        <v>-6.365000000000002</v>
      </c>
      <c r="H20" s="44">
        <v>-2.936999999999999</v>
      </c>
      <c r="I20" s="44">
        <v>-6.8420000000000005</v>
      </c>
    </row>
    <row r="21" spans="1:9" ht="15">
      <c r="A21" s="41" t="str">
        <f>HLOOKUP(INDICE!$F$2,Nombres!$C$3:$D$636,46,FALSE)</f>
        <v>Resultado antes de impuestos</v>
      </c>
      <c r="B21" s="41">
        <f>+B18+B19+B20</f>
        <v>101.48256753000001</v>
      </c>
      <c r="C21" s="41">
        <f aca="true" t="shared" si="2" ref="C21:I21">+C18+C19+C20</f>
        <v>82.03331435999995</v>
      </c>
      <c r="D21" s="41">
        <f t="shared" si="2"/>
        <v>92.25537682999996</v>
      </c>
      <c r="E21" s="42">
        <f t="shared" si="2"/>
        <v>71.96039737000005</v>
      </c>
      <c r="F21" s="52">
        <f t="shared" si="2"/>
        <v>95.25180049</v>
      </c>
      <c r="G21" s="52">
        <f t="shared" si="2"/>
        <v>108.94779488</v>
      </c>
      <c r="H21" s="52">
        <f t="shared" si="2"/>
        <v>109.27508611999995</v>
      </c>
      <c r="I21" s="52">
        <f t="shared" si="2"/>
        <v>90.72222075000003</v>
      </c>
    </row>
    <row r="22" spans="1:9" ht="15">
      <c r="A22" s="43" t="str">
        <f>HLOOKUP(INDICE!$F$2,Nombres!$C$3:$D$636,47,FALSE)</f>
        <v>Impuesto sobre beneficios</v>
      </c>
      <c r="B22" s="44">
        <v>-36.51764946</v>
      </c>
      <c r="C22" s="44">
        <v>-21.869227690000002</v>
      </c>
      <c r="D22" s="44">
        <v>-33.61820645</v>
      </c>
      <c r="E22" s="45">
        <v>-22.800309519999992</v>
      </c>
      <c r="F22" s="44">
        <v>-34.47516521</v>
      </c>
      <c r="G22" s="44">
        <v>-34.18067436</v>
      </c>
      <c r="H22" s="44">
        <v>-38.62450827000001</v>
      </c>
      <c r="I22" s="44">
        <v>-19.389913359999994</v>
      </c>
    </row>
    <row r="23" spans="1:9" ht="15">
      <c r="A23" s="41" t="str">
        <f>HLOOKUP(INDICE!$F$2,Nombres!$C$3:$D$636,48,FALSE)</f>
        <v>Resultado del ejercicio</v>
      </c>
      <c r="B23" s="41">
        <f>+B21+B22</f>
        <v>64.96491807000001</v>
      </c>
      <c r="C23" s="41">
        <f aca="true" t="shared" si="3" ref="C23:I23">+C21+C22</f>
        <v>60.164086669999946</v>
      </c>
      <c r="D23" s="41">
        <f t="shared" si="3"/>
        <v>58.63717037999996</v>
      </c>
      <c r="E23" s="42">
        <f t="shared" si="3"/>
        <v>49.16008785000006</v>
      </c>
      <c r="F23" s="52">
        <f t="shared" si="3"/>
        <v>60.776635279999994</v>
      </c>
      <c r="G23" s="52">
        <f t="shared" si="3"/>
        <v>74.76712052</v>
      </c>
      <c r="H23" s="52">
        <f t="shared" si="3"/>
        <v>70.65057784999995</v>
      </c>
      <c r="I23" s="52">
        <f t="shared" si="3"/>
        <v>71.33230739000004</v>
      </c>
    </row>
    <row r="24" spans="1:9" ht="15">
      <c r="A24" s="43" t="str">
        <f>HLOOKUP(INDICE!$F$2,Nombres!$C$3:$D$636,49,FALSE)</f>
        <v>Minoritarios</v>
      </c>
      <c r="B24" s="44">
        <v>-2.53434495</v>
      </c>
      <c r="C24" s="44">
        <v>-2.1609270999999994</v>
      </c>
      <c r="D24" s="44">
        <v>-2.35619973</v>
      </c>
      <c r="E24" s="45">
        <v>-1.6931558999999998</v>
      </c>
      <c r="F24" s="44">
        <v>-2.3369181799999996</v>
      </c>
      <c r="G24" s="44">
        <v>-2.84925305</v>
      </c>
      <c r="H24" s="44">
        <v>-2.6995660699999995</v>
      </c>
      <c r="I24" s="44">
        <v>-2.74047811</v>
      </c>
    </row>
    <row r="25" spans="1:9" ht="15">
      <c r="A25" s="47" t="str">
        <f>HLOOKUP(INDICE!$F$2,Nombres!$C$3:$D$636,50,FALSE)</f>
        <v>Resultado atribuido</v>
      </c>
      <c r="B25" s="47">
        <f>+B23+B24</f>
        <v>62.43057312000001</v>
      </c>
      <c r="C25" s="47">
        <f aca="true" t="shared" si="4" ref="C25:I25">+C23+C24</f>
        <v>58.003159569999944</v>
      </c>
      <c r="D25" s="47">
        <f t="shared" si="4"/>
        <v>56.28097064999996</v>
      </c>
      <c r="E25" s="47">
        <f t="shared" si="4"/>
        <v>47.46693195000006</v>
      </c>
      <c r="F25" s="53">
        <f t="shared" si="4"/>
        <v>58.439717099999996</v>
      </c>
      <c r="G25" s="53">
        <f t="shared" si="4"/>
        <v>71.91786747</v>
      </c>
      <c r="H25" s="53">
        <f t="shared" si="4"/>
        <v>67.95101177999994</v>
      </c>
      <c r="I25" s="53">
        <f t="shared" si="4"/>
        <v>68.59182928000004</v>
      </c>
    </row>
    <row r="26" spans="1:9" ht="15">
      <c r="A26" s="65"/>
      <c r="B26" s="66">
        <v>0</v>
      </c>
      <c r="C26" s="66">
        <v>0</v>
      </c>
      <c r="D26" s="66">
        <v>0</v>
      </c>
      <c r="E26" s="66">
        <v>0</v>
      </c>
      <c r="F26" s="66">
        <v>0</v>
      </c>
      <c r="G26" s="66">
        <v>0</v>
      </c>
      <c r="H26" s="66">
        <v>0</v>
      </c>
      <c r="I26" s="66">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4"/>
      <c r="D29" s="54"/>
      <c r="E29" s="54"/>
      <c r="F29" s="30"/>
      <c r="G29" s="60"/>
      <c r="H29" s="60"/>
      <c r="I29" s="60"/>
    </row>
    <row r="30" spans="1:9" ht="15.75">
      <c r="A30" s="30"/>
      <c r="B30" s="55">
        <f>+España!B30</f>
        <v>43190</v>
      </c>
      <c r="C30" s="55">
        <f>+España!C30</f>
        <v>43281</v>
      </c>
      <c r="D30" s="55">
        <f>+España!D30</f>
        <v>43373</v>
      </c>
      <c r="E30" s="71">
        <f>+España!E30</f>
        <v>43465</v>
      </c>
      <c r="F30" s="80">
        <f>+España!F30</f>
        <v>43555</v>
      </c>
      <c r="G30" s="80">
        <f>+España!G30</f>
        <v>43646</v>
      </c>
      <c r="H30" s="80">
        <f>+España!H30</f>
        <v>43738</v>
      </c>
      <c r="I30" s="80">
        <f>+España!I30</f>
        <v>43830</v>
      </c>
    </row>
    <row r="31" spans="1:9" ht="15">
      <c r="A31" s="43" t="str">
        <f>HLOOKUP(INDICE!$F$2,Nombres!$C$3:$D$636,52,FALSE)</f>
        <v>Efectivo, saldos en efectivo en bancos centrales y otros depósitos a la vista</v>
      </c>
      <c r="B31" s="44">
        <v>1216.076</v>
      </c>
      <c r="C31" s="44">
        <v>1257.2069999999999</v>
      </c>
      <c r="D31" s="44">
        <v>865.111</v>
      </c>
      <c r="E31" s="45">
        <v>2121.317</v>
      </c>
      <c r="F31" s="44">
        <v>1839.4929999999997</v>
      </c>
      <c r="G31" s="44">
        <v>1543.8899999999999</v>
      </c>
      <c r="H31" s="44">
        <v>1244.52</v>
      </c>
      <c r="I31" s="44">
        <v>1420.728</v>
      </c>
    </row>
    <row r="32" spans="1:9" ht="15">
      <c r="A32" s="43" t="str">
        <f>HLOOKUP(INDICE!$F$2,Nombres!$C$3:$D$636,53,FALSE)</f>
        <v>Activos financieros a valor razonable</v>
      </c>
      <c r="B32" s="60">
        <v>2339.508</v>
      </c>
      <c r="C32" s="60">
        <v>2408.585</v>
      </c>
      <c r="D32" s="60">
        <v>2874.4489999999996</v>
      </c>
      <c r="E32" s="68">
        <v>2416.871</v>
      </c>
      <c r="F32" s="44">
        <v>2989.4809999999998</v>
      </c>
      <c r="G32" s="44">
        <v>3034.1270000000004</v>
      </c>
      <c r="H32" s="44">
        <v>2883.9139999999998</v>
      </c>
      <c r="I32" s="44">
        <v>2718.419</v>
      </c>
    </row>
    <row r="33" spans="1:9" ht="15">
      <c r="A33" s="43" t="str">
        <f>HLOOKUP(INDICE!$F$2,Nombres!$C$3:$D$636,54,FALSE)</f>
        <v>Activos financieros a coste amortizado</v>
      </c>
      <c r="B33" s="44">
        <v>12832.96</v>
      </c>
      <c r="C33" s="44">
        <v>13035.92</v>
      </c>
      <c r="D33" s="44">
        <v>12932.649</v>
      </c>
      <c r="E33" s="45">
        <v>12115.914</v>
      </c>
      <c r="F33" s="44">
        <v>12810.717</v>
      </c>
      <c r="G33" s="44">
        <v>12871.11999995</v>
      </c>
      <c r="H33" s="44">
        <v>12859.889000000003</v>
      </c>
      <c r="I33" s="44">
        <v>13488.792999999998</v>
      </c>
    </row>
    <row r="34" spans="1:9" ht="15">
      <c r="A34" s="43" t="str">
        <f>HLOOKUP(INDICE!$F$2,Nombres!$C$3:$D$636,55,FALSE)</f>
        <v>    de los que préstamos y anticipos a la clientela</v>
      </c>
      <c r="B34" s="44">
        <v>12345.201999999997</v>
      </c>
      <c r="C34" s="44">
        <v>12542.68</v>
      </c>
      <c r="D34" s="44">
        <v>12446.088000000002</v>
      </c>
      <c r="E34" s="45">
        <v>11609.224</v>
      </c>
      <c r="F34" s="44">
        <v>12265.270999999999</v>
      </c>
      <c r="G34" s="44">
        <v>12327.10099995</v>
      </c>
      <c r="H34" s="44">
        <v>12319.801000000001</v>
      </c>
      <c r="I34" s="44">
        <v>12922.985000000002</v>
      </c>
    </row>
    <row r="35" spans="1:9" ht="15">
      <c r="A35" s="43" t="str">
        <f>HLOOKUP(INDICE!$F$2,Nombres!$C$3:$D$636,56,FALSE)</f>
        <v>Activos tangibles</v>
      </c>
      <c r="B35" s="44">
        <v>91.63099999999994</v>
      </c>
      <c r="C35" s="44">
        <v>90.40500000000002</v>
      </c>
      <c r="D35" s="44">
        <v>89.90800000000002</v>
      </c>
      <c r="E35" s="45">
        <v>92.34200000000001</v>
      </c>
      <c r="F35" s="44">
        <v>149.563</v>
      </c>
      <c r="G35" s="44">
        <v>149.15000000000003</v>
      </c>
      <c r="H35" s="44">
        <v>144.44599999999997</v>
      </c>
      <c r="I35" s="44">
        <v>144.23700000000002</v>
      </c>
    </row>
    <row r="36" spans="1:9" ht="15">
      <c r="A36" s="43" t="str">
        <f>HLOOKUP(INDICE!$F$2,Nombres!$C$3:$D$636,57,FALSE)</f>
        <v>Otros activos</v>
      </c>
      <c r="B36" s="60">
        <f>+B37-B35-B33-B32-B31</f>
        <v>414.10399999999845</v>
      </c>
      <c r="C36" s="60">
        <f aca="true" t="shared" si="5" ref="C36:I36">+C37-C35-C33-C32-C31</f>
        <v>412.2419999999979</v>
      </c>
      <c r="D36" s="60">
        <f t="shared" si="5"/>
        <v>437.9480000000002</v>
      </c>
      <c r="E36" s="68">
        <f t="shared" si="5"/>
        <v>309.30899999999565</v>
      </c>
      <c r="F36" s="44">
        <f t="shared" si="5"/>
        <v>360.40199999999345</v>
      </c>
      <c r="G36" s="44">
        <f t="shared" si="5"/>
        <v>386.8230000299968</v>
      </c>
      <c r="H36" s="44">
        <f t="shared" si="5"/>
        <v>468.6300000000024</v>
      </c>
      <c r="I36" s="44">
        <f t="shared" si="5"/>
        <v>367.3630000000021</v>
      </c>
    </row>
    <row r="37" spans="1:9" ht="15">
      <c r="A37" s="47" t="str">
        <f>HLOOKUP(INDICE!$F$2,Nombres!$C$3:$D$636,58,FALSE)</f>
        <v>Total activo / pasivo</v>
      </c>
      <c r="B37" s="47">
        <v>16894.279</v>
      </c>
      <c r="C37" s="47">
        <v>17204.358999999997</v>
      </c>
      <c r="D37" s="47">
        <v>17200.065</v>
      </c>
      <c r="E37" s="47">
        <v>17055.752999999997</v>
      </c>
      <c r="F37" s="53">
        <v>18149.65599999999</v>
      </c>
      <c r="G37" s="53">
        <v>17985.10999998</v>
      </c>
      <c r="H37" s="53">
        <v>17601.399000000005</v>
      </c>
      <c r="I37" s="53">
        <v>18139.54</v>
      </c>
    </row>
    <row r="38" spans="1:9" ht="15">
      <c r="A38" s="43" t="str">
        <f>HLOOKUP(INDICE!$F$2,Nombres!$C$3:$D$636,59,FALSE)</f>
        <v>Pasivos financieros mantenidos para negociar y designados a valor razonable con cambios en resultados</v>
      </c>
      <c r="B38" s="60">
        <v>381.34000000000003</v>
      </c>
      <c r="C38" s="60">
        <v>339.652</v>
      </c>
      <c r="D38" s="60">
        <v>330.983</v>
      </c>
      <c r="E38" s="68">
        <v>1217.317</v>
      </c>
      <c r="F38" s="44">
        <v>2164.126</v>
      </c>
      <c r="G38" s="44">
        <v>1739.6079999999997</v>
      </c>
      <c r="H38" s="44">
        <v>1430.3220000000001</v>
      </c>
      <c r="I38" s="44">
        <v>1665.437</v>
      </c>
    </row>
    <row r="39" spans="1:9" ht="15">
      <c r="A39" s="43" t="str">
        <f>HLOOKUP(INDICE!$F$2,Nombres!$C$3:$D$636,60,FALSE)</f>
        <v>Depósitos de bancos centrales y entidades de crédito</v>
      </c>
      <c r="B39" s="60">
        <v>456.08199999999994</v>
      </c>
      <c r="C39" s="60">
        <v>339.102</v>
      </c>
      <c r="D39" s="60">
        <v>331.71900000000005</v>
      </c>
      <c r="E39" s="68">
        <v>354.98</v>
      </c>
      <c r="F39" s="44">
        <v>250.896</v>
      </c>
      <c r="G39" s="44">
        <v>314.9069999999999</v>
      </c>
      <c r="H39" s="44">
        <v>435.275</v>
      </c>
      <c r="I39" s="44">
        <v>593.7510000000001</v>
      </c>
    </row>
    <row r="40" spans="1:9" ht="15.75" customHeight="1">
      <c r="A40" s="43" t="str">
        <f>HLOOKUP(INDICE!$F$2,Nombres!$C$3:$D$636,61,FALSE)</f>
        <v>Depósitos de la clientela</v>
      </c>
      <c r="B40" s="60">
        <v>13051.235</v>
      </c>
      <c r="C40" s="60">
        <v>13467.644</v>
      </c>
      <c r="D40" s="60">
        <v>13425.740999999998</v>
      </c>
      <c r="E40" s="68">
        <v>12382.603</v>
      </c>
      <c r="F40" s="44">
        <v>12680.987000000001</v>
      </c>
      <c r="G40" s="44">
        <v>12716.057</v>
      </c>
      <c r="H40" s="44">
        <v>12554.905</v>
      </c>
      <c r="I40" s="44">
        <v>12686.045999999998</v>
      </c>
    </row>
    <row r="41" spans="1:9" ht="15">
      <c r="A41" s="43" t="str">
        <f>HLOOKUP(INDICE!$F$2,Nombres!$C$3:$D$636,62,FALSE)</f>
        <v>Valores representativos de deuda emitidos</v>
      </c>
      <c r="B41" s="44">
        <v>612.1610000000001</v>
      </c>
      <c r="C41" s="44">
        <v>636.075</v>
      </c>
      <c r="D41" s="44">
        <v>609.6370000000001</v>
      </c>
      <c r="E41" s="45">
        <v>594.724</v>
      </c>
      <c r="F41" s="44">
        <v>622.0020000000001</v>
      </c>
      <c r="G41" s="44">
        <v>619.153</v>
      </c>
      <c r="H41" s="44">
        <v>594.026</v>
      </c>
      <c r="I41" s="44">
        <v>579.319</v>
      </c>
    </row>
    <row r="42" spans="1:9" ht="15">
      <c r="A42" s="43" t="str">
        <f>HLOOKUP(INDICE!$F$2,Nombres!$C$3:$D$636,63,FALSE)</f>
        <v>Otros pasivos</v>
      </c>
      <c r="B42" s="60">
        <f>+B37-B38-B39-B40-B41-B43</f>
        <v>1410.6411399999974</v>
      </c>
      <c r="C42" s="60">
        <f aca="true" t="shared" si="6" ref="C42:I42">+C37-C38-C39-C40-C41-C43</f>
        <v>1392.7542799999997</v>
      </c>
      <c r="D42" s="60">
        <f t="shared" si="6"/>
        <v>1462.2752079999993</v>
      </c>
      <c r="E42" s="68">
        <f t="shared" si="6"/>
        <v>1481.126763099999</v>
      </c>
      <c r="F42" s="44">
        <f t="shared" si="6"/>
        <v>1404.63847999999</v>
      </c>
      <c r="G42" s="44">
        <f t="shared" si="6"/>
        <v>1605.2743499799985</v>
      </c>
      <c r="H42" s="44">
        <f t="shared" si="6"/>
        <v>1580.1037624900046</v>
      </c>
      <c r="I42" s="44">
        <f t="shared" si="6"/>
        <v>1584.4327432300042</v>
      </c>
    </row>
    <row r="43" spans="1:9" ht="15">
      <c r="A43" s="43" t="str">
        <f>HLOOKUP(INDICE!$F$2,Nombres!$C$3:$D$636,64,FALSE)</f>
        <v>Dotación de capital económico</v>
      </c>
      <c r="B43" s="44">
        <v>982.81986</v>
      </c>
      <c r="C43" s="44">
        <v>1029.1317199999999</v>
      </c>
      <c r="D43" s="44">
        <v>1039.7097919999999</v>
      </c>
      <c r="E43" s="45">
        <v>1025.0022369</v>
      </c>
      <c r="F43" s="44">
        <v>1027.00652</v>
      </c>
      <c r="G43" s="44">
        <v>990.1106500000002</v>
      </c>
      <c r="H43" s="44">
        <v>1006.76723751</v>
      </c>
      <c r="I43" s="44">
        <v>1030.55425677</v>
      </c>
    </row>
    <row r="44" spans="1:9" ht="15">
      <c r="A44" s="65"/>
      <c r="B44" s="60"/>
      <c r="C44" s="60"/>
      <c r="D44" s="60"/>
      <c r="E44" s="60"/>
      <c r="F44" s="44"/>
      <c r="G44" s="44"/>
      <c r="H44" s="44"/>
      <c r="I44" s="44"/>
    </row>
    <row r="45" spans="1:9" ht="15">
      <c r="A45" s="43"/>
      <c r="B45" s="60"/>
      <c r="C45" s="60"/>
      <c r="D45" s="60"/>
      <c r="E45" s="60"/>
      <c r="F45" s="44"/>
      <c r="G45" s="44"/>
      <c r="H45" s="44"/>
      <c r="I45" s="44"/>
    </row>
    <row r="46" spans="1:9" ht="18">
      <c r="A46" s="33" t="str">
        <f>HLOOKUP(INDICE!$F$2,Nombres!$C$3:$D$636,65,FALSE)</f>
        <v>Indicadores relevantes y de gestión</v>
      </c>
      <c r="B46" s="34"/>
      <c r="C46" s="34"/>
      <c r="D46" s="34"/>
      <c r="E46" s="34"/>
      <c r="F46" s="72"/>
      <c r="G46" s="72"/>
      <c r="H46" s="72"/>
      <c r="I46" s="72"/>
    </row>
    <row r="47" spans="1:9" ht="15">
      <c r="A47" s="35" t="str">
        <f>HLOOKUP(INDICE!$F$2,Nombres!$C$3:$D$636,32,FALSE)</f>
        <v>(Millones de euros)</v>
      </c>
      <c r="B47" s="30"/>
      <c r="C47" s="30"/>
      <c r="D47" s="30"/>
      <c r="E47" s="30"/>
      <c r="F47" s="73"/>
      <c r="G47" s="44"/>
      <c r="H47" s="44"/>
      <c r="I47" s="44"/>
    </row>
    <row r="48" spans="1:9" ht="15.75">
      <c r="A48" s="30"/>
      <c r="B48" s="55">
        <f aca="true" t="shared" si="7" ref="B48:I48">+B$30</f>
        <v>43190</v>
      </c>
      <c r="C48" s="55">
        <f t="shared" si="7"/>
        <v>43281</v>
      </c>
      <c r="D48" s="55">
        <f t="shared" si="7"/>
        <v>43373</v>
      </c>
      <c r="E48" s="71">
        <f t="shared" si="7"/>
        <v>43465</v>
      </c>
      <c r="F48" s="55">
        <f t="shared" si="7"/>
        <v>43555</v>
      </c>
      <c r="G48" s="55">
        <f t="shared" si="7"/>
        <v>43646</v>
      </c>
      <c r="H48" s="55">
        <f t="shared" si="7"/>
        <v>43738</v>
      </c>
      <c r="I48" s="55">
        <f t="shared" si="7"/>
        <v>43830</v>
      </c>
    </row>
    <row r="49" spans="1:9" ht="15">
      <c r="A49" s="43" t="str">
        <f>HLOOKUP(INDICE!$F$2,Nombres!$C$3:$D$636,66,FALSE)</f>
        <v>Préstamos y anticipos a la clientela bruto (*)</v>
      </c>
      <c r="B49" s="44">
        <v>13003.801081369998</v>
      </c>
      <c r="C49" s="44">
        <v>13237.81359523</v>
      </c>
      <c r="D49" s="44">
        <v>13190.59354696</v>
      </c>
      <c r="E49" s="45">
        <v>12353.35654115</v>
      </c>
      <c r="F49" s="44">
        <v>12974.37483159</v>
      </c>
      <c r="G49" s="44">
        <v>13004.206074130001</v>
      </c>
      <c r="H49" s="44">
        <v>12942.576376660003</v>
      </c>
      <c r="I49" s="44">
        <v>13593.775514629999</v>
      </c>
    </row>
    <row r="50" spans="1:9" ht="15">
      <c r="A50" s="43" t="str">
        <f>HLOOKUP(INDICE!$F$2,Nombres!$C$3:$D$636,67,FALSE)</f>
        <v>Depósitos de clientes en gestión (**)</v>
      </c>
      <c r="B50" s="44">
        <v>13039.47596372</v>
      </c>
      <c r="C50" s="44">
        <v>13297.74416668</v>
      </c>
      <c r="D50" s="44">
        <v>13447.41650078</v>
      </c>
      <c r="E50" s="45">
        <v>12543.43357247</v>
      </c>
      <c r="F50" s="44">
        <v>12798.73539784</v>
      </c>
      <c r="G50" s="44">
        <v>12726.47732152</v>
      </c>
      <c r="H50" s="44">
        <v>12564.30995622</v>
      </c>
      <c r="I50" s="44">
        <v>12695.685347200002</v>
      </c>
    </row>
    <row r="51" spans="1:9" ht="15">
      <c r="A51" s="43" t="str">
        <f>HLOOKUP(INDICE!$F$2,Nombres!$C$3:$D$636,68,FALSE)</f>
        <v>Fondos de inversión</v>
      </c>
      <c r="B51" s="44">
        <v>1257.4631688499999</v>
      </c>
      <c r="C51" s="44">
        <v>1272.84703242</v>
      </c>
      <c r="D51" s="44">
        <v>1405.2295333</v>
      </c>
      <c r="E51" s="45">
        <v>1286.7653151900001</v>
      </c>
      <c r="F51" s="44">
        <v>1449.22646717</v>
      </c>
      <c r="G51" s="44">
        <v>1430.7477092600002</v>
      </c>
      <c r="H51" s="44">
        <v>1472.70736642</v>
      </c>
      <c r="I51" s="44">
        <v>1389.11218341</v>
      </c>
    </row>
    <row r="52" spans="1:9" ht="15">
      <c r="A52" s="43" t="str">
        <f>HLOOKUP(INDICE!$F$2,Nombres!$C$3:$D$636,69,FALSE)</f>
        <v>Fondos de pensiones</v>
      </c>
      <c r="B52" s="44" t="s">
        <v>400</v>
      </c>
      <c r="C52" s="44" t="s">
        <v>400</v>
      </c>
      <c r="D52" s="44" t="s">
        <v>400</v>
      </c>
      <c r="E52" s="45" t="s">
        <v>400</v>
      </c>
      <c r="F52" s="44" t="s">
        <v>400</v>
      </c>
      <c r="G52" s="44" t="s">
        <v>400</v>
      </c>
      <c r="H52" s="44" t="s">
        <v>400</v>
      </c>
      <c r="I52" s="44" t="s">
        <v>400</v>
      </c>
    </row>
    <row r="53" spans="1:9" ht="15">
      <c r="A53" s="43" t="str">
        <f>HLOOKUP(INDICE!$F$2,Nombres!$C$3:$D$636,70,FALSE)</f>
        <v>Otros recursos fuera de balance</v>
      </c>
      <c r="B53" s="44" t="s">
        <v>400</v>
      </c>
      <c r="C53" s="44" t="s">
        <v>400</v>
      </c>
      <c r="D53" s="44" t="s">
        <v>400</v>
      </c>
      <c r="E53" s="45" t="s">
        <v>400</v>
      </c>
      <c r="F53" s="44" t="s">
        <v>400</v>
      </c>
      <c r="G53" s="44" t="s">
        <v>400</v>
      </c>
      <c r="H53" s="44" t="s">
        <v>400</v>
      </c>
      <c r="I53" s="44" t="s">
        <v>400</v>
      </c>
    </row>
    <row r="54" spans="1:9" ht="15">
      <c r="A54" s="65" t="str">
        <f>HLOOKUP(INDICE!$F$2,Nombres!$C$3:$D$636,71,FALSE)</f>
        <v>(*) No incluye las adquisiciones temporales de activos.</v>
      </c>
      <c r="B54" s="60"/>
      <c r="C54" s="60"/>
      <c r="D54" s="60"/>
      <c r="E54" s="60"/>
      <c r="F54" s="60"/>
      <c r="G54" s="60"/>
      <c r="H54" s="60"/>
      <c r="I54" s="60"/>
    </row>
    <row r="55" spans="1:9" ht="15">
      <c r="A55" s="65" t="str">
        <f>HLOOKUP(INDICE!$F$2,Nombres!$C$3:$D$636,72,FALSE)</f>
        <v>(**) No incluye las cesiones temporales de activos.</v>
      </c>
      <c r="B55" s="30"/>
      <c r="C55" s="30"/>
      <c r="D55" s="30"/>
      <c r="E55" s="30"/>
      <c r="F55" s="30"/>
      <c r="G55" s="30"/>
      <c r="H55" s="30"/>
      <c r="I55" s="30"/>
    </row>
    <row r="56" spans="1:9" ht="15">
      <c r="A56" s="65"/>
      <c r="B56" s="30"/>
      <c r="C56" s="30"/>
      <c r="D56" s="30"/>
      <c r="E56" s="30"/>
      <c r="F56" s="30"/>
      <c r="G56" s="30"/>
      <c r="H56" s="30"/>
      <c r="I56" s="30"/>
    </row>
    <row r="57" spans="1:9" ht="18">
      <c r="A57" s="33" t="str">
        <f>HLOOKUP(INDICE!$F$2,Nombres!$C$3:$D$636,31,FALSE)</f>
        <v>Cuenta de resultados  </v>
      </c>
      <c r="B57" s="34"/>
      <c r="C57" s="34"/>
      <c r="D57" s="34"/>
      <c r="E57" s="34"/>
      <c r="F57" s="34"/>
      <c r="G57" s="34"/>
      <c r="H57" s="34"/>
      <c r="I57" s="34"/>
    </row>
    <row r="58" spans="1:9" ht="15">
      <c r="A58" s="35" t="str">
        <f>HLOOKUP(INDICE!$F$2,Nombres!$C$3:$D$636,73,FALSE)</f>
        <v>(Millones de euros constantes)</v>
      </c>
      <c r="B58" s="30"/>
      <c r="C58" s="36"/>
      <c r="D58" s="36"/>
      <c r="E58" s="36"/>
      <c r="F58" s="30"/>
      <c r="G58" s="30"/>
      <c r="H58" s="30"/>
      <c r="I58" s="30"/>
    </row>
    <row r="59" spans="1:9" ht="15">
      <c r="A59" s="37"/>
      <c r="B59" s="30"/>
      <c r="C59" s="36"/>
      <c r="D59" s="36"/>
      <c r="E59" s="36"/>
      <c r="F59" s="30"/>
      <c r="G59" s="30"/>
      <c r="H59" s="30"/>
      <c r="I59" s="30"/>
    </row>
    <row r="60" spans="1:9" ht="15.75">
      <c r="A60" s="38"/>
      <c r="B60" s="295">
        <f>+B$6</f>
        <v>2018</v>
      </c>
      <c r="C60" s="295"/>
      <c r="D60" s="295"/>
      <c r="E60" s="296"/>
      <c r="F60" s="295">
        <f>+F$6</f>
        <v>2019</v>
      </c>
      <c r="G60" s="295"/>
      <c r="H60" s="295"/>
      <c r="I60" s="295"/>
    </row>
    <row r="61" spans="1:9" ht="15.7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5">
      <c r="A62" s="41" t="str">
        <f>HLOOKUP(INDICE!$F$2,Nombres!$C$3:$D$636,33,FALSE)</f>
        <v>Margen de intereses</v>
      </c>
      <c r="B62" s="41">
        <v>199.92983988047024</v>
      </c>
      <c r="C62" s="41">
        <v>194.63609695474705</v>
      </c>
      <c r="D62" s="41">
        <v>194.24035110838963</v>
      </c>
      <c r="E62" s="42">
        <v>202.28418759903434</v>
      </c>
      <c r="F62" s="52">
        <v>205.27849519419414</v>
      </c>
      <c r="G62" s="52">
        <v>204.4766417033135</v>
      </c>
      <c r="H62" s="52">
        <v>207.64595494591242</v>
      </c>
      <c r="I62" s="52">
        <v>211.42990815657998</v>
      </c>
    </row>
    <row r="63" spans="1:9" ht="15">
      <c r="A63" s="43" t="str">
        <f>HLOOKUP(INDICE!$F$2,Nombres!$C$3:$D$636,34,FALSE)</f>
        <v>Comisiones netas</v>
      </c>
      <c r="B63" s="44">
        <v>22.531777156194064</v>
      </c>
      <c r="C63" s="44">
        <v>22.611209728531602</v>
      </c>
      <c r="D63" s="44">
        <v>20.781585709008347</v>
      </c>
      <c r="E63" s="45">
        <v>27.364067666935114</v>
      </c>
      <c r="F63" s="44">
        <v>21.66760163085395</v>
      </c>
      <c r="G63" s="44">
        <v>23.056677477639038</v>
      </c>
      <c r="H63" s="44">
        <v>21.821918640253042</v>
      </c>
      <c r="I63" s="44">
        <v>20.92175492125398</v>
      </c>
    </row>
    <row r="64" spans="1:9" ht="15">
      <c r="A64" s="43" t="str">
        <f>HLOOKUP(INDICE!$F$2,Nombres!$C$3:$D$636,35,FALSE)</f>
        <v>Resultados de operaciones financieras</v>
      </c>
      <c r="B64" s="44">
        <v>13.441314653870318</v>
      </c>
      <c r="C64" s="44">
        <v>13.837534685002078</v>
      </c>
      <c r="D64" s="44">
        <v>15.117392922996757</v>
      </c>
      <c r="E64" s="45">
        <v>17.581193475287016</v>
      </c>
      <c r="F64" s="44">
        <v>19.581717132018007</v>
      </c>
      <c r="G64" s="44">
        <v>17.880807938206697</v>
      </c>
      <c r="H64" s="44">
        <v>12.708171030943674</v>
      </c>
      <c r="I64" s="44">
        <v>18.247711538831627</v>
      </c>
    </row>
    <row r="65" spans="1:9" ht="15">
      <c r="A65" s="43" t="str">
        <f>HLOOKUP(INDICE!$F$2,Nombres!$C$3:$D$636,36,FALSE)</f>
        <v>Otros ingresos y cargas de explotación</v>
      </c>
      <c r="B65" s="44">
        <v>6.289414576368421</v>
      </c>
      <c r="C65" s="44">
        <v>3.8667227939074373</v>
      </c>
      <c r="D65" s="44">
        <v>1.9946203245689678</v>
      </c>
      <c r="E65" s="45">
        <v>4.824716336799782</v>
      </c>
      <c r="F65" s="44">
        <v>8.109233929622881</v>
      </c>
      <c r="G65" s="44">
        <v>1.7092942423602047</v>
      </c>
      <c r="H65" s="44">
        <v>2.5081730885209055</v>
      </c>
      <c r="I65" s="44">
        <v>5.213298739496005</v>
      </c>
    </row>
    <row r="66" spans="1:9" ht="15">
      <c r="A66" s="41" t="str">
        <f>HLOOKUP(INDICE!$F$2,Nombres!$C$3:$D$636,37,FALSE)</f>
        <v>Margen bruto</v>
      </c>
      <c r="B66" s="41">
        <f>+SUM(B62:B65)</f>
        <v>242.19234626690303</v>
      </c>
      <c r="C66" s="41">
        <f aca="true" t="shared" si="9" ref="C66:I66">+SUM(C62:C65)</f>
        <v>234.95156416218816</v>
      </c>
      <c r="D66" s="41">
        <f t="shared" si="9"/>
        <v>232.13395006496367</v>
      </c>
      <c r="E66" s="42">
        <f t="shared" si="9"/>
        <v>252.05416507805626</v>
      </c>
      <c r="F66" s="52">
        <f t="shared" si="9"/>
        <v>254.63704788668898</v>
      </c>
      <c r="G66" s="52">
        <f t="shared" si="9"/>
        <v>247.12342136151943</v>
      </c>
      <c r="H66" s="52">
        <f t="shared" si="9"/>
        <v>244.68421770563003</v>
      </c>
      <c r="I66" s="52">
        <f t="shared" si="9"/>
        <v>255.81267335616158</v>
      </c>
    </row>
    <row r="67" spans="1:9" ht="15">
      <c r="A67" s="43" t="str">
        <f>HLOOKUP(INDICE!$F$2,Nombres!$C$3:$D$636,38,FALSE)</f>
        <v>Gastos de explotación</v>
      </c>
      <c r="B67" s="44">
        <v>-90.00898393476677</v>
      </c>
      <c r="C67" s="44">
        <v>-86.38383820701347</v>
      </c>
      <c r="D67" s="44">
        <v>-87.06978803502855</v>
      </c>
      <c r="E67" s="45">
        <v>-92.85125158913664</v>
      </c>
      <c r="F67" s="44">
        <v>-90.60580948996713</v>
      </c>
      <c r="G67" s="44">
        <v>-86.7043278806628</v>
      </c>
      <c r="H67" s="44">
        <v>-90.60086933418003</v>
      </c>
      <c r="I67" s="44">
        <v>-95.25445136519004</v>
      </c>
    </row>
    <row r="68" spans="1:9" ht="15">
      <c r="A68" s="43" t="str">
        <f>HLOOKUP(INDICE!$F$2,Nombres!$C$3:$D$636,39,FALSE)</f>
        <v>  Gastos de administración</v>
      </c>
      <c r="B68" s="44">
        <v>-86.04240250186501</v>
      </c>
      <c r="C68" s="44">
        <v>-81.74867815551522</v>
      </c>
      <c r="D68" s="44">
        <v>-82.12782285439063</v>
      </c>
      <c r="E68" s="45">
        <v>-87.54059194089582</v>
      </c>
      <c r="F68" s="44">
        <v>-83.38650703044512</v>
      </c>
      <c r="G68" s="44">
        <v>-79.44735635606555</v>
      </c>
      <c r="H68" s="44">
        <v>-82.62316828469842</v>
      </c>
      <c r="I68" s="44">
        <v>-85.99242639879093</v>
      </c>
    </row>
    <row r="69" spans="1:9" ht="15">
      <c r="A69" s="46" t="str">
        <f>HLOOKUP(INDICE!$F$2,Nombres!$C$3:$D$636,40,FALSE)</f>
        <v>  Gastos de personal</v>
      </c>
      <c r="B69" s="44">
        <v>-40.965722186031584</v>
      </c>
      <c r="C69" s="44">
        <v>-37.74390243444242</v>
      </c>
      <c r="D69" s="44">
        <v>-39.44936611811035</v>
      </c>
      <c r="E69" s="45">
        <v>-40.44050834926745</v>
      </c>
      <c r="F69" s="44">
        <v>-43.58531470123666</v>
      </c>
      <c r="G69" s="44">
        <v>-41.118979771173485</v>
      </c>
      <c r="H69" s="44">
        <v>-42.87438859442953</v>
      </c>
      <c r="I69" s="44">
        <v>-42.16031693316031</v>
      </c>
    </row>
    <row r="70" spans="1:9" ht="15">
      <c r="A70" s="46" t="str">
        <f>HLOOKUP(INDICE!$F$2,Nombres!$C$3:$D$636,41,FALSE)</f>
        <v>  Otros gastos de administración</v>
      </c>
      <c r="B70" s="44">
        <v>-45.07668031583344</v>
      </c>
      <c r="C70" s="44">
        <v>-44.0047757210728</v>
      </c>
      <c r="D70" s="44">
        <v>-42.67845673628028</v>
      </c>
      <c r="E70" s="45">
        <v>-47.10008359162836</v>
      </c>
      <c r="F70" s="44">
        <v>-39.801192329208455</v>
      </c>
      <c r="G70" s="44">
        <v>-38.32837658489207</v>
      </c>
      <c r="H70" s="44">
        <v>-39.74877969026889</v>
      </c>
      <c r="I70" s="44">
        <v>-43.832109465630595</v>
      </c>
    </row>
    <row r="71" spans="1:9" ht="15">
      <c r="A71" s="43" t="str">
        <f>HLOOKUP(INDICE!$F$2,Nombres!$C$3:$D$636,42,FALSE)</f>
        <v>  Amortización</v>
      </c>
      <c r="B71" s="44">
        <v>-3.966581432901755</v>
      </c>
      <c r="C71" s="44">
        <v>-4.635160051498246</v>
      </c>
      <c r="D71" s="44">
        <v>-4.941965180637931</v>
      </c>
      <c r="E71" s="45">
        <v>-5.310659648240817</v>
      </c>
      <c r="F71" s="44">
        <v>-7.219302459522005</v>
      </c>
      <c r="G71" s="44">
        <v>-7.256971524597266</v>
      </c>
      <c r="H71" s="44">
        <v>-7.977701049481622</v>
      </c>
      <c r="I71" s="44">
        <v>-9.262024966399107</v>
      </c>
    </row>
    <row r="72" spans="1:9" ht="15">
      <c r="A72" s="41" t="str">
        <f>HLOOKUP(INDICE!$F$2,Nombres!$C$3:$D$636,43,FALSE)</f>
        <v>Margen neto</v>
      </c>
      <c r="B72" s="41">
        <f>+B66+B67</f>
        <v>152.18336233213626</v>
      </c>
      <c r="C72" s="41">
        <f aca="true" t="shared" si="10" ref="C72:I72">+C66+C67</f>
        <v>148.5677259551747</v>
      </c>
      <c r="D72" s="41">
        <f t="shared" si="10"/>
        <v>145.06416202993512</v>
      </c>
      <c r="E72" s="42">
        <f t="shared" si="10"/>
        <v>159.20291348891962</v>
      </c>
      <c r="F72" s="52">
        <f t="shared" si="10"/>
        <v>164.03123839672185</v>
      </c>
      <c r="G72" s="52">
        <f t="shared" si="10"/>
        <v>160.41909348085665</v>
      </c>
      <c r="H72" s="52">
        <f t="shared" si="10"/>
        <v>154.08334837145</v>
      </c>
      <c r="I72" s="52">
        <f t="shared" si="10"/>
        <v>160.55822199097156</v>
      </c>
    </row>
    <row r="73" spans="1:9" ht="15">
      <c r="A73" s="43" t="str">
        <f>HLOOKUP(INDICE!$F$2,Nombres!$C$3:$D$636,44,FALSE)</f>
        <v>Deterioro de activos financieros no valorados a valor razonable con cambios en resultados</v>
      </c>
      <c r="B73" s="44">
        <v>-52.57033678024212</v>
      </c>
      <c r="C73" s="44">
        <v>-63.735270361730294</v>
      </c>
      <c r="D73" s="44">
        <v>-60.036663802237925</v>
      </c>
      <c r="E73" s="45">
        <v>-86.91699964845168</v>
      </c>
      <c r="F73" s="44">
        <v>-70.42576417039012</v>
      </c>
      <c r="G73" s="44">
        <v>-46.268909117837104</v>
      </c>
      <c r="H73" s="44">
        <v>-40.7595664825586</v>
      </c>
      <c r="I73" s="44">
        <v>-59.99076022921417</v>
      </c>
    </row>
    <row r="74" spans="1:9" ht="15">
      <c r="A74" s="43" t="str">
        <f>HLOOKUP(INDICE!$F$2,Nombres!$C$3:$D$636,45,FALSE)</f>
        <v>Provisiones o reversión de provisiones y otros resultados</v>
      </c>
      <c r="B74" s="44">
        <v>-2.685775822133334</v>
      </c>
      <c r="C74" s="44">
        <v>-9.503466311914943</v>
      </c>
      <c r="D74" s="44">
        <v>1.567536913896552</v>
      </c>
      <c r="E74" s="45">
        <v>-1.3288463944824227</v>
      </c>
      <c r="F74" s="44">
        <v>-1.2660680827361004</v>
      </c>
      <c r="G74" s="44">
        <v>-6.255946259347414</v>
      </c>
      <c r="H74" s="44">
        <v>-2.9876824085535425</v>
      </c>
      <c r="I74" s="44">
        <v>-6.940303249362942</v>
      </c>
    </row>
    <row r="75" spans="1:9" ht="15">
      <c r="A75" s="41" t="str">
        <f>HLOOKUP(INDICE!$F$2,Nombres!$C$3:$D$636,46,FALSE)</f>
        <v>Resultado antes de impuestos</v>
      </c>
      <c r="B75" s="41">
        <f>+B72+B73+B74</f>
        <v>96.9272497297608</v>
      </c>
      <c r="C75" s="41">
        <f aca="true" t="shared" si="11" ref="C75:I75">+C72+C73+C74</f>
        <v>75.32898928152945</v>
      </c>
      <c r="D75" s="41">
        <f t="shared" si="11"/>
        <v>86.59503514159374</v>
      </c>
      <c r="E75" s="42">
        <f t="shared" si="11"/>
        <v>70.95706744598552</v>
      </c>
      <c r="F75" s="52">
        <f t="shared" si="11"/>
        <v>92.33940614359562</v>
      </c>
      <c r="G75" s="52">
        <f t="shared" si="11"/>
        <v>107.89423810367214</v>
      </c>
      <c r="H75" s="52">
        <f t="shared" si="11"/>
        <v>110.33609948033786</v>
      </c>
      <c r="I75" s="52">
        <f t="shared" si="11"/>
        <v>93.62715851239444</v>
      </c>
    </row>
    <row r="76" spans="1:9" ht="15">
      <c r="A76" s="43" t="str">
        <f>HLOOKUP(INDICE!$F$2,Nombres!$C$3:$D$636,47,FALSE)</f>
        <v>Impuesto sobre beneficios</v>
      </c>
      <c r="B76" s="44">
        <v>-34.878456614796725</v>
      </c>
      <c r="C76" s="44">
        <v>-19.926085432968605</v>
      </c>
      <c r="D76" s="44">
        <v>-31.5555566403414</v>
      </c>
      <c r="E76" s="45">
        <v>-22.527820051490416</v>
      </c>
      <c r="F76" s="44">
        <v>-33.42106150033309</v>
      </c>
      <c r="G76" s="44">
        <v>-33.90134886511144</v>
      </c>
      <c r="H76" s="44">
        <v>-38.96378148045116</v>
      </c>
      <c r="I76" s="44">
        <v>-20.38406935410431</v>
      </c>
    </row>
    <row r="77" spans="1:9" ht="15">
      <c r="A77" s="41" t="str">
        <f>HLOOKUP(INDICE!$F$2,Nombres!$C$3:$D$636,48,FALSE)</f>
        <v>Resultado del ejercicio</v>
      </c>
      <c r="B77" s="41">
        <f>+B75+B76</f>
        <v>62.04879311496408</v>
      </c>
      <c r="C77" s="41">
        <f aca="true" t="shared" si="12" ref="C77:I77">+C75+C76</f>
        <v>55.40290384856084</v>
      </c>
      <c r="D77" s="41">
        <f t="shared" si="12"/>
        <v>55.03947850125234</v>
      </c>
      <c r="E77" s="42">
        <f t="shared" si="12"/>
        <v>48.4292473944951</v>
      </c>
      <c r="F77" s="52">
        <f t="shared" si="12"/>
        <v>58.918344643262536</v>
      </c>
      <c r="G77" s="52">
        <f t="shared" si="12"/>
        <v>73.9928892385607</v>
      </c>
      <c r="H77" s="52">
        <f t="shared" si="12"/>
        <v>71.3723179998867</v>
      </c>
      <c r="I77" s="52">
        <f t="shared" si="12"/>
        <v>73.24308915829013</v>
      </c>
    </row>
    <row r="78" spans="1:9" ht="15">
      <c r="A78" s="43" t="str">
        <f>HLOOKUP(INDICE!$F$2,Nombres!$C$3:$D$636,49,FALSE)</f>
        <v>Minoritarios</v>
      </c>
      <c r="B78" s="44">
        <v>-2.42058406531142</v>
      </c>
      <c r="C78" s="44">
        <v>-1.9866089042465058</v>
      </c>
      <c r="D78" s="44">
        <v>-2.2116347624479573</v>
      </c>
      <c r="E78" s="45">
        <v>-1.6750710331209793</v>
      </c>
      <c r="F78" s="44">
        <v>-2.2654651758527855</v>
      </c>
      <c r="G78" s="44">
        <v>-2.8199805773164113</v>
      </c>
      <c r="H78" s="44">
        <v>-2.7272152270520937</v>
      </c>
      <c r="I78" s="44">
        <v>-2.8135544297787094</v>
      </c>
    </row>
    <row r="79" spans="1:9" ht="15">
      <c r="A79" s="47" t="str">
        <f>HLOOKUP(INDICE!$F$2,Nombres!$C$3:$D$636,50,FALSE)</f>
        <v>Resultado atribuido</v>
      </c>
      <c r="B79" s="47">
        <f>+B77+B78</f>
        <v>59.628209049652654</v>
      </c>
      <c r="C79" s="47">
        <f aca="true" t="shared" si="13" ref="C79:I79">+C77+C78</f>
        <v>53.41629494431433</v>
      </c>
      <c r="D79" s="47">
        <f t="shared" si="13"/>
        <v>52.82784373880438</v>
      </c>
      <c r="E79" s="47">
        <f t="shared" si="13"/>
        <v>46.75417636137412</v>
      </c>
      <c r="F79" s="53">
        <f t="shared" si="13"/>
        <v>56.65287946740975</v>
      </c>
      <c r="G79" s="53">
        <f t="shared" si="13"/>
        <v>71.17290866124429</v>
      </c>
      <c r="H79" s="53">
        <f t="shared" si="13"/>
        <v>68.6451027728346</v>
      </c>
      <c r="I79" s="53">
        <f t="shared" si="13"/>
        <v>70.42953472851143</v>
      </c>
    </row>
    <row r="80" spans="1:9" ht="15">
      <c r="A80" s="65"/>
      <c r="B80" s="66">
        <v>0</v>
      </c>
      <c r="C80" s="66">
        <v>0</v>
      </c>
      <c r="D80" s="66">
        <v>0</v>
      </c>
      <c r="E80" s="66">
        <v>0</v>
      </c>
      <c r="F80" s="66">
        <v>0</v>
      </c>
      <c r="G80" s="66">
        <v>0</v>
      </c>
      <c r="H80" s="66">
        <v>0</v>
      </c>
      <c r="I80" s="66">
        <v>0</v>
      </c>
    </row>
    <row r="81" spans="1:9" ht="15">
      <c r="A81" s="41"/>
      <c r="B81" s="41"/>
      <c r="C81" s="41"/>
      <c r="D81" s="41"/>
      <c r="E81" s="41"/>
      <c r="F81" s="52"/>
      <c r="G81" s="52"/>
      <c r="H81" s="52"/>
      <c r="I81" s="52"/>
    </row>
    <row r="82" spans="1:9" ht="18">
      <c r="A82" s="33" t="str">
        <f>HLOOKUP(INDICE!$F$2,Nombres!$C$3:$D$636,51,FALSE)</f>
        <v>Balances</v>
      </c>
      <c r="B82" s="34"/>
      <c r="C82" s="34"/>
      <c r="D82" s="34"/>
      <c r="E82" s="34"/>
      <c r="F82" s="72"/>
      <c r="G82" s="72"/>
      <c r="H82" s="72"/>
      <c r="I82" s="72"/>
    </row>
    <row r="83" spans="1:9" ht="15">
      <c r="A83" s="35" t="str">
        <f>HLOOKUP(INDICE!$F$2,Nombres!$C$3:$D$636,73,FALSE)</f>
        <v>(Millones de euros constantes)</v>
      </c>
      <c r="B83" s="30"/>
      <c r="C83" s="54"/>
      <c r="D83" s="54"/>
      <c r="E83" s="54"/>
      <c r="F83" s="73"/>
      <c r="G83" s="44"/>
      <c r="H83" s="44"/>
      <c r="I83" s="44"/>
    </row>
    <row r="84" spans="1:9" ht="15.75">
      <c r="A84" s="30"/>
      <c r="B84" s="55">
        <f aca="true" t="shared" si="14" ref="B84:I84">+B$30</f>
        <v>43190</v>
      </c>
      <c r="C84" s="55">
        <f t="shared" si="14"/>
        <v>43281</v>
      </c>
      <c r="D84" s="55">
        <f t="shared" si="14"/>
        <v>43373</v>
      </c>
      <c r="E84" s="71">
        <f t="shared" si="14"/>
        <v>43465</v>
      </c>
      <c r="F84" s="55">
        <f t="shared" si="14"/>
        <v>43555</v>
      </c>
      <c r="G84" s="55">
        <f t="shared" si="14"/>
        <v>43646</v>
      </c>
      <c r="H84" s="55">
        <f t="shared" si="14"/>
        <v>43738</v>
      </c>
      <c r="I84" s="55">
        <f t="shared" si="14"/>
        <v>43830</v>
      </c>
    </row>
    <row r="85" spans="1:9" ht="15">
      <c r="A85" s="43" t="str">
        <f>HLOOKUP(INDICE!$F$2,Nombres!$C$3:$D$636,52,FALSE)</f>
        <v>Efectivo, saldos en efectivo en bancos centrales y otros depósitos a la vista</v>
      </c>
      <c r="B85" s="44">
        <v>1131.2235849459041</v>
      </c>
      <c r="C85" s="44">
        <v>1173.5034929123817</v>
      </c>
      <c r="D85" s="44">
        <v>813.1011523139067</v>
      </c>
      <c r="E85" s="45">
        <v>2158.066862553158</v>
      </c>
      <c r="F85" s="44">
        <v>1791.2674716112022</v>
      </c>
      <c r="G85" s="44">
        <v>1525.8192182220523</v>
      </c>
      <c r="H85" s="44">
        <v>1274.3501699534145</v>
      </c>
      <c r="I85" s="44">
        <v>1420.728</v>
      </c>
    </row>
    <row r="86" spans="1:9" ht="15">
      <c r="A86" s="43" t="str">
        <f>HLOOKUP(INDICE!$F$2,Nombres!$C$3:$D$636,53,FALSE)</f>
        <v>Activos financieros a valor razonable</v>
      </c>
      <c r="B86" s="60">
        <v>2176.2674592456574</v>
      </c>
      <c r="C86" s="60">
        <v>2248.223968269639</v>
      </c>
      <c r="D86" s="60">
        <v>2701.6392048737757</v>
      </c>
      <c r="E86" s="68">
        <v>2458.7410632949777</v>
      </c>
      <c r="F86" s="44">
        <v>2911.1065235365004</v>
      </c>
      <c r="G86" s="44">
        <v>2998.6134291474264</v>
      </c>
      <c r="H86" s="44">
        <v>2953.039160504477</v>
      </c>
      <c r="I86" s="44">
        <v>2718.419</v>
      </c>
    </row>
    <row r="87" spans="1:9" ht="15">
      <c r="A87" s="43" t="str">
        <f>HLOOKUP(INDICE!$F$2,Nombres!$C$3:$D$636,54,FALSE)</f>
        <v>Activos financieros a coste amortizado</v>
      </c>
      <c r="B87" s="44">
        <v>11937.532700807673</v>
      </c>
      <c r="C87" s="44">
        <v>12168.002288665564</v>
      </c>
      <c r="D87" s="44">
        <v>12155.14749479696</v>
      </c>
      <c r="E87" s="45">
        <v>12325.811047073059</v>
      </c>
      <c r="F87" s="44">
        <v>12474.86163313296</v>
      </c>
      <c r="G87" s="44">
        <v>12720.467297518559</v>
      </c>
      <c r="H87" s="44">
        <v>13168.13047016685</v>
      </c>
      <c r="I87" s="44">
        <v>13488.792999999998</v>
      </c>
    </row>
    <row r="88" spans="1:9" ht="15">
      <c r="A88" s="43" t="str">
        <f>HLOOKUP(INDICE!$F$2,Nombres!$C$3:$D$636,55,FALSE)</f>
        <v>    de los que préstamos y anticipos a la clientela</v>
      </c>
      <c r="B88" s="44">
        <v>11483.808300896773</v>
      </c>
      <c r="C88" s="44">
        <v>11707.601684115874</v>
      </c>
      <c r="D88" s="44">
        <v>11697.838190244125</v>
      </c>
      <c r="E88" s="45">
        <v>11810.343109661035</v>
      </c>
      <c r="F88" s="44">
        <v>11943.715454636795</v>
      </c>
      <c r="G88" s="44">
        <v>12182.815881110688</v>
      </c>
      <c r="H88" s="44">
        <v>12615.096983690299</v>
      </c>
      <c r="I88" s="44">
        <v>12922.985000000002</v>
      </c>
    </row>
    <row r="89" spans="1:9" ht="15">
      <c r="A89" s="43" t="str">
        <f>HLOOKUP(INDICE!$F$2,Nombres!$C$3:$D$636,56,FALSE)</f>
        <v>Activos tangibles</v>
      </c>
      <c r="B89" s="44">
        <v>85.23739331438011</v>
      </c>
      <c r="C89" s="44">
        <v>84.38593109706186</v>
      </c>
      <c r="D89" s="44">
        <v>84.50279605997233</v>
      </c>
      <c r="E89" s="45">
        <v>93.94174007085398</v>
      </c>
      <c r="F89" s="44">
        <v>145.64194419689886</v>
      </c>
      <c r="G89" s="44">
        <v>147.40424278790525</v>
      </c>
      <c r="H89" s="44">
        <v>147.90825752024148</v>
      </c>
      <c r="I89" s="44">
        <v>144.23700000000002</v>
      </c>
    </row>
    <row r="90" spans="1:9" ht="15">
      <c r="A90" s="43" t="str">
        <f>HLOOKUP(INDICE!$F$2,Nombres!$C$3:$D$636,57,FALSE)</f>
        <v>Otros activos</v>
      </c>
      <c r="B90" s="60">
        <f>+B91-B89-B87-B86-B85</f>
        <v>385.2096508938905</v>
      </c>
      <c r="C90" s="60">
        <f aca="true" t="shared" si="15" ref="C90:I90">+C91-C89-C87-C86-C85</f>
        <v>384.79536538150614</v>
      </c>
      <c r="D90" s="60">
        <f t="shared" si="15"/>
        <v>411.618882956716</v>
      </c>
      <c r="E90" s="68">
        <f t="shared" si="15"/>
        <v>314.66749344367054</v>
      </c>
      <c r="F90" s="44">
        <f t="shared" si="15"/>
        <v>350.95343081143733</v>
      </c>
      <c r="G90" s="44">
        <f t="shared" si="15"/>
        <v>382.2953497309295</v>
      </c>
      <c r="H90" s="44">
        <f t="shared" si="15"/>
        <v>479.86269416744744</v>
      </c>
      <c r="I90" s="44">
        <f t="shared" si="15"/>
        <v>367.3630000000021</v>
      </c>
    </row>
    <row r="91" spans="1:9" ht="15">
      <c r="A91" s="47" t="str">
        <f>HLOOKUP(INDICE!$F$2,Nombres!$C$3:$D$636,58,FALSE)</f>
        <v>Total activo / pasivo</v>
      </c>
      <c r="B91" s="47">
        <v>15715.470789207506</v>
      </c>
      <c r="C91" s="47">
        <v>16058.911046326153</v>
      </c>
      <c r="D91" s="47">
        <v>16166.009531001331</v>
      </c>
      <c r="E91" s="47">
        <v>17351.22820643572</v>
      </c>
      <c r="F91" s="53">
        <v>17673.831003288997</v>
      </c>
      <c r="G91" s="53">
        <v>17774.599537406873</v>
      </c>
      <c r="H91" s="53">
        <v>18023.29075231243</v>
      </c>
      <c r="I91" s="53">
        <v>18139.54</v>
      </c>
    </row>
    <row r="92" spans="1:9" ht="15">
      <c r="A92" s="43" t="str">
        <f>HLOOKUP(INDICE!$F$2,Nombres!$C$3:$D$636,59,FALSE)</f>
        <v>Pasivos financieros mantenidos para negociar y designados a valor razonable con cambios en resultados</v>
      </c>
      <c r="B92" s="60">
        <v>354.7317781810274</v>
      </c>
      <c r="C92" s="60">
        <v>317.038330501402</v>
      </c>
      <c r="D92" s="60">
        <v>311.08454140140833</v>
      </c>
      <c r="E92" s="68">
        <v>1238.405895452034</v>
      </c>
      <c r="F92" s="44">
        <v>2107.389649358853</v>
      </c>
      <c r="G92" s="44">
        <v>1719.2463961634749</v>
      </c>
      <c r="H92" s="44">
        <v>1464.605698412326</v>
      </c>
      <c r="I92" s="44">
        <v>1665.437</v>
      </c>
    </row>
    <row r="93" spans="1:9" ht="15">
      <c r="A93" s="43" t="str">
        <f>HLOOKUP(INDICE!$F$2,Nombres!$C$3:$D$636,60,FALSE)</f>
        <v>Depósitos de bancos centrales y entidades de crédito</v>
      </c>
      <c r="B93" s="60">
        <v>424.2586113608835</v>
      </c>
      <c r="C93" s="60">
        <v>316.52494891738144</v>
      </c>
      <c r="D93" s="60">
        <v>311.7762936136713</v>
      </c>
      <c r="E93" s="68">
        <v>361.1297014397753</v>
      </c>
      <c r="F93" s="44">
        <v>244.31832225366674</v>
      </c>
      <c r="G93" s="44">
        <v>311.2211054885075</v>
      </c>
      <c r="H93" s="44">
        <v>445.70820093407303</v>
      </c>
      <c r="I93" s="44">
        <v>593.7510000000001</v>
      </c>
    </row>
    <row r="94" spans="1:9" ht="15">
      <c r="A94" s="43" t="str">
        <f>HLOOKUP(INDICE!$F$2,Nombres!$C$3:$D$636,61,FALSE)</f>
        <v>Depósitos de la clientela</v>
      </c>
      <c r="B94" s="60">
        <v>12140.577434857241</v>
      </c>
      <c r="C94" s="60">
        <v>12570.982563174144</v>
      </c>
      <c r="D94" s="60">
        <v>12618.595160352905</v>
      </c>
      <c r="E94" s="68">
        <v>12597.120188284596</v>
      </c>
      <c r="F94" s="44">
        <v>12348.532732130278</v>
      </c>
      <c r="G94" s="44">
        <v>12567.219264719024</v>
      </c>
      <c r="H94" s="44">
        <v>12855.836242486239</v>
      </c>
      <c r="I94" s="44">
        <v>12686.045999999998</v>
      </c>
    </row>
    <row r="95" spans="1:9" ht="15">
      <c r="A95" s="43" t="str">
        <f>HLOOKUP(INDICE!$F$2,Nombres!$C$3:$D$636,62,FALSE)</f>
        <v>Valores representativos de deuda emitidos</v>
      </c>
      <c r="B95" s="44">
        <v>569.4471077334556</v>
      </c>
      <c r="C95" s="44">
        <v>593.7258019198453</v>
      </c>
      <c r="D95" s="44">
        <v>572.9860644393532</v>
      </c>
      <c r="E95" s="45">
        <v>605.0270453520451</v>
      </c>
      <c r="F95" s="44">
        <v>605.6951289714672</v>
      </c>
      <c r="G95" s="44">
        <v>611.9059948699961</v>
      </c>
      <c r="H95" s="44">
        <v>608.264338103644</v>
      </c>
      <c r="I95" s="44">
        <v>579.319</v>
      </c>
    </row>
    <row r="96" spans="1:9" ht="15">
      <c r="A96" s="43" t="str">
        <f>HLOOKUP(INDICE!$F$2,Nombres!$C$3:$D$636,63,FALSE)</f>
        <v>Otros pasivos</v>
      </c>
      <c r="B96" s="60">
        <f>+B91-B92-B93-B94-B95-B97</f>
        <v>1312.2128283618645</v>
      </c>
      <c r="C96" s="60">
        <f aca="true" t="shared" si="16" ref="C96:I96">+C91-C92-C93-C94-C95-C97</f>
        <v>1300.0261789416277</v>
      </c>
      <c r="D96" s="60">
        <f t="shared" si="16"/>
        <v>1374.3642799881814</v>
      </c>
      <c r="E96" s="68">
        <f t="shared" si="16"/>
        <v>1506.7859196370619</v>
      </c>
      <c r="F96" s="44">
        <f t="shared" si="16"/>
        <v>1367.8134239148549</v>
      </c>
      <c r="G96" s="44">
        <f t="shared" si="16"/>
        <v>1586.485082304048</v>
      </c>
      <c r="H96" s="44">
        <f t="shared" si="16"/>
        <v>1617.9776124716057</v>
      </c>
      <c r="I96" s="44">
        <f t="shared" si="16"/>
        <v>1584.4327432300042</v>
      </c>
    </row>
    <row r="97" spans="1:9" ht="15">
      <c r="A97" s="43" t="str">
        <f>HLOOKUP(INDICE!$F$2,Nombres!$C$3:$D$636,64,FALSE)</f>
        <v>Dotación de capital económico</v>
      </c>
      <c r="B97" s="44">
        <v>914.243028713034</v>
      </c>
      <c r="C97" s="44">
        <v>960.6132228717521</v>
      </c>
      <c r="D97" s="44">
        <v>977.2031912058133</v>
      </c>
      <c r="E97" s="45">
        <v>1042.7594562702088</v>
      </c>
      <c r="F97" s="44">
        <v>1000.0817466598784</v>
      </c>
      <c r="G97" s="44">
        <v>978.5216938618221</v>
      </c>
      <c r="H97" s="44">
        <v>1030.89865990454</v>
      </c>
      <c r="I97" s="44">
        <v>1030.55425677</v>
      </c>
    </row>
    <row r="98" spans="1:9" ht="15">
      <c r="A98" s="65"/>
      <c r="B98" s="60"/>
      <c r="C98" s="60"/>
      <c r="D98" s="60"/>
      <c r="E98" s="60"/>
      <c r="F98" s="44"/>
      <c r="G98" s="44"/>
      <c r="H98" s="44"/>
      <c r="I98" s="44"/>
    </row>
    <row r="99" spans="1:9" ht="15">
      <c r="A99" s="43"/>
      <c r="B99" s="60"/>
      <c r="C99" s="60"/>
      <c r="D99" s="60"/>
      <c r="E99" s="60"/>
      <c r="F99" s="44"/>
      <c r="G99" s="44"/>
      <c r="H99" s="44"/>
      <c r="I99" s="44"/>
    </row>
    <row r="100" spans="1:9" ht="18">
      <c r="A100" s="33" t="str">
        <f>HLOOKUP(INDICE!$F$2,Nombres!$C$3:$D$636,65,FALSE)</f>
        <v>Indicadores relevantes y de gestión</v>
      </c>
      <c r="B100" s="34"/>
      <c r="C100" s="34"/>
      <c r="D100" s="34"/>
      <c r="E100" s="34"/>
      <c r="F100" s="72"/>
      <c r="G100" s="72"/>
      <c r="H100" s="72"/>
      <c r="I100" s="72"/>
    </row>
    <row r="101" spans="1:9" ht="15">
      <c r="A101" s="35" t="str">
        <f>HLOOKUP(INDICE!$F$2,Nombres!$C$3:$D$636,73,FALSE)</f>
        <v>(Millones de euros constantes)</v>
      </c>
      <c r="B101" s="30"/>
      <c r="C101" s="30"/>
      <c r="D101" s="30"/>
      <c r="E101" s="30"/>
      <c r="F101" s="73"/>
      <c r="G101" s="44"/>
      <c r="H101" s="44"/>
      <c r="I101" s="44"/>
    </row>
    <row r="102" spans="1:9" ht="15.75">
      <c r="A102" s="30"/>
      <c r="B102" s="55">
        <f aca="true" t="shared" si="17" ref="B102:I102">+B$30</f>
        <v>43190</v>
      </c>
      <c r="C102" s="55">
        <f t="shared" si="17"/>
        <v>43281</v>
      </c>
      <c r="D102" s="55">
        <f t="shared" si="17"/>
        <v>43373</v>
      </c>
      <c r="E102" s="71">
        <f t="shared" si="17"/>
        <v>43465</v>
      </c>
      <c r="F102" s="55">
        <f t="shared" si="17"/>
        <v>43555</v>
      </c>
      <c r="G102" s="55">
        <f t="shared" si="17"/>
        <v>43646</v>
      </c>
      <c r="H102" s="55">
        <f t="shared" si="17"/>
        <v>43738</v>
      </c>
      <c r="I102" s="55">
        <f t="shared" si="17"/>
        <v>43830</v>
      </c>
    </row>
    <row r="103" spans="1:9" ht="15">
      <c r="A103" s="43" t="str">
        <f>HLOOKUP(INDICE!$F$2,Nombres!$C$3:$D$636,66,FALSE)</f>
        <v>Préstamos y anticipos a la clientela bruto (*)</v>
      </c>
      <c r="B103" s="44">
        <v>12096.45324567773</v>
      </c>
      <c r="C103" s="44">
        <v>12356.45402270701</v>
      </c>
      <c r="D103" s="44">
        <v>12397.584602134935</v>
      </c>
      <c r="E103" s="45">
        <v>12567.367061481194</v>
      </c>
      <c r="F103" s="44">
        <v>12634.228888241616</v>
      </c>
      <c r="G103" s="44">
        <v>12851.995638049015</v>
      </c>
      <c r="H103" s="44">
        <v>13252.79979850201</v>
      </c>
      <c r="I103" s="44">
        <v>13593.775514629999</v>
      </c>
    </row>
    <row r="104" spans="1:9" ht="15">
      <c r="A104" s="43" t="str">
        <f>HLOOKUP(INDICE!$F$2,Nombres!$C$3:$D$636,67,FALSE)</f>
        <v>Depósitos de clientes en gestión (**)</v>
      </c>
      <c r="B104" s="44">
        <v>12129.638892219966</v>
      </c>
      <c r="C104" s="44">
        <v>12412.394480347488</v>
      </c>
      <c r="D104" s="44">
        <v>12638.967545701373</v>
      </c>
      <c r="E104" s="45">
        <v>12760.737002241664</v>
      </c>
      <c r="F104" s="44">
        <v>12463.19414964322</v>
      </c>
      <c r="G104" s="44">
        <v>12577.517619417395</v>
      </c>
      <c r="H104" s="44">
        <v>12865.466628142847</v>
      </c>
      <c r="I104" s="44">
        <v>12695.685347200002</v>
      </c>
    </row>
    <row r="105" spans="1:9" ht="15">
      <c r="A105" s="43" t="str">
        <f>HLOOKUP(INDICE!$F$2,Nombres!$C$3:$D$636,68,FALSE)</f>
        <v>Fondos de inversión</v>
      </c>
      <c r="B105" s="44">
        <v>1169.722939852389</v>
      </c>
      <c r="C105" s="44">
        <v>1188.1022285813149</v>
      </c>
      <c r="D105" s="44">
        <v>1320.7481499966632</v>
      </c>
      <c r="E105" s="45">
        <v>1309.0573387166125</v>
      </c>
      <c r="F105" s="44">
        <v>1411.2324589654004</v>
      </c>
      <c r="G105" s="44">
        <v>1414.0012249681554</v>
      </c>
      <c r="H105" s="44">
        <v>1508.0070088780997</v>
      </c>
      <c r="I105" s="44">
        <v>1389.11218341</v>
      </c>
    </row>
    <row r="106" spans="1:9" ht="15">
      <c r="A106" s="43" t="str">
        <f>HLOOKUP(INDICE!$F$2,Nombres!$C$3:$D$636,69,FALSE)</f>
        <v>Fondos de pensiones</v>
      </c>
      <c r="B106" s="44" t="s">
        <v>400</v>
      </c>
      <c r="C106" s="44" t="s">
        <v>400</v>
      </c>
      <c r="D106" s="44" t="s">
        <v>400</v>
      </c>
      <c r="E106" s="45" t="s">
        <v>400</v>
      </c>
      <c r="F106" s="44" t="s">
        <v>400</v>
      </c>
      <c r="G106" s="44" t="s">
        <v>400</v>
      </c>
      <c r="H106" s="44" t="s">
        <v>400</v>
      </c>
      <c r="I106" s="44" t="s">
        <v>400</v>
      </c>
    </row>
    <row r="107" spans="1:9" ht="15">
      <c r="A107" s="43" t="str">
        <f>HLOOKUP(INDICE!$F$2,Nombres!$C$3:$D$636,70,FALSE)</f>
        <v>Otros recursos fuera de balance</v>
      </c>
      <c r="B107" s="44" t="s">
        <v>400</v>
      </c>
      <c r="C107" s="44" t="s">
        <v>400</v>
      </c>
      <c r="D107" s="44" t="s">
        <v>400</v>
      </c>
      <c r="E107" s="45" t="s">
        <v>400</v>
      </c>
      <c r="F107" s="44" t="s">
        <v>400</v>
      </c>
      <c r="G107" s="44" t="s">
        <v>400</v>
      </c>
      <c r="H107" s="44" t="s">
        <v>400</v>
      </c>
      <c r="I107" s="44" t="s">
        <v>400</v>
      </c>
    </row>
    <row r="108" spans="1:9" ht="15">
      <c r="A108" s="65" t="str">
        <f>HLOOKUP(INDICE!$F$2,Nombres!$C$3:$D$636,71,FALSE)</f>
        <v>(*) No incluye las adquisiciones temporales de activos.</v>
      </c>
      <c r="B108" s="60"/>
      <c r="C108" s="60"/>
      <c r="D108" s="60"/>
      <c r="E108" s="60"/>
      <c r="F108" s="60"/>
      <c r="G108" s="60"/>
      <c r="H108" s="60"/>
      <c r="I108" s="60"/>
    </row>
    <row r="109" spans="1:9" ht="15">
      <c r="A109" s="65" t="str">
        <f>HLOOKUP(INDICE!$F$2,Nombres!$C$3:$D$636,72,FALSE)</f>
        <v>(**) No incluye las cesiones temporales de activos.</v>
      </c>
      <c r="B109" s="30"/>
      <c r="C109" s="30"/>
      <c r="D109" s="30"/>
      <c r="E109" s="30"/>
      <c r="F109" s="30"/>
      <c r="G109" s="30"/>
      <c r="H109" s="30"/>
      <c r="I109" s="30"/>
    </row>
    <row r="110" spans="1:9" ht="15">
      <c r="A110" s="65"/>
      <c r="B110" s="60"/>
      <c r="C110" s="44"/>
      <c r="D110" s="44"/>
      <c r="E110" s="44"/>
      <c r="F110" s="44"/>
      <c r="G110" s="30"/>
      <c r="H110" s="30"/>
      <c r="I110" s="30"/>
    </row>
    <row r="111" spans="1:9" ht="18">
      <c r="A111" s="33" t="str">
        <f>HLOOKUP(INDICE!$F$2,Nombres!$C$3:$D$636,31,FALSE)</f>
        <v>Cuenta de resultados  </v>
      </c>
      <c r="B111" s="34"/>
      <c r="C111" s="34"/>
      <c r="D111" s="34"/>
      <c r="E111" s="34"/>
      <c r="F111" s="34"/>
      <c r="G111" s="34"/>
      <c r="H111" s="34"/>
      <c r="I111" s="34"/>
    </row>
    <row r="112" spans="1:9" ht="15">
      <c r="A112" s="35" t="str">
        <f>HLOOKUP(INDICE!$F$2,Nombres!$C$3:$D$636,75,FALSE)</f>
        <v>(Millones de pesos colombianos)</v>
      </c>
      <c r="B112" s="30"/>
      <c r="C112" s="36"/>
      <c r="D112" s="36"/>
      <c r="E112" s="36"/>
      <c r="F112" s="30"/>
      <c r="G112" s="30"/>
      <c r="H112" s="30"/>
      <c r="I112" s="30"/>
    </row>
    <row r="113" spans="1:9" ht="15">
      <c r="A113" s="37"/>
      <c r="B113" s="30"/>
      <c r="C113" s="36"/>
      <c r="D113" s="36"/>
      <c r="E113" s="36"/>
      <c r="F113" s="30"/>
      <c r="G113" s="30"/>
      <c r="H113" s="30"/>
      <c r="I113" s="30"/>
    </row>
    <row r="114" spans="1:9" ht="15.75">
      <c r="A114" s="38"/>
      <c r="B114" s="295">
        <f>+B$6</f>
        <v>2018</v>
      </c>
      <c r="C114" s="295"/>
      <c r="D114" s="295"/>
      <c r="E114" s="296"/>
      <c r="F114" s="295">
        <f>+F$6</f>
        <v>2019</v>
      </c>
      <c r="G114" s="295"/>
      <c r="H114" s="295"/>
      <c r="I114" s="295"/>
    </row>
    <row r="115" spans="1:9" ht="15.7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5">
      <c r="A116" s="41" t="str">
        <f>HLOOKUP(INDICE!$F$2,Nombres!$C$3:$D$636,33,FALSE)</f>
        <v>Margen de intereses</v>
      </c>
      <c r="B116" s="41">
        <v>734477.1929824563</v>
      </c>
      <c r="C116" s="41">
        <v>715029.7035692678</v>
      </c>
      <c r="D116" s="41">
        <v>713575.862068965</v>
      </c>
      <c r="E116" s="42">
        <v>743126.3006127602</v>
      </c>
      <c r="F116" s="52">
        <v>754126.4126457309</v>
      </c>
      <c r="G116" s="52">
        <v>751180.6637694384</v>
      </c>
      <c r="H116" s="52">
        <v>762823.6896203957</v>
      </c>
      <c r="I116" s="52">
        <v>776724.7027668566</v>
      </c>
    </row>
    <row r="117" spans="1:9" ht="15">
      <c r="A117" s="43" t="str">
        <f>HLOOKUP(INDICE!$F$2,Nombres!$C$3:$D$636,34,FALSE)</f>
        <v>Comisiones netas</v>
      </c>
      <c r="B117" s="44">
        <v>82774.41950877194</v>
      </c>
      <c r="C117" s="44">
        <v>83066.22893950388</v>
      </c>
      <c r="D117" s="44">
        <v>76344.78548275866</v>
      </c>
      <c r="E117" s="45">
        <v>100526.68286339061</v>
      </c>
      <c r="F117" s="44">
        <v>79599.71975172011</v>
      </c>
      <c r="G117" s="44">
        <v>84702.73253558666</v>
      </c>
      <c r="H117" s="44">
        <v>80166.63024372386</v>
      </c>
      <c r="I117" s="44">
        <v>76859.72157040969</v>
      </c>
    </row>
    <row r="118" spans="1:9" ht="15">
      <c r="A118" s="43" t="str">
        <f>HLOOKUP(INDICE!$F$2,Nombres!$C$3:$D$636,35,FALSE)</f>
        <v>Resultados de operaciones financieras</v>
      </c>
      <c r="B118" s="44">
        <v>49379.01747368421</v>
      </c>
      <c r="C118" s="44">
        <v>50834.60097459165</v>
      </c>
      <c r="D118" s="44">
        <v>55536.38379310348</v>
      </c>
      <c r="E118" s="45">
        <v>64587.58552865558</v>
      </c>
      <c r="F118" s="44">
        <v>71936.85865751536</v>
      </c>
      <c r="G118" s="44">
        <v>65688.27159849773</v>
      </c>
      <c r="H118" s="44">
        <v>46685.68630039821</v>
      </c>
      <c r="I118" s="44">
        <v>67036.1560705868</v>
      </c>
    </row>
    <row r="119" spans="1:9" ht="15">
      <c r="A119" s="43" t="str">
        <f>HLOOKUP(INDICE!$F$2,Nombres!$C$3:$D$636,36,FALSE)</f>
        <v>Otros ingresos y cargas de explotación</v>
      </c>
      <c r="B119" s="44">
        <v>23105.263157894737</v>
      </c>
      <c r="C119" s="44">
        <v>14205.081669691464</v>
      </c>
      <c r="D119" s="44">
        <v>7327.586206896554</v>
      </c>
      <c r="E119" s="45">
        <v>17724.43830349636</v>
      </c>
      <c r="F119" s="44">
        <v>29790.687460302986</v>
      </c>
      <c r="G119" s="44">
        <v>6279.390999664518</v>
      </c>
      <c r="H119" s="44">
        <v>9214.21199893094</v>
      </c>
      <c r="I119" s="44">
        <v>19151.963642111827</v>
      </c>
    </row>
    <row r="120" spans="1:9" ht="15">
      <c r="A120" s="41" t="str">
        <f>HLOOKUP(INDICE!$F$2,Nombres!$C$3:$D$636,37,FALSE)</f>
        <v>Margen bruto</v>
      </c>
      <c r="B120" s="41">
        <f>+SUM(B116:B119)</f>
        <v>889735.8931228071</v>
      </c>
      <c r="C120" s="41">
        <f aca="true" t="shared" si="19" ref="C120:I120">+SUM(C116:C119)</f>
        <v>863135.6151530548</v>
      </c>
      <c r="D120" s="41">
        <f t="shared" si="19"/>
        <v>852784.6175517237</v>
      </c>
      <c r="E120" s="42">
        <f t="shared" si="19"/>
        <v>925965.0073083028</v>
      </c>
      <c r="F120" s="52">
        <f t="shared" si="19"/>
        <v>935453.6785152693</v>
      </c>
      <c r="G120" s="52">
        <f t="shared" si="19"/>
        <v>907851.0589031874</v>
      </c>
      <c r="H120" s="52">
        <f t="shared" si="19"/>
        <v>898890.2181634486</v>
      </c>
      <c r="I120" s="52">
        <f t="shared" si="19"/>
        <v>939772.544049965</v>
      </c>
    </row>
    <row r="121" spans="1:9" ht="15">
      <c r="A121" s="43" t="str">
        <f>HLOOKUP(INDICE!$F$2,Nombres!$C$3:$D$636,38,FALSE)</f>
        <v>Gastos de explotación</v>
      </c>
      <c r="B121" s="44">
        <v>-330663.72635087726</v>
      </c>
      <c r="C121" s="44">
        <v>-317346.1202353297</v>
      </c>
      <c r="D121" s="44">
        <v>-319866.0767586207</v>
      </c>
      <c r="E121" s="45">
        <v>-341105.29310116556</v>
      </c>
      <c r="F121" s="44">
        <v>-332856.2692886689</v>
      </c>
      <c r="G121" s="44">
        <v>-318523.49503852346</v>
      </c>
      <c r="H121" s="44">
        <v>-332838.12076337833</v>
      </c>
      <c r="I121" s="44">
        <v>-349933.86729872925</v>
      </c>
    </row>
    <row r="122" spans="1:9" ht="15">
      <c r="A122" s="43" t="str">
        <f>HLOOKUP(INDICE!$F$2,Nombres!$C$3:$D$636,39,FALSE)</f>
        <v>  Gastos de administración</v>
      </c>
      <c r="B122" s="44">
        <v>-316091.79652631574</v>
      </c>
      <c r="C122" s="44">
        <v>-300318.05005989113</v>
      </c>
      <c r="D122" s="44">
        <v>-301710.9043448276</v>
      </c>
      <c r="E122" s="45">
        <v>-321595.6571525893</v>
      </c>
      <c r="F122" s="44">
        <v>-306334.90054785885</v>
      </c>
      <c r="G122" s="44">
        <v>-291863.742406668</v>
      </c>
      <c r="H122" s="44">
        <v>-303530.64231604117</v>
      </c>
      <c r="I122" s="44">
        <v>-315908.2005812381</v>
      </c>
    </row>
    <row r="123" spans="1:9" ht="15">
      <c r="A123" s="46" t="str">
        <f>HLOOKUP(INDICE!$F$2,Nombres!$C$3:$D$636,40,FALSE)</f>
        <v>  Gastos de personal</v>
      </c>
      <c r="B123" s="44">
        <v>-150494.73684210528</v>
      </c>
      <c r="C123" s="44">
        <v>-138658.81915789476</v>
      </c>
      <c r="D123" s="44">
        <v>-144924.13793103446</v>
      </c>
      <c r="E123" s="45">
        <v>-148565.27206199692</v>
      </c>
      <c r="F123" s="44">
        <v>-160118.26756906416</v>
      </c>
      <c r="G123" s="44">
        <v>-151057.75535402723</v>
      </c>
      <c r="H123" s="44">
        <v>-157506.5563224697</v>
      </c>
      <c r="I123" s="44">
        <v>-154883.28933205502</v>
      </c>
    </row>
    <row r="124" spans="1:9" ht="15">
      <c r="A124" s="46" t="str">
        <f>HLOOKUP(INDICE!$F$2,Nombres!$C$3:$D$636,41,FALSE)</f>
        <v>  Otros gastos de administración</v>
      </c>
      <c r="B124" s="44">
        <v>-165597.05968421054</v>
      </c>
      <c r="C124" s="44">
        <v>-161659.23090199637</v>
      </c>
      <c r="D124" s="44">
        <v>-156786.76641379308</v>
      </c>
      <c r="E124" s="45">
        <v>-173030.38509059243</v>
      </c>
      <c r="F124" s="44">
        <v>-146216.63297879463</v>
      </c>
      <c r="G124" s="44">
        <v>-140805.98705264073</v>
      </c>
      <c r="H124" s="44">
        <v>-146024.08599357147</v>
      </c>
      <c r="I124" s="44">
        <v>-161024.91124918315</v>
      </c>
    </row>
    <row r="125" spans="1:9" ht="15">
      <c r="A125" s="43" t="str">
        <f>HLOOKUP(INDICE!$F$2,Nombres!$C$3:$D$636,42,FALSE)</f>
        <v>  Amortización</v>
      </c>
      <c r="B125" s="44">
        <v>-14571.929824561405</v>
      </c>
      <c r="C125" s="44">
        <v>-17028.0701754386</v>
      </c>
      <c r="D125" s="44">
        <v>-18155.172413793105</v>
      </c>
      <c r="E125" s="45">
        <v>-19509.63594857624</v>
      </c>
      <c r="F125" s="44">
        <v>-26521.36874081007</v>
      </c>
      <c r="G125" s="44">
        <v>-26659.75263185551</v>
      </c>
      <c r="H125" s="44">
        <v>-29307.478447337195</v>
      </c>
      <c r="I125" s="44">
        <v>-34025.66671749111</v>
      </c>
    </row>
    <row r="126" spans="1:9" ht="15">
      <c r="A126" s="41" t="str">
        <f>HLOOKUP(INDICE!$F$2,Nombres!$C$3:$D$636,43,FALSE)</f>
        <v>Margen neto</v>
      </c>
      <c r="B126" s="41">
        <f>+B120+B121</f>
        <v>559072.16677193</v>
      </c>
      <c r="C126" s="41">
        <f aca="true" t="shared" si="20" ref="C126:I126">+C120+C121</f>
        <v>545789.4949177251</v>
      </c>
      <c r="D126" s="41">
        <f t="shared" si="20"/>
        <v>532918.540793103</v>
      </c>
      <c r="E126" s="42">
        <f t="shared" si="20"/>
        <v>584859.7142071372</v>
      </c>
      <c r="F126" s="52">
        <f t="shared" si="20"/>
        <v>602597.4092266004</v>
      </c>
      <c r="G126" s="52">
        <f t="shared" si="20"/>
        <v>589327.5638646639</v>
      </c>
      <c r="H126" s="52">
        <f t="shared" si="20"/>
        <v>566052.0974000703</v>
      </c>
      <c r="I126" s="52">
        <f t="shared" si="20"/>
        <v>589838.6767512357</v>
      </c>
    </row>
    <row r="127" spans="1:9" ht="15">
      <c r="A127" s="43" t="str">
        <f>HLOOKUP(INDICE!$F$2,Nombres!$C$3:$D$636,44,FALSE)</f>
        <v>Deterioro de activos financieros no valorados a valor razonable con cambios en resultados</v>
      </c>
      <c r="B127" s="44">
        <v>-193126.31578947356</v>
      </c>
      <c r="C127" s="44">
        <v>-234142.64972776768</v>
      </c>
      <c r="D127" s="44">
        <v>-220555.17241379313</v>
      </c>
      <c r="E127" s="45">
        <v>-319304.78192959266</v>
      </c>
      <c r="F127" s="44">
        <v>-258721.3475108943</v>
      </c>
      <c r="G127" s="44">
        <v>-169976.920461431</v>
      </c>
      <c r="H127" s="44">
        <v>-149737.38785160615</v>
      </c>
      <c r="I127" s="44">
        <v>-220386.5376192946</v>
      </c>
    </row>
    <row r="128" spans="1:9" ht="15">
      <c r="A128" s="43" t="str">
        <f>HLOOKUP(INDICE!$F$2,Nombres!$C$3:$D$636,45,FALSE)</f>
        <v>Provisiones o reversión de provisiones y otros resultados</v>
      </c>
      <c r="B128" s="44">
        <v>-9866.666666666668</v>
      </c>
      <c r="C128" s="44">
        <v>-34912.64367816092</v>
      </c>
      <c r="D128" s="44">
        <v>5758.620689655174</v>
      </c>
      <c r="E128" s="45">
        <v>-4881.749369217832</v>
      </c>
      <c r="F128" s="44">
        <v>-4651.12227413696</v>
      </c>
      <c r="G128" s="44">
        <v>-22982.31144866449</v>
      </c>
      <c r="H128" s="44">
        <v>-10975.773252604022</v>
      </c>
      <c r="I128" s="44">
        <v>-25496.416403307747</v>
      </c>
    </row>
    <row r="129" spans="1:9" ht="15">
      <c r="A129" s="41" t="str">
        <f>HLOOKUP(INDICE!$F$2,Nombres!$C$3:$D$636,46,FALSE)</f>
        <v>Resultado antes de impuestos</v>
      </c>
      <c r="B129" s="41">
        <f>+B126+B127+B128</f>
        <v>356079.18431578967</v>
      </c>
      <c r="C129" s="41">
        <f aca="true" t="shared" si="21" ref="C129:I129">+C126+C127+C128</f>
        <v>276734.2015117965</v>
      </c>
      <c r="D129" s="41">
        <f t="shared" si="21"/>
        <v>318121.9890689651</v>
      </c>
      <c r="E129" s="42">
        <f t="shared" si="21"/>
        <v>260673.18290832674</v>
      </c>
      <c r="F129" s="52">
        <f t="shared" si="21"/>
        <v>339224.93944156915</v>
      </c>
      <c r="G129" s="52">
        <f t="shared" si="21"/>
        <v>396368.3319545684</v>
      </c>
      <c r="H129" s="52">
        <f t="shared" si="21"/>
        <v>405338.93629586016</v>
      </c>
      <c r="I129" s="52">
        <f t="shared" si="21"/>
        <v>343955.7227286334</v>
      </c>
    </row>
    <row r="130" spans="1:9" ht="15">
      <c r="A130" s="43" t="str">
        <f>HLOOKUP(INDICE!$F$2,Nombres!$C$3:$D$636,47,FALSE)</f>
        <v>Impuesto sobre beneficios</v>
      </c>
      <c r="B130" s="44">
        <v>-128132.10336842107</v>
      </c>
      <c r="C130" s="44">
        <v>-73201.95576950998</v>
      </c>
      <c r="D130" s="44">
        <v>-115924.84982758618</v>
      </c>
      <c r="E130" s="45">
        <v>-82759.8823933678</v>
      </c>
      <c r="F130" s="44">
        <v>-122778.10781989485</v>
      </c>
      <c r="G130" s="44">
        <v>-124542.52735685962</v>
      </c>
      <c r="H130" s="44">
        <v>-143140.25793674967</v>
      </c>
      <c r="I130" s="44">
        <v>-74884.43971001619</v>
      </c>
    </row>
    <row r="131" spans="1:9" ht="15">
      <c r="A131" s="41" t="str">
        <f>HLOOKUP(INDICE!$F$2,Nombres!$C$3:$D$636,48,FALSE)</f>
        <v>Resultado del ejercicio</v>
      </c>
      <c r="B131" s="41">
        <f>+B129+B130</f>
        <v>227947.08094736858</v>
      </c>
      <c r="C131" s="41">
        <f aca="true" t="shared" si="22" ref="C131:I131">+C129+C130</f>
        <v>203532.24574228653</v>
      </c>
      <c r="D131" s="41">
        <f t="shared" si="22"/>
        <v>202197.1392413789</v>
      </c>
      <c r="E131" s="42">
        <f t="shared" si="22"/>
        <v>177913.30051495892</v>
      </c>
      <c r="F131" s="52">
        <f t="shared" si="22"/>
        <v>216446.8316216743</v>
      </c>
      <c r="G131" s="52">
        <f t="shared" si="22"/>
        <v>271825.80459770875</v>
      </c>
      <c r="H131" s="52">
        <f t="shared" si="22"/>
        <v>262198.6783591105</v>
      </c>
      <c r="I131" s="52">
        <f t="shared" si="22"/>
        <v>269071.2830186172</v>
      </c>
    </row>
    <row r="132" spans="1:9" ht="15">
      <c r="A132" s="43" t="str">
        <f>HLOOKUP(INDICE!$F$2,Nombres!$C$3:$D$636,49,FALSE)</f>
        <v>Minoritarios</v>
      </c>
      <c r="B132" s="44">
        <v>-8892.438421052631</v>
      </c>
      <c r="C132" s="44">
        <v>-7298.154854809438</v>
      </c>
      <c r="D132" s="44">
        <v>-8124.826655172414</v>
      </c>
      <c r="E132" s="45">
        <v>-6153.666061996875</v>
      </c>
      <c r="F132" s="44">
        <v>-8322.582082567847</v>
      </c>
      <c r="G132" s="44">
        <v>-10359.691279354278</v>
      </c>
      <c r="H132" s="44">
        <v>-10018.901559776123</v>
      </c>
      <c r="I132" s="44">
        <v>-10336.083703776749</v>
      </c>
    </row>
    <row r="133" spans="1:9" ht="15">
      <c r="A133" s="47" t="str">
        <f>HLOOKUP(INDICE!$F$2,Nombres!$C$3:$D$636,50,FALSE)</f>
        <v>Resultado atribuido</v>
      </c>
      <c r="B133" s="47">
        <f>+B131+B132</f>
        <v>219054.64252631596</v>
      </c>
      <c r="C133" s="47">
        <f aca="true" t="shared" si="23" ref="C133:I133">+C131+C132</f>
        <v>196234.0908874771</v>
      </c>
      <c r="D133" s="47">
        <f t="shared" si="23"/>
        <v>194072.31258620648</v>
      </c>
      <c r="E133" s="47">
        <f t="shared" si="23"/>
        <v>171759.63445296203</v>
      </c>
      <c r="F133" s="53">
        <f t="shared" si="23"/>
        <v>208124.24953910644</v>
      </c>
      <c r="G133" s="53">
        <f t="shared" si="23"/>
        <v>261466.11331835447</v>
      </c>
      <c r="H133" s="53">
        <f t="shared" si="23"/>
        <v>252179.77679933436</v>
      </c>
      <c r="I133" s="53">
        <f t="shared" si="23"/>
        <v>258735.19931484043</v>
      </c>
    </row>
    <row r="134" spans="1:9" ht="15">
      <c r="A134" s="65"/>
      <c r="B134" s="66">
        <v>0</v>
      </c>
      <c r="C134" s="66">
        <v>0</v>
      </c>
      <c r="D134" s="66">
        <v>0</v>
      </c>
      <c r="E134" s="66">
        <v>0</v>
      </c>
      <c r="F134" s="66">
        <v>0</v>
      </c>
      <c r="G134" s="66">
        <v>0</v>
      </c>
      <c r="H134" s="66">
        <v>0</v>
      </c>
      <c r="I134" s="66">
        <v>0</v>
      </c>
    </row>
    <row r="135" spans="1:9" ht="15">
      <c r="A135" s="41"/>
      <c r="B135" s="41"/>
      <c r="C135" s="41"/>
      <c r="D135" s="41"/>
      <c r="E135" s="41"/>
      <c r="F135" s="52"/>
      <c r="G135" s="52"/>
      <c r="H135" s="52"/>
      <c r="I135" s="52"/>
    </row>
    <row r="136" spans="1:9" ht="18">
      <c r="A136" s="33" t="str">
        <f>HLOOKUP(INDICE!$F$2,Nombres!$C$3:$D$636,51,FALSE)</f>
        <v>Balances</v>
      </c>
      <c r="B136" s="34"/>
      <c r="C136" s="34"/>
      <c r="D136" s="34"/>
      <c r="E136" s="34"/>
      <c r="F136" s="72"/>
      <c r="G136" s="72"/>
      <c r="H136" s="72"/>
      <c r="I136" s="72"/>
    </row>
    <row r="137" spans="1:9" ht="15">
      <c r="A137" s="35" t="str">
        <f>HLOOKUP(INDICE!$F$2,Nombres!$C$3:$D$636,75,FALSE)</f>
        <v>(Millones de pesos colombianos)</v>
      </c>
      <c r="B137" s="30"/>
      <c r="C137" s="54"/>
      <c r="D137" s="54"/>
      <c r="E137" s="54"/>
      <c r="F137" s="73"/>
      <c r="G137" s="44"/>
      <c r="H137" s="44"/>
      <c r="I137" s="44"/>
    </row>
    <row r="138" spans="1:9" ht="15.75">
      <c r="A138" s="30"/>
      <c r="B138" s="55">
        <f aca="true" t="shared" si="24" ref="B138:I138">+B$30</f>
        <v>43190</v>
      </c>
      <c r="C138" s="55">
        <f t="shared" si="24"/>
        <v>43281</v>
      </c>
      <c r="D138" s="55">
        <f t="shared" si="24"/>
        <v>43373</v>
      </c>
      <c r="E138" s="71">
        <f t="shared" si="24"/>
        <v>43465</v>
      </c>
      <c r="F138" s="55">
        <f t="shared" si="24"/>
        <v>43555</v>
      </c>
      <c r="G138" s="55">
        <f t="shared" si="24"/>
        <v>43646</v>
      </c>
      <c r="H138" s="55">
        <f t="shared" si="24"/>
        <v>43738</v>
      </c>
      <c r="I138" s="55">
        <f t="shared" si="24"/>
        <v>43830</v>
      </c>
    </row>
    <row r="139" spans="1:9" ht="15">
      <c r="A139" s="43" t="str">
        <f>HLOOKUP(INDICE!$F$2,Nombres!$C$3:$D$636,52,FALSE)</f>
        <v>Efectivo, saldos en efectivo en bancos centrales y otros depósitos a la vista</v>
      </c>
      <c r="B139" s="44">
        <v>4164643.8356164386</v>
      </c>
      <c r="C139" s="44">
        <v>4320298.969072165</v>
      </c>
      <c r="D139" s="44">
        <v>2993463.667820069</v>
      </c>
      <c r="E139" s="45">
        <v>7945007.490636705</v>
      </c>
      <c r="F139" s="44">
        <v>6594621.198551635</v>
      </c>
      <c r="G139" s="44">
        <v>5617363.080117747</v>
      </c>
      <c r="H139" s="44">
        <v>4691569.951635196</v>
      </c>
      <c r="I139" s="44">
        <v>5230465.653322299</v>
      </c>
    </row>
    <row r="140" spans="1:9" ht="15">
      <c r="A140" s="43" t="str">
        <f>HLOOKUP(INDICE!$F$2,Nombres!$C$3:$D$636,53,FALSE)</f>
        <v>Activos financieros a valor razonable</v>
      </c>
      <c r="B140" s="60">
        <v>8012013.698630137</v>
      </c>
      <c r="C140" s="60">
        <v>8276924.398625428</v>
      </c>
      <c r="D140" s="60">
        <v>9946190.311418686</v>
      </c>
      <c r="E140" s="68">
        <v>9051951.310861424</v>
      </c>
      <c r="F140" s="44">
        <v>10717352.430950997</v>
      </c>
      <c r="G140" s="44">
        <v>11039512.523682656</v>
      </c>
      <c r="H140" s="44">
        <v>10871729.07265457</v>
      </c>
      <c r="I140" s="44">
        <v>10007965.78292168</v>
      </c>
    </row>
    <row r="141" spans="1:9" ht="15">
      <c r="A141" s="43" t="str">
        <f>HLOOKUP(INDICE!$F$2,Nombres!$C$3:$D$636,54,FALSE)</f>
        <v>Activos financieros a coste amortizado</v>
      </c>
      <c r="B141" s="44">
        <v>43948493.15068493</v>
      </c>
      <c r="C141" s="44">
        <v>44796975.94501717</v>
      </c>
      <c r="D141" s="44">
        <v>44749650.51903115</v>
      </c>
      <c r="E141" s="45">
        <v>45377955.05617978</v>
      </c>
      <c r="F141" s="44">
        <v>45926690.61357983</v>
      </c>
      <c r="G141" s="44">
        <v>46830897.46515895</v>
      </c>
      <c r="H141" s="44">
        <v>48478986.929711044</v>
      </c>
      <c r="I141" s="44">
        <v>49659518.56461916</v>
      </c>
    </row>
    <row r="142" spans="1:9" ht="15">
      <c r="A142" s="43" t="str">
        <f>HLOOKUP(INDICE!$F$2,Nombres!$C$3:$D$636,55,FALSE)</f>
        <v>    de los que préstamos y anticipos a la clientela</v>
      </c>
      <c r="B142" s="44">
        <v>42278089.0410959</v>
      </c>
      <c r="C142" s="44">
        <v>43101993.127147764</v>
      </c>
      <c r="D142" s="44">
        <v>43066048.44290658</v>
      </c>
      <c r="E142" s="45">
        <v>43480239.70037453</v>
      </c>
      <c r="F142" s="44">
        <v>43971255.2005257</v>
      </c>
      <c r="G142" s="44">
        <v>44851512.76451151</v>
      </c>
      <c r="H142" s="44">
        <v>46442972.53698233</v>
      </c>
      <c r="I142" s="44">
        <v>47576474.30113242</v>
      </c>
    </row>
    <row r="143" spans="1:9" ht="15">
      <c r="A143" s="43" t="str">
        <f>HLOOKUP(INDICE!$F$2,Nombres!$C$3:$D$636,56,FALSE)</f>
        <v>Activos tangibles</v>
      </c>
      <c r="B143" s="44">
        <v>313804.7945205479</v>
      </c>
      <c r="C143" s="44">
        <v>310670.10309278365</v>
      </c>
      <c r="D143" s="44">
        <v>311100.3460207614</v>
      </c>
      <c r="E143" s="45">
        <v>345850.18726591766</v>
      </c>
      <c r="F143" s="44">
        <v>536186.5091734398</v>
      </c>
      <c r="G143" s="44">
        <v>542674.4803059556</v>
      </c>
      <c r="H143" s="44">
        <v>544530.0302396887</v>
      </c>
      <c r="I143" s="44">
        <v>531014.152208057</v>
      </c>
    </row>
    <row r="144" spans="1:9" ht="15">
      <c r="A144" s="43" t="str">
        <f>HLOOKUP(INDICE!$F$2,Nombres!$C$3:$D$636,57,FALSE)</f>
        <v>Otros activos</v>
      </c>
      <c r="B144" s="60">
        <f>+B145-B143-B141-B140-B139</f>
        <v>1418164.3835616438</v>
      </c>
      <c r="C144" s="60">
        <f aca="true" t="shared" si="25" ref="C144:I144">+C145-C143-C141-C140-C139</f>
        <v>1416639.1752577238</v>
      </c>
      <c r="D144" s="60">
        <f t="shared" si="25"/>
        <v>1515391.0034602145</v>
      </c>
      <c r="E144" s="68">
        <f t="shared" si="25"/>
        <v>1158460.6741573</v>
      </c>
      <c r="F144" s="44">
        <f t="shared" si="25"/>
        <v>1292048.7706125593</v>
      </c>
      <c r="G144" s="44">
        <f t="shared" si="25"/>
        <v>1407435.269940814</v>
      </c>
      <c r="H144" s="44">
        <f t="shared" si="25"/>
        <v>1766633.261365681</v>
      </c>
      <c r="I144" s="44">
        <f t="shared" si="25"/>
        <v>1352461.2408578051</v>
      </c>
    </row>
    <row r="145" spans="1:9" ht="15">
      <c r="A145" s="47" t="str">
        <f>HLOOKUP(INDICE!$F$2,Nombres!$C$3:$D$636,58,FALSE)</f>
        <v>Total activo / pasivo</v>
      </c>
      <c r="B145" s="47">
        <v>57857119.8630137</v>
      </c>
      <c r="C145" s="47">
        <v>59121508.591065265</v>
      </c>
      <c r="D145" s="47">
        <v>59515795.84775088</v>
      </c>
      <c r="E145" s="47">
        <v>63879224.71910112</v>
      </c>
      <c r="F145" s="53">
        <v>65066899.52286846</v>
      </c>
      <c r="G145" s="53">
        <v>65437882.81920612</v>
      </c>
      <c r="H145" s="53">
        <v>66353449.24560618</v>
      </c>
      <c r="I145" s="53">
        <v>66781425.393929005</v>
      </c>
    </row>
    <row r="146" spans="1:9" ht="15">
      <c r="A146" s="43" t="str">
        <f>HLOOKUP(INDICE!$F$2,Nombres!$C$3:$D$636,59,FALSE)</f>
        <v>Pasivos financieros mantenidos para negociar y designados a valor razonable con cambios en resultados</v>
      </c>
      <c r="B146" s="60">
        <v>1305958.904109589</v>
      </c>
      <c r="C146" s="60">
        <v>1167189.0034364262</v>
      </c>
      <c r="D146" s="60">
        <v>1145269.8961937716</v>
      </c>
      <c r="E146" s="68">
        <v>4559239.700374532</v>
      </c>
      <c r="F146" s="44">
        <v>7758437.349822348</v>
      </c>
      <c r="G146" s="44">
        <v>6329472.7947441</v>
      </c>
      <c r="H146" s="44">
        <v>5392003.114745248</v>
      </c>
      <c r="I146" s="44">
        <v>6131371.399924636</v>
      </c>
    </row>
    <row r="147" spans="1:9" ht="15">
      <c r="A147" s="43" t="str">
        <f>HLOOKUP(INDICE!$F$2,Nombres!$C$3:$D$636,60,FALSE)</f>
        <v>Depósitos de bancos centrales y entidades de crédito</v>
      </c>
      <c r="B147" s="60">
        <v>1561924.6575342466</v>
      </c>
      <c r="C147" s="60">
        <v>1165298.969072165</v>
      </c>
      <c r="D147" s="60">
        <v>1147816.6089965398</v>
      </c>
      <c r="E147" s="68">
        <v>1329513.1086142324</v>
      </c>
      <c r="F147" s="44">
        <v>899467.4512117258</v>
      </c>
      <c r="G147" s="44">
        <v>1145772.6622172815</v>
      </c>
      <c r="H147" s="44">
        <v>1640892.1597869138</v>
      </c>
      <c r="I147" s="44">
        <v>2185917.5099848583</v>
      </c>
    </row>
    <row r="148" spans="1:9" ht="15">
      <c r="A148" s="43" t="str">
        <f>HLOOKUP(INDICE!$F$2,Nombres!$C$3:$D$636,61,FALSE)</f>
        <v>Depósitos de la clientela</v>
      </c>
      <c r="B148" s="60">
        <v>44696010.2739726</v>
      </c>
      <c r="C148" s="60">
        <v>46280563.57388316</v>
      </c>
      <c r="D148" s="60">
        <v>46455851.21107267</v>
      </c>
      <c r="E148" s="68">
        <v>46376790.26217229</v>
      </c>
      <c r="F148" s="44">
        <v>45461605.827669755</v>
      </c>
      <c r="G148" s="44">
        <v>46266708.843552865</v>
      </c>
      <c r="H148" s="44">
        <v>47329263.52620648</v>
      </c>
      <c r="I148" s="44">
        <v>46704174.1131777</v>
      </c>
    </row>
    <row r="149" spans="1:9" ht="15">
      <c r="A149" s="43" t="str">
        <f>HLOOKUP(INDICE!$F$2,Nombres!$C$3:$D$636,62,FALSE)</f>
        <v>Valores representativos de deuda emitidos</v>
      </c>
      <c r="B149" s="44">
        <v>2096441.780821918</v>
      </c>
      <c r="C149" s="44">
        <v>2185824.7422680412</v>
      </c>
      <c r="D149" s="44">
        <v>2109470.5882352944</v>
      </c>
      <c r="E149" s="45">
        <v>2227430.711610487</v>
      </c>
      <c r="F149" s="44">
        <v>2229890.287563755</v>
      </c>
      <c r="G149" s="44">
        <v>2252755.8330866466</v>
      </c>
      <c r="H149" s="44">
        <v>2239348.931387241</v>
      </c>
      <c r="I149" s="44">
        <v>2132785.537989693</v>
      </c>
    </row>
    <row r="150" spans="1:9" ht="15">
      <c r="A150" s="43" t="str">
        <f>HLOOKUP(INDICE!$F$2,Nombres!$C$3:$D$636,63,FALSE)</f>
        <v>Otros pasivos</v>
      </c>
      <c r="B150" s="60">
        <f>+B145-B146-B147-B148-B149-B151</f>
        <v>4830962.808219178</v>
      </c>
      <c r="C150" s="60">
        <f aca="true" t="shared" si="26" ref="C150:I150">+C145-C146-C147-C148-C149-C151</f>
        <v>4786097.182130564</v>
      </c>
      <c r="D150" s="60">
        <f t="shared" si="26"/>
        <v>5059775.8062283825</v>
      </c>
      <c r="E150" s="68">
        <f t="shared" si="26"/>
        <v>5547291.247565545</v>
      </c>
      <c r="F150" s="44">
        <f t="shared" si="26"/>
        <v>5035658.573590286</v>
      </c>
      <c r="G150" s="44">
        <f t="shared" si="26"/>
        <v>5840706.829526495</v>
      </c>
      <c r="H150" s="44">
        <f t="shared" si="26"/>
        <v>5956647.810050298</v>
      </c>
      <c r="I150" s="44">
        <f t="shared" si="26"/>
        <v>5833151.063021032</v>
      </c>
    </row>
    <row r="151" spans="1:9" ht="15">
      <c r="A151" s="43" t="str">
        <f>HLOOKUP(INDICE!$F$2,Nombres!$C$3:$D$636,64,FALSE)</f>
        <v>Dotación de capital económico</v>
      </c>
      <c r="B151" s="44">
        <v>3365821.438356165</v>
      </c>
      <c r="C151" s="44">
        <v>3536535.1202749126</v>
      </c>
      <c r="D151" s="44">
        <v>3597611.737024221</v>
      </c>
      <c r="E151" s="45">
        <v>3838959.688764045</v>
      </c>
      <c r="F151" s="44">
        <v>3681840.0330105876</v>
      </c>
      <c r="G151" s="44">
        <v>3602465.856078726</v>
      </c>
      <c r="H151" s="44">
        <v>3795293.7034299886</v>
      </c>
      <c r="I151" s="44">
        <v>3794025.7698310837</v>
      </c>
    </row>
    <row r="152" spans="1:9" ht="15">
      <c r="A152" s="65"/>
      <c r="B152" s="60"/>
      <c r="C152" s="60"/>
      <c r="D152" s="60"/>
      <c r="E152" s="60"/>
      <c r="F152" s="44"/>
      <c r="G152" s="44"/>
      <c r="H152" s="44"/>
      <c r="I152" s="44"/>
    </row>
    <row r="153" spans="1:9" ht="15">
      <c r="A153" s="43"/>
      <c r="B153" s="60"/>
      <c r="C153" s="60"/>
      <c r="D153" s="60"/>
      <c r="E153" s="60"/>
      <c r="F153" s="44"/>
      <c r="G153" s="44"/>
      <c r="H153" s="44"/>
      <c r="I153" s="44"/>
    </row>
    <row r="154" spans="1:9" ht="18">
      <c r="A154" s="33" t="str">
        <f>HLOOKUP(INDICE!$F$2,Nombres!$C$3:$D$636,65,FALSE)</f>
        <v>Indicadores relevantes y de gestión</v>
      </c>
      <c r="B154" s="34"/>
      <c r="C154" s="34"/>
      <c r="D154" s="34"/>
      <c r="E154" s="34"/>
      <c r="F154" s="72"/>
      <c r="G154" s="72"/>
      <c r="H154" s="72"/>
      <c r="I154" s="72"/>
    </row>
    <row r="155" spans="1:9" ht="15">
      <c r="A155" s="35" t="str">
        <f>HLOOKUP(INDICE!$F$2,Nombres!$C$3:$D$636,74,FALSE)</f>
        <v>(Millones de pesos mexicanos)</v>
      </c>
      <c r="B155" s="30"/>
      <c r="C155" s="30"/>
      <c r="D155" s="30"/>
      <c r="E155" s="30"/>
      <c r="F155" s="73"/>
      <c r="G155" s="44"/>
      <c r="H155" s="44"/>
      <c r="I155" s="44"/>
    </row>
    <row r="156" spans="1:9" ht="15.75" customHeight="1">
      <c r="A156" s="30"/>
      <c r="B156" s="55">
        <f aca="true" t="shared" si="27" ref="B156:I156">+B$30</f>
        <v>43190</v>
      </c>
      <c r="C156" s="55">
        <f t="shared" si="27"/>
        <v>43281</v>
      </c>
      <c r="D156" s="55">
        <f t="shared" si="27"/>
        <v>43373</v>
      </c>
      <c r="E156" s="71">
        <f t="shared" si="27"/>
        <v>43465</v>
      </c>
      <c r="F156" s="55">
        <f t="shared" si="27"/>
        <v>43555</v>
      </c>
      <c r="G156" s="55">
        <f t="shared" si="27"/>
        <v>43646</v>
      </c>
      <c r="H156" s="55">
        <f t="shared" si="27"/>
        <v>43738</v>
      </c>
      <c r="I156" s="55">
        <f t="shared" si="27"/>
        <v>43830</v>
      </c>
    </row>
    <row r="157" spans="1:9" ht="15.75" customHeight="1">
      <c r="A157" s="43" t="str">
        <f>HLOOKUP(INDICE!$F$2,Nombres!$C$3:$D$636,66,FALSE)</f>
        <v>Préstamos y anticipos a la clientela bruto (*)</v>
      </c>
      <c r="B157" s="44">
        <v>44533565.34715754</v>
      </c>
      <c r="C157" s="44">
        <v>45490768.36848797</v>
      </c>
      <c r="D157" s="44">
        <v>45642192.20401385</v>
      </c>
      <c r="E157" s="45">
        <v>46267252.96310861</v>
      </c>
      <c r="F157" s="44">
        <v>46513407.39125303</v>
      </c>
      <c r="G157" s="44">
        <v>47315124.19088198</v>
      </c>
      <c r="H157" s="44">
        <v>48790700.3708109</v>
      </c>
      <c r="I157" s="44">
        <v>50046015.794892386</v>
      </c>
    </row>
    <row r="158" spans="1:9" ht="15.75" customHeight="1">
      <c r="A158" s="43" t="str">
        <f>HLOOKUP(INDICE!$F$2,Nombres!$C$3:$D$636,67,FALSE)</f>
        <v>Depósitos de clientes en gestión (**)</v>
      </c>
      <c r="B158" s="44">
        <v>44655739.60178082</v>
      </c>
      <c r="C158" s="44">
        <v>45696715.3494158</v>
      </c>
      <c r="D158" s="44">
        <v>46530852.94387544</v>
      </c>
      <c r="E158" s="45">
        <v>46979151.95681649</v>
      </c>
      <c r="F158" s="44">
        <v>45883736.31715308</v>
      </c>
      <c r="G158" s="44">
        <v>46304622.63882934</v>
      </c>
      <c r="H158" s="44">
        <v>47364718.16735181</v>
      </c>
      <c r="I158" s="44">
        <v>46739661.746595256</v>
      </c>
    </row>
    <row r="159" spans="1:9" ht="15.75" customHeight="1">
      <c r="A159" s="43" t="str">
        <f>HLOOKUP(INDICE!$F$2,Nombres!$C$3:$D$636,68,FALSE)</f>
        <v>Fondos de inversión</v>
      </c>
      <c r="B159" s="44">
        <v>4306380.715239726</v>
      </c>
      <c r="C159" s="44">
        <v>4374044.784948453</v>
      </c>
      <c r="D159" s="44">
        <v>4862385.928373703</v>
      </c>
      <c r="E159" s="45">
        <v>4819345.749775281</v>
      </c>
      <c r="F159" s="44">
        <v>5195507.447922541</v>
      </c>
      <c r="G159" s="44">
        <v>5205700.76816364</v>
      </c>
      <c r="H159" s="44">
        <v>5551786.73532597</v>
      </c>
      <c r="I159" s="44">
        <v>5114070.789016301</v>
      </c>
    </row>
    <row r="160" spans="1:9" ht="15.75" customHeight="1">
      <c r="A160" s="43" t="str">
        <f>HLOOKUP(INDICE!$F$2,Nombres!$C$3:$D$636,69,FALSE)</f>
        <v>Fondos de pensiones</v>
      </c>
      <c r="B160" s="44" t="s">
        <v>400</v>
      </c>
      <c r="C160" s="44" t="s">
        <v>400</v>
      </c>
      <c r="D160" s="44" t="s">
        <v>400</v>
      </c>
      <c r="E160" s="45" t="s">
        <v>400</v>
      </c>
      <c r="F160" s="44" t="s">
        <v>400</v>
      </c>
      <c r="G160" s="44" t="s">
        <v>400</v>
      </c>
      <c r="H160" s="44" t="s">
        <v>400</v>
      </c>
      <c r="I160" s="44" t="s">
        <v>400</v>
      </c>
    </row>
    <row r="161" spans="1:9" ht="15">
      <c r="A161" s="43" t="str">
        <f>HLOOKUP(INDICE!$F$2,Nombres!$C$3:$D$636,70,FALSE)</f>
        <v>Otros recursos fuera de balance</v>
      </c>
      <c r="B161" s="44" t="s">
        <v>400</v>
      </c>
      <c r="C161" s="44" t="s">
        <v>400</v>
      </c>
      <c r="D161" s="44" t="s">
        <v>400</v>
      </c>
      <c r="E161" s="45" t="s">
        <v>400</v>
      </c>
      <c r="F161" s="44" t="s">
        <v>400</v>
      </c>
      <c r="G161" s="44" t="s">
        <v>400</v>
      </c>
      <c r="H161" s="44" t="s">
        <v>400</v>
      </c>
      <c r="I161" s="44" t="s">
        <v>400</v>
      </c>
    </row>
    <row r="162" spans="1:9" ht="15">
      <c r="A162" s="65" t="str">
        <f>HLOOKUP(INDICE!$F$2,Nombres!$C$3:$D$636,71,FALSE)</f>
        <v>(*) No incluye las adquisiciones temporales de activos.</v>
      </c>
      <c r="B162" s="60"/>
      <c r="C162" s="60"/>
      <c r="D162" s="60"/>
      <c r="E162" s="60"/>
      <c r="F162" s="44"/>
      <c r="G162" s="44"/>
      <c r="H162" s="44"/>
      <c r="I162" s="44"/>
    </row>
    <row r="163" spans="1:9" ht="15">
      <c r="A163" s="65" t="str">
        <f>HLOOKUP(INDICE!$F$2,Nombres!$C$3:$D$636,72,FALSE)</f>
        <v>(**) No incluye las cesiones temporales de activos.</v>
      </c>
      <c r="B163" s="30"/>
      <c r="C163" s="30"/>
      <c r="D163" s="30"/>
      <c r="E163" s="30"/>
      <c r="F163" s="30"/>
      <c r="G163" s="30"/>
      <c r="H163" s="30"/>
      <c r="I163" s="30"/>
    </row>
    <row r="164" spans="1:9" ht="15">
      <c r="A164" s="30"/>
      <c r="B164" s="30"/>
      <c r="C164" s="30"/>
      <c r="D164" s="30"/>
      <c r="E164" s="30"/>
      <c r="F164" s="30"/>
      <c r="G164" s="30"/>
      <c r="H164" s="30"/>
      <c r="I164" s="30"/>
    </row>
    <row r="165" spans="1:9" ht="15">
      <c r="A165" s="30"/>
      <c r="B165" s="30"/>
      <c r="C165" s="30"/>
      <c r="D165" s="30"/>
      <c r="E165" s="30"/>
      <c r="F165" s="30"/>
      <c r="G165" s="30"/>
      <c r="H165" s="30"/>
      <c r="I165" s="30"/>
    </row>
    <row r="166" spans="1:9" ht="15">
      <c r="A166" s="77"/>
      <c r="B166" s="78"/>
      <c r="C166" s="79"/>
      <c r="D166" s="79"/>
      <c r="E166" s="79"/>
      <c r="F166" s="78"/>
      <c r="G166" s="78"/>
      <c r="H166" s="78"/>
      <c r="I166" s="78"/>
    </row>
    <row r="167" spans="1:15" ht="15">
      <c r="A167" s="77"/>
      <c r="B167" s="78"/>
      <c r="C167" s="79"/>
      <c r="D167" s="79"/>
      <c r="E167" s="79"/>
      <c r="F167" s="78"/>
      <c r="G167" s="78"/>
      <c r="H167" s="78"/>
      <c r="I167" s="78"/>
      <c r="J167" s="78"/>
      <c r="K167" s="78"/>
      <c r="L167" s="78"/>
      <c r="M167" s="78"/>
      <c r="N167" s="78"/>
      <c r="O167" s="78"/>
    </row>
    <row r="168" spans="1:15" ht="15">
      <c r="A168" s="78"/>
      <c r="B168" s="78"/>
      <c r="C168" s="78"/>
      <c r="D168" s="78"/>
      <c r="E168" s="78"/>
      <c r="F168" s="78"/>
      <c r="G168" s="78"/>
      <c r="H168" s="78"/>
      <c r="I168" s="78"/>
      <c r="J168" s="78"/>
      <c r="K168" s="78"/>
      <c r="L168" s="78"/>
      <c r="M168" s="78"/>
      <c r="N168" s="78"/>
      <c r="O168" s="78"/>
    </row>
    <row r="169" spans="1:15" ht="15">
      <c r="A169" s="78"/>
      <c r="B169" s="78"/>
      <c r="C169" s="78"/>
      <c r="D169" s="78"/>
      <c r="E169" s="78"/>
      <c r="F169" s="78"/>
      <c r="G169" s="78"/>
      <c r="H169" s="78"/>
      <c r="I169" s="78"/>
      <c r="J169" s="78"/>
      <c r="K169" s="78"/>
      <c r="L169" s="78"/>
      <c r="M169" s="78"/>
      <c r="N169" s="78"/>
      <c r="O169" s="78"/>
    </row>
    <row r="170" spans="1:15" ht="15">
      <c r="A170" s="78"/>
      <c r="B170" s="78"/>
      <c r="C170" s="78"/>
      <c r="D170" s="78"/>
      <c r="E170" s="78"/>
      <c r="F170" s="78"/>
      <c r="G170" s="78"/>
      <c r="H170" s="78"/>
      <c r="I170" s="78"/>
      <c r="J170" s="78"/>
      <c r="K170" s="78"/>
      <c r="L170" s="78"/>
      <c r="M170" s="78"/>
      <c r="N170" s="78"/>
      <c r="O170" s="78"/>
    </row>
    <row r="171" spans="1:15" ht="15">
      <c r="A171" s="78"/>
      <c r="B171" s="78"/>
      <c r="C171" s="78"/>
      <c r="D171" s="78"/>
      <c r="E171" s="78"/>
      <c r="F171" s="78"/>
      <c r="G171" s="78"/>
      <c r="H171" s="78"/>
      <c r="I171" s="78"/>
      <c r="J171" s="78"/>
      <c r="K171" s="78"/>
      <c r="L171" s="78"/>
      <c r="M171" s="78"/>
      <c r="N171" s="78"/>
      <c r="O171" s="78"/>
    </row>
    <row r="172" spans="1:15" ht="15">
      <c r="A172" s="78"/>
      <c r="B172" s="78"/>
      <c r="C172" s="78"/>
      <c r="D172" s="78"/>
      <c r="E172" s="78"/>
      <c r="F172" s="78"/>
      <c r="G172" s="78"/>
      <c r="H172" s="78"/>
      <c r="I172" s="78"/>
      <c r="J172" s="78"/>
      <c r="K172" s="78"/>
      <c r="L172" s="78"/>
      <c r="M172" s="78"/>
      <c r="N172" s="78"/>
      <c r="O172" s="78"/>
    </row>
    <row r="173" spans="1:15" ht="15">
      <c r="A173" s="78"/>
      <c r="B173" s="78"/>
      <c r="C173" s="78"/>
      <c r="D173" s="78"/>
      <c r="E173" s="78"/>
      <c r="F173" s="78"/>
      <c r="G173" s="78"/>
      <c r="H173" s="78"/>
      <c r="I173" s="78"/>
      <c r="J173" s="78"/>
      <c r="K173" s="78"/>
      <c r="L173" s="78"/>
      <c r="M173" s="78"/>
      <c r="N173" s="78"/>
      <c r="O173" s="78"/>
    </row>
    <row r="174" spans="1:15" ht="15">
      <c r="A174" s="78"/>
      <c r="B174" s="78"/>
      <c r="C174" s="78"/>
      <c r="D174" s="78"/>
      <c r="E174" s="78"/>
      <c r="F174" s="78"/>
      <c r="G174" s="78"/>
      <c r="H174" s="78"/>
      <c r="I174" s="78"/>
      <c r="J174" s="78"/>
      <c r="K174" s="78"/>
      <c r="L174" s="78"/>
      <c r="M174" s="78"/>
      <c r="N174" s="78"/>
      <c r="O174" s="78"/>
    </row>
    <row r="1000" ht="15">
      <c r="A1000" s="31" t="s">
        <v>399</v>
      </c>
    </row>
  </sheetData>
  <sheetProtection/>
  <mergeCells count="6">
    <mergeCell ref="B6:E6"/>
    <mergeCell ref="B60:E60"/>
    <mergeCell ref="B114:E114"/>
    <mergeCell ref="F6:I6"/>
    <mergeCell ref="F60:I60"/>
    <mergeCell ref="F114:I114"/>
  </mergeCells>
  <conditionalFormatting sqref="B26:I26">
    <cfRule type="cellIs" priority="3" dxfId="116" operator="notBetween">
      <formula>0.5</formula>
      <formula>-0.5</formula>
    </cfRule>
  </conditionalFormatting>
  <conditionalFormatting sqref="B80:I80">
    <cfRule type="cellIs" priority="2" dxfId="116" operator="notBetween">
      <formula>0.5</formula>
      <formula>-0.5</formula>
    </cfRule>
  </conditionalFormatting>
  <conditionalFormatting sqref="B134:I134">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K16" sqref="K16"/>
    </sheetView>
  </sheetViews>
  <sheetFormatPr defaultColWidth="11.421875" defaultRowHeight="15"/>
  <cols>
    <col min="1" max="1" width="62.00390625" style="31" customWidth="1"/>
    <col min="2" max="16384" width="11.421875" style="31" customWidth="1"/>
  </cols>
  <sheetData>
    <row r="1" spans="1:9" ht="18">
      <c r="A1" s="29" t="str">
        <f>HLOOKUP(INDICE!$F$2,Nombres!$C$3:$D$636,17,FALSE)</f>
        <v>Perú</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180.46999999999997</v>
      </c>
      <c r="C8" s="41">
        <v>195.467</v>
      </c>
      <c r="D8" s="41">
        <v>209.88</v>
      </c>
      <c r="E8" s="42">
        <v>219.97500000000005</v>
      </c>
      <c r="F8" s="52">
        <v>218.83299999999997</v>
      </c>
      <c r="G8" s="52">
        <v>229.08200000000002</v>
      </c>
      <c r="H8" s="52">
        <v>233.16599999999997</v>
      </c>
      <c r="I8" s="52">
        <v>217.00999999999996</v>
      </c>
    </row>
    <row r="9" spans="1:9" ht="15">
      <c r="A9" s="43" t="str">
        <f>HLOOKUP(INDICE!$F$2,Nombres!$C$3:$D$636,34,FALSE)</f>
        <v>Comisiones netas</v>
      </c>
      <c r="B9" s="44">
        <v>48.609556</v>
      </c>
      <c r="C9" s="44">
        <v>56.107529080000006</v>
      </c>
      <c r="D9" s="44">
        <v>53.329565190000004</v>
      </c>
      <c r="E9" s="45">
        <v>60.71410476000001</v>
      </c>
      <c r="F9" s="44">
        <v>54.212464</v>
      </c>
      <c r="G9" s="44">
        <v>59.723424230000006</v>
      </c>
      <c r="H9" s="44">
        <v>60.343765149999996</v>
      </c>
      <c r="I9" s="44">
        <v>57.35718100000001</v>
      </c>
    </row>
    <row r="10" spans="1:9" ht="15">
      <c r="A10" s="43" t="str">
        <f>HLOOKUP(INDICE!$F$2,Nombres!$C$3:$D$636,35,FALSE)</f>
        <v>Resultados de operaciones financieras</v>
      </c>
      <c r="B10" s="44">
        <v>34.7664038</v>
      </c>
      <c r="C10" s="44">
        <v>35.93113598</v>
      </c>
      <c r="D10" s="44">
        <v>30.952788899999994</v>
      </c>
      <c r="E10" s="45">
        <v>36.40031363</v>
      </c>
      <c r="F10" s="44">
        <v>39.00941698</v>
      </c>
      <c r="G10" s="44">
        <v>43.514136579999985</v>
      </c>
      <c r="H10" s="44">
        <v>44.34252119000001</v>
      </c>
      <c r="I10" s="44">
        <v>53.315698019999985</v>
      </c>
    </row>
    <row r="11" spans="1:9" ht="15">
      <c r="A11" s="43" t="str">
        <f>HLOOKUP(INDICE!$F$2,Nombres!$C$3:$D$636,36,FALSE)</f>
        <v>Otros ingresos y cargas de explotación</v>
      </c>
      <c r="B11" s="44">
        <v>-2.9189999999999996</v>
      </c>
      <c r="C11" s="44">
        <v>-5.159</v>
      </c>
      <c r="D11" s="44">
        <v>-3.8139999999999996</v>
      </c>
      <c r="E11" s="45">
        <v>-10.850000000000001</v>
      </c>
      <c r="F11" s="44">
        <v>-6.357000000000001</v>
      </c>
      <c r="G11" s="44">
        <v>-4.744999999999998</v>
      </c>
      <c r="H11" s="44">
        <v>-5.767</v>
      </c>
      <c r="I11" s="44">
        <v>-5.224000000000001</v>
      </c>
    </row>
    <row r="12" spans="1:9" ht="15">
      <c r="A12" s="41" t="str">
        <f>HLOOKUP(INDICE!$F$2,Nombres!$C$3:$D$636,37,FALSE)</f>
        <v>Margen bruto</v>
      </c>
      <c r="B12" s="41">
        <f>+SUM(B8:B11)</f>
        <v>260.92695979999996</v>
      </c>
      <c r="C12" s="41">
        <f aca="true" t="shared" si="0" ref="C12:I12">+SUM(C8:C11)</f>
        <v>282.34666506</v>
      </c>
      <c r="D12" s="41">
        <f t="shared" si="0"/>
        <v>290.34835408999993</v>
      </c>
      <c r="E12" s="42">
        <f t="shared" si="0"/>
        <v>306.2394183900001</v>
      </c>
      <c r="F12" s="52">
        <f t="shared" si="0"/>
        <v>305.69788098</v>
      </c>
      <c r="G12" s="52">
        <f t="shared" si="0"/>
        <v>327.57456081</v>
      </c>
      <c r="H12" s="52">
        <f t="shared" si="0"/>
        <v>332.08528634</v>
      </c>
      <c r="I12" s="52">
        <f t="shared" si="0"/>
        <v>322.45887902</v>
      </c>
    </row>
    <row r="13" spans="1:9" ht="15">
      <c r="A13" s="43" t="str">
        <f>HLOOKUP(INDICE!$F$2,Nombres!$C$3:$D$636,38,FALSE)</f>
        <v>Gastos de explotación</v>
      </c>
      <c r="B13" s="44">
        <v>-98.47694619</v>
      </c>
      <c r="C13" s="44">
        <v>-100.75494688999999</v>
      </c>
      <c r="D13" s="44">
        <v>-103.52100152999998</v>
      </c>
      <c r="E13" s="45">
        <v>-107.56030057999999</v>
      </c>
      <c r="F13" s="44">
        <v>-112.10374906999999</v>
      </c>
      <c r="G13" s="44">
        <v>-111.82075</v>
      </c>
      <c r="H13" s="44">
        <v>-116.94703100000001</v>
      </c>
      <c r="I13" s="44">
        <v>-119.65175000000002</v>
      </c>
    </row>
    <row r="14" spans="1:9" ht="15">
      <c r="A14" s="43" t="str">
        <f>HLOOKUP(INDICE!$F$2,Nombres!$C$3:$D$636,39,FALSE)</f>
        <v>  Gastos de administración</v>
      </c>
      <c r="B14" s="44">
        <v>-89.35794619</v>
      </c>
      <c r="C14" s="44">
        <v>-90.98494689</v>
      </c>
      <c r="D14" s="44">
        <v>-93.26400152999999</v>
      </c>
      <c r="E14" s="45">
        <v>-97.95130058</v>
      </c>
      <c r="F14" s="44">
        <v>-95.06574907</v>
      </c>
      <c r="G14" s="44">
        <v>-95.47075</v>
      </c>
      <c r="H14" s="44">
        <v>-100.37403100000002</v>
      </c>
      <c r="I14" s="44">
        <v>-103.82875000000004</v>
      </c>
    </row>
    <row r="15" spans="1:9" ht="15">
      <c r="A15" s="46" t="str">
        <f>HLOOKUP(INDICE!$F$2,Nombres!$C$3:$D$636,40,FALSE)</f>
        <v>  Gastos de personal</v>
      </c>
      <c r="B15" s="44">
        <v>-48.15899999999999</v>
      </c>
      <c r="C15" s="44">
        <v>-48.892999999999994</v>
      </c>
      <c r="D15" s="44">
        <v>-50.33705467</v>
      </c>
      <c r="E15" s="45">
        <v>-54.58699999999999</v>
      </c>
      <c r="F15" s="44">
        <v>-54.10799999999999</v>
      </c>
      <c r="G15" s="44">
        <v>-53.448</v>
      </c>
      <c r="H15" s="44">
        <v>-56.649</v>
      </c>
      <c r="I15" s="44">
        <v>-62.384</v>
      </c>
    </row>
    <row r="16" spans="1:9" ht="15">
      <c r="A16" s="46" t="str">
        <f>HLOOKUP(INDICE!$F$2,Nombres!$C$3:$D$636,41,FALSE)</f>
        <v>  Otros gastos de administración</v>
      </c>
      <c r="B16" s="44">
        <v>-41.19894619</v>
      </c>
      <c r="C16" s="44">
        <v>-42.09194689</v>
      </c>
      <c r="D16" s="44">
        <v>-42.92694685999998</v>
      </c>
      <c r="E16" s="45">
        <v>-43.36430058</v>
      </c>
      <c r="F16" s="44">
        <v>-40.957749070000006</v>
      </c>
      <c r="G16" s="44">
        <v>-42.02275</v>
      </c>
      <c r="H16" s="44">
        <v>-43.725031000000016</v>
      </c>
      <c r="I16" s="44">
        <v>-41.44475000000003</v>
      </c>
    </row>
    <row r="17" spans="1:9" ht="15">
      <c r="A17" s="43" t="str">
        <f>HLOOKUP(INDICE!$F$2,Nombres!$C$3:$D$636,42,FALSE)</f>
        <v>  Amortización</v>
      </c>
      <c r="B17" s="44">
        <v>-9.119</v>
      </c>
      <c r="C17" s="44">
        <v>-9.770000000000001</v>
      </c>
      <c r="D17" s="44">
        <v>-10.256999999999998</v>
      </c>
      <c r="E17" s="45">
        <v>-9.609</v>
      </c>
      <c r="F17" s="44">
        <v>-17.038</v>
      </c>
      <c r="G17" s="44">
        <v>-16.349999999999998</v>
      </c>
      <c r="H17" s="44">
        <v>-16.573</v>
      </c>
      <c r="I17" s="44">
        <v>-15.823000000000002</v>
      </c>
    </row>
    <row r="18" spans="1:9" ht="15">
      <c r="A18" s="41" t="str">
        <f>HLOOKUP(INDICE!$F$2,Nombres!$C$3:$D$636,43,FALSE)</f>
        <v>Margen neto</v>
      </c>
      <c r="B18" s="41">
        <f>+B12+B13</f>
        <v>162.45001360999996</v>
      </c>
      <c r="C18" s="41">
        <f aca="true" t="shared" si="1" ref="C18:I18">+C12+C13</f>
        <v>181.59171817000004</v>
      </c>
      <c r="D18" s="41">
        <f t="shared" si="1"/>
        <v>186.82735255999995</v>
      </c>
      <c r="E18" s="42">
        <f t="shared" si="1"/>
        <v>198.6791178100001</v>
      </c>
      <c r="F18" s="52">
        <f t="shared" si="1"/>
        <v>193.59413191</v>
      </c>
      <c r="G18" s="52">
        <f t="shared" si="1"/>
        <v>215.75381080999998</v>
      </c>
      <c r="H18" s="52">
        <f t="shared" si="1"/>
        <v>215.13825533999997</v>
      </c>
      <c r="I18" s="52">
        <f t="shared" si="1"/>
        <v>202.80712901999996</v>
      </c>
    </row>
    <row r="19" spans="1:9" ht="15">
      <c r="A19" s="43" t="str">
        <f>HLOOKUP(INDICE!$F$2,Nombres!$C$3:$D$636,44,FALSE)</f>
        <v>Deterioro de activos financieros no valorados a valor razonable con cambios en resultados</v>
      </c>
      <c r="B19" s="44">
        <v>-51.772000009999985</v>
      </c>
      <c r="C19" s="44">
        <v>-33.05399994999999</v>
      </c>
      <c r="D19" s="44">
        <v>-55.41700002999998</v>
      </c>
      <c r="E19" s="45">
        <v>6.5529999499999825</v>
      </c>
      <c r="F19" s="44">
        <v>-56.88899999999999</v>
      </c>
      <c r="G19" s="44">
        <v>-62.55699999999997</v>
      </c>
      <c r="H19" s="44">
        <v>-48.21899999999997</v>
      </c>
      <c r="I19" s="44">
        <v>-52.09900000000008</v>
      </c>
    </row>
    <row r="20" spans="1:9" ht="15">
      <c r="A20" s="43" t="str">
        <f>HLOOKUP(INDICE!$F$2,Nombres!$C$3:$D$636,45,FALSE)</f>
        <v>Provisiones o reversión de provisiones y otros resultados</v>
      </c>
      <c r="B20" s="44">
        <v>-0.12799997000000074</v>
      </c>
      <c r="C20" s="44">
        <v>-2.617000019999998</v>
      </c>
      <c r="D20" s="44">
        <v>-1.3930000199999966</v>
      </c>
      <c r="E20" s="45">
        <v>-14.406999980000005</v>
      </c>
      <c r="F20" s="44">
        <v>-3.814000000000001</v>
      </c>
      <c r="G20" s="44">
        <v>11.482999999999997</v>
      </c>
      <c r="H20" s="44">
        <v>3.803000000000002</v>
      </c>
      <c r="I20" s="44">
        <v>-10.352000000000002</v>
      </c>
    </row>
    <row r="21" spans="1:9" ht="15">
      <c r="A21" s="41" t="str">
        <f>HLOOKUP(INDICE!$F$2,Nombres!$C$3:$D$636,46,FALSE)</f>
        <v>Resultado antes de impuestos</v>
      </c>
      <c r="B21" s="41">
        <f>+B18+B19+B20</f>
        <v>110.55001362999997</v>
      </c>
      <c r="C21" s="41">
        <f aca="true" t="shared" si="2" ref="C21:I21">+C18+C19+C20</f>
        <v>145.92071820000004</v>
      </c>
      <c r="D21" s="41">
        <f t="shared" si="2"/>
        <v>130.01735250999997</v>
      </c>
      <c r="E21" s="42">
        <f t="shared" si="2"/>
        <v>190.82511778000008</v>
      </c>
      <c r="F21" s="52">
        <f t="shared" si="2"/>
        <v>132.89113191</v>
      </c>
      <c r="G21" s="52">
        <f t="shared" si="2"/>
        <v>164.67981081000002</v>
      </c>
      <c r="H21" s="52">
        <f t="shared" si="2"/>
        <v>170.72225534</v>
      </c>
      <c r="I21" s="52">
        <f t="shared" si="2"/>
        <v>140.35612901999988</v>
      </c>
    </row>
    <row r="22" spans="1:9" ht="15">
      <c r="A22" s="43" t="str">
        <f>HLOOKUP(INDICE!$F$2,Nombres!$C$3:$D$636,47,FALSE)</f>
        <v>Impuesto sobre beneficios</v>
      </c>
      <c r="B22" s="44">
        <v>-32.75774802000001</v>
      </c>
      <c r="C22" s="44">
        <v>-41.82931102</v>
      </c>
      <c r="D22" s="44">
        <v>-37.819106250000004</v>
      </c>
      <c r="E22" s="45">
        <v>-48.77556627000001</v>
      </c>
      <c r="F22" s="44">
        <v>-38.98559594</v>
      </c>
      <c r="G22" s="44">
        <v>-46.88877915</v>
      </c>
      <c r="H22" s="44">
        <v>-49.31047921</v>
      </c>
      <c r="I22" s="44">
        <v>-35.90114869999999</v>
      </c>
    </row>
    <row r="23" spans="1:9" ht="15">
      <c r="A23" s="41" t="str">
        <f>HLOOKUP(INDICE!$F$2,Nombres!$C$3:$D$636,48,FALSE)</f>
        <v>Resultado del ejercicio</v>
      </c>
      <c r="B23" s="41">
        <f>+B21+B22</f>
        <v>77.79226560999996</v>
      </c>
      <c r="C23" s="41">
        <f aca="true" t="shared" si="3" ref="C23:I23">+C21+C22</f>
        <v>104.09140718000003</v>
      </c>
      <c r="D23" s="41">
        <f t="shared" si="3"/>
        <v>92.19824625999996</v>
      </c>
      <c r="E23" s="42">
        <f t="shared" si="3"/>
        <v>142.04955151000007</v>
      </c>
      <c r="F23" s="52">
        <f t="shared" si="3"/>
        <v>93.90553597000002</v>
      </c>
      <c r="G23" s="52">
        <f t="shared" si="3"/>
        <v>117.79103166000002</v>
      </c>
      <c r="H23" s="52">
        <f t="shared" si="3"/>
        <v>121.41177613</v>
      </c>
      <c r="I23" s="52">
        <f t="shared" si="3"/>
        <v>104.45498031999989</v>
      </c>
    </row>
    <row r="24" spans="1:9" ht="15">
      <c r="A24" s="43" t="str">
        <f>HLOOKUP(INDICE!$F$2,Nombres!$C$3:$D$636,49,FALSE)</f>
        <v>Minoritarios</v>
      </c>
      <c r="B24" s="44">
        <v>-42.561408379999996</v>
      </c>
      <c r="C24" s="44">
        <v>-56.639250950000005</v>
      </c>
      <c r="D24" s="44">
        <v>-50.03899091000001</v>
      </c>
      <c r="E24" s="45">
        <v>-76.35853157999999</v>
      </c>
      <c r="F24" s="44">
        <v>-51.15578841999999</v>
      </c>
      <c r="G24" s="44">
        <v>-63.03337838000001</v>
      </c>
      <c r="H24" s="44">
        <v>-65.60818380999999</v>
      </c>
      <c r="I24" s="44">
        <v>-56.03043084</v>
      </c>
    </row>
    <row r="25" spans="1:9" ht="15">
      <c r="A25" s="47" t="str">
        <f>HLOOKUP(INDICE!$F$2,Nombres!$C$3:$D$636,50,FALSE)</f>
        <v>Resultado atribuido</v>
      </c>
      <c r="B25" s="47">
        <f>+B23+B24</f>
        <v>35.23085722999996</v>
      </c>
      <c r="C25" s="47">
        <f aca="true" t="shared" si="4" ref="C25:I25">+C23+C24</f>
        <v>47.45215623000003</v>
      </c>
      <c r="D25" s="47">
        <f t="shared" si="4"/>
        <v>42.15925534999995</v>
      </c>
      <c r="E25" s="47">
        <f t="shared" si="4"/>
        <v>65.69101993000008</v>
      </c>
      <c r="F25" s="53">
        <f t="shared" si="4"/>
        <v>42.74974755000002</v>
      </c>
      <c r="G25" s="53">
        <f t="shared" si="4"/>
        <v>54.75765328000001</v>
      </c>
      <c r="H25" s="53">
        <f t="shared" si="4"/>
        <v>55.80359232000002</v>
      </c>
      <c r="I25" s="53">
        <f t="shared" si="4"/>
        <v>48.42454947999989</v>
      </c>
    </row>
    <row r="26" spans="1:9" ht="15">
      <c r="A26" s="65"/>
      <c r="B26" s="66">
        <v>-5.684341886080802E-14</v>
      </c>
      <c r="C26" s="66">
        <v>0</v>
      </c>
      <c r="D26" s="66">
        <v>0</v>
      </c>
      <c r="E26" s="66">
        <v>0</v>
      </c>
      <c r="F26" s="66">
        <v>0</v>
      </c>
      <c r="G26" s="66">
        <v>-5.684341886080802E-14</v>
      </c>
      <c r="H26" s="66">
        <v>0</v>
      </c>
      <c r="I26" s="66">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4"/>
      <c r="D29" s="54"/>
      <c r="E29" s="54"/>
      <c r="F29" s="30"/>
      <c r="G29" s="60"/>
      <c r="H29" s="60"/>
      <c r="I29" s="60"/>
    </row>
    <row r="30" spans="1:9" ht="15.75">
      <c r="A30" s="30"/>
      <c r="B30" s="55">
        <f>+España!B30</f>
        <v>43190</v>
      </c>
      <c r="C30" s="55">
        <f>+España!C30</f>
        <v>43281</v>
      </c>
      <c r="D30" s="55">
        <f>+España!D30</f>
        <v>43373</v>
      </c>
      <c r="E30" s="71">
        <f>+España!E30</f>
        <v>43465</v>
      </c>
      <c r="F30" s="80">
        <f>+España!F30</f>
        <v>43555</v>
      </c>
      <c r="G30" s="80">
        <f>+España!G30</f>
        <v>43646</v>
      </c>
      <c r="H30" s="80">
        <f>+España!H30</f>
        <v>43738</v>
      </c>
      <c r="I30" s="80">
        <f>+España!I30</f>
        <v>43830</v>
      </c>
    </row>
    <row r="31" spans="1:9" ht="15">
      <c r="A31" s="43" t="str">
        <f>HLOOKUP(INDICE!$F$2,Nombres!$C$3:$D$636,52,FALSE)</f>
        <v>Efectivo, saldos en efectivo en bancos centrales y otros depósitos a la vista</v>
      </c>
      <c r="B31" s="44">
        <v>2640.03</v>
      </c>
      <c r="C31" s="44">
        <v>2563.375</v>
      </c>
      <c r="D31" s="44">
        <v>2307.9759999999997</v>
      </c>
      <c r="E31" s="45">
        <v>3013.6090000000004</v>
      </c>
      <c r="F31" s="44">
        <v>3349.662</v>
      </c>
      <c r="G31" s="44">
        <v>2659.3909999999996</v>
      </c>
      <c r="H31" s="44">
        <v>2804.511</v>
      </c>
      <c r="I31" s="44">
        <v>3363.766</v>
      </c>
    </row>
    <row r="32" spans="1:9" ht="15">
      <c r="A32" s="43" t="str">
        <f>HLOOKUP(INDICE!$F$2,Nombres!$C$3:$D$636,53,FALSE)</f>
        <v>Activos financieros a valor razonable</v>
      </c>
      <c r="B32" s="60">
        <v>2199.7390000000005</v>
      </c>
      <c r="C32" s="60">
        <v>1850.479</v>
      </c>
      <c r="D32" s="60">
        <v>2379.087</v>
      </c>
      <c r="E32" s="68">
        <v>1806.058</v>
      </c>
      <c r="F32" s="44">
        <v>2235.644</v>
      </c>
      <c r="G32" s="44">
        <v>1982.029</v>
      </c>
      <c r="H32" s="44">
        <v>2339.188</v>
      </c>
      <c r="I32" s="44">
        <v>1934.2660000000003</v>
      </c>
    </row>
    <row r="33" spans="1:9" ht="15">
      <c r="A33" s="43" t="str">
        <f>HLOOKUP(INDICE!$F$2,Nombres!$C$3:$D$636,54,FALSE)</f>
        <v>Activos financieros a coste amortizado</v>
      </c>
      <c r="B33" s="44">
        <v>13908.26899998</v>
      </c>
      <c r="C33" s="44">
        <v>14144.185000000001</v>
      </c>
      <c r="D33" s="44">
        <v>13954.524000000003</v>
      </c>
      <c r="E33" s="45">
        <v>13997.67</v>
      </c>
      <c r="F33" s="44">
        <v>15134.161999999998</v>
      </c>
      <c r="G33" s="44">
        <v>15548.823999999999</v>
      </c>
      <c r="H33" s="44">
        <v>16249.286</v>
      </c>
      <c r="I33" s="44">
        <v>15911.285999999996</v>
      </c>
    </row>
    <row r="34" spans="1:9" ht="15">
      <c r="A34" s="43" t="str">
        <f>HLOOKUP(INDICE!$F$2,Nombres!$C$3:$D$636,55,FALSE)</f>
        <v>    de los que préstamos y anticipos a la clientela</v>
      </c>
      <c r="B34" s="44">
        <v>12493.39299998</v>
      </c>
      <c r="C34" s="44">
        <v>13247.044000000002</v>
      </c>
      <c r="D34" s="44">
        <v>13457.550000000003</v>
      </c>
      <c r="E34" s="45">
        <v>13424.076999999997</v>
      </c>
      <c r="F34" s="44">
        <v>14344.951</v>
      </c>
      <c r="G34" s="44">
        <v>14559.295999999998</v>
      </c>
      <c r="H34" s="44">
        <v>15242.633</v>
      </c>
      <c r="I34" s="44">
        <v>15059.719</v>
      </c>
    </row>
    <row r="35" spans="1:9" ht="15">
      <c r="A35" s="43" t="str">
        <f>HLOOKUP(INDICE!$F$2,Nombres!$C$3:$D$636,56,FALSE)</f>
        <v>Activos tangibles</v>
      </c>
      <c r="B35" s="44">
        <v>221.428</v>
      </c>
      <c r="C35" s="44">
        <v>227.10699999999997</v>
      </c>
      <c r="D35" s="44">
        <v>228.00900000000001</v>
      </c>
      <c r="E35" s="45">
        <v>239.38600000000002</v>
      </c>
      <c r="F35" s="44">
        <v>309.753</v>
      </c>
      <c r="G35" s="44">
        <v>307.71000000000004</v>
      </c>
      <c r="H35" s="44">
        <v>313.453</v>
      </c>
      <c r="I35" s="44">
        <v>316.145</v>
      </c>
    </row>
    <row r="36" spans="1:9" ht="15">
      <c r="A36" s="43" t="str">
        <f>HLOOKUP(INDICE!$F$2,Nombres!$C$3:$D$636,57,FALSE)</f>
        <v>Otros activos</v>
      </c>
      <c r="B36" s="60">
        <f>+B37-B35-B33-B32-B31</f>
        <v>290.2709999999911</v>
      </c>
      <c r="C36" s="60">
        <f aca="true" t="shared" si="5" ref="C36:I36">+C37-C35-C33-C32-C31</f>
        <v>281.3949999999959</v>
      </c>
      <c r="D36" s="60">
        <f t="shared" si="5"/>
        <v>302.13699999999926</v>
      </c>
      <c r="E36" s="68">
        <f t="shared" si="5"/>
        <v>333.56199999999353</v>
      </c>
      <c r="F36" s="44">
        <f t="shared" si="5"/>
        <v>393.6070000000027</v>
      </c>
      <c r="G36" s="44">
        <f t="shared" si="5"/>
        <v>361.7030000000018</v>
      </c>
      <c r="H36" s="44">
        <f t="shared" si="5"/>
        <v>387.4250000099969</v>
      </c>
      <c r="I36" s="44">
        <f t="shared" si="5"/>
        <v>355.5530073899995</v>
      </c>
    </row>
    <row r="37" spans="1:9" ht="15">
      <c r="A37" s="47" t="str">
        <f>HLOOKUP(INDICE!$F$2,Nombres!$C$3:$D$636,58,FALSE)</f>
        <v>Total activo / pasivo</v>
      </c>
      <c r="B37" s="47">
        <v>19259.736999979992</v>
      </c>
      <c r="C37" s="47">
        <v>19066.540999999997</v>
      </c>
      <c r="D37" s="47">
        <v>19171.733</v>
      </c>
      <c r="E37" s="47">
        <v>19390.284999999993</v>
      </c>
      <c r="F37" s="53">
        <v>21422.828</v>
      </c>
      <c r="G37" s="53">
        <v>20859.657</v>
      </c>
      <c r="H37" s="53">
        <v>22093.86300001</v>
      </c>
      <c r="I37" s="53">
        <v>21881.016007389997</v>
      </c>
    </row>
    <row r="38" spans="1:9" ht="15">
      <c r="A38" s="43" t="str">
        <f>HLOOKUP(INDICE!$F$2,Nombres!$C$3:$D$636,59,FALSE)</f>
        <v>Pasivos financieros mantenidos para negociar y designados a valor razonable con cambios en resultados</v>
      </c>
      <c r="B38" s="60">
        <v>93.202</v>
      </c>
      <c r="C38" s="60">
        <v>89.53399999999999</v>
      </c>
      <c r="D38" s="60">
        <v>97.309</v>
      </c>
      <c r="E38" s="68">
        <v>93.04599999999999</v>
      </c>
      <c r="F38" s="44">
        <v>86.656</v>
      </c>
      <c r="G38" s="44">
        <v>108.926</v>
      </c>
      <c r="H38" s="44">
        <v>133.399</v>
      </c>
      <c r="I38" s="44">
        <v>135.103</v>
      </c>
    </row>
    <row r="39" spans="1:9" ht="15">
      <c r="A39" s="43" t="str">
        <f>HLOOKUP(INDICE!$F$2,Nombres!$C$3:$D$636,60,FALSE)</f>
        <v>Depósitos de bancos centrales y entidades de crédito</v>
      </c>
      <c r="B39" s="60">
        <v>2686.7749999999996</v>
      </c>
      <c r="C39" s="60">
        <v>2769.522</v>
      </c>
      <c r="D39" s="60">
        <v>1822.9280000000003</v>
      </c>
      <c r="E39" s="68">
        <v>1868.614</v>
      </c>
      <c r="F39" s="44">
        <v>2086.153</v>
      </c>
      <c r="G39" s="44">
        <v>2235.683</v>
      </c>
      <c r="H39" s="44">
        <v>2425.084</v>
      </c>
      <c r="I39" s="44">
        <v>2322.8909999999996</v>
      </c>
    </row>
    <row r="40" spans="1:9" ht="15.75" customHeight="1">
      <c r="A40" s="43" t="str">
        <f>HLOOKUP(INDICE!$F$2,Nombres!$C$3:$D$636,61,FALSE)</f>
        <v>Depósitos de la clientela</v>
      </c>
      <c r="B40" s="60">
        <v>12010.342000009998</v>
      </c>
      <c r="C40" s="60">
        <v>12065.185999999998</v>
      </c>
      <c r="D40" s="60">
        <v>13007.301</v>
      </c>
      <c r="E40" s="68">
        <v>12870.57499999</v>
      </c>
      <c r="F40" s="44">
        <v>14368.044</v>
      </c>
      <c r="G40" s="44">
        <v>13809.556</v>
      </c>
      <c r="H40" s="44">
        <v>14629.024000000001</v>
      </c>
      <c r="I40" s="44">
        <v>14642.522</v>
      </c>
    </row>
    <row r="41" spans="1:9" ht="15">
      <c r="A41" s="43" t="str">
        <f>HLOOKUP(INDICE!$F$2,Nombres!$C$3:$D$636,62,FALSE)</f>
        <v>Valores representativos de deuda emitidos</v>
      </c>
      <c r="B41" s="44">
        <v>1731.623</v>
      </c>
      <c r="C41" s="44">
        <v>1421.903</v>
      </c>
      <c r="D41" s="44">
        <v>1455.9979999999998</v>
      </c>
      <c r="E41" s="45">
        <v>1472.7729999999997</v>
      </c>
      <c r="F41" s="44">
        <v>1514.129</v>
      </c>
      <c r="G41" s="44">
        <v>1397.009</v>
      </c>
      <c r="H41" s="44">
        <v>1491.0040000000001</v>
      </c>
      <c r="I41" s="44">
        <v>1506.131</v>
      </c>
    </row>
    <row r="42" spans="1:9" ht="15">
      <c r="A42" s="43" t="str">
        <f>HLOOKUP(INDICE!$F$2,Nombres!$C$3:$D$636,63,FALSE)</f>
        <v>Otros pasivos</v>
      </c>
      <c r="B42" s="60">
        <f>+B37-B38-B39-B40-B41-B43</f>
        <v>2170.3267599699952</v>
      </c>
      <c r="C42" s="60">
        <f aca="true" t="shared" si="6" ref="C42:I42">+C37-C38-C39-C40-C41-C43</f>
        <v>2134.370679999999</v>
      </c>
      <c r="D42" s="60">
        <f t="shared" si="6"/>
        <v>2180.88650854</v>
      </c>
      <c r="E42" s="68">
        <f t="shared" si="6"/>
        <v>2465.5258370399933</v>
      </c>
      <c r="F42" s="44">
        <f t="shared" si="6"/>
        <v>2760.5414500000043</v>
      </c>
      <c r="G42" s="44">
        <f t="shared" si="6"/>
        <v>2693.202089999998</v>
      </c>
      <c r="H42" s="44">
        <f t="shared" si="6"/>
        <v>2776.672071059997</v>
      </c>
      <c r="I42" s="44">
        <f t="shared" si="6"/>
        <v>2597.524695369997</v>
      </c>
    </row>
    <row r="43" spans="1:9" ht="15">
      <c r="A43" s="43" t="str">
        <f>HLOOKUP(INDICE!$F$2,Nombres!$C$3:$D$636,64,FALSE)</f>
        <v>Dotación de capital económico</v>
      </c>
      <c r="B43" s="44">
        <v>567.46824</v>
      </c>
      <c r="C43" s="44">
        <v>586.02532</v>
      </c>
      <c r="D43" s="44">
        <v>607.3104914600002</v>
      </c>
      <c r="E43" s="45">
        <v>619.7511629699999</v>
      </c>
      <c r="F43" s="44">
        <v>607.3045500000001</v>
      </c>
      <c r="G43" s="44">
        <v>615.2809100000003</v>
      </c>
      <c r="H43" s="44">
        <v>638.6799289500001</v>
      </c>
      <c r="I43" s="44">
        <v>676.8443120200002</v>
      </c>
    </row>
    <row r="44" spans="1:9" ht="15">
      <c r="A44" s="65"/>
      <c r="B44" s="60"/>
      <c r="C44" s="60"/>
      <c r="D44" s="60"/>
      <c r="E44" s="60"/>
      <c r="F44" s="44"/>
      <c r="G44" s="44"/>
      <c r="H44" s="44"/>
      <c r="I44" s="44"/>
    </row>
    <row r="45" spans="1:9" ht="15">
      <c r="A45" s="43"/>
      <c r="B45" s="60"/>
      <c r="C45" s="60"/>
      <c r="D45" s="60"/>
      <c r="E45" s="60"/>
      <c r="F45" s="44"/>
      <c r="G45" s="44"/>
      <c r="H45" s="44"/>
      <c r="I45" s="44"/>
    </row>
    <row r="46" spans="1:9" ht="18">
      <c r="A46" s="33" t="str">
        <f>HLOOKUP(INDICE!$F$2,Nombres!$C$3:$D$636,65,FALSE)</f>
        <v>Indicadores relevantes y de gestión</v>
      </c>
      <c r="B46" s="34"/>
      <c r="C46" s="34"/>
      <c r="D46" s="34"/>
      <c r="E46" s="34"/>
      <c r="F46" s="72"/>
      <c r="G46" s="72"/>
      <c r="H46" s="72"/>
      <c r="I46" s="72"/>
    </row>
    <row r="47" spans="1:9" ht="15">
      <c r="A47" s="35" t="str">
        <f>HLOOKUP(INDICE!$F$2,Nombres!$C$3:$D$636,32,FALSE)</f>
        <v>(Millones de euros)</v>
      </c>
      <c r="B47" s="30"/>
      <c r="C47" s="30"/>
      <c r="D47" s="30"/>
      <c r="E47" s="30"/>
      <c r="F47" s="73"/>
      <c r="G47" s="44"/>
      <c r="H47" s="44"/>
      <c r="I47" s="44"/>
    </row>
    <row r="48" spans="1:9" ht="15.75">
      <c r="A48" s="30"/>
      <c r="B48" s="55">
        <f aca="true" t="shared" si="7" ref="B48:I48">+B$30</f>
        <v>43190</v>
      </c>
      <c r="C48" s="55">
        <f t="shared" si="7"/>
        <v>43281</v>
      </c>
      <c r="D48" s="55">
        <f t="shared" si="7"/>
        <v>43373</v>
      </c>
      <c r="E48" s="71">
        <f t="shared" si="7"/>
        <v>43465</v>
      </c>
      <c r="F48" s="55">
        <f t="shared" si="7"/>
        <v>43555</v>
      </c>
      <c r="G48" s="55">
        <f t="shared" si="7"/>
        <v>43646</v>
      </c>
      <c r="H48" s="55">
        <f t="shared" si="7"/>
        <v>43738</v>
      </c>
      <c r="I48" s="55">
        <f t="shared" si="7"/>
        <v>43830</v>
      </c>
    </row>
    <row r="49" spans="1:9" ht="15">
      <c r="A49" s="43" t="str">
        <f>HLOOKUP(INDICE!$F$2,Nombres!$C$3:$D$636,66,FALSE)</f>
        <v>Préstamos y anticipos a la clientela bruto (*)</v>
      </c>
      <c r="B49" s="44">
        <v>13191.879781929996</v>
      </c>
      <c r="C49" s="44">
        <v>13891.96006663</v>
      </c>
      <c r="D49" s="44">
        <v>14135.460075080002</v>
      </c>
      <c r="E49" s="45">
        <v>14027.861318849997</v>
      </c>
      <c r="F49" s="44">
        <v>15002.752739069998</v>
      </c>
      <c r="G49" s="44">
        <v>15070.69852591</v>
      </c>
      <c r="H49" s="44">
        <v>15807.2565184</v>
      </c>
      <c r="I49" s="44">
        <v>15799.34585733</v>
      </c>
    </row>
    <row r="50" spans="1:9" ht="15">
      <c r="A50" s="43" t="str">
        <f>HLOOKUP(INDICE!$F$2,Nombres!$C$3:$D$636,67,FALSE)</f>
        <v>Depósitos de clientes en gestión (**)</v>
      </c>
      <c r="B50" s="44">
        <v>11754.712249270002</v>
      </c>
      <c r="C50" s="44">
        <v>12065.18685622</v>
      </c>
      <c r="D50" s="44">
        <v>13006.36306905</v>
      </c>
      <c r="E50" s="45">
        <v>12842.6441804</v>
      </c>
      <c r="F50" s="44">
        <v>14355.83213226</v>
      </c>
      <c r="G50" s="44">
        <v>13808.448059850001</v>
      </c>
      <c r="H50" s="44">
        <v>14629.02010954</v>
      </c>
      <c r="I50" s="44">
        <v>14642.522007790001</v>
      </c>
    </row>
    <row r="51" spans="1:9" ht="15">
      <c r="A51" s="43" t="str">
        <f>HLOOKUP(INDICE!$F$2,Nombres!$C$3:$D$636,68,FALSE)</f>
        <v>Fondos de inversión</v>
      </c>
      <c r="B51" s="44">
        <v>1618.29997829</v>
      </c>
      <c r="C51" s="44">
        <v>1692.0950755400002</v>
      </c>
      <c r="D51" s="44">
        <v>1697.6484442800001</v>
      </c>
      <c r="E51" s="45">
        <v>1665.7118500499998</v>
      </c>
      <c r="F51" s="44">
        <v>1714.26401994</v>
      </c>
      <c r="G51" s="44">
        <v>1686.0644776200002</v>
      </c>
      <c r="H51" s="44">
        <v>1802.1733370900001</v>
      </c>
      <c r="I51" s="44">
        <v>1820.87751944</v>
      </c>
    </row>
    <row r="52" spans="1:9" ht="15">
      <c r="A52" s="43" t="str">
        <f>HLOOKUP(INDICE!$F$2,Nombres!$C$3:$D$636,69,FALSE)</f>
        <v>Fondos de pensiones</v>
      </c>
      <c r="B52" s="44" t="s">
        <v>400</v>
      </c>
      <c r="C52" s="44" t="s">
        <v>400</v>
      </c>
      <c r="D52" s="44" t="s">
        <v>400</v>
      </c>
      <c r="E52" s="45" t="s">
        <v>400</v>
      </c>
      <c r="F52" s="44" t="s">
        <v>400</v>
      </c>
      <c r="G52" s="44" t="s">
        <v>400</v>
      </c>
      <c r="H52" s="44" t="s">
        <v>400</v>
      </c>
      <c r="I52" s="44" t="s">
        <v>400</v>
      </c>
    </row>
    <row r="53" spans="1:9" ht="15">
      <c r="A53" s="43" t="str">
        <f>HLOOKUP(INDICE!$F$2,Nombres!$C$3:$D$636,70,FALSE)</f>
        <v>Otros recursos fuera de balance</v>
      </c>
      <c r="B53" s="44" t="s">
        <v>400</v>
      </c>
      <c r="C53" s="44" t="s">
        <v>400</v>
      </c>
      <c r="D53" s="44" t="s">
        <v>400</v>
      </c>
      <c r="E53" s="45" t="s">
        <v>400</v>
      </c>
      <c r="F53" s="44" t="s">
        <v>400</v>
      </c>
      <c r="G53" s="44" t="s">
        <v>400</v>
      </c>
      <c r="H53" s="44" t="s">
        <v>400</v>
      </c>
      <c r="I53" s="44" t="s">
        <v>400</v>
      </c>
    </row>
    <row r="54" spans="1:9" ht="15">
      <c r="A54" s="65" t="str">
        <f>HLOOKUP(INDICE!$F$2,Nombres!$C$3:$D$636,71,FALSE)</f>
        <v>(*) No incluye las adquisiciones temporales de activos.</v>
      </c>
      <c r="B54" s="60"/>
      <c r="C54" s="60"/>
      <c r="D54" s="60"/>
      <c r="E54" s="60"/>
      <c r="F54" s="60"/>
      <c r="G54" s="60"/>
      <c r="H54" s="60"/>
      <c r="I54" s="60"/>
    </row>
    <row r="55" spans="1:9" ht="15">
      <c r="A55" s="65" t="str">
        <f>HLOOKUP(INDICE!$F$2,Nombres!$C$3:$D$636,72,FALSE)</f>
        <v>(**) No incluye las cesiones temporales de activos.</v>
      </c>
      <c r="B55" s="30"/>
      <c r="C55" s="30"/>
      <c r="D55" s="30"/>
      <c r="E55" s="30"/>
      <c r="F55" s="30"/>
      <c r="G55" s="30"/>
      <c r="H55" s="30"/>
      <c r="I55" s="30"/>
    </row>
    <row r="56" spans="1:9" ht="15">
      <c r="A56" s="65"/>
      <c r="B56" s="30"/>
      <c r="C56" s="30"/>
      <c r="D56" s="30"/>
      <c r="E56" s="30"/>
      <c r="F56" s="30"/>
      <c r="G56" s="30"/>
      <c r="H56" s="30"/>
      <c r="I56" s="30"/>
    </row>
    <row r="57" spans="1:9" ht="18">
      <c r="A57" s="33" t="str">
        <f>HLOOKUP(INDICE!$F$2,Nombres!$C$3:$D$636,31,FALSE)</f>
        <v>Cuenta de resultados  </v>
      </c>
      <c r="B57" s="34"/>
      <c r="C57" s="34"/>
      <c r="D57" s="34"/>
      <c r="E57" s="34"/>
      <c r="F57" s="34"/>
      <c r="G57" s="34"/>
      <c r="H57" s="34"/>
      <c r="I57" s="34"/>
    </row>
    <row r="58" spans="1:9" ht="15">
      <c r="A58" s="35" t="str">
        <f>HLOOKUP(INDICE!$F$2,Nombres!$C$3:$D$636,73,FALSE)</f>
        <v>(Millones de euros constantes)</v>
      </c>
      <c r="B58" s="30"/>
      <c r="C58" s="36"/>
      <c r="D58" s="36"/>
      <c r="E58" s="36"/>
      <c r="F58" s="30"/>
      <c r="G58" s="30"/>
      <c r="H58" s="30"/>
      <c r="I58" s="30"/>
    </row>
    <row r="59" spans="1:9" ht="15">
      <c r="A59" s="37"/>
      <c r="B59" s="30"/>
      <c r="C59" s="36"/>
      <c r="D59" s="36"/>
      <c r="E59" s="36"/>
      <c r="F59" s="30"/>
      <c r="G59" s="30"/>
      <c r="H59" s="30"/>
      <c r="I59" s="30"/>
    </row>
    <row r="60" spans="1:9" ht="15.75">
      <c r="A60" s="38"/>
      <c r="B60" s="295">
        <f>+B$6</f>
        <v>2018</v>
      </c>
      <c r="C60" s="295"/>
      <c r="D60" s="295"/>
      <c r="E60" s="296"/>
      <c r="F60" s="295">
        <f>+F$6</f>
        <v>2019</v>
      </c>
      <c r="G60" s="295"/>
      <c r="H60" s="295"/>
      <c r="I60" s="295"/>
    </row>
    <row r="61" spans="1:9" ht="15.7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5">
      <c r="A62" s="41" t="str">
        <f>HLOOKUP(INDICE!$F$2,Nombres!$C$3:$D$636,33,FALSE)</f>
        <v>Margen de intereses</v>
      </c>
      <c r="B62" s="41">
        <v>192.32104961048543</v>
      </c>
      <c r="C62" s="41">
        <v>203.43118954863502</v>
      </c>
      <c r="D62" s="41">
        <v>215.44876634809327</v>
      </c>
      <c r="E62" s="42">
        <v>225.93933329286278</v>
      </c>
      <c r="F62" s="52">
        <v>221.1941386445103</v>
      </c>
      <c r="G62" s="52">
        <v>228.89728631869602</v>
      </c>
      <c r="H62" s="52">
        <v>231.78294369914966</v>
      </c>
      <c r="I62" s="52">
        <v>216.21663133764397</v>
      </c>
    </row>
    <row r="63" spans="1:9" ht="15">
      <c r="A63" s="43" t="str">
        <f>HLOOKUP(INDICE!$F$2,Nombres!$C$3:$D$636,34,FALSE)</f>
        <v>Comisiones netas</v>
      </c>
      <c r="B63" s="44">
        <v>51.80163368437783</v>
      </c>
      <c r="C63" s="44">
        <v>58.43497749948041</v>
      </c>
      <c r="D63" s="44">
        <v>54.65835014719043</v>
      </c>
      <c r="E63" s="45">
        <v>62.37640967036945</v>
      </c>
      <c r="F63" s="44">
        <v>54.797399287477305</v>
      </c>
      <c r="G63" s="44">
        <v>59.69210494410525</v>
      </c>
      <c r="H63" s="44">
        <v>59.993161734993706</v>
      </c>
      <c r="I63" s="44">
        <v>57.15416841342373</v>
      </c>
    </row>
    <row r="64" spans="1:9" ht="15">
      <c r="A64" s="43" t="str">
        <f>HLOOKUP(INDICE!$F$2,Nombres!$C$3:$D$636,35,FALSE)</f>
        <v>Resultados de operaciones financieras</v>
      </c>
      <c r="B64" s="44">
        <v>37.04943353464823</v>
      </c>
      <c r="C64" s="44">
        <v>37.374498323551364</v>
      </c>
      <c r="D64" s="44">
        <v>31.63100184866579</v>
      </c>
      <c r="E64" s="45">
        <v>37.36639769746918</v>
      </c>
      <c r="F64" s="44">
        <v>39.43031621334824</v>
      </c>
      <c r="G64" s="44">
        <v>43.49422039482044</v>
      </c>
      <c r="H64" s="44">
        <v>44.089320223584835</v>
      </c>
      <c r="I64" s="44">
        <v>53.16791593824647</v>
      </c>
    </row>
    <row r="65" spans="1:9" ht="15">
      <c r="A65" s="43" t="str">
        <f>HLOOKUP(INDICE!$F$2,Nombres!$C$3:$D$636,36,FALSE)</f>
        <v>Otros ingresos y cargas de explotación</v>
      </c>
      <c r="B65" s="44">
        <v>-3.1106840129273947</v>
      </c>
      <c r="C65" s="44">
        <v>-5.393098769632912</v>
      </c>
      <c r="D65" s="44">
        <v>-3.9035088417725228</v>
      </c>
      <c r="E65" s="45">
        <v>-11.219457691857128</v>
      </c>
      <c r="F65" s="44">
        <v>-6.4255900132208215</v>
      </c>
      <c r="G65" s="44">
        <v>-4.730354752954714</v>
      </c>
      <c r="H65" s="44">
        <v>-5.7327053723032675</v>
      </c>
      <c r="I65" s="44">
        <v>-5.204349861521197</v>
      </c>
    </row>
    <row r="66" spans="1:9" ht="15">
      <c r="A66" s="41" t="str">
        <f>HLOOKUP(INDICE!$F$2,Nombres!$C$3:$D$636,37,FALSE)</f>
        <v>Margen bruto</v>
      </c>
      <c r="B66" s="41">
        <f>+SUM(B62:B65)</f>
        <v>278.0614328165841</v>
      </c>
      <c r="C66" s="41">
        <f aca="true" t="shared" si="9" ref="C66:I66">+SUM(C62:C65)</f>
        <v>293.84756660203385</v>
      </c>
      <c r="D66" s="41">
        <f t="shared" si="9"/>
        <v>297.834609502177</v>
      </c>
      <c r="E66" s="42">
        <f t="shared" si="9"/>
        <v>314.46268296884426</v>
      </c>
      <c r="F66" s="52">
        <f t="shared" si="9"/>
        <v>308.9962641321151</v>
      </c>
      <c r="G66" s="52">
        <f t="shared" si="9"/>
        <v>327.353256904667</v>
      </c>
      <c r="H66" s="52">
        <f t="shared" si="9"/>
        <v>330.1327202854249</v>
      </c>
      <c r="I66" s="52">
        <f t="shared" si="9"/>
        <v>321.33436582779296</v>
      </c>
    </row>
    <row r="67" spans="1:9" ht="15">
      <c r="A67" s="43" t="str">
        <f>HLOOKUP(INDICE!$F$2,Nombres!$C$3:$D$636,38,FALSE)</f>
        <v>Gastos de explotación</v>
      </c>
      <c r="B67" s="44">
        <v>-104.94370063554103</v>
      </c>
      <c r="C67" s="44">
        <v>-104.78949348560282</v>
      </c>
      <c r="D67" s="44">
        <v>-106.13827018571556</v>
      </c>
      <c r="E67" s="45">
        <v>-110.40445706676854</v>
      </c>
      <c r="F67" s="44">
        <v>-113.31331295718185</v>
      </c>
      <c r="G67" s="44">
        <v>-111.69923824246197</v>
      </c>
      <c r="H67" s="44">
        <v>-116.25604880748091</v>
      </c>
      <c r="I67" s="44">
        <v>-119.25468006287528</v>
      </c>
    </row>
    <row r="68" spans="1:9" ht="15">
      <c r="A68" s="43" t="str">
        <f>HLOOKUP(INDICE!$F$2,Nombres!$C$3:$D$636,39,FALSE)</f>
        <v>  Gastos de administración</v>
      </c>
      <c r="B68" s="44">
        <v>-95.22587688977711</v>
      </c>
      <c r="C68" s="44">
        <v>-94.62269814498626</v>
      </c>
      <c r="D68" s="44">
        <v>-95.61396548444012</v>
      </c>
      <c r="E68" s="45">
        <v>-100.55066562493977</v>
      </c>
      <c r="F68" s="44">
        <v>-96.09147834254344</v>
      </c>
      <c r="G68" s="44">
        <v>-95.37084011947937</v>
      </c>
      <c r="H68" s="44">
        <v>-99.78708363363482</v>
      </c>
      <c r="I68" s="44">
        <v>-103.48987797434245</v>
      </c>
    </row>
    <row r="69" spans="1:9" ht="15">
      <c r="A69" s="46" t="str">
        <f>HLOOKUP(INDICE!$F$2,Nombres!$C$3:$D$636,40,FALSE)</f>
        <v>  Gastos de personal</v>
      </c>
      <c r="B69" s="44">
        <v>-51.321490708657194</v>
      </c>
      <c r="C69" s="44">
        <v>-50.84601691860733</v>
      </c>
      <c r="D69" s="44">
        <v>-51.60805439135507</v>
      </c>
      <c r="E69" s="45">
        <v>-56.05812066369361</v>
      </c>
      <c r="F69" s="44">
        <v>-54.69180815405886</v>
      </c>
      <c r="G69" s="44">
        <v>-53.3868078854634</v>
      </c>
      <c r="H69" s="44">
        <v>-56.31766091755357</v>
      </c>
      <c r="I69" s="44">
        <v>-62.19272304292417</v>
      </c>
    </row>
    <row r="70" spans="1:9" ht="15">
      <c r="A70" s="46" t="str">
        <f>HLOOKUP(INDICE!$F$2,Nombres!$C$3:$D$636,41,FALSE)</f>
        <v>  Otros gastos de administración</v>
      </c>
      <c r="B70" s="44">
        <v>-43.904386181119904</v>
      </c>
      <c r="C70" s="44">
        <v>-43.77668122637893</v>
      </c>
      <c r="D70" s="44">
        <v>-44.00591109308503</v>
      </c>
      <c r="E70" s="45">
        <v>-44.49254496124615</v>
      </c>
      <c r="F70" s="44">
        <v>-41.39967018848457</v>
      </c>
      <c r="G70" s="44">
        <v>-41.98403223401594</v>
      </c>
      <c r="H70" s="44">
        <v>-43.469422716081255</v>
      </c>
      <c r="I70" s="44">
        <v>-41.297154931418255</v>
      </c>
    </row>
    <row r="71" spans="1:9" ht="15">
      <c r="A71" s="43" t="str">
        <f>HLOOKUP(INDICE!$F$2,Nombres!$C$3:$D$636,42,FALSE)</f>
        <v>  Amortización</v>
      </c>
      <c r="B71" s="44">
        <v>-9.717823745763928</v>
      </c>
      <c r="C71" s="44">
        <v>-10.166795340616568</v>
      </c>
      <c r="D71" s="44">
        <v>-10.52430470127546</v>
      </c>
      <c r="E71" s="45">
        <v>-9.853791441828772</v>
      </c>
      <c r="F71" s="44">
        <v>-17.22183461463841</v>
      </c>
      <c r="G71" s="44">
        <v>-16.32839812298264</v>
      </c>
      <c r="H71" s="44">
        <v>-16.46896517384611</v>
      </c>
      <c r="I71" s="44">
        <v>-15.764802088532841</v>
      </c>
    </row>
    <row r="72" spans="1:9" ht="15">
      <c r="A72" s="41" t="str">
        <f>HLOOKUP(INDICE!$F$2,Nombres!$C$3:$D$636,43,FALSE)</f>
        <v>Margen neto</v>
      </c>
      <c r="B72" s="41">
        <f>+B66+B67</f>
        <v>173.11773218104307</v>
      </c>
      <c r="C72" s="41">
        <f aca="true" t="shared" si="10" ref="C72:I72">+C66+C67</f>
        <v>189.05807311643105</v>
      </c>
      <c r="D72" s="41">
        <f t="shared" si="10"/>
        <v>191.69633931646143</v>
      </c>
      <c r="E72" s="42">
        <f t="shared" si="10"/>
        <v>204.05822590207572</v>
      </c>
      <c r="F72" s="52">
        <f t="shared" si="10"/>
        <v>195.68295117493324</v>
      </c>
      <c r="G72" s="52">
        <f t="shared" si="10"/>
        <v>215.654018662205</v>
      </c>
      <c r="H72" s="52">
        <f t="shared" si="10"/>
        <v>213.876671477944</v>
      </c>
      <c r="I72" s="52">
        <f t="shared" si="10"/>
        <v>202.07968576491768</v>
      </c>
    </row>
    <row r="73" spans="1:9" ht="15">
      <c r="A73" s="43" t="str">
        <f>HLOOKUP(INDICE!$F$2,Nombres!$C$3:$D$636,44,FALSE)</f>
        <v>Deterioro de activos financieros no valorados a valor razonable con cambios en resultados</v>
      </c>
      <c r="B73" s="44">
        <v>-55.17174811523944</v>
      </c>
      <c r="C73" s="44">
        <v>-34.12534002208528</v>
      </c>
      <c r="D73" s="44">
        <v>-57.02277388312902</v>
      </c>
      <c r="E73" s="45">
        <v>7.428818267639322</v>
      </c>
      <c r="F73" s="44">
        <v>-57.50281426177746</v>
      </c>
      <c r="G73" s="44">
        <v>-62.52357544643756</v>
      </c>
      <c r="H73" s="44">
        <v>-47.83391768807688</v>
      </c>
      <c r="I73" s="44">
        <v>-51.90369260370814</v>
      </c>
    </row>
    <row r="74" spans="1:9" ht="15">
      <c r="A74" s="43" t="str">
        <f>HLOOKUP(INDICE!$F$2,Nombres!$C$3:$D$636,45,FALSE)</f>
        <v>Provisiones o reversión de provisiones y otros resultados</v>
      </c>
      <c r="B74" s="44">
        <v>-0.136405433482077</v>
      </c>
      <c r="C74" s="44">
        <v>-2.7532805844790764</v>
      </c>
      <c r="D74" s="44">
        <v>-1.4276174520659426</v>
      </c>
      <c r="E74" s="45">
        <v>-14.949166753896717</v>
      </c>
      <c r="F74" s="44">
        <v>-3.855151849995945</v>
      </c>
      <c r="G74" s="44">
        <v>11.561415623352111</v>
      </c>
      <c r="H74" s="44">
        <v>3.77909957886559</v>
      </c>
      <c r="I74" s="44">
        <v>-10.365363352221756</v>
      </c>
    </row>
    <row r="75" spans="1:9" ht="15">
      <c r="A75" s="41" t="str">
        <f>HLOOKUP(INDICE!$F$2,Nombres!$C$3:$D$636,46,FALSE)</f>
        <v>Resultado antes de impuestos</v>
      </c>
      <c r="B75" s="41">
        <f>+B72+B73+B74</f>
        <v>117.80957863232155</v>
      </c>
      <c r="C75" s="41">
        <f aca="true" t="shared" si="11" ref="C75:I75">+C72+C73+C74</f>
        <v>152.17945250986668</v>
      </c>
      <c r="D75" s="41">
        <f t="shared" si="11"/>
        <v>133.24594798126648</v>
      </c>
      <c r="E75" s="42">
        <f t="shared" si="11"/>
        <v>196.53787741581831</v>
      </c>
      <c r="F75" s="52">
        <f t="shared" si="11"/>
        <v>134.32498506315983</v>
      </c>
      <c r="G75" s="52">
        <f t="shared" si="11"/>
        <v>164.69185883911956</v>
      </c>
      <c r="H75" s="52">
        <f t="shared" si="11"/>
        <v>169.8218533687327</v>
      </c>
      <c r="I75" s="52">
        <f t="shared" si="11"/>
        <v>139.81062980898778</v>
      </c>
    </row>
    <row r="76" spans="1:9" ht="15">
      <c r="A76" s="43" t="str">
        <f>HLOOKUP(INDICE!$F$2,Nombres!$C$3:$D$636,47,FALSE)</f>
        <v>Impuesto sobre beneficios</v>
      </c>
      <c r="B76" s="44">
        <v>-34.908873951804736</v>
      </c>
      <c r="C76" s="44">
        <v>-43.60958958696243</v>
      </c>
      <c r="D76" s="44">
        <v>-38.75836736654638</v>
      </c>
      <c r="E76" s="45">
        <v>-50.17547610011885</v>
      </c>
      <c r="F76" s="44">
        <v>-39.40623815188394</v>
      </c>
      <c r="G76" s="44">
        <v>-46.885401672821565</v>
      </c>
      <c r="H76" s="44">
        <v>-49.05068682737417</v>
      </c>
      <c r="I76" s="44">
        <v>-35.743676347920314</v>
      </c>
    </row>
    <row r="77" spans="1:9" ht="15">
      <c r="A77" s="41" t="str">
        <f>HLOOKUP(INDICE!$F$2,Nombres!$C$3:$D$636,48,FALSE)</f>
        <v>Resultado del ejercicio</v>
      </c>
      <c r="B77" s="41">
        <f>+B75+B76</f>
        <v>82.90070468051681</v>
      </c>
      <c r="C77" s="41">
        <f aca="true" t="shared" si="12" ref="C77:I77">+C75+C76</f>
        <v>108.56986292290425</v>
      </c>
      <c r="D77" s="41">
        <f t="shared" si="12"/>
        <v>94.4875806147201</v>
      </c>
      <c r="E77" s="42">
        <f t="shared" si="12"/>
        <v>146.36240131569946</v>
      </c>
      <c r="F77" s="52">
        <f t="shared" si="12"/>
        <v>94.91874691127589</v>
      </c>
      <c r="G77" s="52">
        <f t="shared" si="12"/>
        <v>117.806457166298</v>
      </c>
      <c r="H77" s="52">
        <f t="shared" si="12"/>
        <v>120.77116654135853</v>
      </c>
      <c r="I77" s="52">
        <f t="shared" si="12"/>
        <v>104.06695346106747</v>
      </c>
    </row>
    <row r="78" spans="1:9" ht="15">
      <c r="A78" s="43" t="str">
        <f>HLOOKUP(INDICE!$F$2,Nombres!$C$3:$D$636,49,FALSE)</f>
        <v>Minoritarios</v>
      </c>
      <c r="B78" s="44">
        <v>-45.356318127899975</v>
      </c>
      <c r="C78" s="44">
        <v>-59.073102375824284</v>
      </c>
      <c r="D78" s="44">
        <v>-51.27692514386345</v>
      </c>
      <c r="E78" s="45">
        <v>-78.66845375657122</v>
      </c>
      <c r="F78" s="44">
        <v>-51.7077431477095</v>
      </c>
      <c r="G78" s="44">
        <v>-63.03627033782513</v>
      </c>
      <c r="H78" s="44">
        <v>-65.26277709349783</v>
      </c>
      <c r="I78" s="44">
        <v>-55.820990870967535</v>
      </c>
    </row>
    <row r="79" spans="1:9" ht="15">
      <c r="A79" s="47" t="str">
        <f>HLOOKUP(INDICE!$F$2,Nombres!$C$3:$D$636,50,FALSE)</f>
        <v>Resultado atribuido</v>
      </c>
      <c r="B79" s="47">
        <f>+B77+B78</f>
        <v>37.544386552616835</v>
      </c>
      <c r="C79" s="47">
        <f aca="true" t="shared" si="13" ref="C79:I79">+C77+C78</f>
        <v>49.496760547079965</v>
      </c>
      <c r="D79" s="47">
        <f t="shared" si="13"/>
        <v>43.21065547085665</v>
      </c>
      <c r="E79" s="47">
        <f t="shared" si="13"/>
        <v>67.69394755912823</v>
      </c>
      <c r="F79" s="53">
        <f t="shared" si="13"/>
        <v>43.21100376356639</v>
      </c>
      <c r="G79" s="53">
        <f t="shared" si="13"/>
        <v>54.77018682847287</v>
      </c>
      <c r="H79" s="53">
        <f t="shared" si="13"/>
        <v>55.508389447860694</v>
      </c>
      <c r="I79" s="53">
        <f t="shared" si="13"/>
        <v>48.245962590099936</v>
      </c>
    </row>
    <row r="80" spans="1:9" ht="15">
      <c r="A80" s="65"/>
      <c r="B80" s="66">
        <v>0</v>
      </c>
      <c r="C80" s="66">
        <v>0</v>
      </c>
      <c r="D80" s="66">
        <v>0</v>
      </c>
      <c r="E80" s="66">
        <v>0</v>
      </c>
      <c r="F80" s="66">
        <v>0</v>
      </c>
      <c r="G80" s="66">
        <v>0</v>
      </c>
      <c r="H80" s="66">
        <v>0</v>
      </c>
      <c r="I80" s="66">
        <v>0</v>
      </c>
    </row>
    <row r="81" spans="1:9" ht="15">
      <c r="A81" s="41"/>
      <c r="B81" s="41"/>
      <c r="C81" s="41"/>
      <c r="D81" s="41"/>
      <c r="E81" s="41"/>
      <c r="F81" s="52"/>
      <c r="G81" s="52"/>
      <c r="H81" s="52"/>
      <c r="I81" s="52"/>
    </row>
    <row r="82" spans="1:9" ht="18">
      <c r="A82" s="33" t="str">
        <f>HLOOKUP(INDICE!$F$2,Nombres!$C$3:$D$636,51,FALSE)</f>
        <v>Balances</v>
      </c>
      <c r="B82" s="34"/>
      <c r="C82" s="34"/>
      <c r="D82" s="34"/>
      <c r="E82" s="34"/>
      <c r="F82" s="72"/>
      <c r="G82" s="72"/>
      <c r="H82" s="72"/>
      <c r="I82" s="72"/>
    </row>
    <row r="83" spans="1:9" ht="15">
      <c r="A83" s="35" t="str">
        <f>HLOOKUP(INDICE!$F$2,Nombres!$C$3:$D$636,73,FALSE)</f>
        <v>(Millones de euros constantes)</v>
      </c>
      <c r="B83" s="30"/>
      <c r="C83" s="54"/>
      <c r="D83" s="54"/>
      <c r="E83" s="54"/>
      <c r="F83" s="73"/>
      <c r="G83" s="44"/>
      <c r="H83" s="44"/>
      <c r="I83" s="44"/>
    </row>
    <row r="84" spans="1:9" ht="15.75">
      <c r="A84" s="30"/>
      <c r="B84" s="55">
        <f aca="true" t="shared" si="14" ref="B84:I84">+B$30</f>
        <v>43190</v>
      </c>
      <c r="C84" s="55">
        <f t="shared" si="14"/>
        <v>43281</v>
      </c>
      <c r="D84" s="55">
        <f t="shared" si="14"/>
        <v>43373</v>
      </c>
      <c r="E84" s="71">
        <f t="shared" si="14"/>
        <v>43465</v>
      </c>
      <c r="F84" s="55">
        <f t="shared" si="14"/>
        <v>43555</v>
      </c>
      <c r="G84" s="55">
        <f t="shared" si="14"/>
        <v>43646</v>
      </c>
      <c r="H84" s="55">
        <f t="shared" si="14"/>
        <v>43738</v>
      </c>
      <c r="I84" s="55">
        <f t="shared" si="14"/>
        <v>43830</v>
      </c>
    </row>
    <row r="85" spans="1:9" ht="15">
      <c r="A85" s="43" t="str">
        <f>HLOOKUP(INDICE!$F$2,Nombres!$C$3:$D$636,52,FALSE)</f>
        <v>Efectivo, saldos en efectivo en bancos centrales y otros depósitos a la vista</v>
      </c>
      <c r="B85" s="44">
        <v>2822.4712968590225</v>
      </c>
      <c r="C85" s="44">
        <v>2629.115017988412</v>
      </c>
      <c r="D85" s="44">
        <v>2366.4617323888615</v>
      </c>
      <c r="E85" s="45">
        <v>3128.3191798070816</v>
      </c>
      <c r="F85" s="44">
        <v>3356.0291448684115</v>
      </c>
      <c r="G85" s="44">
        <v>2673.4546622706016</v>
      </c>
      <c r="H85" s="44">
        <v>2774.36334875451</v>
      </c>
      <c r="I85" s="44">
        <v>3363.766</v>
      </c>
    </row>
    <row r="86" spans="1:9" ht="15">
      <c r="A86" s="43" t="str">
        <f>HLOOKUP(INDICE!$F$2,Nombres!$C$3:$D$636,53,FALSE)</f>
        <v>Activos financieros a valor razonable</v>
      </c>
      <c r="B86" s="60">
        <v>2351.7536497999527</v>
      </c>
      <c r="C86" s="60">
        <v>1897.9361698433427</v>
      </c>
      <c r="D86" s="60">
        <v>2439.3747350595586</v>
      </c>
      <c r="E86" s="68">
        <v>1874.803891693985</v>
      </c>
      <c r="F86" s="44">
        <v>2239.8935837556733</v>
      </c>
      <c r="G86" s="44">
        <v>1992.5105675718755</v>
      </c>
      <c r="H86" s="44">
        <v>2314.042431299561</v>
      </c>
      <c r="I86" s="44">
        <v>1934.2660000000003</v>
      </c>
    </row>
    <row r="87" spans="1:9" ht="15">
      <c r="A87" s="43" t="str">
        <f>HLOOKUP(INDICE!$F$2,Nombres!$C$3:$D$636,54,FALSE)</f>
        <v>Activos financieros a coste amortizado</v>
      </c>
      <c r="B87" s="44">
        <v>14869.410590575746</v>
      </c>
      <c r="C87" s="44">
        <v>14506.92512828066</v>
      </c>
      <c r="D87" s="44">
        <v>14308.141436350268</v>
      </c>
      <c r="E87" s="45">
        <v>14530.478085780273</v>
      </c>
      <c r="F87" s="44">
        <v>15162.929500098819</v>
      </c>
      <c r="G87" s="44">
        <v>15631.050874288521</v>
      </c>
      <c r="H87" s="44">
        <v>16074.611054058896</v>
      </c>
      <c r="I87" s="44">
        <v>15911.285999999996</v>
      </c>
    </row>
    <row r="88" spans="1:9" ht="15">
      <c r="A88" s="43" t="str">
        <f>HLOOKUP(INDICE!$F$2,Nombres!$C$3:$D$636,55,FALSE)</f>
        <v>    de los que préstamos y anticipos a la clientela</v>
      </c>
      <c r="B88" s="44">
        <v>13356.75850002575</v>
      </c>
      <c r="C88" s="44">
        <v>13586.776154231546</v>
      </c>
      <c r="D88" s="44">
        <v>13798.573766239215</v>
      </c>
      <c r="E88" s="45">
        <v>13935.051810074603</v>
      </c>
      <c r="F88" s="44">
        <v>14372.218342540013</v>
      </c>
      <c r="G88" s="44">
        <v>14636.28995156324</v>
      </c>
      <c r="H88" s="44">
        <v>15078.779271579251</v>
      </c>
      <c r="I88" s="44">
        <v>15059.719</v>
      </c>
    </row>
    <row r="89" spans="1:9" ht="15">
      <c r="A89" s="43" t="str">
        <f>HLOOKUP(INDICE!$F$2,Nombres!$C$3:$D$636,56,FALSE)</f>
        <v>Activos tangibles</v>
      </c>
      <c r="B89" s="44">
        <v>236.72995167513236</v>
      </c>
      <c r="C89" s="44">
        <v>232.93135978555392</v>
      </c>
      <c r="D89" s="44">
        <v>233.78690815686642</v>
      </c>
      <c r="E89" s="45">
        <v>248.49800195622532</v>
      </c>
      <c r="F89" s="44">
        <v>310.3417884283325</v>
      </c>
      <c r="G89" s="44">
        <v>309.33726335363497</v>
      </c>
      <c r="H89" s="44">
        <v>310.08347435868404</v>
      </c>
      <c r="I89" s="44">
        <v>316.145</v>
      </c>
    </row>
    <row r="90" spans="1:9" ht="15">
      <c r="A90" s="43" t="str">
        <f>HLOOKUP(INDICE!$F$2,Nombres!$C$3:$D$636,57,FALSE)</f>
        <v>Otros activos</v>
      </c>
      <c r="B90" s="60">
        <f>+B91-B89-B87-B86-B85</f>
        <v>310.33039996157777</v>
      </c>
      <c r="C90" s="60">
        <f aca="true" t="shared" si="15" ref="C90:I90">+C91-C89-C87-C86-C85</f>
        <v>288.61162353804957</v>
      </c>
      <c r="D90" s="60">
        <f t="shared" si="15"/>
        <v>309.7933637259521</v>
      </c>
      <c r="E90" s="68">
        <f t="shared" si="15"/>
        <v>346.2587224337344</v>
      </c>
      <c r="F90" s="44">
        <f t="shared" si="15"/>
        <v>394.3551807986032</v>
      </c>
      <c r="G90" s="44">
        <f t="shared" si="15"/>
        <v>363.61579463390444</v>
      </c>
      <c r="H90" s="44">
        <f t="shared" si="15"/>
        <v>383.26029757735296</v>
      </c>
      <c r="I90" s="44">
        <f t="shared" si="15"/>
        <v>355.5530073899995</v>
      </c>
    </row>
    <row r="91" spans="1:9" ht="15">
      <c r="A91" s="47" t="str">
        <f>HLOOKUP(INDICE!$F$2,Nombres!$C$3:$D$636,58,FALSE)</f>
        <v>Total activo / pasivo</v>
      </c>
      <c r="B91" s="47">
        <v>20590.695888871433</v>
      </c>
      <c r="C91" s="47">
        <v>19555.51929943602</v>
      </c>
      <c r="D91" s="47">
        <v>19657.558175681508</v>
      </c>
      <c r="E91" s="47">
        <v>20128.357881671298</v>
      </c>
      <c r="F91" s="53">
        <v>21463.54919794984</v>
      </c>
      <c r="G91" s="53">
        <v>20969.969162118537</v>
      </c>
      <c r="H91" s="53">
        <v>21856.360606049006</v>
      </c>
      <c r="I91" s="53">
        <v>21881.016007389997</v>
      </c>
    </row>
    <row r="92" spans="1:9" ht="15">
      <c r="A92" s="43" t="str">
        <f>HLOOKUP(INDICE!$F$2,Nombres!$C$3:$D$636,59,FALSE)</f>
        <v>Pasivos financieros mantenidos para negociar y designados a valor razonable con cambios en resultados</v>
      </c>
      <c r="B92" s="60">
        <v>99.64279565378219</v>
      </c>
      <c r="C92" s="60">
        <v>91.83017858119646</v>
      </c>
      <c r="D92" s="60">
        <v>99.77487838566246</v>
      </c>
      <c r="E92" s="68">
        <v>96.58770809495515</v>
      </c>
      <c r="F92" s="44">
        <v>86.82071850166287</v>
      </c>
      <c r="G92" s="44">
        <v>109.50203356425871</v>
      </c>
      <c r="H92" s="44">
        <v>131.96500080067534</v>
      </c>
      <c r="I92" s="44">
        <v>135.103</v>
      </c>
    </row>
    <row r="93" spans="1:9" ht="15">
      <c r="A93" s="43" t="str">
        <f>HLOOKUP(INDICE!$F$2,Nombres!$C$3:$D$636,60,FALSE)</f>
        <v>Depósitos de bancos centrales y entidades de crédito</v>
      </c>
      <c r="B93" s="60">
        <v>2872.446645916297</v>
      </c>
      <c r="C93" s="60">
        <v>2840.548840044591</v>
      </c>
      <c r="D93" s="60">
        <v>1869.1222754916703</v>
      </c>
      <c r="E93" s="68">
        <v>1939.741026741037</v>
      </c>
      <c r="F93" s="44">
        <v>2090.118426472483</v>
      </c>
      <c r="G93" s="44">
        <v>2247.5059664822224</v>
      </c>
      <c r="H93" s="44">
        <v>2399.0150750883067</v>
      </c>
      <c r="I93" s="44">
        <v>2322.8909999999996</v>
      </c>
    </row>
    <row r="94" spans="1:9" ht="15">
      <c r="A94" s="43" t="str">
        <f>HLOOKUP(INDICE!$F$2,Nombres!$C$3:$D$636,61,FALSE)</f>
        <v>Depósitos de la clientela</v>
      </c>
      <c r="B94" s="60">
        <v>12840.325890421173</v>
      </c>
      <c r="C94" s="60">
        <v>12374.60836101762</v>
      </c>
      <c r="D94" s="60">
        <v>13336.915140436196</v>
      </c>
      <c r="E94" s="68">
        <v>13360.481279294774</v>
      </c>
      <c r="F94" s="44">
        <v>14395.35523845442</v>
      </c>
      <c r="G94" s="44">
        <v>13882.585100155244</v>
      </c>
      <c r="H94" s="44">
        <v>14471.766384104072</v>
      </c>
      <c r="I94" s="44">
        <v>14642.522</v>
      </c>
    </row>
    <row r="95" spans="1:9" ht="15">
      <c r="A95" s="43" t="str">
        <f>HLOOKUP(INDICE!$F$2,Nombres!$C$3:$D$636,62,FALSE)</f>
        <v>Valores representativos de deuda emitidos</v>
      </c>
      <c r="B95" s="44">
        <v>1851.288134786692</v>
      </c>
      <c r="C95" s="44">
        <v>1458.3689594471264</v>
      </c>
      <c r="D95" s="44">
        <v>1492.894011651212</v>
      </c>
      <c r="E95" s="45">
        <v>1528.8327130035832</v>
      </c>
      <c r="F95" s="44">
        <v>1517.0071049229632</v>
      </c>
      <c r="G95" s="44">
        <v>1404.396805239993</v>
      </c>
      <c r="H95" s="44">
        <v>1474.9761546474124</v>
      </c>
      <c r="I95" s="44">
        <v>1506.131</v>
      </c>
    </row>
    <row r="96" spans="1:9" ht="15">
      <c r="A96" s="43" t="str">
        <f>HLOOKUP(INDICE!$F$2,Nombres!$C$3:$D$636,63,FALSE)</f>
        <v>Otros pasivos</v>
      </c>
      <c r="B96" s="60">
        <f>+B91-B92-B93-B94-B95-B97</f>
        <v>2320.3088543767944</v>
      </c>
      <c r="C96" s="60">
        <f aca="true" t="shared" si="16" ref="C96:I96">+C91-C92-C93-C94-C95-C97</f>
        <v>2189.1085029471487</v>
      </c>
      <c r="D96" s="60">
        <f t="shared" si="16"/>
        <v>2236.1517039791843</v>
      </c>
      <c r="E96" s="68">
        <f t="shared" si="16"/>
        <v>2559.37374899071</v>
      </c>
      <c r="F96" s="44">
        <f t="shared" si="16"/>
        <v>2765.7887756487985</v>
      </c>
      <c r="G96" s="44">
        <f t="shared" si="16"/>
        <v>2707.4445555194507</v>
      </c>
      <c r="H96" s="44">
        <f t="shared" si="16"/>
        <v>2746.8236799424694</v>
      </c>
      <c r="I96" s="44">
        <f t="shared" si="16"/>
        <v>2597.524695369997</v>
      </c>
    </row>
    <row r="97" spans="1:9" ht="15">
      <c r="A97" s="43" t="str">
        <f>HLOOKUP(INDICE!$F$2,Nombres!$C$3:$D$636,64,FALSE)</f>
        <v>Dotación de capital económico</v>
      </c>
      <c r="B97" s="44">
        <v>606.6835677166953</v>
      </c>
      <c r="C97" s="44">
        <v>601.0544573983381</v>
      </c>
      <c r="D97" s="44">
        <v>622.7001657375823</v>
      </c>
      <c r="E97" s="45">
        <v>643.3414055462389</v>
      </c>
      <c r="F97" s="44">
        <v>608.4589339495134</v>
      </c>
      <c r="G97" s="44">
        <v>618.5347011573695</v>
      </c>
      <c r="H97" s="44">
        <v>631.8143114660683</v>
      </c>
      <c r="I97" s="44">
        <v>676.8443120200002</v>
      </c>
    </row>
    <row r="98" spans="1:9" ht="15">
      <c r="A98" s="65"/>
      <c r="B98" s="60"/>
      <c r="C98" s="60"/>
      <c r="D98" s="60"/>
      <c r="E98" s="60"/>
      <c r="F98" s="44"/>
      <c r="G98" s="44"/>
      <c r="H98" s="44"/>
      <c r="I98" s="44"/>
    </row>
    <row r="99" spans="1:9" ht="15">
      <c r="A99" s="43"/>
      <c r="B99" s="60"/>
      <c r="C99" s="60"/>
      <c r="D99" s="60"/>
      <c r="E99" s="60"/>
      <c r="F99" s="44"/>
      <c r="G99" s="44"/>
      <c r="H99" s="44"/>
      <c r="I99" s="44"/>
    </row>
    <row r="100" spans="1:9" ht="18">
      <c r="A100" s="33" t="str">
        <f>HLOOKUP(INDICE!$F$2,Nombres!$C$3:$D$636,65,FALSE)</f>
        <v>Indicadores relevantes y de gestión</v>
      </c>
      <c r="B100" s="34"/>
      <c r="C100" s="34"/>
      <c r="D100" s="34"/>
      <c r="E100" s="34"/>
      <c r="F100" s="72"/>
      <c r="G100" s="72"/>
      <c r="H100" s="72"/>
      <c r="I100" s="72"/>
    </row>
    <row r="101" spans="1:9" ht="15">
      <c r="A101" s="35" t="str">
        <f>HLOOKUP(INDICE!$F$2,Nombres!$C$3:$D$636,73,FALSE)</f>
        <v>(Millones de euros constantes)</v>
      </c>
      <c r="B101" s="30"/>
      <c r="C101" s="30"/>
      <c r="D101" s="30"/>
      <c r="E101" s="30"/>
      <c r="F101" s="73"/>
      <c r="G101" s="44"/>
      <c r="H101" s="44"/>
      <c r="I101" s="44"/>
    </row>
    <row r="102" spans="1:9" ht="15.75">
      <c r="A102" s="30"/>
      <c r="B102" s="55">
        <f aca="true" t="shared" si="17" ref="B102:I102">+B$30</f>
        <v>43190</v>
      </c>
      <c r="C102" s="55">
        <f t="shared" si="17"/>
        <v>43281</v>
      </c>
      <c r="D102" s="55">
        <f t="shared" si="17"/>
        <v>43373</v>
      </c>
      <c r="E102" s="71">
        <f t="shared" si="17"/>
        <v>43465</v>
      </c>
      <c r="F102" s="55">
        <f t="shared" si="17"/>
        <v>43555</v>
      </c>
      <c r="G102" s="55">
        <f t="shared" si="17"/>
        <v>43646</v>
      </c>
      <c r="H102" s="55">
        <f t="shared" si="17"/>
        <v>43738</v>
      </c>
      <c r="I102" s="55">
        <f t="shared" si="17"/>
        <v>43830</v>
      </c>
    </row>
    <row r="103" spans="1:9" ht="15">
      <c r="A103" s="43" t="str">
        <f>HLOOKUP(INDICE!$F$2,Nombres!$C$3:$D$636,66,FALSE)</f>
        <v>Préstamos y anticipos a la clientela bruto (*)</v>
      </c>
      <c r="B103" s="44">
        <v>14103.514746465868</v>
      </c>
      <c r="C103" s="44">
        <v>14248.231663518696</v>
      </c>
      <c r="D103" s="44">
        <v>14493.662558617334</v>
      </c>
      <c r="E103" s="45">
        <v>14561.818608662345</v>
      </c>
      <c r="F103" s="44">
        <v>15031.270452234676</v>
      </c>
      <c r="G103" s="44">
        <v>15150.396928382763</v>
      </c>
      <c r="H103" s="44">
        <v>15637.333256674612</v>
      </c>
      <c r="I103" s="44">
        <v>15799.34585733</v>
      </c>
    </row>
    <row r="104" spans="1:9" ht="15">
      <c r="A104" s="43" t="str">
        <f>HLOOKUP(INDICE!$F$2,Nombres!$C$3:$D$636,67,FALSE)</f>
        <v>Depósitos de clientes en gestión (**)</v>
      </c>
      <c r="B104" s="44">
        <v>12567.030649803877</v>
      </c>
      <c r="C104" s="44">
        <v>12374.609239196136</v>
      </c>
      <c r="D104" s="44">
        <v>13335.953441657353</v>
      </c>
      <c r="E104" s="45">
        <v>13331.487299441673</v>
      </c>
      <c r="F104" s="44">
        <v>14383.120158004895</v>
      </c>
      <c r="G104" s="44">
        <v>13881.471300883331</v>
      </c>
      <c r="H104" s="44">
        <v>14471.762535465348</v>
      </c>
      <c r="I104" s="44">
        <v>14642.522007790001</v>
      </c>
    </row>
    <row r="105" spans="1:9" ht="15">
      <c r="A105" s="43" t="str">
        <f>HLOOKUP(INDICE!$F$2,Nombres!$C$3:$D$636,68,FALSE)</f>
        <v>Fondos de inversión</v>
      </c>
      <c r="B105" s="44">
        <v>1730.1338387939165</v>
      </c>
      <c r="C105" s="44">
        <v>1735.4903496236216</v>
      </c>
      <c r="D105" s="44">
        <v>1740.6680478644944</v>
      </c>
      <c r="E105" s="45">
        <v>1729.115598122833</v>
      </c>
      <c r="F105" s="44">
        <v>1717.5225479221256</v>
      </c>
      <c r="G105" s="44">
        <v>1694.980895468938</v>
      </c>
      <c r="H105" s="44">
        <v>1782.8005147867498</v>
      </c>
      <c r="I105" s="44">
        <v>1820.87751944</v>
      </c>
    </row>
    <row r="106" spans="1:9" ht="15">
      <c r="A106" s="43" t="str">
        <f>HLOOKUP(INDICE!$F$2,Nombres!$C$3:$D$636,69,FALSE)</f>
        <v>Fondos de pensiones</v>
      </c>
      <c r="B106" s="44" t="s">
        <v>400</v>
      </c>
      <c r="C106" s="44" t="s">
        <v>400</v>
      </c>
      <c r="D106" s="44" t="s">
        <v>400</v>
      </c>
      <c r="E106" s="45" t="s">
        <v>400</v>
      </c>
      <c r="F106" s="44" t="s">
        <v>400</v>
      </c>
      <c r="G106" s="44" t="s">
        <v>400</v>
      </c>
      <c r="H106" s="44" t="s">
        <v>400</v>
      </c>
      <c r="I106" s="44" t="s">
        <v>400</v>
      </c>
    </row>
    <row r="107" spans="1:9" ht="15">
      <c r="A107" s="43" t="str">
        <f>HLOOKUP(INDICE!$F$2,Nombres!$C$3:$D$636,70,FALSE)</f>
        <v>Otros recursos fuera de balance</v>
      </c>
      <c r="B107" s="44" t="s">
        <v>400</v>
      </c>
      <c r="C107" s="44" t="s">
        <v>400</v>
      </c>
      <c r="D107" s="44" t="s">
        <v>400</v>
      </c>
      <c r="E107" s="45" t="s">
        <v>400</v>
      </c>
      <c r="F107" s="44" t="s">
        <v>400</v>
      </c>
      <c r="G107" s="44" t="s">
        <v>400</v>
      </c>
      <c r="H107" s="44" t="s">
        <v>400</v>
      </c>
      <c r="I107" s="44" t="s">
        <v>400</v>
      </c>
    </row>
    <row r="108" spans="1:9" ht="15">
      <c r="A108" s="65" t="str">
        <f>HLOOKUP(INDICE!$F$2,Nombres!$C$3:$D$636,71,FALSE)</f>
        <v>(*) No incluye las adquisiciones temporales de activos.</v>
      </c>
      <c r="B108" s="60"/>
      <c r="C108" s="60"/>
      <c r="D108" s="60"/>
      <c r="E108" s="60"/>
      <c r="F108" s="60"/>
      <c r="G108" s="60"/>
      <c r="H108" s="60"/>
      <c r="I108" s="60"/>
    </row>
    <row r="109" spans="1:9" ht="15">
      <c r="A109" s="65" t="str">
        <f>HLOOKUP(INDICE!$F$2,Nombres!$C$3:$D$636,72,FALSE)</f>
        <v>(**) No incluye las cesiones temporales de activos.</v>
      </c>
      <c r="B109" s="30"/>
      <c r="C109" s="30"/>
      <c r="D109" s="30"/>
      <c r="E109" s="30"/>
      <c r="F109" s="30"/>
      <c r="G109" s="30"/>
      <c r="H109" s="30"/>
      <c r="I109" s="30"/>
    </row>
    <row r="110" spans="1:9" ht="15">
      <c r="A110" s="65"/>
      <c r="B110" s="60"/>
      <c r="C110" s="44"/>
      <c r="D110" s="44"/>
      <c r="E110" s="44"/>
      <c r="F110" s="44"/>
      <c r="G110" s="30"/>
      <c r="H110" s="30"/>
      <c r="I110" s="30"/>
    </row>
    <row r="111" spans="1:9" ht="18">
      <c r="A111" s="33" t="str">
        <f>HLOOKUP(INDICE!$F$2,Nombres!$C$3:$D$636,31,FALSE)</f>
        <v>Cuenta de resultados  </v>
      </c>
      <c r="B111" s="34"/>
      <c r="C111" s="34"/>
      <c r="D111" s="34"/>
      <c r="E111" s="34"/>
      <c r="F111" s="34"/>
      <c r="G111" s="34"/>
      <c r="H111" s="34"/>
      <c r="I111" s="34"/>
    </row>
    <row r="112" spans="1:9" ht="15">
      <c r="A112" s="35" t="str">
        <f>HLOOKUP(INDICE!$F$2,Nombres!$C$3:$D$636,79,FALSE)</f>
        <v>(Millones de soles peruanos)</v>
      </c>
      <c r="B112" s="30"/>
      <c r="C112" s="36"/>
      <c r="D112" s="36"/>
      <c r="E112" s="36"/>
      <c r="F112" s="30"/>
      <c r="G112" s="30"/>
      <c r="H112" s="30"/>
      <c r="I112" s="30"/>
    </row>
    <row r="113" spans="1:9" ht="15">
      <c r="A113" s="37"/>
      <c r="B113" s="30"/>
      <c r="C113" s="36"/>
      <c r="D113" s="36"/>
      <c r="E113" s="36"/>
      <c r="F113" s="30"/>
      <c r="G113" s="30"/>
      <c r="H113" s="30"/>
      <c r="I113" s="30"/>
    </row>
    <row r="114" spans="1:9" ht="15.75">
      <c r="A114" s="38"/>
      <c r="B114" s="295">
        <f>+B$6</f>
        <v>2018</v>
      </c>
      <c r="C114" s="295"/>
      <c r="D114" s="295"/>
      <c r="E114" s="296"/>
      <c r="F114" s="295">
        <f>+F$6</f>
        <v>2019</v>
      </c>
      <c r="G114" s="295"/>
      <c r="H114" s="295"/>
      <c r="I114" s="295"/>
    </row>
    <row r="115" spans="1:9" ht="15.7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5">
      <c r="A116" s="41" t="str">
        <f>HLOOKUP(INDICE!$F$2,Nombres!$C$3:$D$636,33,FALSE)</f>
        <v>Margen de intereses</v>
      </c>
      <c r="B116" s="41">
        <v>718.0256383732125</v>
      </c>
      <c r="C116" s="41">
        <v>759.5050569686414</v>
      </c>
      <c r="D116" s="41">
        <v>804.3723674924072</v>
      </c>
      <c r="E116" s="42">
        <v>843.5386264259504</v>
      </c>
      <c r="F116" s="52">
        <v>825.8225655813931</v>
      </c>
      <c r="G116" s="52">
        <v>854.5820671411161</v>
      </c>
      <c r="H116" s="52">
        <v>865.3555939439445</v>
      </c>
      <c r="I116" s="52">
        <v>807.2391714664036</v>
      </c>
    </row>
    <row r="117" spans="1:9" ht="15">
      <c r="A117" s="43" t="str">
        <f>HLOOKUP(INDICE!$F$2,Nombres!$C$3:$D$636,34,FALSE)</f>
        <v>Comisiones netas</v>
      </c>
      <c r="B117" s="44">
        <v>193.4000525180829</v>
      </c>
      <c r="C117" s="44">
        <v>218.16546918482078</v>
      </c>
      <c r="D117" s="44">
        <v>204.06552915736208</v>
      </c>
      <c r="E117" s="45">
        <v>232.8807037175936</v>
      </c>
      <c r="F117" s="44">
        <v>204.58466550734533</v>
      </c>
      <c r="G117" s="44">
        <v>222.8589218140125</v>
      </c>
      <c r="H117" s="44">
        <v>223.98290951531763</v>
      </c>
      <c r="I117" s="44">
        <v>213.38360176306594</v>
      </c>
    </row>
    <row r="118" spans="1:9" ht="15">
      <c r="A118" s="43" t="str">
        <f>HLOOKUP(INDICE!$F$2,Nombres!$C$3:$D$636,35,FALSE)</f>
        <v>Resultados de operaciones financieras</v>
      </c>
      <c r="B118" s="44">
        <v>138.32309681629013</v>
      </c>
      <c r="C118" s="44">
        <v>139.53671775397507</v>
      </c>
      <c r="D118" s="44">
        <v>118.09352299590537</v>
      </c>
      <c r="E118" s="45">
        <v>139.50647427711357</v>
      </c>
      <c r="F118" s="44">
        <v>147.21206039426397</v>
      </c>
      <c r="G118" s="44">
        <v>162.3845409942765</v>
      </c>
      <c r="H118" s="44">
        <v>164.6063307323721</v>
      </c>
      <c r="I118" s="44">
        <v>198.50103178956118</v>
      </c>
    </row>
    <row r="119" spans="1:9" ht="15">
      <c r="A119" s="43" t="str">
        <f>HLOOKUP(INDICE!$F$2,Nombres!$C$3:$D$636,36,FALSE)</f>
        <v>Otros ingresos y cargas de explotación</v>
      </c>
      <c r="B119" s="44">
        <v>-11.613657884476133</v>
      </c>
      <c r="C119" s="44">
        <v>-20.13499403584961</v>
      </c>
      <c r="D119" s="44">
        <v>-14.573648769522853</v>
      </c>
      <c r="E119" s="45">
        <v>-41.88755358663435</v>
      </c>
      <c r="F119" s="44">
        <v>-23.989773249011417</v>
      </c>
      <c r="G119" s="44">
        <v>-17.660656480926836</v>
      </c>
      <c r="H119" s="44">
        <v>-21.40290645714728</v>
      </c>
      <c r="I119" s="44">
        <v>-19.43030489488637</v>
      </c>
    </row>
    <row r="120" spans="1:9" ht="15">
      <c r="A120" s="41" t="str">
        <f>HLOOKUP(INDICE!$F$2,Nombres!$C$3:$D$636,37,FALSE)</f>
        <v>Margen bruto</v>
      </c>
      <c r="B120" s="41">
        <f>+SUM(B116:B119)</f>
        <v>1038.1351298231093</v>
      </c>
      <c r="C120" s="41">
        <f aca="true" t="shared" si="19" ref="C120:I120">+SUM(C116:C119)</f>
        <v>1097.0722498715877</v>
      </c>
      <c r="D120" s="41">
        <f t="shared" si="19"/>
        <v>1111.957770876152</v>
      </c>
      <c r="E120" s="42">
        <f t="shared" si="19"/>
        <v>1174.038250834023</v>
      </c>
      <c r="F120" s="52">
        <f t="shared" si="19"/>
        <v>1153.629518233991</v>
      </c>
      <c r="G120" s="52">
        <f t="shared" si="19"/>
        <v>1222.1648734684782</v>
      </c>
      <c r="H120" s="52">
        <f t="shared" si="19"/>
        <v>1232.541927734487</v>
      </c>
      <c r="I120" s="52">
        <f t="shared" si="19"/>
        <v>1199.6935001241443</v>
      </c>
    </row>
    <row r="121" spans="1:9" ht="15">
      <c r="A121" s="43" t="str">
        <f>HLOOKUP(INDICE!$F$2,Nombres!$C$3:$D$636,38,FALSE)</f>
        <v>Gastos de explotación</v>
      </c>
      <c r="B121" s="44">
        <v>-391.80457778644245</v>
      </c>
      <c r="C121" s="44">
        <v>-391.22884940153415</v>
      </c>
      <c r="D121" s="44">
        <v>-396.26447214320933</v>
      </c>
      <c r="E121" s="45">
        <v>-412.1921699427563</v>
      </c>
      <c r="F121" s="44">
        <v>-423.0523077793573</v>
      </c>
      <c r="G121" s="44">
        <v>-417.02620179789534</v>
      </c>
      <c r="H121" s="44">
        <v>-434.0389355653134</v>
      </c>
      <c r="I121" s="44">
        <v>-445.23424739291124</v>
      </c>
    </row>
    <row r="122" spans="1:9" ht="15">
      <c r="A122" s="43" t="str">
        <f>HLOOKUP(INDICE!$F$2,Nombres!$C$3:$D$636,39,FALSE)</f>
        <v>  Gastos de administración</v>
      </c>
      <c r="B122" s="44">
        <v>-355.52333549506255</v>
      </c>
      <c r="C122" s="44">
        <v>-353.271383334034</v>
      </c>
      <c r="D122" s="44">
        <v>-356.97225417293305</v>
      </c>
      <c r="E122" s="45">
        <v>-375.40329579327863</v>
      </c>
      <c r="F122" s="44">
        <v>-358.7550360133268</v>
      </c>
      <c r="G122" s="44">
        <v>-356.0645519441117</v>
      </c>
      <c r="H122" s="44">
        <v>-372.5524822818744</v>
      </c>
      <c r="I122" s="44">
        <v>-386.37676868024823</v>
      </c>
    </row>
    <row r="123" spans="1:9" ht="15">
      <c r="A123" s="46" t="str">
        <f>HLOOKUP(INDICE!$F$2,Nombres!$C$3:$D$636,40,FALSE)</f>
        <v>  Gastos de personal</v>
      </c>
      <c r="B123" s="44">
        <v>-191.60745120194792</v>
      </c>
      <c r="C123" s="44">
        <v>-189.83228216911587</v>
      </c>
      <c r="D123" s="44">
        <v>-192.67732926064434</v>
      </c>
      <c r="E123" s="45">
        <v>-209.2915359866916</v>
      </c>
      <c r="F123" s="44">
        <v>-204.19044375609718</v>
      </c>
      <c r="G123" s="44">
        <v>-199.31825918330463</v>
      </c>
      <c r="H123" s="44">
        <v>-210.26052277643083</v>
      </c>
      <c r="I123" s="44">
        <v>-232.19491446987908</v>
      </c>
    </row>
    <row r="124" spans="1:9" ht="15">
      <c r="A124" s="46" t="str">
        <f>HLOOKUP(INDICE!$F$2,Nombres!$C$3:$D$636,41,FALSE)</f>
        <v>  Otros gastos de administración</v>
      </c>
      <c r="B124" s="44">
        <v>-163.91588429311463</v>
      </c>
      <c r="C124" s="44">
        <v>-163.4391011649181</v>
      </c>
      <c r="D124" s="44">
        <v>-164.29492491228862</v>
      </c>
      <c r="E124" s="45">
        <v>-166.1117598065871</v>
      </c>
      <c r="F124" s="44">
        <v>-154.56459225722958</v>
      </c>
      <c r="G124" s="44">
        <v>-156.74629276080705</v>
      </c>
      <c r="H124" s="44">
        <v>-162.29195950544363</v>
      </c>
      <c r="I124" s="44">
        <v>-154.18185421036918</v>
      </c>
    </row>
    <row r="125" spans="1:9" ht="15">
      <c r="A125" s="43" t="str">
        <f>HLOOKUP(INDICE!$F$2,Nombres!$C$3:$D$636,42,FALSE)</f>
        <v>  Amortización</v>
      </c>
      <c r="B125" s="44">
        <v>-36.28124229137987</v>
      </c>
      <c r="C125" s="44">
        <v>-37.95746606750017</v>
      </c>
      <c r="D125" s="44">
        <v>-39.2922179702763</v>
      </c>
      <c r="E125" s="45">
        <v>-36.788874149477714</v>
      </c>
      <c r="F125" s="44">
        <v>-64.2972717660306</v>
      </c>
      <c r="G125" s="44">
        <v>-60.96164985378372</v>
      </c>
      <c r="H125" s="44">
        <v>-61.486453283439005</v>
      </c>
      <c r="I125" s="44">
        <v>-58.85747871266298</v>
      </c>
    </row>
    <row r="126" spans="1:9" ht="15">
      <c r="A126" s="41" t="str">
        <f>HLOOKUP(INDICE!$F$2,Nombres!$C$3:$D$636,43,FALSE)</f>
        <v>Margen neto</v>
      </c>
      <c r="B126" s="41">
        <f>+B120+B121</f>
        <v>646.3305520366669</v>
      </c>
      <c r="C126" s="41">
        <f aca="true" t="shared" si="20" ref="C126:I126">+C120+C121</f>
        <v>705.8434004700536</v>
      </c>
      <c r="D126" s="41">
        <f t="shared" si="20"/>
        <v>715.6932987329426</v>
      </c>
      <c r="E126" s="42">
        <f t="shared" si="20"/>
        <v>761.8460808912668</v>
      </c>
      <c r="F126" s="52">
        <f t="shared" si="20"/>
        <v>730.5772104546336</v>
      </c>
      <c r="G126" s="52">
        <f t="shared" si="20"/>
        <v>805.1386716705829</v>
      </c>
      <c r="H126" s="52">
        <f t="shared" si="20"/>
        <v>798.5029921691736</v>
      </c>
      <c r="I126" s="52">
        <f t="shared" si="20"/>
        <v>754.459252731233</v>
      </c>
    </row>
    <row r="127" spans="1:9" ht="15">
      <c r="A127" s="43" t="str">
        <f>HLOOKUP(INDICE!$F$2,Nombres!$C$3:$D$636,44,FALSE)</f>
        <v>Deterioro de activos financieros no valorados a valor razonable con cambios en resultados</v>
      </c>
      <c r="B127" s="44">
        <v>-205.98228712272527</v>
      </c>
      <c r="C127" s="44">
        <v>-127.4060697135715</v>
      </c>
      <c r="D127" s="44">
        <v>-212.8930437004685</v>
      </c>
      <c r="E127" s="45">
        <v>27.735299852946866</v>
      </c>
      <c r="F127" s="44">
        <v>-214.68526197310226</v>
      </c>
      <c r="G127" s="44">
        <v>-233.43014331623323</v>
      </c>
      <c r="H127" s="44">
        <v>-178.58668800651432</v>
      </c>
      <c r="I127" s="44">
        <v>-193.7810868398705</v>
      </c>
    </row>
    <row r="128" spans="1:9" ht="15">
      <c r="A128" s="43" t="str">
        <f>HLOOKUP(INDICE!$F$2,Nombres!$C$3:$D$636,45,FALSE)</f>
        <v>Provisiones o reversión de provisiones y otros resultados</v>
      </c>
      <c r="B128" s="44">
        <v>-0.5092661393638807</v>
      </c>
      <c r="C128" s="44">
        <v>-10.279301476853941</v>
      </c>
      <c r="D128" s="44">
        <v>-5.329972639232591</v>
      </c>
      <c r="E128" s="45">
        <v>-55.81232539731878</v>
      </c>
      <c r="F128" s="44">
        <v>-14.393109198006849</v>
      </c>
      <c r="G128" s="44">
        <v>43.1642446329642</v>
      </c>
      <c r="H128" s="44">
        <v>14.109170021100827</v>
      </c>
      <c r="I128" s="44">
        <v>-38.698814576059604</v>
      </c>
    </row>
    <row r="129" spans="1:9" ht="15">
      <c r="A129" s="41" t="str">
        <f>HLOOKUP(INDICE!$F$2,Nombres!$C$3:$D$636,46,FALSE)</f>
        <v>Resultado antes de impuestos</v>
      </c>
      <c r="B129" s="41">
        <f>+B126+B127+B128</f>
        <v>439.8389987745777</v>
      </c>
      <c r="C129" s="41">
        <f aca="true" t="shared" si="21" ref="C129:I129">+C126+C127+C128</f>
        <v>568.1580292796282</v>
      </c>
      <c r="D129" s="41">
        <f t="shared" si="21"/>
        <v>497.47028239324146</v>
      </c>
      <c r="E129" s="42">
        <f t="shared" si="21"/>
        <v>733.7690553468949</v>
      </c>
      <c r="F129" s="52">
        <f t="shared" si="21"/>
        <v>501.4988392835245</v>
      </c>
      <c r="G129" s="52">
        <f t="shared" si="21"/>
        <v>614.872772987314</v>
      </c>
      <c r="H129" s="52">
        <f t="shared" si="21"/>
        <v>634.02547418376</v>
      </c>
      <c r="I129" s="52">
        <f t="shared" si="21"/>
        <v>521.979351315303</v>
      </c>
    </row>
    <row r="130" spans="1:9" ht="15">
      <c r="A130" s="43" t="str">
        <f>HLOOKUP(INDICE!$F$2,Nombres!$C$3:$D$636,47,FALSE)</f>
        <v>Impuesto sobre beneficios</v>
      </c>
      <c r="B130" s="44">
        <v>-130.3313732682958</v>
      </c>
      <c r="C130" s="44">
        <v>-162.81526887353945</v>
      </c>
      <c r="D130" s="44">
        <v>-144.70335684540004</v>
      </c>
      <c r="E130" s="45">
        <v>-187.32883545735132</v>
      </c>
      <c r="F130" s="44">
        <v>-147.1221655778166</v>
      </c>
      <c r="G130" s="44">
        <v>-175.04542812497616</v>
      </c>
      <c r="H130" s="44">
        <v>-183.12946395208158</v>
      </c>
      <c r="I130" s="44">
        <v>-133.44808630932994</v>
      </c>
    </row>
    <row r="131" spans="1:9" ht="15">
      <c r="A131" s="41" t="str">
        <f>HLOOKUP(INDICE!$F$2,Nombres!$C$3:$D$636,48,FALSE)</f>
        <v>Resultado del ejercicio</v>
      </c>
      <c r="B131" s="41">
        <f>+B129+B130</f>
        <v>309.5076255062819</v>
      </c>
      <c r="C131" s="41">
        <f aca="true" t="shared" si="22" ref="C131:I131">+C129+C130</f>
        <v>405.3427604060887</v>
      </c>
      <c r="D131" s="41">
        <f t="shared" si="22"/>
        <v>352.7669255478414</v>
      </c>
      <c r="E131" s="42">
        <f t="shared" si="22"/>
        <v>546.4402198895436</v>
      </c>
      <c r="F131" s="52">
        <f t="shared" si="22"/>
        <v>354.3766737057079</v>
      </c>
      <c r="G131" s="52">
        <f t="shared" si="22"/>
        <v>439.8273448623378</v>
      </c>
      <c r="H131" s="52">
        <f t="shared" si="22"/>
        <v>450.8960102316785</v>
      </c>
      <c r="I131" s="52">
        <f t="shared" si="22"/>
        <v>388.53126500597307</v>
      </c>
    </row>
    <row r="132" spans="1:9" ht="15">
      <c r="A132" s="43" t="str">
        <f>HLOOKUP(INDICE!$F$2,Nombres!$C$3:$D$636,49,FALSE)</f>
        <v>Minoritarios</v>
      </c>
      <c r="B132" s="44">
        <v>-169.33663446618544</v>
      </c>
      <c r="C132" s="44">
        <v>-220.54789181940305</v>
      </c>
      <c r="D132" s="44">
        <v>-191.44106682449518</v>
      </c>
      <c r="E132" s="45">
        <v>-293.706626720261</v>
      </c>
      <c r="F132" s="44">
        <v>-193.04951464058578</v>
      </c>
      <c r="G132" s="44">
        <v>-235.34427636316116</v>
      </c>
      <c r="H132" s="44">
        <v>-243.65688144628677</v>
      </c>
      <c r="I132" s="44">
        <v>-208.4062180709235</v>
      </c>
    </row>
    <row r="133" spans="1:9" ht="15">
      <c r="A133" s="47" t="str">
        <f>HLOOKUP(INDICE!$F$2,Nombres!$C$3:$D$636,50,FALSE)</f>
        <v>Resultado atribuido</v>
      </c>
      <c r="B133" s="47">
        <f>+B131+B132</f>
        <v>140.17099104009645</v>
      </c>
      <c r="C133" s="47">
        <f aca="true" t="shared" si="23" ref="C133:I133">+C131+C132</f>
        <v>184.79486858668565</v>
      </c>
      <c r="D133" s="47">
        <f t="shared" si="23"/>
        <v>161.32585872334624</v>
      </c>
      <c r="E133" s="47">
        <f t="shared" si="23"/>
        <v>252.73359316928264</v>
      </c>
      <c r="F133" s="53">
        <f t="shared" si="23"/>
        <v>161.32715906512212</v>
      </c>
      <c r="G133" s="53">
        <f t="shared" si="23"/>
        <v>204.48306849917662</v>
      </c>
      <c r="H133" s="53">
        <f t="shared" si="23"/>
        <v>207.2391287853917</v>
      </c>
      <c r="I133" s="53">
        <f t="shared" si="23"/>
        <v>180.12504693504957</v>
      </c>
    </row>
    <row r="134" spans="1:9" ht="15">
      <c r="A134" s="65"/>
      <c r="B134" s="66">
        <v>0</v>
      </c>
      <c r="C134" s="66">
        <v>0</v>
      </c>
      <c r="D134" s="66">
        <v>0</v>
      </c>
      <c r="E134" s="66">
        <v>0</v>
      </c>
      <c r="F134" s="66">
        <v>0</v>
      </c>
      <c r="G134" s="66">
        <v>0</v>
      </c>
      <c r="H134" s="66">
        <v>0</v>
      </c>
      <c r="I134" s="66">
        <v>0</v>
      </c>
    </row>
    <row r="135" spans="1:9" ht="15">
      <c r="A135" s="41"/>
      <c r="B135" s="41"/>
      <c r="C135" s="41"/>
      <c r="D135" s="41"/>
      <c r="E135" s="41"/>
      <c r="F135" s="52"/>
      <c r="G135" s="52"/>
      <c r="H135" s="52"/>
      <c r="I135" s="52"/>
    </row>
    <row r="136" spans="1:9" ht="18">
      <c r="A136" s="33" t="str">
        <f>HLOOKUP(INDICE!$F$2,Nombres!$C$3:$D$636,51,FALSE)</f>
        <v>Balances</v>
      </c>
      <c r="B136" s="34"/>
      <c r="C136" s="34"/>
      <c r="D136" s="34"/>
      <c r="E136" s="34"/>
      <c r="F136" s="72"/>
      <c r="G136" s="72"/>
      <c r="H136" s="72"/>
      <c r="I136" s="72"/>
    </row>
    <row r="137" spans="1:9" ht="15">
      <c r="A137" s="35" t="str">
        <f>HLOOKUP(INDICE!$F$2,Nombres!$C$3:$D$636,79,FALSE)</f>
        <v>(Millones de soles peruanos)</v>
      </c>
      <c r="B137" s="30"/>
      <c r="C137" s="54"/>
      <c r="D137" s="54"/>
      <c r="E137" s="54"/>
      <c r="F137" s="73"/>
      <c r="G137" s="44"/>
      <c r="H137" s="44"/>
      <c r="I137" s="44"/>
    </row>
    <row r="138" spans="1:9" ht="15.75">
      <c r="A138" s="30"/>
      <c r="B138" s="55">
        <f aca="true" t="shared" si="24" ref="B138:I138">+B$30</f>
        <v>43190</v>
      </c>
      <c r="C138" s="55">
        <f t="shared" si="24"/>
        <v>43281</v>
      </c>
      <c r="D138" s="55">
        <f t="shared" si="24"/>
        <v>43373</v>
      </c>
      <c r="E138" s="71">
        <f t="shared" si="24"/>
        <v>43465</v>
      </c>
      <c r="F138" s="55">
        <f t="shared" si="24"/>
        <v>43555</v>
      </c>
      <c r="G138" s="55">
        <f t="shared" si="24"/>
        <v>43646</v>
      </c>
      <c r="H138" s="55">
        <f t="shared" si="24"/>
        <v>43738</v>
      </c>
      <c r="I138" s="55">
        <f t="shared" si="24"/>
        <v>43830</v>
      </c>
    </row>
    <row r="139" spans="1:9" ht="15">
      <c r="A139" s="43" t="str">
        <f>HLOOKUP(INDICE!$F$2,Nombres!$C$3:$D$636,52,FALSE)</f>
        <v>Efectivo, saldos en efectivo en bancos centrales y otros depósitos a la vista</v>
      </c>
      <c r="B139" s="44">
        <v>10500.93672064246</v>
      </c>
      <c r="C139" s="44">
        <v>9781.55932565576</v>
      </c>
      <c r="D139" s="44">
        <v>8804.364080262456</v>
      </c>
      <c r="E139" s="45">
        <v>11638.836428800396</v>
      </c>
      <c r="F139" s="44">
        <v>12486.02588877107</v>
      </c>
      <c r="G139" s="44">
        <v>9946.52390805602</v>
      </c>
      <c r="H139" s="44">
        <v>10321.952254310552</v>
      </c>
      <c r="I139" s="44">
        <v>12514.810672603597</v>
      </c>
    </row>
    <row r="140" spans="1:9" ht="15">
      <c r="A140" s="43" t="str">
        <f>HLOOKUP(INDICE!$F$2,Nombres!$C$3:$D$636,53,FALSE)</f>
        <v>Activos financieros a valor razonable</v>
      </c>
      <c r="B140" s="60">
        <v>8749.643011984455</v>
      </c>
      <c r="C140" s="60">
        <v>7061.225969427081</v>
      </c>
      <c r="D140" s="60">
        <v>9075.635156786451</v>
      </c>
      <c r="E140" s="68">
        <v>6975.162883747155</v>
      </c>
      <c r="F140" s="44">
        <v>8333.47032090871</v>
      </c>
      <c r="G140" s="44">
        <v>7413.087746390194</v>
      </c>
      <c r="H140" s="44">
        <v>8609.339328623135</v>
      </c>
      <c r="I140" s="44">
        <v>7196.390230608867</v>
      </c>
    </row>
    <row r="141" spans="1:9" ht="15">
      <c r="A141" s="43" t="str">
        <f>HLOOKUP(INDICE!$F$2,Nombres!$C$3:$D$636,54,FALSE)</f>
        <v>Activos financieros a coste amortizado</v>
      </c>
      <c r="B141" s="44">
        <v>55321.285236328054</v>
      </c>
      <c r="C141" s="44">
        <v>53972.66677351162</v>
      </c>
      <c r="D141" s="44">
        <v>53233.09681849394</v>
      </c>
      <c r="E141" s="45">
        <v>54060.294986617846</v>
      </c>
      <c r="F141" s="44">
        <v>56413.315294753724</v>
      </c>
      <c r="G141" s="44">
        <v>58154.949632511816</v>
      </c>
      <c r="H141" s="44">
        <v>59805.204635901544</v>
      </c>
      <c r="I141" s="44">
        <v>59197.55769207733</v>
      </c>
    </row>
    <row r="142" spans="1:9" ht="15">
      <c r="A142" s="43" t="str">
        <f>HLOOKUP(INDICE!$F$2,Nombres!$C$3:$D$636,55,FALSE)</f>
        <v>    de los que préstamos y anticipos a la clientela</v>
      </c>
      <c r="B142" s="44">
        <v>49693.499437092556</v>
      </c>
      <c r="C142" s="44">
        <v>50549.27459914066</v>
      </c>
      <c r="D142" s="44">
        <v>51337.26253147173</v>
      </c>
      <c r="E142" s="45">
        <v>51845.025818087706</v>
      </c>
      <c r="F142" s="44">
        <v>53471.49341012688</v>
      </c>
      <c r="G142" s="44">
        <v>54453.96549377822</v>
      </c>
      <c r="H142" s="44">
        <v>56100.23638915248</v>
      </c>
      <c r="I142" s="44">
        <v>56029.32310618846</v>
      </c>
    </row>
    <row r="143" spans="1:9" ht="15">
      <c r="A143" s="43" t="str">
        <f>HLOOKUP(INDICE!$F$2,Nombres!$C$3:$D$636,56,FALSE)</f>
        <v>Activos tangibles</v>
      </c>
      <c r="B143" s="44">
        <v>880.7481036876167</v>
      </c>
      <c r="C143" s="44">
        <v>866.6155337286594</v>
      </c>
      <c r="D143" s="44">
        <v>869.7985809109637</v>
      </c>
      <c r="E143" s="45">
        <v>924.5308523251728</v>
      </c>
      <c r="F143" s="44">
        <v>1154.6191756435442</v>
      </c>
      <c r="G143" s="44">
        <v>1150.881864211738</v>
      </c>
      <c r="H143" s="44">
        <v>1153.658124346956</v>
      </c>
      <c r="I143" s="44">
        <v>1176.209885018834</v>
      </c>
    </row>
    <row r="144" spans="1:9" ht="15">
      <c r="A144" s="43" t="str">
        <f>HLOOKUP(INDICE!$F$2,Nombres!$C$3:$D$636,57,FALSE)</f>
        <v>Otros activos</v>
      </c>
      <c r="B144" s="60">
        <f>+B145-B143-B141-B140-B139</f>
        <v>1154.5768051263094</v>
      </c>
      <c r="C144" s="60">
        <f aca="true" t="shared" si="25" ref="C144:I144">+C145-C143-C141-C140-C139</f>
        <v>1073.7726186932978</v>
      </c>
      <c r="D144" s="60">
        <f t="shared" si="25"/>
        <v>1152.578774700536</v>
      </c>
      <c r="E144" s="68">
        <f t="shared" si="25"/>
        <v>1288.2472666040867</v>
      </c>
      <c r="F144" s="44">
        <f t="shared" si="25"/>
        <v>1467.1889856354064</v>
      </c>
      <c r="G144" s="44">
        <f t="shared" si="25"/>
        <v>1352.823837155045</v>
      </c>
      <c r="H144" s="44">
        <f t="shared" si="25"/>
        <v>1425.9107388879984</v>
      </c>
      <c r="I144" s="44">
        <f t="shared" si="25"/>
        <v>1322.8264307209884</v>
      </c>
    </row>
    <row r="145" spans="1:9" ht="15">
      <c r="A145" s="47" t="str">
        <f>HLOOKUP(INDICE!$F$2,Nombres!$C$3:$D$636,58,FALSE)</f>
        <v>Total activo / pasivo</v>
      </c>
      <c r="B145" s="47">
        <v>76607.18987776889</v>
      </c>
      <c r="C145" s="47">
        <v>72755.84022101642</v>
      </c>
      <c r="D145" s="47">
        <v>73135.47341115435</v>
      </c>
      <c r="E145" s="47">
        <v>74887.07241809466</v>
      </c>
      <c r="F145" s="53">
        <v>79854.61966571245</v>
      </c>
      <c r="G145" s="53">
        <v>78018.26698832482</v>
      </c>
      <c r="H145" s="53">
        <v>81316.06508207018</v>
      </c>
      <c r="I145" s="53">
        <v>81407.79491102962</v>
      </c>
    </row>
    <row r="146" spans="1:9" ht="15">
      <c r="A146" s="43" t="str">
        <f>HLOOKUP(INDICE!$F$2,Nombres!$C$3:$D$636,59,FALSE)</f>
        <v>Pasivos financieros mantenidos para negociar y designados a valor razonable con cambios en resultados</v>
      </c>
      <c r="B146" s="60">
        <v>370.71862980243344</v>
      </c>
      <c r="C146" s="60">
        <v>341.6519754867169</v>
      </c>
      <c r="D146" s="60">
        <v>371.210040436408</v>
      </c>
      <c r="E146" s="68">
        <v>359.35224986193015</v>
      </c>
      <c r="F146" s="44">
        <v>323.0143994878725</v>
      </c>
      <c r="G146" s="44">
        <v>407.39968782661515</v>
      </c>
      <c r="H146" s="44">
        <v>490.97261831840683</v>
      </c>
      <c r="I146" s="44">
        <v>502.64746902750176</v>
      </c>
    </row>
    <row r="147" spans="1:9" ht="15">
      <c r="A147" s="43" t="str">
        <f>HLOOKUP(INDICE!$F$2,Nombres!$C$3:$D$636,60,FALSE)</f>
        <v>Depósitos de bancos centrales y entidades de crédito</v>
      </c>
      <c r="B147" s="60">
        <v>10686.868807401486</v>
      </c>
      <c r="C147" s="60">
        <v>10568.193786203265</v>
      </c>
      <c r="D147" s="60">
        <v>6954.024567025254</v>
      </c>
      <c r="E147" s="68">
        <v>7216.759936198234</v>
      </c>
      <c r="F147" s="44">
        <v>7776.235442840931</v>
      </c>
      <c r="G147" s="44">
        <v>8361.792008145629</v>
      </c>
      <c r="H147" s="44">
        <v>8925.478010495395</v>
      </c>
      <c r="I147" s="44">
        <v>8642.260216107434</v>
      </c>
    </row>
    <row r="148" spans="1:9" ht="15">
      <c r="A148" s="43" t="str">
        <f>HLOOKUP(INDICE!$F$2,Nombres!$C$3:$D$636,61,FALSE)</f>
        <v>Depósitos de la clientela</v>
      </c>
      <c r="B148" s="60">
        <v>47772.12430744326</v>
      </c>
      <c r="C148" s="60">
        <v>46039.43341651975</v>
      </c>
      <c r="D148" s="60">
        <v>49619.67269398032</v>
      </c>
      <c r="E148" s="68">
        <v>49707.34994801623</v>
      </c>
      <c r="F148" s="44">
        <v>53557.57367609086</v>
      </c>
      <c r="G148" s="44">
        <v>51649.82468303399</v>
      </c>
      <c r="H148" s="44">
        <v>53841.85950961261</v>
      </c>
      <c r="I148" s="44">
        <v>54477.151680418</v>
      </c>
    </row>
    <row r="149" spans="1:9" ht="15">
      <c r="A149" s="43" t="str">
        <f>HLOOKUP(INDICE!$F$2,Nombres!$C$3:$D$636,62,FALSE)</f>
        <v>Valores representativos de deuda emitidos</v>
      </c>
      <c r="B149" s="44">
        <v>6887.673074551827</v>
      </c>
      <c r="C149" s="44">
        <v>5425.826712762629</v>
      </c>
      <c r="D149" s="44">
        <v>5554.276340886549</v>
      </c>
      <c r="E149" s="45">
        <v>5687.985416739081</v>
      </c>
      <c r="F149" s="44">
        <v>5643.988525689772</v>
      </c>
      <c r="G149" s="44">
        <v>5225.024608366891</v>
      </c>
      <c r="H149" s="44">
        <v>5487.613383932547</v>
      </c>
      <c r="I149" s="44">
        <v>5603.5242383504465</v>
      </c>
    </row>
    <row r="150" spans="1:9" ht="15">
      <c r="A150" s="43" t="str">
        <f>HLOOKUP(INDICE!$F$2,Nombres!$C$3:$D$636,63,FALSE)</f>
        <v>Otros pasivos</v>
      </c>
      <c r="B150" s="60">
        <f>+B145-B146-B147-B148-B149-B151</f>
        <v>8632.653405287794</v>
      </c>
      <c r="C150" s="60">
        <f aca="true" t="shared" si="26" ref="C150:I150">+C145-C146-C147-C148-C149-C151</f>
        <v>8144.525646602736</v>
      </c>
      <c r="D150" s="60">
        <f t="shared" si="26"/>
        <v>8319.548747005429</v>
      </c>
      <c r="E150" s="68">
        <f t="shared" si="26"/>
        <v>9522.088608140515</v>
      </c>
      <c r="F150" s="44">
        <f t="shared" si="26"/>
        <v>10290.050760860508</v>
      </c>
      <c r="G150" s="44">
        <f t="shared" si="26"/>
        <v>10072.982490130806</v>
      </c>
      <c r="H150" s="44">
        <f t="shared" si="26"/>
        <v>10219.49157744752</v>
      </c>
      <c r="I150" s="44">
        <f t="shared" si="26"/>
        <v>9664.028288521808</v>
      </c>
    </row>
    <row r="151" spans="1:9" ht="15">
      <c r="A151" s="43" t="str">
        <f>HLOOKUP(INDICE!$F$2,Nombres!$C$3:$D$636,64,FALSE)</f>
        <v>Dotación de capital económico</v>
      </c>
      <c r="B151" s="44">
        <v>2257.151653282103</v>
      </c>
      <c r="C151" s="44">
        <v>2236.208683441323</v>
      </c>
      <c r="D151" s="44">
        <v>2316.741021820402</v>
      </c>
      <c r="E151" s="45">
        <v>2393.5362591386756</v>
      </c>
      <c r="F151" s="44">
        <v>2263.756860742506</v>
      </c>
      <c r="G151" s="44">
        <v>2301.243510820885</v>
      </c>
      <c r="H151" s="44">
        <v>2350.6499822637024</v>
      </c>
      <c r="I151" s="44">
        <v>2518.1830186044263</v>
      </c>
    </row>
    <row r="152" spans="1:9" ht="15">
      <c r="A152" s="65"/>
      <c r="B152" s="60"/>
      <c r="C152" s="60"/>
      <c r="D152" s="60"/>
      <c r="E152" s="60"/>
      <c r="F152" s="44"/>
      <c r="G152" s="44"/>
      <c r="H152" s="44"/>
      <c r="I152" s="44"/>
    </row>
    <row r="153" spans="1:9" ht="15">
      <c r="A153" s="43"/>
      <c r="B153" s="60"/>
      <c r="C153" s="60"/>
      <c r="D153" s="60"/>
      <c r="E153" s="60"/>
      <c r="F153" s="44"/>
      <c r="G153" s="44"/>
      <c r="H153" s="44"/>
      <c r="I153" s="44"/>
    </row>
    <row r="154" spans="1:9" ht="18">
      <c r="A154" s="33" t="str">
        <f>HLOOKUP(INDICE!$F$2,Nombres!$C$3:$D$636,65,FALSE)</f>
        <v>Indicadores relevantes y de gestión</v>
      </c>
      <c r="B154" s="34"/>
      <c r="C154" s="34"/>
      <c r="D154" s="34"/>
      <c r="E154" s="34"/>
      <c r="F154" s="72"/>
      <c r="G154" s="72"/>
      <c r="H154" s="72"/>
      <c r="I154" s="72"/>
    </row>
    <row r="155" spans="1:9" ht="15">
      <c r="A155" s="35" t="str">
        <f>HLOOKUP(INDICE!$F$2,Nombres!$C$3:$D$636,79,FALSE)</f>
        <v>(Millones de soles peruanos)</v>
      </c>
      <c r="B155" s="30"/>
      <c r="C155" s="30"/>
      <c r="D155" s="30"/>
      <c r="E155" s="30"/>
      <c r="F155" s="73"/>
      <c r="G155" s="44"/>
      <c r="H155" s="44"/>
      <c r="I155" s="44"/>
    </row>
    <row r="156" spans="1:9" ht="15.75" customHeight="1">
      <c r="A156" s="30"/>
      <c r="B156" s="55">
        <f aca="true" t="shared" si="27" ref="B156:I156">+B$30</f>
        <v>43190</v>
      </c>
      <c r="C156" s="55">
        <f t="shared" si="27"/>
        <v>43281</v>
      </c>
      <c r="D156" s="55">
        <f t="shared" si="27"/>
        <v>43373</v>
      </c>
      <c r="E156" s="71">
        <f t="shared" si="27"/>
        <v>43465</v>
      </c>
      <c r="F156" s="55">
        <f t="shared" si="27"/>
        <v>43555</v>
      </c>
      <c r="G156" s="55">
        <f t="shared" si="27"/>
        <v>43646</v>
      </c>
      <c r="H156" s="55">
        <f t="shared" si="27"/>
        <v>43738</v>
      </c>
      <c r="I156" s="55">
        <f t="shared" si="27"/>
        <v>43830</v>
      </c>
    </row>
    <row r="157" spans="1:9" ht="15.75" customHeight="1">
      <c r="A157" s="43" t="str">
        <f>HLOOKUP(INDICE!$F$2,Nombres!$C$3:$D$636,66,FALSE)</f>
        <v>Préstamos y anticipos a la clientela bruto (*)</v>
      </c>
      <c r="B157" s="44">
        <v>52471.788129820336</v>
      </c>
      <c r="C157" s="44">
        <v>53010.20394650883</v>
      </c>
      <c r="D157" s="44">
        <v>53923.32370138095</v>
      </c>
      <c r="E157" s="45">
        <v>54176.89664982794</v>
      </c>
      <c r="F157" s="44">
        <v>55923.48096699282</v>
      </c>
      <c r="G157" s="44">
        <v>56366.68816246592</v>
      </c>
      <c r="H157" s="44">
        <v>58178.323085402066</v>
      </c>
      <c r="I157" s="44">
        <v>58781.08707783742</v>
      </c>
    </row>
    <row r="158" spans="1:9" ht="15.75" customHeight="1">
      <c r="A158" s="43" t="str">
        <f>HLOOKUP(INDICE!$F$2,Nombres!$C$3:$D$636,67,FALSE)</f>
        <v>Depósitos de clientes en gestión (**)</v>
      </c>
      <c r="B158" s="44">
        <v>46755.335923813385</v>
      </c>
      <c r="C158" s="44">
        <v>46039.436683761865</v>
      </c>
      <c r="D158" s="44">
        <v>49616.09471675441</v>
      </c>
      <c r="E158" s="45">
        <v>49599.47854182839</v>
      </c>
      <c r="F158" s="44">
        <v>53512.053352920375</v>
      </c>
      <c r="G158" s="44">
        <v>51645.68081957402</v>
      </c>
      <c r="H158" s="44">
        <v>53841.845190844615</v>
      </c>
      <c r="I158" s="44">
        <v>54477.15170940051</v>
      </c>
    </row>
    <row r="159" spans="1:9" ht="15.75" customHeight="1">
      <c r="A159" s="43" t="str">
        <f>HLOOKUP(INDICE!$F$2,Nombres!$C$3:$D$636,68,FALSE)</f>
        <v>Fondos de inversión</v>
      </c>
      <c r="B159" s="44">
        <v>6436.921424014256</v>
      </c>
      <c r="C159" s="44">
        <v>6456.850193999892</v>
      </c>
      <c r="D159" s="44">
        <v>6476.113696040285</v>
      </c>
      <c r="E159" s="45">
        <v>6433.133084035268</v>
      </c>
      <c r="F159" s="44">
        <v>6390.001418996785</v>
      </c>
      <c r="G159" s="44">
        <v>6306.135742044443</v>
      </c>
      <c r="H159" s="44">
        <v>6632.866528045174</v>
      </c>
      <c r="I159" s="44">
        <v>6774.531110009339</v>
      </c>
    </row>
    <row r="160" spans="1:9" ht="15.75" customHeight="1">
      <c r="A160" s="43" t="str">
        <f>HLOOKUP(INDICE!$F$2,Nombres!$C$3:$D$636,69,FALSE)</f>
        <v>Fondos de pensiones</v>
      </c>
      <c r="B160" s="44" t="s">
        <v>400</v>
      </c>
      <c r="C160" s="44" t="s">
        <v>400</v>
      </c>
      <c r="D160" s="44" t="s">
        <v>400</v>
      </c>
      <c r="E160" s="45" t="s">
        <v>400</v>
      </c>
      <c r="F160" s="44" t="s">
        <v>400</v>
      </c>
      <c r="G160" s="44" t="s">
        <v>400</v>
      </c>
      <c r="H160" s="44" t="s">
        <v>400</v>
      </c>
      <c r="I160" s="44" t="s">
        <v>400</v>
      </c>
    </row>
    <row r="161" spans="1:9" ht="15">
      <c r="A161" s="43" t="str">
        <f>HLOOKUP(INDICE!$F$2,Nombres!$C$3:$D$636,70,FALSE)</f>
        <v>Otros recursos fuera de balance</v>
      </c>
      <c r="B161" s="44" t="s">
        <v>400</v>
      </c>
      <c r="C161" s="44" t="s">
        <v>400</v>
      </c>
      <c r="D161" s="44" t="s">
        <v>400</v>
      </c>
      <c r="E161" s="45" t="s">
        <v>400</v>
      </c>
      <c r="F161" s="44" t="s">
        <v>400</v>
      </c>
      <c r="G161" s="44" t="s">
        <v>400</v>
      </c>
      <c r="H161" s="44" t="s">
        <v>400</v>
      </c>
      <c r="I161" s="44" t="s">
        <v>400</v>
      </c>
    </row>
    <row r="162" spans="1:9" ht="15">
      <c r="A162" s="65" t="str">
        <f>HLOOKUP(INDICE!$F$2,Nombres!$C$3:$D$636,71,FALSE)</f>
        <v>(*) No incluye las adquisiciones temporales de activos.</v>
      </c>
      <c r="B162" s="60"/>
      <c r="C162" s="60"/>
      <c r="D162" s="60"/>
      <c r="E162" s="60"/>
      <c r="F162" s="44"/>
      <c r="G162" s="44"/>
      <c r="H162" s="44"/>
      <c r="I162" s="44"/>
    </row>
    <row r="163" spans="1:9" ht="15">
      <c r="A163" s="65" t="str">
        <f>HLOOKUP(INDICE!$F$2,Nombres!$C$3:$D$636,72,FALSE)</f>
        <v>(**) No incluye las cesiones temporales de activos.</v>
      </c>
      <c r="B163" s="30"/>
      <c r="C163" s="30"/>
      <c r="D163" s="30"/>
      <c r="E163" s="30"/>
      <c r="F163" s="30"/>
      <c r="G163" s="30"/>
      <c r="H163" s="30"/>
      <c r="I163" s="30"/>
    </row>
    <row r="164" spans="1:9" ht="15">
      <c r="A164" s="30"/>
      <c r="B164" s="30"/>
      <c r="C164" s="30"/>
      <c r="D164" s="30"/>
      <c r="E164" s="30"/>
      <c r="F164" s="30"/>
      <c r="G164" s="30"/>
      <c r="H164" s="30"/>
      <c r="I164" s="30"/>
    </row>
    <row r="165" spans="1:9" ht="15">
      <c r="A165" s="30"/>
      <c r="B165" s="30"/>
      <c r="C165" s="30"/>
      <c r="D165" s="30"/>
      <c r="E165" s="30"/>
      <c r="F165" s="30"/>
      <c r="G165" s="30"/>
      <c r="H165" s="30"/>
      <c r="I165" s="30"/>
    </row>
    <row r="166" spans="1:9" ht="15">
      <c r="A166" s="77"/>
      <c r="B166" s="78"/>
      <c r="C166" s="79"/>
      <c r="D166" s="79"/>
      <c r="E166" s="79"/>
      <c r="F166" s="78"/>
      <c r="G166" s="78"/>
      <c r="H166" s="78"/>
      <c r="I166" s="78"/>
    </row>
    <row r="167" spans="1:15" ht="15">
      <c r="A167" s="77"/>
      <c r="B167" s="78"/>
      <c r="C167" s="79"/>
      <c r="D167" s="79"/>
      <c r="E167" s="79"/>
      <c r="F167" s="78"/>
      <c r="G167" s="78"/>
      <c r="H167" s="78"/>
      <c r="I167" s="78"/>
      <c r="J167" s="78"/>
      <c r="K167" s="78"/>
      <c r="L167" s="78"/>
      <c r="M167" s="78"/>
      <c r="N167" s="78"/>
      <c r="O167" s="78"/>
    </row>
    <row r="168" spans="1:15" ht="15">
      <c r="A168" s="78"/>
      <c r="B168" s="78"/>
      <c r="C168" s="78"/>
      <c r="D168" s="78"/>
      <c r="E168" s="78"/>
      <c r="F168" s="78"/>
      <c r="G168" s="78"/>
      <c r="H168" s="78"/>
      <c r="I168" s="78"/>
      <c r="J168" s="78"/>
      <c r="K168" s="78"/>
      <c r="L168" s="78"/>
      <c r="M168" s="78"/>
      <c r="N168" s="78"/>
      <c r="O168" s="78"/>
    </row>
    <row r="169" spans="1:15" ht="15">
      <c r="A169" s="78"/>
      <c r="B169" s="78"/>
      <c r="C169" s="78"/>
      <c r="D169" s="78"/>
      <c r="E169" s="78"/>
      <c r="F169" s="78"/>
      <c r="G169" s="78"/>
      <c r="H169" s="78"/>
      <c r="I169" s="78"/>
      <c r="J169" s="78"/>
      <c r="K169" s="78"/>
      <c r="L169" s="78"/>
      <c r="M169" s="78"/>
      <c r="N169" s="78"/>
      <c r="O169" s="78"/>
    </row>
    <row r="170" spans="1:15" ht="15">
      <c r="A170" s="78"/>
      <c r="B170" s="78"/>
      <c r="C170" s="78"/>
      <c r="D170" s="78"/>
      <c r="E170" s="78"/>
      <c r="F170" s="78"/>
      <c r="G170" s="78"/>
      <c r="H170" s="78"/>
      <c r="I170" s="78"/>
      <c r="J170" s="78"/>
      <c r="K170" s="78"/>
      <c r="L170" s="78"/>
      <c r="M170" s="78"/>
      <c r="N170" s="78"/>
      <c r="O170" s="78"/>
    </row>
    <row r="171" spans="1:15" ht="15">
      <c r="A171" s="78"/>
      <c r="B171" s="78"/>
      <c r="C171" s="78"/>
      <c r="D171" s="78"/>
      <c r="E171" s="78"/>
      <c r="F171" s="78"/>
      <c r="G171" s="78"/>
      <c r="H171" s="78"/>
      <c r="I171" s="78"/>
      <c r="J171" s="78"/>
      <c r="K171" s="78"/>
      <c r="L171" s="78"/>
      <c r="M171" s="78"/>
      <c r="N171" s="78"/>
      <c r="O171" s="78"/>
    </row>
    <row r="172" spans="1:15" ht="15">
      <c r="A172" s="78"/>
      <c r="B172" s="78"/>
      <c r="C172" s="78"/>
      <c r="D172" s="78"/>
      <c r="E172" s="78"/>
      <c r="F172" s="78"/>
      <c r="G172" s="78"/>
      <c r="H172" s="78"/>
      <c r="I172" s="78"/>
      <c r="J172" s="78"/>
      <c r="K172" s="78"/>
      <c r="L172" s="78"/>
      <c r="M172" s="78"/>
      <c r="N172" s="78"/>
      <c r="O172" s="78"/>
    </row>
    <row r="173" spans="1:15" ht="15">
      <c r="A173" s="78"/>
      <c r="B173" s="78"/>
      <c r="C173" s="78"/>
      <c r="D173" s="78"/>
      <c r="E173" s="78"/>
      <c r="F173" s="78"/>
      <c r="G173" s="78"/>
      <c r="H173" s="78"/>
      <c r="I173" s="78"/>
      <c r="J173" s="78"/>
      <c r="K173" s="78"/>
      <c r="L173" s="78"/>
      <c r="M173" s="78"/>
      <c r="N173" s="78"/>
      <c r="O173" s="78"/>
    </row>
    <row r="174" spans="1:15" ht="15">
      <c r="A174" s="78"/>
      <c r="B174" s="78"/>
      <c r="C174" s="78"/>
      <c r="D174" s="78"/>
      <c r="E174" s="78"/>
      <c r="F174" s="78"/>
      <c r="G174" s="78"/>
      <c r="H174" s="78"/>
      <c r="I174" s="78"/>
      <c r="J174" s="78"/>
      <c r="K174" s="78"/>
      <c r="L174" s="78"/>
      <c r="M174" s="78"/>
      <c r="N174" s="78"/>
      <c r="O174" s="78"/>
    </row>
    <row r="1000" ht="15">
      <c r="A1000" s="31" t="s">
        <v>399</v>
      </c>
    </row>
  </sheetData>
  <sheetProtection/>
  <mergeCells count="6">
    <mergeCell ref="B6:E6"/>
    <mergeCell ref="B60:E60"/>
    <mergeCell ref="B114:E114"/>
    <mergeCell ref="F6:I6"/>
    <mergeCell ref="F60:I60"/>
    <mergeCell ref="F114:I114"/>
  </mergeCells>
  <conditionalFormatting sqref="B26:I26">
    <cfRule type="cellIs" priority="3" dxfId="116" operator="notBetween">
      <formula>0.5</formula>
      <formula>-0.5</formula>
    </cfRule>
  </conditionalFormatting>
  <conditionalFormatting sqref="B80:I80">
    <cfRule type="cellIs" priority="2" dxfId="116" operator="notBetween">
      <formula>0.5</formula>
      <formula>-0.5</formula>
    </cfRule>
  </conditionalFormatting>
  <conditionalFormatting sqref="B134:I134">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J20" sqref="J20"/>
    </sheetView>
  </sheetViews>
  <sheetFormatPr defaultColWidth="11.421875" defaultRowHeight="15"/>
  <cols>
    <col min="1" max="1" width="62.00390625" style="31" customWidth="1"/>
    <col min="2" max="16384" width="11.421875" style="31" customWidth="1"/>
  </cols>
  <sheetData>
    <row r="1" spans="1:9" ht="18">
      <c r="A1" s="88" t="str">
        <f>HLOOKUP(INDICE!$F$2,Nombres!$C$3:$D$636,18,FALSE)</f>
        <v>Resto de Eurasia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89"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90" t="str">
        <f>+España!B7</f>
        <v>1er Trim.</v>
      </c>
      <c r="C7" s="90" t="str">
        <f>+España!C7</f>
        <v>2º Trim.</v>
      </c>
      <c r="D7" s="90" t="str">
        <f>+España!D7</f>
        <v>3er Trim.</v>
      </c>
      <c r="E7" s="91" t="str">
        <f>+España!E7</f>
        <v>4º Trim.</v>
      </c>
      <c r="F7" s="90" t="str">
        <f>+España!F7</f>
        <v>1er Trim.</v>
      </c>
      <c r="G7" s="90" t="str">
        <f>+España!G7</f>
        <v>2º Trim.</v>
      </c>
      <c r="H7" s="90" t="str">
        <f>+España!H7</f>
        <v>3er Trim.</v>
      </c>
      <c r="I7" s="90" t="str">
        <f>+España!I7</f>
        <v>4º Trim.</v>
      </c>
    </row>
    <row r="8" spans="1:14" ht="15">
      <c r="A8" s="41" t="str">
        <f>HLOOKUP(INDICE!$F$2,Nombres!$C$3:$D$636,33,FALSE)</f>
        <v>Margen de intereses</v>
      </c>
      <c r="B8" s="41">
        <v>42.81724158</v>
      </c>
      <c r="C8" s="41">
        <v>39.750370679999996</v>
      </c>
      <c r="D8" s="41">
        <v>43.01360229</v>
      </c>
      <c r="E8" s="42">
        <v>49.39491649</v>
      </c>
      <c r="F8" s="52">
        <v>39.408251130000004</v>
      </c>
      <c r="G8" s="251">
        <v>45.09776373</v>
      </c>
      <c r="H8" s="251">
        <v>45.56864501</v>
      </c>
      <c r="I8" s="251">
        <v>44.89055705</v>
      </c>
      <c r="J8" s="92"/>
      <c r="K8" s="92"/>
      <c r="L8" s="92"/>
      <c r="M8" s="92"/>
      <c r="N8" s="92"/>
    </row>
    <row r="9" spans="1:9" ht="15">
      <c r="A9" s="93" t="str">
        <f>HLOOKUP(INDICE!$F$2,Nombres!$C$3:$D$636,34,FALSE)</f>
        <v>Comisiones netas</v>
      </c>
      <c r="B9" s="44">
        <v>38.68201741</v>
      </c>
      <c r="C9" s="44">
        <v>40.50558416</v>
      </c>
      <c r="D9" s="44">
        <v>34.88056531</v>
      </c>
      <c r="E9" s="45">
        <v>24.043298659999998</v>
      </c>
      <c r="F9" s="44">
        <v>35.747445</v>
      </c>
      <c r="G9" s="44">
        <v>33.35125234</v>
      </c>
      <c r="H9" s="44">
        <v>36.30419567</v>
      </c>
      <c r="I9" s="44">
        <v>33.2488403</v>
      </c>
    </row>
    <row r="10" spans="1:9" ht="15">
      <c r="A10" s="93" t="str">
        <f>HLOOKUP(INDICE!$F$2,Nombres!$C$3:$D$636,35,FALSE)</f>
        <v>Resultados de operaciones financieras</v>
      </c>
      <c r="B10" s="44">
        <v>43.64172064</v>
      </c>
      <c r="C10" s="44">
        <v>11.216789740000003</v>
      </c>
      <c r="D10" s="44">
        <v>22.395310429999995</v>
      </c>
      <c r="E10" s="45">
        <v>24.036646690000005</v>
      </c>
      <c r="F10" s="44">
        <v>26.63115649</v>
      </c>
      <c r="G10" s="44">
        <v>33.84339836000001</v>
      </c>
      <c r="H10" s="44">
        <v>33.34076467</v>
      </c>
      <c r="I10" s="44">
        <v>37.09831081</v>
      </c>
    </row>
    <row r="11" spans="1:9" ht="15">
      <c r="A11" s="93" t="str">
        <f>HLOOKUP(INDICE!$F$2,Nombres!$C$3:$D$636,36,FALSE)</f>
        <v>Otros ingresos y cargas de explotación</v>
      </c>
      <c r="B11" s="44">
        <v>0.649918</v>
      </c>
      <c r="C11" s="44">
        <v>-0.674153</v>
      </c>
      <c r="D11" s="44">
        <v>0.8281449999999998</v>
      </c>
      <c r="E11" s="45">
        <v>-0.8066199999999994</v>
      </c>
      <c r="F11" s="44">
        <v>1.569802</v>
      </c>
      <c r="G11" s="44">
        <v>4.0024681300000005</v>
      </c>
      <c r="H11" s="44">
        <v>3.32639291</v>
      </c>
      <c r="I11" s="44">
        <v>0.5563993600000005</v>
      </c>
    </row>
    <row r="12" spans="1:9" ht="15">
      <c r="A12" s="41" t="str">
        <f>HLOOKUP(INDICE!$F$2,Nombres!$C$3:$D$636,37,FALSE)</f>
        <v>Margen bruto</v>
      </c>
      <c r="B12" s="41">
        <f aca="true" t="shared" si="0" ref="B12:I12">+SUM(B8:B11)</f>
        <v>125.79089763</v>
      </c>
      <c r="C12" s="41">
        <f t="shared" si="0"/>
        <v>90.79859157999998</v>
      </c>
      <c r="D12" s="41">
        <f t="shared" si="0"/>
        <v>101.11762303</v>
      </c>
      <c r="E12" s="42">
        <f t="shared" si="0"/>
        <v>96.66824184</v>
      </c>
      <c r="F12" s="52">
        <f t="shared" si="0"/>
        <v>103.35665461999999</v>
      </c>
      <c r="G12" s="52">
        <f t="shared" si="0"/>
        <v>116.29488256</v>
      </c>
      <c r="H12" s="52">
        <f t="shared" si="0"/>
        <v>118.53999825999999</v>
      </c>
      <c r="I12" s="52">
        <f t="shared" si="0"/>
        <v>115.79410752</v>
      </c>
    </row>
    <row r="13" spans="1:9" ht="15">
      <c r="A13" s="93" t="str">
        <f>HLOOKUP(INDICE!$F$2,Nombres!$C$3:$D$636,38,FALSE)</f>
        <v>Gastos de explotación</v>
      </c>
      <c r="B13" s="44">
        <v>-71.39237978</v>
      </c>
      <c r="C13" s="44">
        <v>-68.42663927000001</v>
      </c>
      <c r="D13" s="44">
        <v>-74.01813197999999</v>
      </c>
      <c r="E13" s="45">
        <v>-73.15401022</v>
      </c>
      <c r="F13" s="44">
        <v>-69.54640968999999</v>
      </c>
      <c r="G13" s="44">
        <v>-72.07635099000001</v>
      </c>
      <c r="H13" s="44">
        <v>-70.83211189000001</v>
      </c>
      <c r="I13" s="44">
        <v>-80.91547523</v>
      </c>
    </row>
    <row r="14" spans="1:9" ht="15">
      <c r="A14" s="93" t="str">
        <f>HLOOKUP(INDICE!$F$2,Nombres!$C$3:$D$636,39,FALSE)</f>
        <v>  Gastos de administración</v>
      </c>
      <c r="B14" s="44">
        <v>-69.87384978</v>
      </c>
      <c r="C14" s="44">
        <v>-66.93558927000001</v>
      </c>
      <c r="D14" s="44">
        <v>-72.51494398</v>
      </c>
      <c r="E14" s="45">
        <v>-71.51994121999999</v>
      </c>
      <c r="F14" s="44">
        <v>-65.21433569</v>
      </c>
      <c r="G14" s="44">
        <v>-67.86313399</v>
      </c>
      <c r="H14" s="44">
        <v>-66.21952189000001</v>
      </c>
      <c r="I14" s="44">
        <v>-75.98659323000001</v>
      </c>
    </row>
    <row r="15" spans="1:9" ht="15">
      <c r="A15" s="94" t="str">
        <f>HLOOKUP(INDICE!$F$2,Nombres!$C$3:$D$636,40,FALSE)</f>
        <v>  Gastos de personal</v>
      </c>
      <c r="B15" s="44">
        <v>-35.247336000000004</v>
      </c>
      <c r="C15" s="44">
        <v>-31.405486</v>
      </c>
      <c r="D15" s="44">
        <v>-34.43664317999999</v>
      </c>
      <c r="E15" s="45">
        <v>-35.284443</v>
      </c>
      <c r="F15" s="44">
        <v>-33.904471959999995</v>
      </c>
      <c r="G15" s="44">
        <v>-34.92729837</v>
      </c>
      <c r="H15" s="44">
        <v>-34.14013417</v>
      </c>
      <c r="I15" s="44">
        <v>-41.196466</v>
      </c>
    </row>
    <row r="16" spans="1:9" ht="15">
      <c r="A16" s="94" t="str">
        <f>HLOOKUP(INDICE!$F$2,Nombres!$C$3:$D$636,41,FALSE)</f>
        <v>  Otros gastos de administración</v>
      </c>
      <c r="B16" s="44">
        <v>-34.62651378</v>
      </c>
      <c r="C16" s="44">
        <v>-35.53010327</v>
      </c>
      <c r="D16" s="44">
        <v>-38.0783008</v>
      </c>
      <c r="E16" s="45">
        <v>-36.23549822</v>
      </c>
      <c r="F16" s="44">
        <v>-31.309863729999996</v>
      </c>
      <c r="G16" s="44">
        <v>-32.935835620000006</v>
      </c>
      <c r="H16" s="44">
        <v>-32.07938772</v>
      </c>
      <c r="I16" s="44">
        <v>-34.79012723</v>
      </c>
    </row>
    <row r="17" spans="1:9" ht="15">
      <c r="A17" s="93" t="str">
        <f>HLOOKUP(INDICE!$F$2,Nombres!$C$3:$D$636,42,FALSE)</f>
        <v>  Amortización</v>
      </c>
      <c r="B17" s="44">
        <v>-1.51853</v>
      </c>
      <c r="C17" s="44">
        <v>-1.49105</v>
      </c>
      <c r="D17" s="44">
        <v>-1.5031880000000002</v>
      </c>
      <c r="E17" s="45">
        <v>-1.634069</v>
      </c>
      <c r="F17" s="44">
        <v>-4.332074</v>
      </c>
      <c r="G17" s="44">
        <v>-4.213217</v>
      </c>
      <c r="H17" s="44">
        <v>-4.61259</v>
      </c>
      <c r="I17" s="44">
        <v>-4.928882000000001</v>
      </c>
    </row>
    <row r="18" spans="1:9" ht="15">
      <c r="A18" s="41" t="str">
        <f>HLOOKUP(INDICE!$F$2,Nombres!$C$3:$D$636,43,FALSE)</f>
        <v>Margen neto</v>
      </c>
      <c r="B18" s="41">
        <f aca="true" t="shared" si="1" ref="B18:I18">+B12+B13</f>
        <v>54.398517850000005</v>
      </c>
      <c r="C18" s="41">
        <f t="shared" si="1"/>
        <v>22.37195230999997</v>
      </c>
      <c r="D18" s="41">
        <f t="shared" si="1"/>
        <v>27.09949105000001</v>
      </c>
      <c r="E18" s="42">
        <f t="shared" si="1"/>
        <v>23.51423161999999</v>
      </c>
      <c r="F18" s="52">
        <f t="shared" si="1"/>
        <v>33.810244929999996</v>
      </c>
      <c r="G18" s="52">
        <f t="shared" si="1"/>
        <v>44.218531569999996</v>
      </c>
      <c r="H18" s="52">
        <f t="shared" si="1"/>
        <v>47.70788636999998</v>
      </c>
      <c r="I18" s="52">
        <f t="shared" si="1"/>
        <v>34.87863229</v>
      </c>
    </row>
    <row r="19" spans="1:9" ht="15">
      <c r="A19" s="93" t="str">
        <f>HLOOKUP(INDICE!$F$2,Nombres!$C$3:$D$636,44,FALSE)</f>
        <v>Deterioro de activos financieros no valorados a valor razonable con cambios en resultados</v>
      </c>
      <c r="B19" s="44">
        <v>16.957969000000002</v>
      </c>
      <c r="C19" s="44">
        <v>-3.1850303299999974</v>
      </c>
      <c r="D19" s="44">
        <v>-22.597726220000006</v>
      </c>
      <c r="E19" s="45">
        <v>32.744339000000004</v>
      </c>
      <c r="F19" s="44">
        <v>-10.265891</v>
      </c>
      <c r="G19" s="44">
        <v>-0.4484450000000022</v>
      </c>
      <c r="H19" s="44">
        <v>4.197739</v>
      </c>
      <c r="I19" s="44">
        <v>2.211133000000001</v>
      </c>
    </row>
    <row r="20" spans="1:9" ht="15">
      <c r="A20" s="93" t="str">
        <f>HLOOKUP(INDICE!$F$2,Nombres!$C$3:$D$636,45,FALSE)</f>
        <v>Provisiones o reversión de provisiones y otros resultados</v>
      </c>
      <c r="B20" s="44">
        <v>-0.6680771700000008</v>
      </c>
      <c r="C20" s="44">
        <v>2.98940701</v>
      </c>
      <c r="D20" s="44">
        <v>1.0491449999999996</v>
      </c>
      <c r="E20" s="45">
        <v>-6.806991020000001</v>
      </c>
      <c r="F20" s="44">
        <v>-0.6760230900000003</v>
      </c>
      <c r="G20" s="44">
        <v>2.035707</v>
      </c>
      <c r="H20" s="44">
        <v>8.524508</v>
      </c>
      <c r="I20" s="44">
        <v>-3.5629709999999997</v>
      </c>
    </row>
    <row r="21" spans="1:9" ht="15">
      <c r="A21" s="95" t="str">
        <f>HLOOKUP(INDICE!$F$2,Nombres!$C$3:$D$636,46,FALSE)</f>
        <v>Resultado antes de impuestos</v>
      </c>
      <c r="B21" s="41">
        <f aca="true" t="shared" si="2" ref="B21:I21">+B18+B19+B20</f>
        <v>70.68840968</v>
      </c>
      <c r="C21" s="41">
        <f t="shared" si="2"/>
        <v>22.176328989999973</v>
      </c>
      <c r="D21" s="41">
        <f t="shared" si="2"/>
        <v>5.5509098300000055</v>
      </c>
      <c r="E21" s="42">
        <f t="shared" si="2"/>
        <v>49.451579599999995</v>
      </c>
      <c r="F21" s="52">
        <f t="shared" si="2"/>
        <v>22.868330839999995</v>
      </c>
      <c r="G21" s="52">
        <f t="shared" si="2"/>
        <v>45.80579357</v>
      </c>
      <c r="H21" s="52">
        <f t="shared" si="2"/>
        <v>60.43013336999998</v>
      </c>
      <c r="I21" s="52">
        <f t="shared" si="2"/>
        <v>33.526794290000005</v>
      </c>
    </row>
    <row r="22" spans="1:9" ht="15">
      <c r="A22" s="43" t="str">
        <f>HLOOKUP(INDICE!$F$2,Nombres!$C$3:$D$636,47,FALSE)</f>
        <v>Impuesto sobre beneficios</v>
      </c>
      <c r="B22" s="44">
        <v>-22.279022899999998</v>
      </c>
      <c r="C22" s="44">
        <v>-10.5606108</v>
      </c>
      <c r="D22" s="44">
        <v>-5.009750949999998</v>
      </c>
      <c r="E22" s="45">
        <v>-14.069683950000002</v>
      </c>
      <c r="F22" s="44">
        <v>-6.850021740000002</v>
      </c>
      <c r="G22" s="44">
        <v>-6.54581832</v>
      </c>
      <c r="H22" s="44">
        <v>-13.12773212</v>
      </c>
      <c r="I22" s="44">
        <v>-9.122133509999998</v>
      </c>
    </row>
    <row r="23" spans="1:9" ht="15">
      <c r="A23" s="95" t="str">
        <f>HLOOKUP(INDICE!$F$2,Nombres!$C$3:$D$636,48,FALSE)</f>
        <v>Resultado del ejercicio</v>
      </c>
      <c r="B23" s="41">
        <f aca="true" t="shared" si="3" ref="B23:I23">+B21+B22</f>
        <v>48.409386780000006</v>
      </c>
      <c r="C23" s="41">
        <f t="shared" si="3"/>
        <v>11.615718189999974</v>
      </c>
      <c r="D23" s="41">
        <f t="shared" si="3"/>
        <v>0.5411588800000073</v>
      </c>
      <c r="E23" s="42">
        <f t="shared" si="3"/>
        <v>35.38189564999999</v>
      </c>
      <c r="F23" s="52">
        <f t="shared" si="3"/>
        <v>16.018309099999993</v>
      </c>
      <c r="G23" s="52">
        <f t="shared" si="3"/>
        <v>39.25997525</v>
      </c>
      <c r="H23" s="52">
        <f t="shared" si="3"/>
        <v>47.30240124999998</v>
      </c>
      <c r="I23" s="52">
        <f t="shared" si="3"/>
        <v>24.404660780000007</v>
      </c>
    </row>
    <row r="24" spans="1:9" ht="15">
      <c r="A24" s="93" t="str">
        <f>HLOOKUP(INDICE!$F$2,Nombres!$C$3:$D$636,49,FALSE)</f>
        <v>Minoritarios</v>
      </c>
      <c r="B24" s="44" t="s">
        <v>400</v>
      </c>
      <c r="C24" s="44" t="s">
        <v>400</v>
      </c>
      <c r="D24" s="44" t="s">
        <v>400</v>
      </c>
      <c r="E24" s="45" t="s">
        <v>400</v>
      </c>
      <c r="F24" s="44" t="s">
        <v>400</v>
      </c>
      <c r="G24" s="44" t="s">
        <v>400</v>
      </c>
      <c r="H24" s="44" t="s">
        <v>400</v>
      </c>
      <c r="I24" s="44" t="s">
        <v>400</v>
      </c>
    </row>
    <row r="25" spans="1:9" ht="15">
      <c r="A25" s="96" t="str">
        <f>HLOOKUP(INDICE!$F$2,Nombres!$C$3:$D$636,50,FALSE)</f>
        <v>Resultado atribuido</v>
      </c>
      <c r="B25" s="47">
        <f aca="true" t="shared" si="4" ref="B25:I25">+B23+B24</f>
        <v>48.409386780000006</v>
      </c>
      <c r="C25" s="47">
        <f t="shared" si="4"/>
        <v>11.615718189999974</v>
      </c>
      <c r="D25" s="47">
        <f t="shared" si="4"/>
        <v>0.5411588800000073</v>
      </c>
      <c r="E25" s="47">
        <f t="shared" si="4"/>
        <v>35.38189564999999</v>
      </c>
      <c r="F25" s="53">
        <f t="shared" si="4"/>
        <v>16.018309099999993</v>
      </c>
      <c r="G25" s="53">
        <f t="shared" si="4"/>
        <v>39.25997525</v>
      </c>
      <c r="H25" s="53">
        <f t="shared" si="4"/>
        <v>47.30240124999998</v>
      </c>
      <c r="I25" s="53">
        <f t="shared" si="4"/>
        <v>24.404660780000007</v>
      </c>
    </row>
    <row r="26" spans="1:9" ht="15">
      <c r="A26" s="97" t="s">
        <v>5</v>
      </c>
      <c r="B26" s="66">
        <v>0</v>
      </c>
      <c r="C26" s="66">
        <v>-2.4868995751603507E-14</v>
      </c>
      <c r="D26" s="66">
        <v>1.4210854715202004E-14</v>
      </c>
      <c r="E26" s="66">
        <v>0</v>
      </c>
      <c r="F26" s="66">
        <v>0</v>
      </c>
      <c r="G26" s="66">
        <v>0</v>
      </c>
      <c r="H26" s="66">
        <v>0</v>
      </c>
      <c r="I26" s="66">
        <v>0</v>
      </c>
    </row>
    <row r="27" spans="1:9" ht="15">
      <c r="A27" s="41"/>
      <c r="B27" s="41"/>
      <c r="C27" s="41"/>
      <c r="D27" s="41"/>
      <c r="E27" s="41"/>
      <c r="F27" s="41"/>
      <c r="G27" s="41"/>
      <c r="H27" s="41"/>
      <c r="I27" s="41"/>
    </row>
    <row r="28" spans="1:9" ht="18">
      <c r="A28" s="98" t="str">
        <f>HLOOKUP(INDICE!$F$2,Nombres!$C$3:$D$636,51,FALSE)</f>
        <v>Balances</v>
      </c>
      <c r="B28" s="34"/>
      <c r="C28" s="34"/>
      <c r="D28" s="34"/>
      <c r="E28" s="34"/>
      <c r="F28" s="34"/>
      <c r="G28" s="34"/>
      <c r="H28" s="34"/>
      <c r="I28" s="34"/>
    </row>
    <row r="29" spans="1:9" ht="15">
      <c r="A29" s="89" t="str">
        <f>HLOOKUP(INDICE!$F$2,Nombres!$C$3:$D$636,32,FALSE)</f>
        <v>(Millones de euros)</v>
      </c>
      <c r="B29" s="30"/>
      <c r="C29" s="54"/>
      <c r="D29" s="54"/>
      <c r="E29" s="54"/>
      <c r="F29" s="30"/>
      <c r="G29" s="60"/>
      <c r="H29" s="60"/>
      <c r="I29" s="60"/>
    </row>
    <row r="30" spans="1:9" ht="15.75">
      <c r="A30" s="30"/>
      <c r="B30" s="55">
        <f>+España!B30</f>
        <v>43190</v>
      </c>
      <c r="C30" s="55">
        <f>+España!C30</f>
        <v>43281</v>
      </c>
      <c r="D30" s="55">
        <f>+España!D30</f>
        <v>43373</v>
      </c>
      <c r="E30" s="71">
        <f>+España!E30</f>
        <v>43465</v>
      </c>
      <c r="F30" s="80">
        <f>+España!F30</f>
        <v>43555</v>
      </c>
      <c r="G30" s="80">
        <f>+España!G30</f>
        <v>43646</v>
      </c>
      <c r="H30" s="80">
        <f>+España!H30</f>
        <v>43738</v>
      </c>
      <c r="I30" s="80">
        <f>+España!I30</f>
        <v>43830</v>
      </c>
    </row>
    <row r="31" spans="1:9" ht="15">
      <c r="A31" s="93" t="str">
        <f>HLOOKUP(INDICE!$F$2,Nombres!$C$3:$D$636,52,FALSE)</f>
        <v>Efectivo, saldos en efectivo en bancos centrales y otros depósitos a la vista</v>
      </c>
      <c r="B31" s="44">
        <v>799.678778</v>
      </c>
      <c r="C31" s="44">
        <v>883.6198979999999</v>
      </c>
      <c r="D31" s="44">
        <v>700.000595</v>
      </c>
      <c r="E31" s="45">
        <v>238.11617499999974</v>
      </c>
      <c r="F31" s="44">
        <v>211.73616199999879</v>
      </c>
      <c r="G31" s="44">
        <v>216.7411670000005</v>
      </c>
      <c r="H31" s="44">
        <v>228.42340199999816</v>
      </c>
      <c r="I31" s="44">
        <v>247.1589299999984</v>
      </c>
    </row>
    <row r="32" spans="1:9" ht="15">
      <c r="A32" s="93" t="str">
        <f>HLOOKUP(INDICE!$F$2,Nombres!$C$3:$D$636,53,FALSE)</f>
        <v>Activos financieros a valor razonable</v>
      </c>
      <c r="B32" s="60">
        <v>534.62989439</v>
      </c>
      <c r="C32" s="60">
        <v>539.13910139</v>
      </c>
      <c r="D32" s="60">
        <v>530.79893939</v>
      </c>
      <c r="E32" s="68">
        <v>503.87899338999995</v>
      </c>
      <c r="F32" s="44">
        <v>503.46847339</v>
      </c>
      <c r="G32" s="44">
        <v>510.66065839</v>
      </c>
      <c r="H32" s="44">
        <v>494.38904939</v>
      </c>
      <c r="I32" s="44">
        <v>477.44473238999996</v>
      </c>
    </row>
    <row r="33" spans="1:9" ht="15">
      <c r="A33" s="43" t="str">
        <f>HLOOKUP(INDICE!$F$2,Nombres!$C$3:$D$636,54,FALSE)</f>
        <v>Activos financieros a coste amortizado</v>
      </c>
      <c r="B33" s="44">
        <v>16276.576688</v>
      </c>
      <c r="C33" s="44">
        <v>17986.04602</v>
      </c>
      <c r="D33" s="44">
        <v>18002.54115</v>
      </c>
      <c r="E33" s="45">
        <v>17798.532266000002</v>
      </c>
      <c r="F33" s="44">
        <v>19520.186247999998</v>
      </c>
      <c r="G33" s="44">
        <v>19143.933511</v>
      </c>
      <c r="H33" s="44">
        <v>20649.832052</v>
      </c>
      <c r="I33" s="44">
        <v>22223.754614</v>
      </c>
    </row>
    <row r="34" spans="1:9" ht="15">
      <c r="A34" s="93" t="str">
        <f>HLOOKUP(INDICE!$F$2,Nombres!$C$3:$D$636,55,FALSE)</f>
        <v>    de los que préstamos y anticipos a la clientela</v>
      </c>
      <c r="B34" s="44">
        <v>15191.93686</v>
      </c>
      <c r="C34" s="44">
        <v>16669.065108</v>
      </c>
      <c r="D34" s="44">
        <v>16744.380509000002</v>
      </c>
      <c r="E34" s="45">
        <v>16598.090648</v>
      </c>
      <c r="F34" s="44">
        <v>18256.563024</v>
      </c>
      <c r="G34" s="44">
        <v>17552.015383</v>
      </c>
      <c r="H34" s="44">
        <v>18473.411791</v>
      </c>
      <c r="I34" s="44">
        <v>19660.032729000006</v>
      </c>
    </row>
    <row r="35" spans="1:9" ht="15">
      <c r="A35" s="93"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36.68383</v>
      </c>
      <c r="C36" s="44">
        <v>37.015909</v>
      </c>
      <c r="D36" s="44">
        <v>38.032818000000006</v>
      </c>
      <c r="E36" s="45">
        <v>39.498656000000004</v>
      </c>
      <c r="F36" s="44">
        <v>98.953173</v>
      </c>
      <c r="G36" s="44">
        <v>93.929644</v>
      </c>
      <c r="H36" s="44">
        <v>74.043794</v>
      </c>
      <c r="I36" s="44">
        <v>71.58397500000001</v>
      </c>
    </row>
    <row r="37" spans="1:9" ht="15">
      <c r="A37" s="93" t="str">
        <f>HLOOKUP(INDICE!$F$2,Nombres!$C$3:$D$636,57,FALSE)</f>
        <v>Otros activos</v>
      </c>
      <c r="B37" s="60">
        <f>+B38-B36-B33-B32-B31-B35</f>
        <v>344.06295809000176</v>
      </c>
      <c r="C37" s="60">
        <f aca="true" t="shared" si="5" ref="C37:I37">+C38-C36-C33-C32-C31</f>
        <v>379.8471900900006</v>
      </c>
      <c r="D37" s="60">
        <f t="shared" si="5"/>
        <v>319.85327208999684</v>
      </c>
      <c r="E37" s="68">
        <f t="shared" si="5"/>
        <v>254.26639908997842</v>
      </c>
      <c r="F37" s="44">
        <f t="shared" si="5"/>
        <v>247.21654700000897</v>
      </c>
      <c r="G37" s="44">
        <f t="shared" si="5"/>
        <v>243.55660200004317</v>
      </c>
      <c r="H37" s="44">
        <f t="shared" si="5"/>
        <v>239.45821700001963</v>
      </c>
      <c r="I37" s="44">
        <f t="shared" si="5"/>
        <v>227.5627400000028</v>
      </c>
    </row>
    <row r="38" spans="1:9" ht="15">
      <c r="A38" s="96" t="str">
        <f>HLOOKUP(INDICE!$F$2,Nombres!$C$3:$D$636,58,FALSE)</f>
        <v>Total activo / pasivo</v>
      </c>
      <c r="B38" s="47">
        <v>17991.632148480003</v>
      </c>
      <c r="C38" s="47">
        <v>19825.668118480004</v>
      </c>
      <c r="D38" s="47">
        <v>19591.226774479997</v>
      </c>
      <c r="E38" s="74">
        <v>18834.29248947998</v>
      </c>
      <c r="F38" s="47">
        <v>20581.560603390008</v>
      </c>
      <c r="G38" s="47">
        <v>20208.821582390043</v>
      </c>
      <c r="H38" s="47">
        <v>21686.14651439002</v>
      </c>
      <c r="I38" s="47">
        <v>23247.504991390004</v>
      </c>
    </row>
    <row r="39" spans="1:9" ht="15">
      <c r="A39" s="93" t="str">
        <f>HLOOKUP(INDICE!$F$2,Nombres!$C$3:$D$636,59,FALSE)</f>
        <v>Pasivos financieros mantenidos para negociar y designados a valor razonable con cambios en resultados</v>
      </c>
      <c r="B39" s="60">
        <v>42.723014</v>
      </c>
      <c r="C39" s="60">
        <v>41.017928999999995</v>
      </c>
      <c r="D39" s="60">
        <v>38.99279700000001</v>
      </c>
      <c r="E39" s="68">
        <v>41.804061</v>
      </c>
      <c r="F39" s="44">
        <v>42.199785</v>
      </c>
      <c r="G39" s="44">
        <v>43.001981</v>
      </c>
      <c r="H39" s="44">
        <v>47.32370600000001</v>
      </c>
      <c r="I39" s="44">
        <v>57.16375000000001</v>
      </c>
    </row>
    <row r="40" spans="1:9" ht="15">
      <c r="A40" s="93" t="str">
        <f>HLOOKUP(INDICE!$F$2,Nombres!$C$3:$D$636,60,FALSE)</f>
        <v>Depósitos de bancos centrales y entidades de crédito</v>
      </c>
      <c r="B40" s="60">
        <v>2894.4322380000003</v>
      </c>
      <c r="C40" s="60">
        <v>2623.980975</v>
      </c>
      <c r="D40" s="60">
        <v>2301.039484</v>
      </c>
      <c r="E40" s="68">
        <v>1270.9887899999999</v>
      </c>
      <c r="F40" s="44">
        <v>929.212117</v>
      </c>
      <c r="G40" s="44">
        <v>878.576317</v>
      </c>
      <c r="H40" s="44">
        <v>919.450964</v>
      </c>
      <c r="I40" s="44">
        <v>1039.0934569999997</v>
      </c>
    </row>
    <row r="41" spans="1:9" ht="15.75" customHeight="1">
      <c r="A41" s="93" t="str">
        <f>HLOOKUP(INDICE!$F$2,Nombres!$C$3:$D$636,61,FALSE)</f>
        <v>Depósitos de la clientela</v>
      </c>
      <c r="B41" s="60">
        <v>5424.718789</v>
      </c>
      <c r="C41" s="60">
        <v>5232.805352</v>
      </c>
      <c r="D41" s="60">
        <v>5196.037892</v>
      </c>
      <c r="E41" s="68">
        <v>4876.247633</v>
      </c>
      <c r="F41" s="44">
        <v>5064.896457</v>
      </c>
      <c r="G41" s="44">
        <v>4294.219847</v>
      </c>
      <c r="H41" s="44">
        <v>4366.209579</v>
      </c>
      <c r="I41" s="44">
        <v>4707.759361</v>
      </c>
    </row>
    <row r="42" spans="1:9" ht="15">
      <c r="A42" s="43" t="str">
        <f>HLOOKUP(INDICE!$F$2,Nombres!$C$3:$D$636,62,FALSE)</f>
        <v>Valores representativos de deuda emitidos</v>
      </c>
      <c r="B42" s="44">
        <v>220.70168180000002</v>
      </c>
      <c r="C42" s="44">
        <v>290.22616248</v>
      </c>
      <c r="D42" s="44">
        <v>265.97926782999997</v>
      </c>
      <c r="E42" s="45">
        <v>212.85098702</v>
      </c>
      <c r="F42" s="44">
        <v>196.51700347</v>
      </c>
      <c r="G42" s="44">
        <v>984.6449715699998</v>
      </c>
      <c r="H42" s="44">
        <v>622.1642723299999</v>
      </c>
      <c r="I42" s="44">
        <v>835.5809768299999</v>
      </c>
    </row>
    <row r="43" spans="1:9" ht="15">
      <c r="A43" s="93" t="str">
        <f>HLOOKUP(INDICE!$F$2,Nombres!$C$3:$D$636,122,FALSE)</f>
        <v>Posiciones inter-áreas pasivo</v>
      </c>
      <c r="B43" s="44">
        <v>7255.640065300004</v>
      </c>
      <c r="C43" s="44">
        <v>9583.444649060004</v>
      </c>
      <c r="D43" s="44">
        <v>9884.274739460001</v>
      </c>
      <c r="E43" s="45">
        <v>11405.817995089981</v>
      </c>
      <c r="F43" s="44">
        <v>13219.99071670992</v>
      </c>
      <c r="G43" s="44">
        <v>12659.35004635001</v>
      </c>
      <c r="H43" s="44">
        <v>14466.254879359976</v>
      </c>
      <c r="I43" s="44">
        <v>15335.97167852</v>
      </c>
    </row>
    <row r="44" spans="1:9" ht="15">
      <c r="A44" s="43" t="str">
        <f>HLOOKUP(INDICE!$F$2,Nombres!$C$3:$D$636,63,FALSE)</f>
        <v>Otros pasivos</v>
      </c>
      <c r="B44" s="60">
        <f aca="true" t="shared" si="6" ref="B44:I44">+B38-B39-B40-B41-B42-B45-B43</f>
        <v>1270.3941303800002</v>
      </c>
      <c r="C44" s="60">
        <f t="shared" si="6"/>
        <v>1267.8456509400003</v>
      </c>
      <c r="D44" s="60">
        <f t="shared" si="6"/>
        <v>1180.9917060099979</v>
      </c>
      <c r="E44" s="68">
        <f t="shared" si="6"/>
        <v>269.87540575000276</v>
      </c>
      <c r="F44" s="60">
        <f t="shared" si="6"/>
        <v>342.5096942100881</v>
      </c>
      <c r="G44" s="60">
        <f t="shared" si="6"/>
        <v>532.282719470033</v>
      </c>
      <c r="H44" s="60">
        <f t="shared" si="6"/>
        <v>420.29418541004634</v>
      </c>
      <c r="I44" s="60">
        <f t="shared" si="6"/>
        <v>399.06262453000636</v>
      </c>
    </row>
    <row r="45" spans="1:9" ht="15">
      <c r="A45" s="93" t="str">
        <f>HLOOKUP(INDICE!$F$2,Nombres!$C$3:$D$636,64,FALSE)</f>
        <v>Dotación de capital económico</v>
      </c>
      <c r="B45" s="44">
        <v>883.0222300000003</v>
      </c>
      <c r="C45" s="44">
        <v>786.3473999999997</v>
      </c>
      <c r="D45" s="44">
        <v>723.9108881799993</v>
      </c>
      <c r="E45" s="45">
        <v>756.7076176199998</v>
      </c>
      <c r="F45" s="44">
        <v>786.2348299999999</v>
      </c>
      <c r="G45" s="44">
        <v>816.7456999999999</v>
      </c>
      <c r="H45" s="44">
        <v>844.4489282899999</v>
      </c>
      <c r="I45" s="44">
        <v>872.8731435100003</v>
      </c>
    </row>
    <row r="46" spans="1:9" ht="15">
      <c r="A46" s="65"/>
      <c r="B46" s="60"/>
      <c r="C46" s="60"/>
      <c r="D46" s="60"/>
      <c r="E46" s="60"/>
      <c r="F46" s="44"/>
      <c r="G46" s="44"/>
      <c r="H46" s="44"/>
      <c r="I46" s="44"/>
    </row>
    <row r="47" spans="1:9" ht="15">
      <c r="A47" s="43"/>
      <c r="B47" s="60"/>
      <c r="C47" s="60"/>
      <c r="D47" s="60"/>
      <c r="E47" s="60"/>
      <c r="F47" s="44"/>
      <c r="G47" s="44"/>
      <c r="H47" s="44"/>
      <c r="I47" s="44"/>
    </row>
    <row r="48" spans="1:9" ht="18">
      <c r="A48" s="98" t="str">
        <f>HLOOKUP(INDICE!$F$2,Nombres!$C$3:$D$636,65,FALSE)</f>
        <v>Indicadores relevantes y de gestión</v>
      </c>
      <c r="B48" s="34"/>
      <c r="C48" s="34"/>
      <c r="D48" s="34"/>
      <c r="E48" s="34"/>
      <c r="F48" s="72"/>
      <c r="G48" s="72"/>
      <c r="H48" s="72"/>
      <c r="I48" s="72"/>
    </row>
    <row r="49" spans="1:9" ht="15">
      <c r="A49" s="89" t="str">
        <f>HLOOKUP(INDICE!$F$2,Nombres!$C$3:$D$636,32,FALSE)</f>
        <v>(Millones de euros)</v>
      </c>
      <c r="B49" s="30"/>
      <c r="C49" s="30"/>
      <c r="D49" s="30"/>
      <c r="E49" s="30"/>
      <c r="F49" s="73"/>
      <c r="G49" s="44"/>
      <c r="H49" s="44"/>
      <c r="I49" s="44"/>
    </row>
    <row r="50" spans="1:9" ht="15.75">
      <c r="A50" s="30"/>
      <c r="B50" s="55">
        <f aca="true" t="shared" si="7" ref="B50:I50">+B$30</f>
        <v>43190</v>
      </c>
      <c r="C50" s="55">
        <f t="shared" si="7"/>
        <v>43281</v>
      </c>
      <c r="D50" s="55">
        <f t="shared" si="7"/>
        <v>43373</v>
      </c>
      <c r="E50" s="71">
        <f t="shared" si="7"/>
        <v>43465</v>
      </c>
      <c r="F50" s="55">
        <f t="shared" si="7"/>
        <v>43555</v>
      </c>
      <c r="G50" s="55">
        <f t="shared" si="7"/>
        <v>43646</v>
      </c>
      <c r="H50" s="55">
        <f t="shared" si="7"/>
        <v>43738</v>
      </c>
      <c r="I50" s="55">
        <f t="shared" si="7"/>
        <v>43830</v>
      </c>
    </row>
    <row r="51" spans="1:9" ht="15">
      <c r="A51" s="93" t="str">
        <f>HLOOKUP(INDICE!$F$2,Nombres!$C$3:$D$636,66,FALSE)</f>
        <v>Préstamos y anticipos a la clientela bruto (*)</v>
      </c>
      <c r="B51" s="44">
        <v>15573.178552</v>
      </c>
      <c r="C51" s="44">
        <v>17016.30935</v>
      </c>
      <c r="D51" s="44">
        <v>17108.275835</v>
      </c>
      <c r="E51" s="45">
        <v>16936.650432</v>
      </c>
      <c r="F51" s="44">
        <v>18600.744844999997</v>
      </c>
      <c r="G51" s="44">
        <v>17889.058240000002</v>
      </c>
      <c r="H51" s="44">
        <v>18810.17098</v>
      </c>
      <c r="I51" s="44">
        <v>19986.534709</v>
      </c>
    </row>
    <row r="52" spans="1:9" ht="15">
      <c r="A52" s="93" t="str">
        <f>HLOOKUP(INDICE!$F$2,Nombres!$C$3:$D$636,67,FALSE)</f>
        <v>Depósitos de clientes en gestión (**)</v>
      </c>
      <c r="B52" s="44">
        <v>5424.718789</v>
      </c>
      <c r="C52" s="44">
        <v>5232.805352000001</v>
      </c>
      <c r="D52" s="44">
        <v>5196.037891999999</v>
      </c>
      <c r="E52" s="45">
        <v>4876.247633</v>
      </c>
      <c r="F52" s="44">
        <v>5064.896457</v>
      </c>
      <c r="G52" s="44">
        <v>4294.219847</v>
      </c>
      <c r="H52" s="44">
        <v>4366.209579</v>
      </c>
      <c r="I52" s="44">
        <v>4707.759361</v>
      </c>
    </row>
    <row r="53" spans="1:9" ht="15">
      <c r="A53" s="43" t="str">
        <f>HLOOKUP(INDICE!$F$2,Nombres!$C$3:$D$636,68,FALSE)</f>
        <v>Fondos de inversión</v>
      </c>
      <c r="B53" s="44">
        <v>0.013577</v>
      </c>
      <c r="C53" s="44">
        <v>0.013533</v>
      </c>
      <c r="D53" s="44">
        <v>0.013515</v>
      </c>
      <c r="E53" s="45">
        <v>0.013527</v>
      </c>
      <c r="F53" s="44">
        <v>0.013545</v>
      </c>
      <c r="G53" s="44">
        <v>0.013555</v>
      </c>
      <c r="H53" s="44">
        <v>0.013544</v>
      </c>
      <c r="I53" s="44">
        <v>0.013511</v>
      </c>
    </row>
    <row r="54" spans="1:9" ht="15">
      <c r="A54" s="93" t="str">
        <f>HLOOKUP(INDICE!$F$2,Nombres!$C$3:$D$636,69,FALSE)</f>
        <v>Fondos de pensiones</v>
      </c>
      <c r="B54" s="44">
        <v>390.44223488</v>
      </c>
      <c r="C54" s="44">
        <v>388.01119473</v>
      </c>
      <c r="D54" s="44">
        <v>389.32237884</v>
      </c>
      <c r="E54" s="45">
        <v>387.77874855</v>
      </c>
      <c r="F54" s="44">
        <v>407.12046328</v>
      </c>
      <c r="G54" s="44">
        <v>454.48082914</v>
      </c>
      <c r="H54" s="44">
        <v>496.67020717</v>
      </c>
      <c r="I54" s="44">
        <v>500.43861838</v>
      </c>
    </row>
    <row r="55" spans="1:9" ht="15">
      <c r="A55" s="93" t="str">
        <f>HLOOKUP(INDICE!$F$2,Nombres!$C$3:$D$636,70,FALSE)</f>
        <v>Otros recursos fuera de balance</v>
      </c>
      <c r="B55" s="44" t="s">
        <v>400</v>
      </c>
      <c r="C55" s="44" t="s">
        <v>400</v>
      </c>
      <c r="D55" s="44" t="s">
        <v>400</v>
      </c>
      <c r="E55" s="45" t="s">
        <v>400</v>
      </c>
      <c r="F55" s="44" t="s">
        <v>400</v>
      </c>
      <c r="G55" s="44" t="s">
        <v>400</v>
      </c>
      <c r="H55" s="44" t="s">
        <v>400</v>
      </c>
      <c r="I55" s="44" t="s">
        <v>400</v>
      </c>
    </row>
    <row r="56" spans="1:9" ht="15">
      <c r="A56" s="97" t="str">
        <f>HLOOKUP(INDICE!$F$2,Nombres!$C$3:$D$636,71,FALSE)</f>
        <v>(*) No incluye las adquisiciones temporales de activos.</v>
      </c>
      <c r="B56" s="60"/>
      <c r="C56" s="60"/>
      <c r="D56" s="60"/>
      <c r="E56" s="60"/>
      <c r="F56" s="44"/>
      <c r="G56" s="44"/>
      <c r="H56" s="44"/>
      <c r="I56" s="44"/>
    </row>
    <row r="57" spans="1:9" ht="15">
      <c r="A57" s="97" t="str">
        <f>HLOOKUP(INDICE!$F$2,Nombres!$C$3:$D$636,72,FALSE)</f>
        <v>(**) No incluye las cesiones temporales de activos.</v>
      </c>
      <c r="B57" s="30"/>
      <c r="C57" s="30"/>
      <c r="D57" s="30"/>
      <c r="E57" s="30"/>
      <c r="F57" s="73"/>
      <c r="G57" s="73"/>
      <c r="H57" s="73"/>
      <c r="I57" s="73"/>
    </row>
    <row r="58" spans="1:9" ht="15">
      <c r="A58" s="65"/>
      <c r="B58" s="30"/>
      <c r="C58" s="30"/>
      <c r="D58" s="30"/>
      <c r="E58" s="30"/>
      <c r="F58" s="73"/>
      <c r="G58" s="73"/>
      <c r="H58" s="73"/>
      <c r="I58" s="73"/>
    </row>
    <row r="59" spans="1:9" ht="18">
      <c r="A59" s="98" t="str">
        <f>HLOOKUP(INDICE!$F$2,Nombres!$C$3:$D$636,31,FALSE)</f>
        <v>Cuenta de resultados  </v>
      </c>
      <c r="B59" s="34"/>
      <c r="C59" s="34"/>
      <c r="D59" s="34"/>
      <c r="E59" s="34"/>
      <c r="F59" s="72"/>
      <c r="G59" s="72"/>
      <c r="H59" s="72"/>
      <c r="I59" s="72"/>
    </row>
    <row r="60" spans="1:9" ht="15">
      <c r="A60" s="89" t="str">
        <f>HLOOKUP(INDICE!$F$2,Nombres!$C$3:$D$636,73,FALSE)</f>
        <v>(Millones de euros constantes)</v>
      </c>
      <c r="B60" s="30"/>
      <c r="C60" s="36"/>
      <c r="D60" s="36"/>
      <c r="E60" s="36"/>
      <c r="F60" s="73"/>
      <c r="G60" s="73"/>
      <c r="H60" s="73"/>
      <c r="I60" s="73"/>
    </row>
    <row r="61" spans="1:9" ht="15">
      <c r="A61" s="37"/>
      <c r="B61" s="30"/>
      <c r="C61" s="36"/>
      <c r="D61" s="36"/>
      <c r="E61" s="36"/>
      <c r="F61" s="30"/>
      <c r="G61" s="30"/>
      <c r="H61" s="30"/>
      <c r="I61" s="30"/>
    </row>
    <row r="62" spans="1:9" ht="15.75">
      <c r="A62" s="38"/>
      <c r="B62" s="295">
        <f>+B$6</f>
        <v>2018</v>
      </c>
      <c r="C62" s="295"/>
      <c r="D62" s="295"/>
      <c r="E62" s="296"/>
      <c r="F62" s="295">
        <f>+F$6</f>
        <v>2019</v>
      </c>
      <c r="G62" s="295"/>
      <c r="H62" s="295"/>
      <c r="I62" s="295"/>
    </row>
    <row r="63" spans="1:9" ht="15.75">
      <c r="A63" s="38"/>
      <c r="B63" s="90" t="str">
        <f aca="true" t="shared" si="8" ref="B63:I63">+B$7</f>
        <v>1er Trim.</v>
      </c>
      <c r="C63" s="90" t="str">
        <f t="shared" si="8"/>
        <v>2º Trim.</v>
      </c>
      <c r="D63" s="90" t="str">
        <f t="shared" si="8"/>
        <v>3er Trim.</v>
      </c>
      <c r="E63" s="91" t="str">
        <f t="shared" si="8"/>
        <v>4º Trim.</v>
      </c>
      <c r="F63" s="90" t="str">
        <f t="shared" si="8"/>
        <v>1er Trim.</v>
      </c>
      <c r="G63" s="90" t="str">
        <f t="shared" si="8"/>
        <v>2º Trim.</v>
      </c>
      <c r="H63" s="90" t="str">
        <f t="shared" si="8"/>
        <v>3er Trim.</v>
      </c>
      <c r="I63" s="90" t="str">
        <f t="shared" si="8"/>
        <v>4º Trim.</v>
      </c>
    </row>
    <row r="64" spans="1:9" ht="15">
      <c r="A64" s="41" t="str">
        <f>HLOOKUP(INDICE!$F$2,Nombres!$C$3:$D$636,33,FALSE)</f>
        <v>Margen de intereses</v>
      </c>
      <c r="B64" s="41">
        <v>42.95969023476934</v>
      </c>
      <c r="C64" s="41">
        <v>39.91069528052931</v>
      </c>
      <c r="D64" s="41">
        <v>43.12170193779684</v>
      </c>
      <c r="E64" s="42">
        <v>49.45794126748015</v>
      </c>
      <c r="F64" s="52">
        <v>39.45821192558465</v>
      </c>
      <c r="G64" s="52">
        <v>45.12967836167428</v>
      </c>
      <c r="H64" s="52">
        <v>45.52960925746535</v>
      </c>
      <c r="I64" s="52">
        <v>44.84771737527572</v>
      </c>
    </row>
    <row r="65" spans="1:9" ht="15">
      <c r="A65" s="93" t="str">
        <f>HLOOKUP(INDICE!$F$2,Nombres!$C$3:$D$636,34,FALSE)</f>
        <v>Comisiones netas</v>
      </c>
      <c r="B65" s="44">
        <v>38.97909458551807</v>
      </c>
      <c r="C65" s="44">
        <v>40.86432388272493</v>
      </c>
      <c r="D65" s="44">
        <v>35.041329143150456</v>
      </c>
      <c r="E65" s="45">
        <v>24.179799079035238</v>
      </c>
      <c r="F65" s="44">
        <v>35.874844909926274</v>
      </c>
      <c r="G65" s="44">
        <v>33.45029904484686</v>
      </c>
      <c r="H65" s="44">
        <v>36.1874734012915</v>
      </c>
      <c r="I65" s="44">
        <v>33.13911595393536</v>
      </c>
    </row>
    <row r="66" spans="1:9" ht="15">
      <c r="A66" s="93" t="str">
        <f>HLOOKUP(INDICE!$F$2,Nombres!$C$3:$D$636,35,FALSE)</f>
        <v>Resultados de operaciones financieras</v>
      </c>
      <c r="B66" s="44">
        <v>43.65325992287259</v>
      </c>
      <c r="C66" s="44">
        <v>11.220975839931349</v>
      </c>
      <c r="D66" s="44">
        <v>22.414266398507944</v>
      </c>
      <c r="E66" s="45">
        <v>24.044793344272726</v>
      </c>
      <c r="F66" s="44">
        <v>26.63314599337673</v>
      </c>
      <c r="G66" s="44">
        <v>33.8424831581893</v>
      </c>
      <c r="H66" s="44">
        <v>33.34104843210042</v>
      </c>
      <c r="I66" s="44">
        <v>37.09695274633354</v>
      </c>
    </row>
    <row r="67" spans="1:9" ht="15">
      <c r="A67" s="93" t="str">
        <f>HLOOKUP(INDICE!$F$2,Nombres!$C$3:$D$636,36,FALSE)</f>
        <v>Otros ingresos y cargas de explotación</v>
      </c>
      <c r="B67" s="44">
        <v>0.649823026478415</v>
      </c>
      <c r="C67" s="44">
        <v>-0.6748314059605753</v>
      </c>
      <c r="D67" s="44">
        <v>0.8278661008077164</v>
      </c>
      <c r="E67" s="45">
        <v>-0.8055295161466223</v>
      </c>
      <c r="F67" s="44">
        <v>1.570501014699933</v>
      </c>
      <c r="G67" s="44">
        <v>4.002229530256939</v>
      </c>
      <c r="H67" s="44">
        <v>3.3260817328086727</v>
      </c>
      <c r="I67" s="44">
        <v>0.5562501222344555</v>
      </c>
    </row>
    <row r="68" spans="1:9" ht="15">
      <c r="A68" s="41" t="str">
        <f>HLOOKUP(INDICE!$F$2,Nombres!$C$3:$D$636,37,FALSE)</f>
        <v>Margen bruto</v>
      </c>
      <c r="B68" s="41">
        <f aca="true" t="shared" si="9" ref="B68:I68">+SUM(B64:B67)</f>
        <v>126.24186776963842</v>
      </c>
      <c r="C68" s="41">
        <f t="shared" si="9"/>
        <v>91.32116359722501</v>
      </c>
      <c r="D68" s="41">
        <f t="shared" si="9"/>
        <v>101.40516358026295</v>
      </c>
      <c r="E68" s="42">
        <f t="shared" si="9"/>
        <v>96.8770041746415</v>
      </c>
      <c r="F68" s="52">
        <f t="shared" si="9"/>
        <v>103.53670384358757</v>
      </c>
      <c r="G68" s="52">
        <f t="shared" si="9"/>
        <v>116.42469009496737</v>
      </c>
      <c r="H68" s="52">
        <f t="shared" si="9"/>
        <v>118.38421282366595</v>
      </c>
      <c r="I68" s="52">
        <f t="shared" si="9"/>
        <v>115.64003619777908</v>
      </c>
    </row>
    <row r="69" spans="1:9" ht="15">
      <c r="A69" s="93" t="str">
        <f>HLOOKUP(INDICE!$F$2,Nombres!$C$3:$D$636,38,FALSE)</f>
        <v>Gastos de explotación</v>
      </c>
      <c r="B69" s="44">
        <v>-71.78794449740178</v>
      </c>
      <c r="C69" s="44">
        <v>-68.95165392952983</v>
      </c>
      <c r="D69" s="44">
        <v>-74.216344058726</v>
      </c>
      <c r="E69" s="45">
        <v>-73.35134701350137</v>
      </c>
      <c r="F69" s="44">
        <v>-69.68983316766321</v>
      </c>
      <c r="G69" s="44">
        <v>-72.19155794077702</v>
      </c>
      <c r="H69" s="44">
        <v>-70.69986977507398</v>
      </c>
      <c r="I69" s="44">
        <v>-80.78908691648583</v>
      </c>
    </row>
    <row r="70" spans="1:9" ht="15">
      <c r="A70" s="93" t="str">
        <f>HLOOKUP(INDICE!$F$2,Nombres!$C$3:$D$636,39,FALSE)</f>
        <v>  Gastos de administración</v>
      </c>
      <c r="B70" s="44">
        <v>-70.24932759758653</v>
      </c>
      <c r="C70" s="44">
        <v>-67.43655664022978</v>
      </c>
      <c r="D70" s="44">
        <v>-72.69980952524979</v>
      </c>
      <c r="E70" s="45">
        <v>-71.70709736420139</v>
      </c>
      <c r="F70" s="44">
        <v>-65.34318739968768</v>
      </c>
      <c r="G70" s="44">
        <v>-67.96814238407282</v>
      </c>
      <c r="H70" s="44">
        <v>-66.0999170694149</v>
      </c>
      <c r="I70" s="44">
        <v>-75.87233794682462</v>
      </c>
    </row>
    <row r="71" spans="1:9" ht="15">
      <c r="A71" s="94" t="str">
        <f>HLOOKUP(INDICE!$F$2,Nombres!$C$3:$D$636,40,FALSE)</f>
        <v>  Gastos de personal</v>
      </c>
      <c r="B71" s="44">
        <v>-35.497211335290295</v>
      </c>
      <c r="C71" s="44">
        <v>-31.764518110330666</v>
      </c>
      <c r="D71" s="44">
        <v>-34.55854327378026</v>
      </c>
      <c r="E71" s="45">
        <v>-35.4213514845394</v>
      </c>
      <c r="F71" s="44">
        <v>-33.99365906632993</v>
      </c>
      <c r="G71" s="44">
        <v>-35.00611668143265</v>
      </c>
      <c r="H71" s="44">
        <v>-34.05470698250554</v>
      </c>
      <c r="I71" s="44">
        <v>-41.113887769731875</v>
      </c>
    </row>
    <row r="72" spans="1:9" ht="15">
      <c r="A72" s="94" t="str">
        <f>HLOOKUP(INDICE!$F$2,Nombres!$C$3:$D$636,41,FALSE)</f>
        <v>  Otros gastos de administración</v>
      </c>
      <c r="B72" s="44">
        <v>-34.75211626229624</v>
      </c>
      <c r="C72" s="44">
        <v>-35.67203852989911</v>
      </c>
      <c r="D72" s="44">
        <v>-38.14126625146954</v>
      </c>
      <c r="E72" s="45">
        <v>-36.28574587966199</v>
      </c>
      <c r="F72" s="44">
        <v>-31.34952833335774</v>
      </c>
      <c r="G72" s="44">
        <v>-32.962025702640176</v>
      </c>
      <c r="H72" s="44">
        <v>-32.04521008690934</v>
      </c>
      <c r="I72" s="44">
        <v>-34.75845017709274</v>
      </c>
    </row>
    <row r="73" spans="1:9" ht="15">
      <c r="A73" s="93" t="str">
        <f>HLOOKUP(INDICE!$F$2,Nombres!$C$3:$D$636,42,FALSE)</f>
        <v>  Amortización</v>
      </c>
      <c r="B73" s="44">
        <v>-1.5386168998152403</v>
      </c>
      <c r="C73" s="44">
        <v>-1.515097289300047</v>
      </c>
      <c r="D73" s="44">
        <v>-1.5165345334762055</v>
      </c>
      <c r="E73" s="45">
        <v>-1.644249649299967</v>
      </c>
      <c r="F73" s="44">
        <v>-4.346645767975529</v>
      </c>
      <c r="G73" s="44">
        <v>-4.2234155567041824</v>
      </c>
      <c r="H73" s="44">
        <v>-4.5999527056590805</v>
      </c>
      <c r="I73" s="44">
        <v>-4.916748969661208</v>
      </c>
    </row>
    <row r="74" spans="1:9" ht="15">
      <c r="A74" s="41" t="str">
        <f>HLOOKUP(INDICE!$F$2,Nombres!$C$3:$D$636,43,FALSE)</f>
        <v>Margen neto</v>
      </c>
      <c r="B74" s="41">
        <f aca="true" t="shared" si="10" ref="B74:I74">+B68+B69</f>
        <v>54.453923272236636</v>
      </c>
      <c r="C74" s="41">
        <f t="shared" si="10"/>
        <v>22.369509667695183</v>
      </c>
      <c r="D74" s="41">
        <f t="shared" si="10"/>
        <v>27.188819521536956</v>
      </c>
      <c r="E74" s="42">
        <f t="shared" si="10"/>
        <v>23.52565716114013</v>
      </c>
      <c r="F74" s="52">
        <f t="shared" si="10"/>
        <v>33.846870675924364</v>
      </c>
      <c r="G74" s="52">
        <f t="shared" si="10"/>
        <v>44.23313215419036</v>
      </c>
      <c r="H74" s="52">
        <f t="shared" si="10"/>
        <v>47.68434304859197</v>
      </c>
      <c r="I74" s="52">
        <f t="shared" si="10"/>
        <v>34.85094928129325</v>
      </c>
    </row>
    <row r="75" spans="1:9" ht="15">
      <c r="A75" s="93" t="str">
        <f>HLOOKUP(INDICE!$F$2,Nombres!$C$3:$D$636,44,FALSE)</f>
        <v>Deterioro de activos financieros no valorados a valor razonable con cambios en resultados</v>
      </c>
      <c r="B75" s="44">
        <v>16.95777905295683</v>
      </c>
      <c r="C75" s="44">
        <v>-3.185046617485404</v>
      </c>
      <c r="D75" s="44">
        <v>-22.597607675360965</v>
      </c>
      <c r="E75" s="45">
        <v>32.74373899666874</v>
      </c>
      <c r="F75" s="44">
        <v>-10.265998540723064</v>
      </c>
      <c r="G75" s="44">
        <v>-0.44806121030281165</v>
      </c>
      <c r="H75" s="44">
        <v>4.197512496947726</v>
      </c>
      <c r="I75" s="44">
        <v>2.211083254078152</v>
      </c>
    </row>
    <row r="76" spans="1:9" ht="15">
      <c r="A76" s="93" t="str">
        <f>HLOOKUP(INDICE!$F$2,Nombres!$C$3:$D$636,45,FALSE)</f>
        <v>Provisiones o reversión de provisiones y otros resultados</v>
      </c>
      <c r="B76" s="44">
        <v>-0.6680771700000008</v>
      </c>
      <c r="C76" s="44">
        <v>3.0150832088077255</v>
      </c>
      <c r="D76" s="44">
        <v>1.023819560750422</v>
      </c>
      <c r="E76" s="45">
        <v>-6.803674082380519</v>
      </c>
      <c r="F76" s="44">
        <v>-0.6760230900000003</v>
      </c>
      <c r="G76" s="44">
        <v>2.035707</v>
      </c>
      <c r="H76" s="44">
        <v>8.524512974592186</v>
      </c>
      <c r="I76" s="44">
        <v>-3.5629759745921845</v>
      </c>
    </row>
    <row r="77" spans="1:9" ht="15">
      <c r="A77" s="95" t="str">
        <f>HLOOKUP(INDICE!$F$2,Nombres!$C$3:$D$636,46,FALSE)</f>
        <v>Resultado antes de impuestos</v>
      </c>
      <c r="B77" s="41">
        <f aca="true" t="shared" si="11" ref="B77:I77">+B74+B75+B76</f>
        <v>70.74362515519346</v>
      </c>
      <c r="C77" s="41">
        <f t="shared" si="11"/>
        <v>22.199546259017502</v>
      </c>
      <c r="D77" s="41">
        <f t="shared" si="11"/>
        <v>5.615031406926413</v>
      </c>
      <c r="E77" s="42">
        <f t="shared" si="11"/>
        <v>49.46572207542835</v>
      </c>
      <c r="F77" s="52">
        <f t="shared" si="11"/>
        <v>22.9048490452013</v>
      </c>
      <c r="G77" s="52">
        <f t="shared" si="11"/>
        <v>45.82077794388755</v>
      </c>
      <c r="H77" s="52">
        <f t="shared" si="11"/>
        <v>60.40636852013188</v>
      </c>
      <c r="I77" s="52">
        <f t="shared" si="11"/>
        <v>33.49905656077922</v>
      </c>
    </row>
    <row r="78" spans="1:9" ht="15">
      <c r="A78" s="43" t="str">
        <f>HLOOKUP(INDICE!$F$2,Nombres!$C$3:$D$636,47,FALSE)</f>
        <v>Impuesto sobre beneficios</v>
      </c>
      <c r="B78" s="44">
        <v>-22.29146569162627</v>
      </c>
      <c r="C78" s="44">
        <v>-10.566181681341472</v>
      </c>
      <c r="D78" s="44">
        <v>-5.0245415666294635</v>
      </c>
      <c r="E78" s="45">
        <v>-14.074755482422178</v>
      </c>
      <c r="F78" s="44">
        <v>-6.85853961176586</v>
      </c>
      <c r="G78" s="44">
        <v>-6.541374098327783</v>
      </c>
      <c r="H78" s="44">
        <v>-13.12658999399663</v>
      </c>
      <c r="I78" s="44">
        <v>-9.119201985909728</v>
      </c>
    </row>
    <row r="79" spans="1:9" ht="15">
      <c r="A79" s="95" t="str">
        <f>HLOOKUP(INDICE!$F$2,Nombres!$C$3:$D$636,48,FALSE)</f>
        <v>Resultado del ejercicio</v>
      </c>
      <c r="B79" s="41">
        <f aca="true" t="shared" si="12" ref="B79:I79">+B77+B78</f>
        <v>48.452159463567185</v>
      </c>
      <c r="C79" s="41">
        <f t="shared" si="12"/>
        <v>11.63336457767603</v>
      </c>
      <c r="D79" s="41">
        <f t="shared" si="12"/>
        <v>0.5904898402969492</v>
      </c>
      <c r="E79" s="42">
        <f t="shared" si="12"/>
        <v>35.390966593006176</v>
      </c>
      <c r="F79" s="52">
        <f t="shared" si="12"/>
        <v>16.04630943343544</v>
      </c>
      <c r="G79" s="52">
        <f t="shared" si="12"/>
        <v>39.27940384555977</v>
      </c>
      <c r="H79" s="52">
        <f t="shared" si="12"/>
        <v>47.279778526135246</v>
      </c>
      <c r="I79" s="52">
        <f t="shared" si="12"/>
        <v>24.379854574869498</v>
      </c>
    </row>
    <row r="80" spans="1:9" ht="15">
      <c r="A80" s="93" t="str">
        <f>HLOOKUP(INDICE!$F$2,Nombres!$C$3:$D$636,49,FALSE)</f>
        <v>Minoritarios</v>
      </c>
      <c r="B80" s="44" t="s">
        <v>400</v>
      </c>
      <c r="C80" s="44" t="s">
        <v>400</v>
      </c>
      <c r="D80" s="44" t="s">
        <v>400</v>
      </c>
      <c r="E80" s="45" t="s">
        <v>400</v>
      </c>
      <c r="F80" s="44" t="s">
        <v>400</v>
      </c>
      <c r="G80" s="44" t="s">
        <v>400</v>
      </c>
      <c r="H80" s="44" t="s">
        <v>400</v>
      </c>
      <c r="I80" s="44" t="s">
        <v>400</v>
      </c>
    </row>
    <row r="81" spans="1:9" ht="15">
      <c r="A81" s="96" t="str">
        <f>HLOOKUP(INDICE!$F$2,Nombres!$C$3:$D$636,50,FALSE)</f>
        <v>Resultado atribuido</v>
      </c>
      <c r="B81" s="47">
        <f aca="true" t="shared" si="13" ref="B81:I81">+B79+B80</f>
        <v>48.452159463567185</v>
      </c>
      <c r="C81" s="47">
        <f t="shared" si="13"/>
        <v>11.63336457767603</v>
      </c>
      <c r="D81" s="47">
        <f t="shared" si="13"/>
        <v>0.5904898402969492</v>
      </c>
      <c r="E81" s="47">
        <f t="shared" si="13"/>
        <v>35.390966593006176</v>
      </c>
      <c r="F81" s="53">
        <f t="shared" si="13"/>
        <v>16.04630943343544</v>
      </c>
      <c r="G81" s="53">
        <f t="shared" si="13"/>
        <v>39.27940384555977</v>
      </c>
      <c r="H81" s="53">
        <f t="shared" si="13"/>
        <v>47.279778526135246</v>
      </c>
      <c r="I81" s="53">
        <f t="shared" si="13"/>
        <v>24.379854574869498</v>
      </c>
    </row>
    <row r="82" spans="1:9" ht="15">
      <c r="A82" s="97" t="s">
        <v>5</v>
      </c>
      <c r="B82" s="66">
        <v>0</v>
      </c>
      <c r="C82" s="66">
        <v>-1.5987211554602254E-14</v>
      </c>
      <c r="D82" s="66">
        <v>-1.3322676295501878E-14</v>
      </c>
      <c r="E82" s="66">
        <v>0</v>
      </c>
      <c r="F82" s="66">
        <v>0</v>
      </c>
      <c r="G82" s="66">
        <v>0</v>
      </c>
      <c r="H82" s="66">
        <v>0</v>
      </c>
      <c r="I82" s="66">
        <v>0</v>
      </c>
    </row>
    <row r="83" spans="1:9" ht="15">
      <c r="A83" s="41"/>
      <c r="B83" s="41"/>
      <c r="C83" s="41"/>
      <c r="D83" s="41"/>
      <c r="E83" s="41"/>
      <c r="F83" s="52"/>
      <c r="G83" s="52"/>
      <c r="H83" s="52"/>
      <c r="I83" s="52"/>
    </row>
    <row r="84" spans="1:9" ht="18">
      <c r="A84" s="98" t="str">
        <f>HLOOKUP(INDICE!$F$2,Nombres!$C$3:$D$636,51,FALSE)</f>
        <v>Balances</v>
      </c>
      <c r="B84" s="34"/>
      <c r="C84" s="34"/>
      <c r="D84" s="34"/>
      <c r="E84" s="34"/>
      <c r="F84" s="72"/>
      <c r="G84" s="72"/>
      <c r="H84" s="72"/>
      <c r="I84" s="72"/>
    </row>
    <row r="85" spans="1:9" ht="15">
      <c r="A85" s="89" t="str">
        <f>HLOOKUP(INDICE!$F$2,Nombres!$C$3:$D$636,73,FALSE)</f>
        <v>(Millones de euros constantes)</v>
      </c>
      <c r="B85" s="30"/>
      <c r="C85" s="54"/>
      <c r="D85" s="54"/>
      <c r="E85" s="54"/>
      <c r="F85" s="73"/>
      <c r="G85" s="44"/>
      <c r="H85" s="44"/>
      <c r="I85" s="44"/>
    </row>
    <row r="86" spans="1:9" ht="15.75">
      <c r="A86" s="30"/>
      <c r="B86" s="55">
        <f aca="true" t="shared" si="14" ref="B86:I86">+B$30</f>
        <v>43190</v>
      </c>
      <c r="C86" s="55">
        <f t="shared" si="14"/>
        <v>43281</v>
      </c>
      <c r="D86" s="55">
        <f t="shared" si="14"/>
        <v>43373</v>
      </c>
      <c r="E86" s="71">
        <f t="shared" si="14"/>
        <v>43465</v>
      </c>
      <c r="F86" s="55">
        <f t="shared" si="14"/>
        <v>43555</v>
      </c>
      <c r="G86" s="55">
        <f t="shared" si="14"/>
        <v>43646</v>
      </c>
      <c r="H86" s="55">
        <f t="shared" si="14"/>
        <v>43738</v>
      </c>
      <c r="I86" s="55">
        <f t="shared" si="14"/>
        <v>43830</v>
      </c>
    </row>
    <row r="87" spans="1:9" ht="15">
      <c r="A87" s="93" t="str">
        <f>HLOOKUP(INDICE!$F$2,Nombres!$C$3:$D$636,52,FALSE)</f>
        <v>Efectivo, saldos en efectivo en bancos centrales y otros depósitos a la vista</v>
      </c>
      <c r="B87" s="44">
        <v>803.0488583814716</v>
      </c>
      <c r="C87" s="44">
        <v>889.2402242155144</v>
      </c>
      <c r="D87" s="44">
        <v>704.3340639307833</v>
      </c>
      <c r="E87" s="45">
        <v>241.98234214125273</v>
      </c>
      <c r="F87" s="44">
        <v>215.0373435920472</v>
      </c>
      <c r="G87" s="44">
        <v>218.68520293148117</v>
      </c>
      <c r="H87" s="44">
        <v>228.35737795365722</v>
      </c>
      <c r="I87" s="44">
        <v>247.1589299999984</v>
      </c>
    </row>
    <row r="88" spans="1:9" ht="15">
      <c r="A88" s="93" t="str">
        <f>HLOOKUP(INDICE!$F$2,Nombres!$C$3:$D$636,53,FALSE)</f>
        <v>Activos financieros a valor razonable</v>
      </c>
      <c r="B88" s="60">
        <v>534.7290068816842</v>
      </c>
      <c r="C88" s="60">
        <v>539.1946333934187</v>
      </c>
      <c r="D88" s="60">
        <v>531.7135449369246</v>
      </c>
      <c r="E88" s="68">
        <v>504.72069800101644</v>
      </c>
      <c r="F88" s="44">
        <v>504.15582413627044</v>
      </c>
      <c r="G88" s="44">
        <v>511.1829391160068</v>
      </c>
      <c r="H88" s="44">
        <v>494.3734551390547</v>
      </c>
      <c r="I88" s="44">
        <v>477.44473238999996</v>
      </c>
    </row>
    <row r="89" spans="1:9" ht="15">
      <c r="A89" s="43" t="str">
        <f>HLOOKUP(INDICE!$F$2,Nombres!$C$3:$D$636,54,FALSE)</f>
        <v>Activos financieros a coste amortizado</v>
      </c>
      <c r="B89" s="44">
        <v>16340.212191388238</v>
      </c>
      <c r="C89" s="44">
        <v>18034.80390949276</v>
      </c>
      <c r="D89" s="44">
        <v>18035.598902832833</v>
      </c>
      <c r="E89" s="45">
        <v>17825.031393723773</v>
      </c>
      <c r="F89" s="44">
        <v>19540.726029647372</v>
      </c>
      <c r="G89" s="44">
        <v>19158.56995139084</v>
      </c>
      <c r="H89" s="44">
        <v>20649.36164348768</v>
      </c>
      <c r="I89" s="44">
        <v>22223.754614</v>
      </c>
    </row>
    <row r="90" spans="1:9" ht="15">
      <c r="A90" s="93" t="str">
        <f>HLOOKUP(INDICE!$F$2,Nombres!$C$3:$D$636,55,FALSE)</f>
        <v>    de los que préstamos y anticipos a la clientela</v>
      </c>
      <c r="B90" s="44">
        <v>15219.933198762383</v>
      </c>
      <c r="C90" s="44">
        <v>16691.910763408807</v>
      </c>
      <c r="D90" s="44">
        <v>16760.90197901417</v>
      </c>
      <c r="E90" s="45">
        <v>16612.125099308738</v>
      </c>
      <c r="F90" s="44">
        <v>18268.060686244364</v>
      </c>
      <c r="G90" s="44">
        <v>17560.735956429275</v>
      </c>
      <c r="H90" s="44">
        <v>18473.16172835064</v>
      </c>
      <c r="I90" s="44">
        <v>19660.032729000006</v>
      </c>
    </row>
    <row r="91" spans="1:9" ht="15">
      <c r="A91" s="9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36.857681662111574</v>
      </c>
      <c r="C92" s="44">
        <v>37.14515430333032</v>
      </c>
      <c r="D92" s="44">
        <v>38.11335198309588</v>
      </c>
      <c r="E92" s="45">
        <v>39.568090703988645</v>
      </c>
      <c r="F92" s="44">
        <v>99.16346045163128</v>
      </c>
      <c r="G92" s="44">
        <v>94.08129850525361</v>
      </c>
      <c r="H92" s="44">
        <v>74.03975871347541</v>
      </c>
      <c r="I92" s="44">
        <v>71.58397500000001</v>
      </c>
    </row>
    <row r="93" spans="1:9" ht="15">
      <c r="A93" s="93" t="str">
        <f>HLOOKUP(INDICE!$F$2,Nombres!$C$3:$D$636,57,FALSE)</f>
        <v>Otros activos</v>
      </c>
      <c r="B93" s="60">
        <f>+B94-B92-B89-B88-B87-B91</f>
        <v>345.6149250599584</v>
      </c>
      <c r="C93" s="60">
        <f aca="true" t="shared" si="15" ref="C93:I93">+C94-C92-C89-C88-C87</f>
        <v>381.0459699218036</v>
      </c>
      <c r="D93" s="60">
        <f t="shared" si="15"/>
        <v>320.60863998852983</v>
      </c>
      <c r="E93" s="68">
        <f t="shared" si="15"/>
        <v>254.884887951064</v>
      </c>
      <c r="F93" s="44">
        <f t="shared" si="15"/>
        <v>247.72831676230606</v>
      </c>
      <c r="G93" s="44">
        <f t="shared" si="15"/>
        <v>243.89344242753367</v>
      </c>
      <c r="H93" s="44">
        <f t="shared" si="15"/>
        <v>239.44853669784763</v>
      </c>
      <c r="I93" s="44">
        <f t="shared" si="15"/>
        <v>227.5627400000028</v>
      </c>
    </row>
    <row r="94" spans="1:9" ht="15">
      <c r="A94" s="96" t="str">
        <f>HLOOKUP(INDICE!$F$2,Nombres!$C$3:$D$636,58,FALSE)</f>
        <v>Total activo / pasivo</v>
      </c>
      <c r="B94" s="47">
        <v>18060.462663373462</v>
      </c>
      <c r="C94" s="47">
        <v>19881.429891326825</v>
      </c>
      <c r="D94" s="47">
        <v>19630.368503672165</v>
      </c>
      <c r="E94" s="74">
        <v>18866.187412521096</v>
      </c>
      <c r="F94" s="53">
        <v>20606.81097458963</v>
      </c>
      <c r="G94" s="53">
        <v>20226.412834371116</v>
      </c>
      <c r="H94" s="53">
        <v>21685.580771991714</v>
      </c>
      <c r="I94" s="53">
        <v>23247.504991390004</v>
      </c>
    </row>
    <row r="95" spans="1:9" ht="15">
      <c r="A95" s="93" t="str">
        <f>HLOOKUP(INDICE!$F$2,Nombres!$C$3:$D$636,59,FALSE)</f>
        <v>Pasivos financieros mantenidos para negociar y designados a valor razonable con cambios en resultados</v>
      </c>
      <c r="B95" s="60">
        <v>42.78198721087314</v>
      </c>
      <c r="C95" s="60">
        <v>41.05231536510623</v>
      </c>
      <c r="D95" s="60">
        <v>39.02012407037398</v>
      </c>
      <c r="E95" s="68">
        <v>41.823216719547524</v>
      </c>
      <c r="F95" s="44">
        <v>42.23608820619136</v>
      </c>
      <c r="G95" s="44">
        <v>43.02538361654722</v>
      </c>
      <c r="H95" s="44">
        <v>47.32268444112915</v>
      </c>
      <c r="I95" s="44">
        <v>57.16375000000001</v>
      </c>
    </row>
    <row r="96" spans="1:9" ht="15">
      <c r="A96" s="93" t="str">
        <f>HLOOKUP(INDICE!$F$2,Nombres!$C$3:$D$636,60,FALSE)</f>
        <v>Depósitos de bancos centrales y entidades de crédito</v>
      </c>
      <c r="B96" s="60">
        <v>2895.01225486879</v>
      </c>
      <c r="C96" s="60">
        <v>2626.2927004993735</v>
      </c>
      <c r="D96" s="60">
        <v>2308.303589683506</v>
      </c>
      <c r="E96" s="68">
        <v>1276.30104190973</v>
      </c>
      <c r="F96" s="44">
        <v>932.8991369005071</v>
      </c>
      <c r="G96" s="44">
        <v>880.7401109008958</v>
      </c>
      <c r="H96" s="44">
        <v>919.4060624891</v>
      </c>
      <c r="I96" s="44">
        <v>1039.0934569999997</v>
      </c>
    </row>
    <row r="97" spans="1:9" ht="15">
      <c r="A97" s="93" t="str">
        <f>HLOOKUP(INDICE!$F$2,Nombres!$C$3:$D$636,61,FALSE)</f>
        <v>Depósitos de la clientela</v>
      </c>
      <c r="B97" s="60">
        <v>5482.760700381203</v>
      </c>
      <c r="C97" s="60">
        <v>5278.099572762326</v>
      </c>
      <c r="D97" s="60">
        <v>5222.42464724682</v>
      </c>
      <c r="E97" s="68">
        <v>4897.948501504415</v>
      </c>
      <c r="F97" s="44">
        <v>5082.378906143218</v>
      </c>
      <c r="G97" s="44">
        <v>4306.452061667573</v>
      </c>
      <c r="H97" s="44">
        <v>4365.782713144699</v>
      </c>
      <c r="I97" s="44">
        <v>4707.759361</v>
      </c>
    </row>
    <row r="98" spans="1:9" ht="15">
      <c r="A98" s="43" t="str">
        <f>HLOOKUP(INDICE!$F$2,Nombres!$C$3:$D$636,62,FALSE)</f>
        <v>Valores representativos de deuda emitidos</v>
      </c>
      <c r="B98" s="44">
        <v>221.0996970989794</v>
      </c>
      <c r="C98" s="44">
        <v>290.63623429520425</v>
      </c>
      <c r="D98" s="44">
        <v>266.23606446555124</v>
      </c>
      <c r="E98" s="45">
        <v>213.06438256698766</v>
      </c>
      <c r="F98" s="44">
        <v>196.67885301869308</v>
      </c>
      <c r="G98" s="44">
        <v>984.7649282442516</v>
      </c>
      <c r="H98" s="44">
        <v>622.1608602848501</v>
      </c>
      <c r="I98" s="44">
        <v>835.5809768299999</v>
      </c>
    </row>
    <row r="99" spans="1:9" ht="15">
      <c r="A99" s="93" t="str">
        <f>HLOOKUP(INDICE!$F$2,Nombres!$C$3:$D$636,122,FALSE)</f>
        <v>Posiciones inter-áreas pasivo</v>
      </c>
      <c r="B99" s="44">
        <v>7262.4249150613505</v>
      </c>
      <c r="C99" s="44">
        <v>9588.069443711234</v>
      </c>
      <c r="D99" s="44">
        <v>9887.400998593677</v>
      </c>
      <c r="E99" s="45">
        <v>11408.728468221321</v>
      </c>
      <c r="F99" s="44">
        <v>13222.438198712052</v>
      </c>
      <c r="G99" s="44">
        <v>12661.221392958529</v>
      </c>
      <c r="H99" s="44">
        <v>14466.201203665247</v>
      </c>
      <c r="I99" s="44">
        <v>15335.97167852</v>
      </c>
    </row>
    <row r="100" spans="1:9" ht="15">
      <c r="A100" s="43" t="str">
        <f>HLOOKUP(INDICE!$F$2,Nombres!$C$3:$D$636,63,FALSE)</f>
        <v>Otros pasivos</v>
      </c>
      <c r="B100" s="60">
        <f aca="true" t="shared" si="16" ref="B100:I100">+B94-B95-B96-B97-B98-B101-B99</f>
        <v>1271.7688159644113</v>
      </c>
      <c r="C100" s="60">
        <f t="shared" si="16"/>
        <v>1269.2919357911796</v>
      </c>
      <c r="D100" s="60">
        <f t="shared" si="16"/>
        <v>1182.0450040382948</v>
      </c>
      <c r="E100" s="68">
        <f t="shared" si="16"/>
        <v>270.76060089223756</v>
      </c>
      <c r="F100" s="60">
        <f t="shared" si="16"/>
        <v>343.2975627670621</v>
      </c>
      <c r="G100" s="60">
        <f t="shared" si="16"/>
        <v>532.983429806236</v>
      </c>
      <c r="H100" s="60">
        <f t="shared" si="16"/>
        <v>420.27196787182584</v>
      </c>
      <c r="I100" s="60">
        <f t="shared" si="16"/>
        <v>399.06262453000636</v>
      </c>
    </row>
    <row r="101" spans="1:9" ht="15">
      <c r="A101" s="93" t="str">
        <f>HLOOKUP(INDICE!$F$2,Nombres!$C$3:$D$636,64,FALSE)</f>
        <v>Dotación de capital económico</v>
      </c>
      <c r="B101" s="44">
        <v>884.6142927878536</v>
      </c>
      <c r="C101" s="44">
        <v>787.9876889024031</v>
      </c>
      <c r="D101" s="44">
        <v>724.9380755739408</v>
      </c>
      <c r="E101" s="45">
        <v>757.5612007068548</v>
      </c>
      <c r="F101" s="44">
        <v>786.8822288419037</v>
      </c>
      <c r="G101" s="44">
        <v>817.2255271770841</v>
      </c>
      <c r="H101" s="44">
        <v>844.4352800948636</v>
      </c>
      <c r="I101" s="44">
        <v>872.8731435100003</v>
      </c>
    </row>
    <row r="102" spans="1:9" ht="15">
      <c r="A102" s="65"/>
      <c r="B102" s="60"/>
      <c r="C102" s="60"/>
      <c r="D102" s="60"/>
      <c r="E102" s="60"/>
      <c r="F102" s="44"/>
      <c r="G102" s="44"/>
      <c r="H102" s="44"/>
      <c r="I102" s="44"/>
    </row>
    <row r="103" spans="1:9" ht="15">
      <c r="A103" s="43"/>
      <c r="B103" s="60"/>
      <c r="C103" s="60"/>
      <c r="D103" s="60"/>
      <c r="E103" s="60"/>
      <c r="F103" s="44"/>
      <c r="G103" s="44"/>
      <c r="H103" s="44"/>
      <c r="I103" s="44"/>
    </row>
    <row r="104" spans="1:9" ht="18">
      <c r="A104" s="98" t="str">
        <f>HLOOKUP(INDICE!$F$2,Nombres!$C$3:$D$636,65,FALSE)</f>
        <v>Indicadores relevantes y de gestión</v>
      </c>
      <c r="B104" s="34"/>
      <c r="C104" s="34"/>
      <c r="D104" s="34"/>
      <c r="E104" s="34"/>
      <c r="F104" s="72"/>
      <c r="G104" s="72"/>
      <c r="H104" s="72"/>
      <c r="I104" s="72"/>
    </row>
    <row r="105" spans="1:9" ht="15">
      <c r="A105" s="89" t="str">
        <f>HLOOKUP(INDICE!$F$2,Nombres!$C$3:$D$636,73,FALSE)</f>
        <v>(Millones de euros constantes)</v>
      </c>
      <c r="B105" s="30"/>
      <c r="C105" s="30"/>
      <c r="D105" s="30"/>
      <c r="E105" s="30"/>
      <c r="F105" s="73"/>
      <c r="G105" s="44"/>
      <c r="H105" s="44"/>
      <c r="I105" s="44"/>
    </row>
    <row r="106" spans="1:9" ht="15.75">
      <c r="A106" s="30"/>
      <c r="B106" s="55">
        <f aca="true" t="shared" si="17" ref="B106:I106">+B$30</f>
        <v>43190</v>
      </c>
      <c r="C106" s="55">
        <f t="shared" si="17"/>
        <v>43281</v>
      </c>
      <c r="D106" s="55">
        <f t="shared" si="17"/>
        <v>43373</v>
      </c>
      <c r="E106" s="71">
        <f t="shared" si="17"/>
        <v>43465</v>
      </c>
      <c r="F106" s="55">
        <f t="shared" si="17"/>
        <v>43555</v>
      </c>
      <c r="G106" s="55">
        <f t="shared" si="17"/>
        <v>43646</v>
      </c>
      <c r="H106" s="55">
        <f t="shared" si="17"/>
        <v>43738</v>
      </c>
      <c r="I106" s="55">
        <f t="shared" si="17"/>
        <v>43830</v>
      </c>
    </row>
    <row r="107" spans="1:9" ht="15">
      <c r="A107" s="93" t="str">
        <f>HLOOKUP(INDICE!$F$2,Nombres!$C$3:$D$636,66,FALSE)</f>
        <v>Préstamos y anticipos a la clientela bruto (*)</v>
      </c>
      <c r="B107" s="44">
        <v>15601.174890762382</v>
      </c>
      <c r="C107" s="44">
        <v>17039.155005408807</v>
      </c>
      <c r="D107" s="44">
        <v>17124.797305014166</v>
      </c>
      <c r="E107" s="45">
        <v>16950.684883308735</v>
      </c>
      <c r="F107" s="44">
        <v>18612.242507244362</v>
      </c>
      <c r="G107" s="44">
        <v>17897.77881342927</v>
      </c>
      <c r="H107" s="44">
        <v>18809.92091735064</v>
      </c>
      <c r="I107" s="44">
        <v>19986.534709</v>
      </c>
    </row>
    <row r="108" spans="1:9" ht="15">
      <c r="A108" s="93" t="str">
        <f>HLOOKUP(INDICE!$F$2,Nombres!$C$3:$D$636,67,FALSE)</f>
        <v>Depósitos de clientes en gestión (**)</v>
      </c>
      <c r="B108" s="44">
        <v>5482.760700381202</v>
      </c>
      <c r="C108" s="44">
        <v>5278.099572762326</v>
      </c>
      <c r="D108" s="44">
        <v>5222.424647246819</v>
      </c>
      <c r="E108" s="45">
        <v>4897.948501504415</v>
      </c>
      <c r="F108" s="44">
        <v>5082.378906143218</v>
      </c>
      <c r="G108" s="44">
        <v>4306.452061667573</v>
      </c>
      <c r="H108" s="44">
        <v>4365.782713144699</v>
      </c>
      <c r="I108" s="44">
        <v>4707.759361</v>
      </c>
    </row>
    <row r="109" spans="1:9" ht="15">
      <c r="A109" s="43" t="str">
        <f>HLOOKUP(INDICE!$F$2,Nombres!$C$3:$D$636,68,FALSE)</f>
        <v>Fondos de inversión</v>
      </c>
      <c r="B109" s="44">
        <v>0.013577</v>
      </c>
      <c r="C109" s="44">
        <v>0.013533</v>
      </c>
      <c r="D109" s="44">
        <v>0.013515</v>
      </c>
      <c r="E109" s="45">
        <v>0.013527</v>
      </c>
      <c r="F109" s="44">
        <v>0.013545</v>
      </c>
      <c r="G109" s="44">
        <v>0.013555</v>
      </c>
      <c r="H109" s="44">
        <v>0.013544</v>
      </c>
      <c r="I109" s="44">
        <v>0.013511</v>
      </c>
    </row>
    <row r="110" spans="1:9" ht="15">
      <c r="A110" s="93" t="str">
        <f>HLOOKUP(INDICE!$F$2,Nombres!$C$3:$D$636,69,FALSE)</f>
        <v>Fondos de pensiones</v>
      </c>
      <c r="B110" s="44">
        <v>390.44223488</v>
      </c>
      <c r="C110" s="44">
        <v>388.01119473</v>
      </c>
      <c r="D110" s="44">
        <v>389.32237884</v>
      </c>
      <c r="E110" s="45">
        <v>387.77874855</v>
      </c>
      <c r="F110" s="44">
        <v>407.12046328</v>
      </c>
      <c r="G110" s="44">
        <v>454.48082914</v>
      </c>
      <c r="H110" s="44">
        <v>496.67020717</v>
      </c>
      <c r="I110" s="44">
        <v>500.43861838</v>
      </c>
    </row>
    <row r="111" spans="1:9" ht="15">
      <c r="A111" s="93" t="str">
        <f>HLOOKUP(INDICE!$F$2,Nombres!$C$3:$D$636,70,FALSE)</f>
        <v>Otros recursos fuera de balance</v>
      </c>
      <c r="B111" s="44" t="s">
        <v>400</v>
      </c>
      <c r="C111" s="44" t="s">
        <v>400</v>
      </c>
      <c r="D111" s="44" t="s">
        <v>400</v>
      </c>
      <c r="E111" s="45" t="s">
        <v>400</v>
      </c>
      <c r="F111" s="44" t="s">
        <v>400</v>
      </c>
      <c r="G111" s="44" t="s">
        <v>400</v>
      </c>
      <c r="H111" s="44" t="s">
        <v>400</v>
      </c>
      <c r="I111" s="44" t="s">
        <v>400</v>
      </c>
    </row>
    <row r="112" spans="1:9" ht="15">
      <c r="A112" s="97" t="str">
        <f>HLOOKUP(INDICE!$F$2,Nombres!$C$3:$D$636,71,FALSE)</f>
        <v>(*) No incluye las adquisiciones temporales de activos.</v>
      </c>
      <c r="B112" s="60"/>
      <c r="C112" s="60"/>
      <c r="D112" s="60"/>
      <c r="E112" s="60"/>
      <c r="F112" s="60"/>
      <c r="G112" s="60"/>
      <c r="H112" s="60"/>
      <c r="I112" s="60"/>
    </row>
    <row r="113" spans="1:9" ht="15">
      <c r="A113" s="97" t="str">
        <f>HLOOKUP(INDICE!$F$2,Nombres!$C$3:$D$636,72,FALSE)</f>
        <v>(**) No incluye las cesiones temporales de activos.</v>
      </c>
      <c r="B113" s="30"/>
      <c r="C113" s="30"/>
      <c r="D113" s="30"/>
      <c r="E113" s="30"/>
      <c r="F113" s="30"/>
      <c r="G113" s="30"/>
      <c r="H113" s="30"/>
      <c r="I113" s="30"/>
    </row>
    <row r="114" spans="1:9" ht="15">
      <c r="A114" s="65"/>
      <c r="B114" s="60"/>
      <c r="C114" s="44"/>
      <c r="D114" s="44"/>
      <c r="E114" s="44"/>
      <c r="F114" s="44"/>
      <c r="G114" s="30"/>
      <c r="H114" s="30"/>
      <c r="I114" s="30"/>
    </row>
    <row r="120" spans="6:9" ht="15">
      <c r="F120" s="86"/>
      <c r="G120" s="86"/>
      <c r="H120" s="86"/>
      <c r="I120" s="86"/>
    </row>
    <row r="121" spans="6:9" ht="15">
      <c r="F121" s="86"/>
      <c r="G121" s="86"/>
      <c r="H121" s="86"/>
      <c r="I121" s="86"/>
    </row>
    <row r="122" spans="6:9" ht="15">
      <c r="F122" s="86"/>
      <c r="G122" s="86"/>
      <c r="H122" s="86"/>
      <c r="I122" s="86"/>
    </row>
    <row r="123" spans="6:9" ht="15">
      <c r="F123" s="86"/>
      <c r="G123" s="86"/>
      <c r="H123" s="86"/>
      <c r="I123" s="86"/>
    </row>
    <row r="124" spans="6:9" ht="15">
      <c r="F124" s="86"/>
      <c r="G124" s="86"/>
      <c r="H124" s="86"/>
      <c r="I124" s="86"/>
    </row>
    <row r="125" spans="6:9" ht="15">
      <c r="F125" s="86"/>
      <c r="G125" s="86"/>
      <c r="H125" s="86"/>
      <c r="I125" s="86"/>
    </row>
    <row r="126" spans="6:9" ht="15">
      <c r="F126" s="86"/>
      <c r="G126" s="86"/>
      <c r="H126" s="86"/>
      <c r="I126" s="86"/>
    </row>
    <row r="127" spans="6:9" ht="15">
      <c r="F127" s="86"/>
      <c r="G127" s="86"/>
      <c r="H127" s="86"/>
      <c r="I127" s="86"/>
    </row>
    <row r="128" spans="6:9" ht="15">
      <c r="F128" s="86"/>
      <c r="G128" s="86"/>
      <c r="H128" s="86"/>
      <c r="I128" s="86"/>
    </row>
    <row r="129" spans="6:9" ht="15">
      <c r="F129" s="86"/>
      <c r="G129" s="86"/>
      <c r="H129" s="86"/>
      <c r="I129" s="86"/>
    </row>
    <row r="130" spans="6:9" ht="15">
      <c r="F130" s="86"/>
      <c r="G130" s="86"/>
      <c r="H130" s="86"/>
      <c r="I130" s="86"/>
    </row>
    <row r="131" spans="6:9" ht="15">
      <c r="F131" s="86"/>
      <c r="G131" s="86"/>
      <c r="H131" s="86"/>
      <c r="I131" s="86"/>
    </row>
    <row r="132" spans="6:9" ht="15">
      <c r="F132" s="86"/>
      <c r="G132" s="86"/>
      <c r="H132" s="86"/>
      <c r="I132" s="86"/>
    </row>
    <row r="133" spans="6:9" ht="15">
      <c r="F133" s="86"/>
      <c r="G133" s="86"/>
      <c r="H133" s="86"/>
      <c r="I133" s="86"/>
    </row>
    <row r="134" spans="6:9" ht="15">
      <c r="F134" s="86"/>
      <c r="G134" s="86"/>
      <c r="H134" s="86"/>
      <c r="I134" s="86"/>
    </row>
    <row r="135" spans="6:9" ht="15">
      <c r="F135" s="86"/>
      <c r="G135" s="86"/>
      <c r="H135" s="86"/>
      <c r="I135" s="86"/>
    </row>
    <row r="136" spans="6:9" ht="15">
      <c r="F136" s="86"/>
      <c r="G136" s="86"/>
      <c r="H136" s="86"/>
      <c r="I136" s="86"/>
    </row>
    <row r="137" spans="6:9" ht="15">
      <c r="F137" s="86"/>
      <c r="G137" s="86"/>
      <c r="H137" s="86"/>
      <c r="I137" s="86"/>
    </row>
    <row r="138" spans="6:9" ht="15">
      <c r="F138" s="86"/>
      <c r="G138" s="86"/>
      <c r="H138" s="86"/>
      <c r="I138" s="86"/>
    </row>
    <row r="139" spans="6:9" ht="15">
      <c r="F139" s="86"/>
      <c r="G139" s="86"/>
      <c r="H139" s="86"/>
      <c r="I139" s="86"/>
    </row>
    <row r="140" spans="6:9" ht="15">
      <c r="F140" s="86"/>
      <c r="G140" s="86"/>
      <c r="H140" s="86"/>
      <c r="I140" s="86"/>
    </row>
    <row r="141" spans="6:9" ht="15">
      <c r="F141" s="86"/>
      <c r="G141" s="86"/>
      <c r="H141" s="86"/>
      <c r="I141" s="86"/>
    </row>
    <row r="142" spans="6:9" ht="15">
      <c r="F142" s="86"/>
      <c r="G142" s="86"/>
      <c r="H142" s="86"/>
      <c r="I142" s="86"/>
    </row>
    <row r="143" spans="6:9" ht="15">
      <c r="F143" s="86"/>
      <c r="G143" s="86"/>
      <c r="H143" s="86"/>
      <c r="I143" s="86"/>
    </row>
    <row r="144" spans="6:9" ht="15">
      <c r="F144" s="86"/>
      <c r="G144" s="86"/>
      <c r="H144" s="86"/>
      <c r="I144" s="86"/>
    </row>
    <row r="145" spans="6:9" ht="15">
      <c r="F145" s="86"/>
      <c r="G145" s="86"/>
      <c r="H145" s="86"/>
      <c r="I145" s="86"/>
    </row>
    <row r="146" spans="6:9" ht="15">
      <c r="F146" s="86"/>
      <c r="G146" s="86"/>
      <c r="H146" s="86"/>
      <c r="I146" s="86"/>
    </row>
    <row r="147" spans="6:9" ht="15">
      <c r="F147" s="86"/>
      <c r="G147" s="86"/>
      <c r="H147" s="86"/>
      <c r="I147" s="86"/>
    </row>
    <row r="148" spans="6:9" ht="15">
      <c r="F148" s="86"/>
      <c r="G148" s="86"/>
      <c r="H148" s="86"/>
      <c r="I148" s="86"/>
    </row>
    <row r="149" spans="6:9" ht="15">
      <c r="F149" s="86"/>
      <c r="G149" s="86"/>
      <c r="H149" s="86"/>
      <c r="I149" s="86"/>
    </row>
    <row r="150" spans="6:9" ht="15">
      <c r="F150" s="86"/>
      <c r="G150" s="86"/>
      <c r="H150" s="86"/>
      <c r="I150" s="86"/>
    </row>
    <row r="151" spans="6:9" ht="15">
      <c r="F151" s="86"/>
      <c r="G151" s="86"/>
      <c r="H151" s="86"/>
      <c r="I151" s="86"/>
    </row>
    <row r="152" spans="6:9" ht="15">
      <c r="F152" s="86"/>
      <c r="G152" s="86"/>
      <c r="H152" s="86"/>
      <c r="I152" s="86"/>
    </row>
    <row r="153" spans="6:9" ht="15">
      <c r="F153" s="86"/>
      <c r="G153" s="86"/>
      <c r="H153" s="86"/>
      <c r="I153" s="86"/>
    </row>
    <row r="154" spans="6:9" ht="15">
      <c r="F154" s="86"/>
      <c r="G154" s="86"/>
      <c r="H154" s="86"/>
      <c r="I154" s="86"/>
    </row>
    <row r="155" spans="6:9" ht="15">
      <c r="F155" s="86"/>
      <c r="G155" s="86"/>
      <c r="H155" s="86"/>
      <c r="I155" s="86"/>
    </row>
    <row r="156" spans="6:9" ht="15">
      <c r="F156" s="86"/>
      <c r="G156" s="86"/>
      <c r="H156" s="86"/>
      <c r="I156" s="86"/>
    </row>
    <row r="157" spans="6:9" ht="15">
      <c r="F157" s="86"/>
      <c r="G157" s="86"/>
      <c r="H157" s="86"/>
      <c r="I157" s="86"/>
    </row>
    <row r="158" spans="6:9" ht="15">
      <c r="F158" s="86"/>
      <c r="G158" s="86"/>
      <c r="H158" s="86"/>
      <c r="I158" s="86"/>
    </row>
    <row r="159" spans="6:9" ht="15">
      <c r="F159" s="86"/>
      <c r="G159" s="86"/>
      <c r="H159" s="86"/>
      <c r="I159" s="86"/>
    </row>
    <row r="160" spans="6:9" ht="15">
      <c r="F160" s="86"/>
      <c r="G160" s="86"/>
      <c r="H160" s="86"/>
      <c r="I160" s="86"/>
    </row>
    <row r="161" spans="6:9" ht="15">
      <c r="F161" s="86"/>
      <c r="G161" s="86"/>
      <c r="H161" s="86"/>
      <c r="I161" s="86"/>
    </row>
    <row r="162" spans="6:9" ht="15">
      <c r="F162" s="86"/>
      <c r="G162" s="86"/>
      <c r="H162" s="86"/>
      <c r="I162" s="86"/>
    </row>
    <row r="163" spans="6:9" ht="15">
      <c r="F163" s="86"/>
      <c r="G163" s="86"/>
      <c r="H163" s="86"/>
      <c r="I163" s="86"/>
    </row>
    <row r="164" spans="6:9" ht="15">
      <c r="F164" s="86"/>
      <c r="G164" s="86"/>
      <c r="H164" s="86"/>
      <c r="I164" s="86"/>
    </row>
    <row r="165" spans="6:9" ht="15">
      <c r="F165" s="86"/>
      <c r="G165" s="86"/>
      <c r="H165" s="86"/>
      <c r="I165" s="86"/>
    </row>
    <row r="166" spans="6:9" ht="15">
      <c r="F166" s="86"/>
      <c r="G166" s="86"/>
      <c r="H166" s="86"/>
      <c r="I166" s="86"/>
    </row>
    <row r="1000" ht="15">
      <c r="A1000" s="31" t="s">
        <v>399</v>
      </c>
    </row>
  </sheetData>
  <sheetProtection/>
  <mergeCells count="4">
    <mergeCell ref="B6:E6"/>
    <mergeCell ref="B62:E62"/>
    <mergeCell ref="F6:I6"/>
    <mergeCell ref="F62:I62"/>
  </mergeCells>
  <conditionalFormatting sqref="B26:I26">
    <cfRule type="cellIs" priority="2" dxfId="116" operator="notBetween">
      <formula>0.5</formula>
      <formula>-0.5</formula>
    </cfRule>
  </conditionalFormatting>
  <conditionalFormatting sqref="B82:I82">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J19" sqref="J19"/>
    </sheetView>
  </sheetViews>
  <sheetFormatPr defaultColWidth="11.421875" defaultRowHeight="15"/>
  <cols>
    <col min="1" max="1" width="62.7109375" style="31" customWidth="1"/>
    <col min="2" max="16384" width="11.421875" style="31" customWidth="1"/>
  </cols>
  <sheetData>
    <row r="1" spans="1:9" ht="18">
      <c r="A1" s="29"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90" t="str">
        <f>+España!B7</f>
        <v>1er Trim.</v>
      </c>
      <c r="C7" s="90" t="str">
        <f>+España!C7</f>
        <v>2º Trim.</v>
      </c>
      <c r="D7" s="90" t="str">
        <f>+España!D7</f>
        <v>3er Trim.</v>
      </c>
      <c r="E7" s="91" t="str">
        <f>+España!E7</f>
        <v>4º Trim.</v>
      </c>
      <c r="F7" s="90" t="str">
        <f>+España!F7</f>
        <v>1er Trim.</v>
      </c>
      <c r="G7" s="90" t="str">
        <f>+España!G7</f>
        <v>2º Trim.</v>
      </c>
      <c r="H7" s="90" t="str">
        <f>+España!H7</f>
        <v>3er Trim.</v>
      </c>
      <c r="I7" s="90" t="str">
        <f>+España!I7</f>
        <v>4º Trim.</v>
      </c>
    </row>
    <row r="8" spans="1:9" ht="15">
      <c r="A8" s="41" t="str">
        <f>HLOOKUP(INDICE!$F$2,Nombres!$C$3:$D$636,33,FALSE)</f>
        <v>Margen de intereses</v>
      </c>
      <c r="B8" s="41">
        <v>-67.40406131000002</v>
      </c>
      <c r="C8" s="41">
        <v>-69.98292647999997</v>
      </c>
      <c r="D8" s="41">
        <v>-68.43443806000006</v>
      </c>
      <c r="E8" s="42">
        <v>-63.428757729999845</v>
      </c>
      <c r="F8" s="52">
        <v>-70.70203647</v>
      </c>
      <c r="G8" s="52">
        <v>-61.00706225999993</v>
      </c>
      <c r="H8" s="52">
        <v>-60.821187750000036</v>
      </c>
      <c r="I8" s="52">
        <v>-40.612265009999994</v>
      </c>
    </row>
    <row r="9" spans="1:9" ht="15">
      <c r="A9" s="43" t="str">
        <f>HLOOKUP(INDICE!$F$2,Nombres!$C$3:$D$636,34,FALSE)</f>
        <v>Comisiones netas</v>
      </c>
      <c r="B9" s="44">
        <v>-7.3890382000000026</v>
      </c>
      <c r="C9" s="44">
        <v>-24.889611390000002</v>
      </c>
      <c r="D9" s="44">
        <v>-17.76189876</v>
      </c>
      <c r="E9" s="45">
        <v>-8.614086760000001</v>
      </c>
      <c r="F9" s="44">
        <v>-15.139633689999998</v>
      </c>
      <c r="G9" s="44">
        <v>-28.940663479999994</v>
      </c>
      <c r="H9" s="44">
        <v>-17.39855474</v>
      </c>
      <c r="I9" s="44">
        <v>-11.278410910000002</v>
      </c>
    </row>
    <row r="10" spans="1:9" ht="15">
      <c r="A10" s="43" t="str">
        <f>HLOOKUP(INDICE!$F$2,Nombres!$C$3:$D$636,35,FALSE)</f>
        <v>Resultados de operaciones financieras</v>
      </c>
      <c r="B10" s="44">
        <v>-23.727804739999996</v>
      </c>
      <c r="C10" s="44">
        <v>-33.97562251999997</v>
      </c>
      <c r="D10" s="44">
        <v>-37.93172167</v>
      </c>
      <c r="E10" s="45">
        <v>-59.072731889999986</v>
      </c>
      <c r="F10" s="44">
        <v>-7.082427110000008</v>
      </c>
      <c r="G10" s="44">
        <v>-66.65652975</v>
      </c>
      <c r="H10" s="44">
        <v>20.24674706999999</v>
      </c>
      <c r="I10" s="44">
        <v>-0.6674627699999807</v>
      </c>
    </row>
    <row r="11" spans="1:9" ht="15">
      <c r="A11" s="43" t="str">
        <f>HLOOKUP(INDICE!$F$2,Nombres!$C$3:$D$636,36,FALSE)</f>
        <v>Otros ingresos y cargas de explotación</v>
      </c>
      <c r="B11" s="44">
        <v>-3.3559226399999815</v>
      </c>
      <c r="C11" s="44">
        <v>42.45043117999987</v>
      </c>
      <c r="D11" s="44">
        <v>-2.3772499699998413</v>
      </c>
      <c r="E11" s="45">
        <v>26.282921949999803</v>
      </c>
      <c r="F11" s="44">
        <v>-14.187246229999918</v>
      </c>
      <c r="G11" s="44">
        <v>27.60993240999997</v>
      </c>
      <c r="H11" s="44">
        <v>-13.858168129999761</v>
      </c>
      <c r="I11" s="44">
        <v>21.813953040000033</v>
      </c>
    </row>
    <row r="12" spans="1:9" ht="15">
      <c r="A12" s="41" t="str">
        <f>HLOOKUP(INDICE!$F$2,Nombres!$C$3:$D$636,37,FALSE)</f>
        <v>Margen bruto</v>
      </c>
      <c r="B12" s="41">
        <f>+SUM(B8:B11)</f>
        <v>-101.87682688999999</v>
      </c>
      <c r="C12" s="41">
        <f aca="true" t="shared" si="0" ref="C12:I12">+SUM(C8:C11)</f>
        <v>-86.39772921000008</v>
      </c>
      <c r="D12" s="41">
        <f t="shared" si="0"/>
        <v>-126.5053084599999</v>
      </c>
      <c r="E12" s="42">
        <f t="shared" si="0"/>
        <v>-104.83265443000002</v>
      </c>
      <c r="F12" s="52">
        <f t="shared" si="0"/>
        <v>-107.11134349999992</v>
      </c>
      <c r="G12" s="52">
        <f t="shared" si="0"/>
        <v>-128.99432307999996</v>
      </c>
      <c r="H12" s="52">
        <f t="shared" si="0"/>
        <v>-71.83116354999981</v>
      </c>
      <c r="I12" s="52">
        <f t="shared" si="0"/>
        <v>-30.744185649999938</v>
      </c>
    </row>
    <row r="13" spans="1:9" ht="15">
      <c r="A13" s="43" t="str">
        <f>HLOOKUP(INDICE!$F$2,Nombres!$C$3:$D$636,38,FALSE)</f>
        <v>Gastos de explotación</v>
      </c>
      <c r="B13" s="44">
        <v>-212.24619761</v>
      </c>
      <c r="C13" s="44">
        <v>-220.57032557000002</v>
      </c>
      <c r="D13" s="44">
        <v>-227.43487142999996</v>
      </c>
      <c r="E13" s="45">
        <v>-210.80464394</v>
      </c>
      <c r="F13" s="44">
        <v>-239.19603904</v>
      </c>
      <c r="G13" s="44">
        <v>-242.67488241000007</v>
      </c>
      <c r="H13" s="44">
        <v>-235.67846496</v>
      </c>
      <c r="I13" s="44">
        <v>-237.41103322000004</v>
      </c>
    </row>
    <row r="14" spans="1:9" ht="15">
      <c r="A14" s="43" t="str">
        <f>HLOOKUP(INDICE!$F$2,Nombres!$C$3:$D$636,39,FALSE)</f>
        <v>  Gastos de administración</v>
      </c>
      <c r="B14" s="44">
        <v>-156.29904609</v>
      </c>
      <c r="C14" s="44">
        <v>-171.41122095000003</v>
      </c>
      <c r="D14" s="44">
        <v>-179.37350858</v>
      </c>
      <c r="E14" s="45">
        <v>-164.42189224</v>
      </c>
      <c r="F14" s="44">
        <v>-195.83674251999997</v>
      </c>
      <c r="G14" s="44">
        <v>-195.18975390000003</v>
      </c>
      <c r="H14" s="44">
        <v>-186.13632445</v>
      </c>
      <c r="I14" s="44">
        <v>-187.47200770999999</v>
      </c>
    </row>
    <row r="15" spans="1:9" ht="15">
      <c r="A15" s="46" t="str">
        <f>HLOOKUP(INDICE!$F$2,Nombres!$C$3:$D$636,40,FALSE)</f>
        <v>  Gastos de personal</v>
      </c>
      <c r="B15" s="44">
        <v>-128.02741824999998</v>
      </c>
      <c r="C15" s="44">
        <v>-125.99260060000003</v>
      </c>
      <c r="D15" s="44">
        <v>-134.82299718</v>
      </c>
      <c r="E15" s="45">
        <v>-138.48228038000002</v>
      </c>
      <c r="F15" s="44">
        <v>-133.04552662999998</v>
      </c>
      <c r="G15" s="44">
        <v>-147.30786006</v>
      </c>
      <c r="H15" s="44">
        <v>-144.29076262</v>
      </c>
      <c r="I15" s="44">
        <v>-166.61307420999998</v>
      </c>
    </row>
    <row r="16" spans="1:9" ht="15">
      <c r="A16" s="46" t="str">
        <f>HLOOKUP(INDICE!$F$2,Nombres!$C$3:$D$636,41,FALSE)</f>
        <v>  Otros gastos de administración</v>
      </c>
      <c r="B16" s="44">
        <v>-28.271627840000015</v>
      </c>
      <c r="C16" s="44">
        <v>-45.41862035</v>
      </c>
      <c r="D16" s="44">
        <v>-44.550511399999984</v>
      </c>
      <c r="E16" s="45">
        <v>-25.939611860000017</v>
      </c>
      <c r="F16" s="44">
        <v>-62.79121589</v>
      </c>
      <c r="G16" s="44">
        <v>-47.88189384000001</v>
      </c>
      <c r="H16" s="44">
        <v>-41.84556183</v>
      </c>
      <c r="I16" s="44">
        <v>-20.858933499999985</v>
      </c>
    </row>
    <row r="17" spans="1:9" ht="15">
      <c r="A17" s="43" t="str">
        <f>HLOOKUP(INDICE!$F$2,Nombres!$C$3:$D$636,42,FALSE)</f>
        <v>  Amortización</v>
      </c>
      <c r="B17" s="44">
        <v>-55.94715151999999</v>
      </c>
      <c r="C17" s="44">
        <v>-49.159104619999994</v>
      </c>
      <c r="D17" s="44">
        <v>-48.06136285</v>
      </c>
      <c r="E17" s="45">
        <v>-46.38275169999999</v>
      </c>
      <c r="F17" s="44">
        <v>-43.359296519999994</v>
      </c>
      <c r="G17" s="44">
        <v>-47.485128509999996</v>
      </c>
      <c r="H17" s="44">
        <v>-49.542140509999996</v>
      </c>
      <c r="I17" s="44">
        <v>-49.93902551000001</v>
      </c>
    </row>
    <row r="18" spans="1:9" ht="15">
      <c r="A18" s="41" t="str">
        <f>HLOOKUP(INDICE!$F$2,Nombres!$C$3:$D$636,43,FALSE)</f>
        <v>Margen neto</v>
      </c>
      <c r="B18" s="41">
        <f>+B12+B13</f>
        <v>-314.1230245</v>
      </c>
      <c r="C18" s="41">
        <f aca="true" t="shared" si="1" ref="C18:I18">+C12+C13</f>
        <v>-306.9680547800001</v>
      </c>
      <c r="D18" s="41">
        <f t="shared" si="1"/>
        <v>-353.94017988999985</v>
      </c>
      <c r="E18" s="42">
        <f t="shared" si="1"/>
        <v>-315.63729837000005</v>
      </c>
      <c r="F18" s="52">
        <f t="shared" si="1"/>
        <v>-346.30738253999994</v>
      </c>
      <c r="G18" s="52">
        <f t="shared" si="1"/>
        <v>-371.66920549</v>
      </c>
      <c r="H18" s="52">
        <f t="shared" si="1"/>
        <v>-307.50962850999986</v>
      </c>
      <c r="I18" s="52">
        <f t="shared" si="1"/>
        <v>-268.15521887</v>
      </c>
    </row>
    <row r="19" spans="1:9" ht="15">
      <c r="A19" s="43" t="str">
        <f>HLOOKUP(INDICE!$F$2,Nombres!$C$3:$D$636,44,FALSE)</f>
        <v>Deterioro de activos financieros no valorados a valor razonable con cambios en resultados</v>
      </c>
      <c r="B19" s="44">
        <v>-0.08718438999999048</v>
      </c>
      <c r="C19" s="44">
        <v>0.023203270000004855</v>
      </c>
      <c r="D19" s="44">
        <v>0.10603273999999122</v>
      </c>
      <c r="E19" s="45">
        <v>-2.426242700000101</v>
      </c>
      <c r="F19" s="44">
        <v>-0.6006018300000426</v>
      </c>
      <c r="G19" s="44">
        <v>0.309352980000032</v>
      </c>
      <c r="H19" s="44">
        <v>0.6034008499999695</v>
      </c>
      <c r="I19" s="44">
        <v>-0.35011321000002465</v>
      </c>
    </row>
    <row r="20" spans="1:9" ht="15">
      <c r="A20" s="43" t="str">
        <f>HLOOKUP(INDICE!$F$2,Nombres!$C$3:$D$636,45,FALSE)</f>
        <v>Provisiones o reversión de provisiones y otros resultados</v>
      </c>
      <c r="B20" s="44">
        <v>-61.870771029999965</v>
      </c>
      <c r="C20" s="44">
        <v>-15.348359030000012</v>
      </c>
      <c r="D20" s="44">
        <v>889.5119024899998</v>
      </c>
      <c r="E20" s="45">
        <v>17.464607320000074</v>
      </c>
      <c r="F20" s="44">
        <v>-22.88186791</v>
      </c>
      <c r="G20" s="44">
        <v>-20.918650219999954</v>
      </c>
      <c r="H20" s="44">
        <v>-19.961631140000005</v>
      </c>
      <c r="I20" s="44">
        <v>-1417.31918747</v>
      </c>
    </row>
    <row r="21" spans="1:9" ht="15">
      <c r="A21" s="41" t="str">
        <f>HLOOKUP(INDICE!$F$2,Nombres!$C$3:$D$636,46,FALSE)</f>
        <v>Resultado antes de impuestos</v>
      </c>
      <c r="B21" s="41">
        <f>+B18+B19+B20</f>
        <v>-376.08097991999995</v>
      </c>
      <c r="C21" s="41">
        <f aca="true" t="shared" si="2" ref="C21:I21">+C18+C19+C20</f>
        <v>-322.29321054000013</v>
      </c>
      <c r="D21" s="41">
        <f t="shared" si="2"/>
        <v>535.67775534</v>
      </c>
      <c r="E21" s="42">
        <f t="shared" si="2"/>
        <v>-300.59893375000007</v>
      </c>
      <c r="F21" s="52">
        <f t="shared" si="2"/>
        <v>-369.78985227999993</v>
      </c>
      <c r="G21" s="52">
        <f t="shared" si="2"/>
        <v>-392.27850272999996</v>
      </c>
      <c r="H21" s="52">
        <f t="shared" si="2"/>
        <v>-326.8678587999999</v>
      </c>
      <c r="I21" s="52">
        <f t="shared" si="2"/>
        <v>-1685.82451955</v>
      </c>
    </row>
    <row r="22" spans="1:9" ht="15">
      <c r="A22" s="43" t="str">
        <f>HLOOKUP(INDICE!$F$2,Nombres!$C$3:$D$636,47,FALSE)</f>
        <v>Impuesto sobre beneficios</v>
      </c>
      <c r="B22" s="44">
        <v>111.97403632714288</v>
      </c>
      <c r="C22" s="44">
        <v>76.3441371857142</v>
      </c>
      <c r="D22" s="44">
        <v>-114.05303638714271</v>
      </c>
      <c r="E22" s="45">
        <v>43.3156025801428</v>
      </c>
      <c r="F22" s="44">
        <v>102.01250591571431</v>
      </c>
      <c r="G22" s="44">
        <v>54.1009763442857</v>
      </c>
      <c r="H22" s="44">
        <v>46.7353706</v>
      </c>
      <c r="I22" s="44">
        <v>55.04170482000001</v>
      </c>
    </row>
    <row r="23" spans="1:9" ht="15">
      <c r="A23" s="41" t="str">
        <f>HLOOKUP(INDICE!$F$2,Nombres!$C$3:$D$636,99,FALSE)</f>
        <v>Resultado después de impuestos de operaciones continuadas</v>
      </c>
      <c r="B23" s="41">
        <f>+B21+B22</f>
        <v>-264.1069435928571</v>
      </c>
      <c r="C23" s="41">
        <f aca="true" t="shared" si="3" ref="C23:I23">+C21+C22</f>
        <v>-245.94907335428593</v>
      </c>
      <c r="D23" s="41">
        <f t="shared" si="3"/>
        <v>421.6247189528573</v>
      </c>
      <c r="E23" s="42">
        <f t="shared" si="3"/>
        <v>-257.28333116985726</v>
      </c>
      <c r="F23" s="52">
        <f t="shared" si="3"/>
        <v>-267.7773463642856</v>
      </c>
      <c r="G23" s="52">
        <f t="shared" si="3"/>
        <v>-338.17752638571426</v>
      </c>
      <c r="H23" s="52">
        <f t="shared" si="3"/>
        <v>-280.1324881999999</v>
      </c>
      <c r="I23" s="52">
        <f t="shared" si="3"/>
        <v>-1630.7828147300002</v>
      </c>
    </row>
    <row r="24" spans="1:9" ht="15">
      <c r="A24" s="43" t="str">
        <f>HLOOKUP(INDICE!$F$2,Nombres!$C$3:$D$636,100,FALSE)</f>
        <v>Resultado de operaciones corporativas</v>
      </c>
      <c r="B24" s="44">
        <v>0</v>
      </c>
      <c r="C24" s="44">
        <v>0</v>
      </c>
      <c r="D24" s="44">
        <v>0</v>
      </c>
      <c r="E24" s="45">
        <v>0</v>
      </c>
      <c r="F24" s="44" t="s">
        <v>400</v>
      </c>
      <c r="G24" s="44" t="s">
        <v>400</v>
      </c>
      <c r="H24" s="44" t="s">
        <v>400</v>
      </c>
      <c r="I24" s="44">
        <v>0</v>
      </c>
    </row>
    <row r="25" spans="1:9" ht="15">
      <c r="A25" s="41" t="str">
        <f>HLOOKUP(INDICE!$F$2,Nombres!$C$3:$D$636,48,FALSE)</f>
        <v>Resultado del ejercicio</v>
      </c>
      <c r="B25" s="41">
        <f>+B23+B24</f>
        <v>-264.1069435928571</v>
      </c>
      <c r="C25" s="41">
        <f aca="true" t="shared" si="4" ref="C25:I25">+C23+C24</f>
        <v>-245.94907335428593</v>
      </c>
      <c r="D25" s="41">
        <f t="shared" si="4"/>
        <v>421.6247189528573</v>
      </c>
      <c r="E25" s="42">
        <f t="shared" si="4"/>
        <v>-257.28333116985726</v>
      </c>
      <c r="F25" s="52">
        <f t="shared" si="4"/>
        <v>-267.7773463642856</v>
      </c>
      <c r="G25" s="52">
        <f t="shared" si="4"/>
        <v>-338.17752638571426</v>
      </c>
      <c r="H25" s="52">
        <f t="shared" si="4"/>
        <v>-280.1324881999999</v>
      </c>
      <c r="I25" s="52">
        <f t="shared" si="4"/>
        <v>-1630.7828147300002</v>
      </c>
    </row>
    <row r="26" spans="1:9" ht="15">
      <c r="A26" s="43" t="str">
        <f>HLOOKUP(INDICE!$F$2,Nombres!$C$3:$D$636,49,FALSE)</f>
        <v>Minoritarios</v>
      </c>
      <c r="B26" s="44">
        <v>-0.13130166</v>
      </c>
      <c r="C26" s="44">
        <v>-10.105461850000001</v>
      </c>
      <c r="D26" s="44">
        <v>13.48500755</v>
      </c>
      <c r="E26" s="45">
        <v>-0.5775559600000001</v>
      </c>
      <c r="F26" s="44">
        <v>-0.013468560000000074</v>
      </c>
      <c r="G26" s="44">
        <v>-10.470184240000002</v>
      </c>
      <c r="H26" s="44">
        <v>5.36667078</v>
      </c>
      <c r="I26" s="44">
        <v>5.335344</v>
      </c>
    </row>
    <row r="27" spans="1:9" ht="15">
      <c r="A27" s="47" t="str">
        <f>HLOOKUP(INDICE!$F$2,Nombres!$C$3:$D$636,50,FALSE)</f>
        <v>Resultado atribuido</v>
      </c>
      <c r="B27" s="47">
        <f>+B25+B26</f>
        <v>-264.2382452528571</v>
      </c>
      <c r="C27" s="47">
        <f aca="true" t="shared" si="5" ref="C27:I27">+C25+C26</f>
        <v>-256.0545352042859</v>
      </c>
      <c r="D27" s="47">
        <f t="shared" si="5"/>
        <v>435.10972650285726</v>
      </c>
      <c r="E27" s="47">
        <f t="shared" si="5"/>
        <v>-257.86088712985725</v>
      </c>
      <c r="F27" s="47">
        <f t="shared" si="5"/>
        <v>-267.7908149242856</v>
      </c>
      <c r="G27" s="47">
        <f t="shared" si="5"/>
        <v>-348.64771062571424</v>
      </c>
      <c r="H27" s="47">
        <f t="shared" si="5"/>
        <v>-274.7658174199999</v>
      </c>
      <c r="I27" s="47">
        <f t="shared" si="5"/>
        <v>-1625.44747073</v>
      </c>
    </row>
    <row r="28" spans="1:9" ht="15">
      <c r="A28" s="48"/>
      <c r="B28" s="48"/>
      <c r="C28" s="48"/>
      <c r="D28" s="48"/>
      <c r="E28" s="48"/>
      <c r="F28" s="48"/>
      <c r="G28" s="48"/>
      <c r="H28" s="48"/>
      <c r="I28" s="48"/>
    </row>
    <row r="29" spans="1:9" ht="15">
      <c r="A29" s="47" t="str">
        <f>HLOOKUP(INDICE!$F$2,Nombres!$C$3:$D$636,249,FALSE)</f>
        <v>Resultado atribuido sin el deterioro del fondo de comercio de Estados Unidos y sin BBVA Chile (*)</v>
      </c>
      <c r="B29" s="47">
        <v>-264.2382452528569</v>
      </c>
      <c r="C29" s="47">
        <v>-256.0545352042859</v>
      </c>
      <c r="D29" s="47">
        <v>-198.19527349714286</v>
      </c>
      <c r="E29" s="47">
        <v>-257.6458871298571</v>
      </c>
      <c r="F29" s="47">
        <v>-267.79081492428577</v>
      </c>
      <c r="G29" s="47">
        <v>-348.6477106257142</v>
      </c>
      <c r="H29" s="47">
        <v>-274.7658174200001</v>
      </c>
      <c r="I29" s="47">
        <v>-307.5354834299997</v>
      </c>
    </row>
    <row r="30" spans="1:9" ht="15">
      <c r="A30" s="48"/>
      <c r="B30" s="48"/>
      <c r="C30" s="48"/>
      <c r="D30" s="48"/>
      <c r="E30" s="48"/>
      <c r="F30" s="48"/>
      <c r="G30" s="48"/>
      <c r="H30" s="48"/>
      <c r="I30" s="48"/>
    </row>
    <row r="31" spans="1:9" ht="15">
      <c r="A31" s="41"/>
      <c r="B31" s="66">
        <v>0</v>
      </c>
      <c r="C31" s="66">
        <v>0</v>
      </c>
      <c r="D31" s="66">
        <v>0</v>
      </c>
      <c r="E31" s="66">
        <v>0</v>
      </c>
      <c r="F31" s="66">
        <v>0</v>
      </c>
      <c r="G31" s="66">
        <v>0</v>
      </c>
      <c r="H31" s="66">
        <v>0</v>
      </c>
      <c r="I31" s="66">
        <v>0</v>
      </c>
    </row>
    <row r="32" spans="1:9" ht="15">
      <c r="A32" s="41"/>
      <c r="B32" s="41"/>
      <c r="C32" s="41"/>
      <c r="D32" s="41"/>
      <c r="E32" s="41"/>
      <c r="F32" s="41"/>
      <c r="G32" s="41"/>
      <c r="H32" s="41"/>
      <c r="I32" s="41"/>
    </row>
    <row r="33" spans="1:9" ht="18">
      <c r="A33" s="33" t="str">
        <f>HLOOKUP(INDICE!$F$2,Nombres!$C$3:$D$636,51,FALSE)</f>
        <v>Balances</v>
      </c>
      <c r="B33" s="34"/>
      <c r="C33" s="34"/>
      <c r="D33" s="34"/>
      <c r="E33" s="34"/>
      <c r="F33" s="85"/>
      <c r="G33" s="85"/>
      <c r="H33" s="85"/>
      <c r="I33" s="85"/>
    </row>
    <row r="34" spans="1:9" ht="15">
      <c r="A34" s="35" t="str">
        <f>HLOOKUP(INDICE!$F$2,Nombres!$C$3:$D$636,32,FALSE)</f>
        <v>(Millones de euros)</v>
      </c>
      <c r="B34" s="30"/>
      <c r="C34" s="54"/>
      <c r="D34" s="54"/>
      <c r="E34" s="54"/>
      <c r="F34" s="83"/>
      <c r="G34" s="81"/>
      <c r="H34" s="81"/>
      <c r="I34" s="81"/>
    </row>
    <row r="35" spans="1:9" ht="15.75">
      <c r="A35" s="30"/>
      <c r="B35" s="55">
        <v>43190</v>
      </c>
      <c r="C35" s="55">
        <v>43281</v>
      </c>
      <c r="D35" s="55">
        <v>43373</v>
      </c>
      <c r="E35" s="71">
        <v>43465</v>
      </c>
      <c r="F35" s="55">
        <v>43555</v>
      </c>
      <c r="G35" s="55">
        <v>43646</v>
      </c>
      <c r="H35" s="55">
        <v>43738</v>
      </c>
      <c r="I35" s="55">
        <v>43830</v>
      </c>
    </row>
    <row r="36" spans="1:9" ht="15">
      <c r="A36" s="43" t="str">
        <f>HLOOKUP(INDICE!$F$2,Nombres!$C$3:$D$636,52,FALSE)</f>
        <v>Efectivo, saldos en efectivo en bancos centrales y otros depósitos a la vista</v>
      </c>
      <c r="B36" s="44">
        <v>1840.492439</v>
      </c>
      <c r="C36" s="44">
        <v>1876.436859</v>
      </c>
      <c r="D36" s="44">
        <v>1838.0796049999997</v>
      </c>
      <c r="E36" s="45">
        <v>731.9418659999999</v>
      </c>
      <c r="F36" s="44">
        <v>745.089697</v>
      </c>
      <c r="G36" s="44">
        <v>932.5133789999999</v>
      </c>
      <c r="H36" s="44">
        <v>811.111435</v>
      </c>
      <c r="I36" s="44">
        <v>835.6723989999998</v>
      </c>
    </row>
    <row r="37" spans="1:9" ht="15">
      <c r="A37" s="43" t="str">
        <f>HLOOKUP(INDICE!$F$2,Nombres!$C$3:$D$636,53,FALSE)</f>
        <v>Activos financieros a valor razonable</v>
      </c>
      <c r="B37" s="60">
        <v>2884.0566257600003</v>
      </c>
      <c r="C37" s="60">
        <v>2735.2973797199998</v>
      </c>
      <c r="D37" s="60">
        <v>2594.9802205899996</v>
      </c>
      <c r="E37" s="68">
        <v>2738.1506807399996</v>
      </c>
      <c r="F37" s="60">
        <v>2731.81813044</v>
      </c>
      <c r="G37" s="60">
        <v>2615.13965364</v>
      </c>
      <c r="H37" s="60">
        <v>2609.87743387</v>
      </c>
      <c r="I37" s="60">
        <v>2457.83169337</v>
      </c>
    </row>
    <row r="38" spans="1:9" ht="15">
      <c r="A38" s="43" t="str">
        <f>HLOOKUP(INDICE!$F$2,Nombres!$C$3:$D$636,54,FALSE)</f>
        <v>Activos financieros a coste amortizado</v>
      </c>
      <c r="B38" s="44">
        <v>1292.743484</v>
      </c>
      <c r="C38" s="44">
        <v>919.8645388799998</v>
      </c>
      <c r="D38" s="44">
        <v>731.06254088</v>
      </c>
      <c r="E38" s="45">
        <v>2664.6989229099995</v>
      </c>
      <c r="F38" s="44">
        <v>2293.294965</v>
      </c>
      <c r="G38" s="44">
        <v>2034.1105739999994</v>
      </c>
      <c r="H38" s="44">
        <v>1838.654141</v>
      </c>
      <c r="I38" s="44">
        <v>2480.110809</v>
      </c>
    </row>
    <row r="39" spans="1:9" ht="15">
      <c r="A39" s="43" t="str">
        <f>HLOOKUP(INDICE!$F$2,Nombres!$C$3:$D$636,55,FALSE)</f>
        <v>    de los que préstamos y anticipos a la clientela</v>
      </c>
      <c r="B39" s="44">
        <v>441.59595099999996</v>
      </c>
      <c r="C39" s="44">
        <v>286.85518288000003</v>
      </c>
      <c r="D39" s="44">
        <v>113.21914988000002</v>
      </c>
      <c r="E39" s="45">
        <v>989.9697269099997</v>
      </c>
      <c r="F39" s="44">
        <v>551.2347950000001</v>
      </c>
      <c r="G39" s="44">
        <v>348.55393100000003</v>
      </c>
      <c r="H39" s="44">
        <v>125.283404</v>
      </c>
      <c r="I39" s="44">
        <v>812.6708449999999</v>
      </c>
    </row>
    <row r="40" spans="1:9" ht="15">
      <c r="A40" s="43" t="str">
        <f>HLOOKUP(INDICE!$F$2,Nombres!$C$3:$D$636,121,FALSE)</f>
        <v>Posiciones inter-áreas activo</v>
      </c>
      <c r="B40" s="44">
        <v>-10940.926070920075</v>
      </c>
      <c r="C40" s="44">
        <v>-12750.433886679879</v>
      </c>
      <c r="D40" s="44">
        <v>-11957.881095599965</v>
      </c>
      <c r="E40" s="45">
        <v>-14025.73067397991</v>
      </c>
      <c r="F40" s="44">
        <v>-13172.992764050025</v>
      </c>
      <c r="G40" s="44">
        <v>-18793.60983855999</v>
      </c>
      <c r="H40" s="44">
        <v>-19144.90094375983</v>
      </c>
      <c r="I40" s="44">
        <v>-21621.32270834985</v>
      </c>
    </row>
    <row r="41" spans="1:9" ht="15">
      <c r="A41" s="43" t="str">
        <f>HLOOKUP(INDICE!$F$2,Nombres!$C$3:$D$636,56,FALSE)</f>
        <v>Activos tangibles</v>
      </c>
      <c r="B41" s="44">
        <v>1666.042494</v>
      </c>
      <c r="C41" s="44">
        <v>1649.8907000000002</v>
      </c>
      <c r="D41" s="44">
        <v>1586.1265129999997</v>
      </c>
      <c r="E41" s="45">
        <v>1573.384563</v>
      </c>
      <c r="F41" s="44">
        <v>2253.623346</v>
      </c>
      <c r="G41" s="44">
        <v>2232.247159</v>
      </c>
      <c r="H41" s="44">
        <v>2217.066984</v>
      </c>
      <c r="I41" s="44">
        <v>2240.451533</v>
      </c>
    </row>
    <row r="42" spans="1:9" ht="15">
      <c r="A42" s="43" t="str">
        <f>HLOOKUP(INDICE!$F$2,Nombres!$C$3:$D$636,57,FALSE)</f>
        <v>Otros activos</v>
      </c>
      <c r="B42" s="60">
        <v>20668.094567129974</v>
      </c>
      <c r="C42" s="60">
        <v>21350.975096930008</v>
      </c>
      <c r="D42" s="60">
        <v>20662.210958660016</v>
      </c>
      <c r="E42" s="68">
        <v>22598.18480588999</v>
      </c>
      <c r="F42" s="60">
        <v>21224.08201086001</v>
      </c>
      <c r="G42" s="60">
        <v>21546.215215429995</v>
      </c>
      <c r="H42" s="60">
        <v>22053.14976357</v>
      </c>
      <c r="I42" s="60">
        <v>20394.300618680012</v>
      </c>
    </row>
    <row r="43" spans="1:9" ht="15">
      <c r="A43" s="47" t="str">
        <f>HLOOKUP(INDICE!$F$2,Nombres!$C$3:$D$636,58,FALSE)</f>
        <v>Total activo / pasivo</v>
      </c>
      <c r="B43" s="53">
        <f aca="true" t="shared" si="6" ref="B43:I43">+B36+B37+B38+B40+B41+B42</f>
        <v>17410.5035389699</v>
      </c>
      <c r="C43" s="53">
        <f t="shared" si="6"/>
        <v>15782.030687850129</v>
      </c>
      <c r="D43" s="53">
        <f t="shared" si="6"/>
        <v>15454.57874253005</v>
      </c>
      <c r="E43" s="84">
        <f t="shared" si="6"/>
        <v>16280.630164560078</v>
      </c>
      <c r="F43" s="53">
        <f t="shared" si="6"/>
        <v>16074.915385249984</v>
      </c>
      <c r="G43" s="53">
        <f t="shared" si="6"/>
        <v>10566.616142510004</v>
      </c>
      <c r="H43" s="53">
        <f t="shared" si="6"/>
        <v>10384.958813680172</v>
      </c>
      <c r="I43" s="53">
        <f t="shared" si="6"/>
        <v>6787.044344700162</v>
      </c>
    </row>
    <row r="44" spans="1:9" ht="15.75" customHeight="1">
      <c r="A44" s="43" t="str">
        <f>HLOOKUP(INDICE!$F$2,Nombres!$C$3:$D$636,59,FALSE)</f>
        <v>Pasivos financieros mantenidos para negociar y designados a valor razonable con cambios en resultados</v>
      </c>
      <c r="B44" s="44">
        <v>38.308035</v>
      </c>
      <c r="C44" s="44">
        <v>41.79282800000001</v>
      </c>
      <c r="D44" s="44">
        <v>26.933813</v>
      </c>
      <c r="E44" s="45">
        <v>39.091722</v>
      </c>
      <c r="F44" s="44">
        <v>18.371876000000004</v>
      </c>
      <c r="G44" s="44">
        <v>15.533834999999998</v>
      </c>
      <c r="H44" s="44">
        <v>16.43706</v>
      </c>
      <c r="I44" s="44">
        <v>13.631288</v>
      </c>
    </row>
    <row r="45" spans="1:9" ht="15">
      <c r="A45" s="43" t="str">
        <f>HLOOKUP(INDICE!$F$2,Nombres!$C$3:$D$636,60,FALSE)</f>
        <v>Depósitos de bancos centrales y entidades de crédito</v>
      </c>
      <c r="B45" s="44">
        <v>900.21794578</v>
      </c>
      <c r="C45" s="44">
        <v>906.87776414</v>
      </c>
      <c r="D45" s="44">
        <v>726.44355041</v>
      </c>
      <c r="E45" s="45">
        <v>733.18933395</v>
      </c>
      <c r="F45" s="44">
        <v>739.918989</v>
      </c>
      <c r="G45" s="44">
        <v>873.951211</v>
      </c>
      <c r="H45" s="44">
        <v>737.4197339999998</v>
      </c>
      <c r="I45" s="44">
        <v>717.619928</v>
      </c>
    </row>
    <row r="46" spans="1:9" ht="15">
      <c r="A46" s="43" t="str">
        <f>HLOOKUP(INDICE!$F$2,Nombres!$C$3:$D$636,61,FALSE)</f>
        <v>Depósitos de la clientela</v>
      </c>
      <c r="B46" s="44">
        <v>53.31709712000001</v>
      </c>
      <c r="C46" s="44">
        <v>23.95378939000001</v>
      </c>
      <c r="D46" s="44">
        <v>43.538219240000004</v>
      </c>
      <c r="E46" s="45">
        <v>36.35680616</v>
      </c>
      <c r="F46" s="44">
        <v>280.454084</v>
      </c>
      <c r="G46" s="44">
        <v>302.49585199999996</v>
      </c>
      <c r="H46" s="44">
        <v>311.158118</v>
      </c>
      <c r="I46" s="44">
        <v>307.93291400000004</v>
      </c>
    </row>
    <row r="47" spans="1:9" ht="15">
      <c r="A47" s="43" t="str">
        <f>HLOOKUP(INDICE!$F$2,Nombres!$C$3:$D$636,62,FALSE)</f>
        <v>Valores representativos de deuda emitidos</v>
      </c>
      <c r="B47" s="44">
        <v>7272.549716620001</v>
      </c>
      <c r="C47" s="44">
        <v>6830.70372236</v>
      </c>
      <c r="D47" s="44">
        <v>7896.082924639999</v>
      </c>
      <c r="E47" s="45">
        <v>8211.85703356</v>
      </c>
      <c r="F47" s="44">
        <v>8520.50442907</v>
      </c>
      <c r="G47" s="44">
        <v>6944.8919174600005</v>
      </c>
      <c r="H47" s="44">
        <v>7985.237321109998</v>
      </c>
      <c r="I47" s="44">
        <v>7763.6457979000015</v>
      </c>
    </row>
    <row r="48" spans="1:9" ht="15">
      <c r="A48" s="43" t="str">
        <f>HLOOKUP(INDICE!$F$2,Nombres!$C$3:$D$636,122,FALSE)</f>
        <v>Posiciones inter-áreas pasivo</v>
      </c>
      <c r="B48" s="44">
        <v>-21214.809532240004</v>
      </c>
      <c r="C48" s="44">
        <v>-21952.290929510018</v>
      </c>
      <c r="D48" s="44">
        <v>-22795.17127737003</v>
      </c>
      <c r="E48" s="45">
        <v>-22807.956215359984</v>
      </c>
      <c r="F48" s="44">
        <v>-25745.708345679923</v>
      </c>
      <c r="G48" s="44">
        <v>-28821.96588844</v>
      </c>
      <c r="H48" s="44">
        <v>-29988.27625154995</v>
      </c>
      <c r="I48" s="44">
        <v>-32066.613002920003</v>
      </c>
    </row>
    <row r="49" spans="1:9" ht="15">
      <c r="A49" s="43" t="str">
        <f>HLOOKUP(INDICE!$F$2,Nombres!$C$3:$D$636,63,FALSE)</f>
        <v>Otros pasivos</v>
      </c>
      <c r="B49" s="44">
        <f aca="true" t="shared" si="7" ref="B49:I49">+B43-B44-B45-B46-B47-B48-B50-B51</f>
        <v>4522.996742619907</v>
      </c>
      <c r="C49" s="44">
        <f t="shared" si="7"/>
        <v>3328.243512210145</v>
      </c>
      <c r="D49" s="44">
        <f t="shared" si="7"/>
        <v>2155.1464835600855</v>
      </c>
      <c r="E49" s="45">
        <f t="shared" si="7"/>
        <v>1917.0324219030736</v>
      </c>
      <c r="F49" s="44">
        <f t="shared" si="7"/>
        <v>1065.6736746798997</v>
      </c>
      <c r="G49" s="44">
        <f t="shared" si="7"/>
        <v>197.12597801999073</v>
      </c>
      <c r="H49" s="44">
        <f t="shared" si="7"/>
        <v>682.2569455301273</v>
      </c>
      <c r="I49" s="44">
        <f t="shared" si="7"/>
        <v>565.9993269901606</v>
      </c>
    </row>
    <row r="50" spans="1:9" ht="15">
      <c r="A50" s="43" t="str">
        <f>HLOOKUP(INDICE!$F$2,Nombres!$C$3:$D$636,64,FALSE)</f>
        <v>Dotación de capital económico</v>
      </c>
      <c r="B50" s="44">
        <v>-24488.364672019994</v>
      </c>
      <c r="C50" s="44">
        <v>-23509.66566001</v>
      </c>
      <c r="D50" s="44">
        <v>-22523.84795358</v>
      </c>
      <c r="E50" s="45">
        <v>-21833.450436219995</v>
      </c>
      <c r="F50" s="44">
        <v>-22159.42149</v>
      </c>
      <c r="G50" s="44">
        <v>-22442.13698519</v>
      </c>
      <c r="H50" s="44">
        <v>-22792.788108389996</v>
      </c>
      <c r="I50" s="44">
        <v>-23989.25190123</v>
      </c>
    </row>
    <row r="51" spans="1:9" ht="15">
      <c r="A51" s="43" t="str">
        <f>HLOOKUP(INDICE!$F$2,Nombres!$C$3:$D$636,187,FALSE)</f>
        <v>Capital y Reservas</v>
      </c>
      <c r="B51" s="44">
        <v>50326.288206089994</v>
      </c>
      <c r="C51" s="44">
        <v>50112.41566127</v>
      </c>
      <c r="D51" s="44">
        <v>49925.45298263</v>
      </c>
      <c r="E51" s="45">
        <v>49984.509498566986</v>
      </c>
      <c r="F51" s="44">
        <v>53355.12216818001</v>
      </c>
      <c r="G51" s="44">
        <v>53496.72022266002</v>
      </c>
      <c r="H51" s="44">
        <v>53433.51399497999</v>
      </c>
      <c r="I51" s="44">
        <v>53474.079993960004</v>
      </c>
    </row>
    <row r="52" spans="1:9" ht="15">
      <c r="A52" s="65"/>
      <c r="B52" s="60"/>
      <c r="C52" s="60"/>
      <c r="D52" s="60"/>
      <c r="E52" s="60"/>
      <c r="F52" s="44"/>
      <c r="G52" s="44"/>
      <c r="H52" s="44"/>
      <c r="I52" s="44"/>
    </row>
    <row r="53" spans="1:9" ht="15">
      <c r="A53" s="43"/>
      <c r="B53" s="60"/>
      <c r="C53" s="60"/>
      <c r="D53" s="60"/>
      <c r="E53" s="60"/>
      <c r="F53" s="44"/>
      <c r="G53" s="44"/>
      <c r="H53" s="44"/>
      <c r="I53" s="44"/>
    </row>
    <row r="54" spans="1:9" ht="15">
      <c r="A54" s="43"/>
      <c r="B54" s="60"/>
      <c r="C54" s="60"/>
      <c r="D54" s="60"/>
      <c r="E54" s="60"/>
      <c r="F54" s="44"/>
      <c r="G54" s="44"/>
      <c r="H54" s="44"/>
      <c r="I54" s="44"/>
    </row>
    <row r="55" spans="1:9" ht="15">
      <c r="A55" s="35"/>
      <c r="B55" s="30"/>
      <c r="C55" s="30"/>
      <c r="D55" s="30"/>
      <c r="E55" s="30"/>
      <c r="F55" s="73"/>
      <c r="G55" s="44"/>
      <c r="H55" s="44"/>
      <c r="I55" s="44"/>
    </row>
    <row r="56" spans="1:9" ht="15.75">
      <c r="A56" s="30"/>
      <c r="B56" s="55"/>
      <c r="C56" s="55"/>
      <c r="D56" s="55"/>
      <c r="E56" s="55"/>
      <c r="F56" s="55"/>
      <c r="G56" s="55"/>
      <c r="H56" s="55"/>
      <c r="I56" s="55"/>
    </row>
    <row r="57" spans="1:9" ht="15">
      <c r="A57" s="43"/>
      <c r="B57" s="44"/>
      <c r="C57" s="44"/>
      <c r="D57" s="44"/>
      <c r="E57" s="44"/>
      <c r="F57" s="44"/>
      <c r="G57" s="44"/>
      <c r="H57" s="44"/>
      <c r="I57" s="44"/>
    </row>
    <row r="58" spans="1:9" ht="15">
      <c r="A58" s="43"/>
      <c r="B58" s="44"/>
      <c r="C58" s="44"/>
      <c r="D58" s="44"/>
      <c r="E58" s="44"/>
      <c r="F58" s="44"/>
      <c r="G58" s="44"/>
      <c r="H58" s="44"/>
      <c r="I58" s="44"/>
    </row>
    <row r="59" spans="1:9" ht="15">
      <c r="A59" s="43"/>
      <c r="B59" s="44"/>
      <c r="C59" s="44"/>
      <c r="D59" s="44"/>
      <c r="E59" s="44"/>
      <c r="F59" s="44"/>
      <c r="G59" s="44"/>
      <c r="H59" s="44"/>
      <c r="I59" s="44"/>
    </row>
    <row r="60" spans="1:9" ht="15">
      <c r="A60" s="43"/>
      <c r="B60" s="44"/>
      <c r="C60" s="44"/>
      <c r="D60" s="44"/>
      <c r="E60" s="44"/>
      <c r="F60" s="44"/>
      <c r="G60" s="44"/>
      <c r="H60" s="44"/>
      <c r="I60" s="44"/>
    </row>
    <row r="61" spans="1:9" ht="15">
      <c r="A61" s="43"/>
      <c r="B61" s="44"/>
      <c r="C61" s="44"/>
      <c r="D61" s="44"/>
      <c r="E61" s="44"/>
      <c r="F61" s="44"/>
      <c r="G61" s="44"/>
      <c r="H61" s="44"/>
      <c r="I61" s="44"/>
    </row>
    <row r="62" spans="1:9" ht="15">
      <c r="A62" s="65"/>
      <c r="B62" s="60"/>
      <c r="C62" s="60"/>
      <c r="D62" s="60"/>
      <c r="E62" s="60"/>
      <c r="F62" s="44"/>
      <c r="G62" s="44"/>
      <c r="H62" s="44"/>
      <c r="I62" s="44"/>
    </row>
    <row r="63" spans="1:9" ht="15">
      <c r="A63" s="65"/>
      <c r="B63" s="30"/>
      <c r="C63" s="30"/>
      <c r="D63" s="30"/>
      <c r="E63" s="30"/>
      <c r="F63" s="73"/>
      <c r="G63" s="73"/>
      <c r="H63" s="73"/>
      <c r="I63" s="73"/>
    </row>
    <row r="64" spans="1:9" ht="15">
      <c r="A64" s="65"/>
      <c r="B64" s="30"/>
      <c r="C64" s="30"/>
      <c r="D64" s="30"/>
      <c r="E64" s="30"/>
      <c r="F64" s="73"/>
      <c r="G64" s="73"/>
      <c r="H64" s="73"/>
      <c r="I64" s="73"/>
    </row>
    <row r="65" spans="5:9" ht="15">
      <c r="E65" s="78"/>
      <c r="F65" s="99"/>
      <c r="G65" s="86"/>
      <c r="H65" s="86"/>
      <c r="I65" s="86"/>
    </row>
    <row r="66" spans="6:9" ht="15">
      <c r="F66" s="86"/>
      <c r="G66" s="86"/>
      <c r="H66" s="86"/>
      <c r="I66" s="86"/>
    </row>
    <row r="67" spans="6:9" ht="15">
      <c r="F67" s="86"/>
      <c r="G67" s="86"/>
      <c r="H67" s="86"/>
      <c r="I67" s="86"/>
    </row>
    <row r="68" spans="6:9" ht="15">
      <c r="F68" s="86"/>
      <c r="G68" s="86"/>
      <c r="H68" s="86"/>
      <c r="I68" s="86"/>
    </row>
    <row r="69" spans="6:9" ht="15">
      <c r="F69" s="86"/>
      <c r="G69" s="86"/>
      <c r="H69" s="86"/>
      <c r="I69" s="86"/>
    </row>
    <row r="70" spans="6:9" ht="15">
      <c r="F70" s="86"/>
      <c r="G70" s="86"/>
      <c r="H70" s="86"/>
      <c r="I70" s="86"/>
    </row>
    <row r="71" spans="6:9" ht="15">
      <c r="F71" s="86"/>
      <c r="G71" s="86"/>
      <c r="H71" s="86"/>
      <c r="I71" s="86"/>
    </row>
    <row r="72" spans="6:9" ht="15">
      <c r="F72" s="86"/>
      <c r="G72" s="86"/>
      <c r="H72" s="86"/>
      <c r="I72" s="86"/>
    </row>
    <row r="73" spans="6:9" ht="15">
      <c r="F73" s="86"/>
      <c r="G73" s="86"/>
      <c r="H73" s="86"/>
      <c r="I73" s="86"/>
    </row>
    <row r="74" spans="6:9" ht="15">
      <c r="F74" s="86"/>
      <c r="G74" s="86"/>
      <c r="H74" s="86"/>
      <c r="I74" s="86"/>
    </row>
    <row r="75" spans="6:9" ht="15">
      <c r="F75" s="86"/>
      <c r="G75" s="86"/>
      <c r="H75" s="86"/>
      <c r="I75" s="86"/>
    </row>
    <row r="76" spans="6:9" ht="15">
      <c r="F76" s="86"/>
      <c r="G76" s="86"/>
      <c r="H76" s="86"/>
      <c r="I76" s="86"/>
    </row>
    <row r="77" spans="6:9" ht="15">
      <c r="F77" s="86"/>
      <c r="G77" s="86"/>
      <c r="H77" s="86"/>
      <c r="I77" s="86"/>
    </row>
    <row r="78" spans="6:9" ht="15">
      <c r="F78" s="86"/>
      <c r="G78" s="86"/>
      <c r="H78" s="86"/>
      <c r="I78" s="86"/>
    </row>
    <row r="79" spans="6:9" ht="15">
      <c r="F79" s="86"/>
      <c r="G79" s="86"/>
      <c r="H79" s="86"/>
      <c r="I79" s="86"/>
    </row>
    <row r="80" spans="6:9" ht="15">
      <c r="F80" s="86"/>
      <c r="G80" s="86"/>
      <c r="H80" s="86"/>
      <c r="I80" s="86"/>
    </row>
    <row r="81" spans="6:9" ht="15">
      <c r="F81" s="86"/>
      <c r="G81" s="86"/>
      <c r="H81" s="86"/>
      <c r="I81" s="86"/>
    </row>
    <row r="82" spans="6:9" ht="15">
      <c r="F82" s="86"/>
      <c r="G82" s="86"/>
      <c r="H82" s="86"/>
      <c r="I82" s="86"/>
    </row>
    <row r="83" spans="6:9" ht="15">
      <c r="F83" s="86"/>
      <c r="G83" s="86"/>
      <c r="H83" s="86"/>
      <c r="I83" s="86"/>
    </row>
    <row r="84" spans="6:9" ht="15">
      <c r="F84" s="86"/>
      <c r="G84" s="86"/>
      <c r="H84" s="86"/>
      <c r="I84" s="86"/>
    </row>
    <row r="85" spans="6:9" ht="15">
      <c r="F85" s="86"/>
      <c r="G85" s="86"/>
      <c r="H85" s="86"/>
      <c r="I85" s="86"/>
    </row>
    <row r="86" spans="6:9" ht="15">
      <c r="F86" s="86"/>
      <c r="G86" s="86"/>
      <c r="H86" s="86"/>
      <c r="I86" s="86"/>
    </row>
    <row r="87" spans="6:9" ht="15">
      <c r="F87" s="86"/>
      <c r="G87" s="86"/>
      <c r="H87" s="86"/>
      <c r="I87" s="86"/>
    </row>
    <row r="88" spans="6:9" ht="15">
      <c r="F88" s="86"/>
      <c r="G88" s="86"/>
      <c r="H88" s="86"/>
      <c r="I88" s="86"/>
    </row>
    <row r="89" spans="6:9" ht="15">
      <c r="F89" s="86"/>
      <c r="G89" s="86"/>
      <c r="H89" s="86"/>
      <c r="I89" s="86"/>
    </row>
    <row r="90" spans="6:9" ht="15">
      <c r="F90" s="86"/>
      <c r="G90" s="86"/>
      <c r="H90" s="86"/>
      <c r="I90" s="86"/>
    </row>
    <row r="91" spans="6:9" ht="15">
      <c r="F91" s="86"/>
      <c r="G91" s="86"/>
      <c r="H91" s="86"/>
      <c r="I91" s="86"/>
    </row>
    <row r="92" spans="6:9" ht="15">
      <c r="F92" s="86"/>
      <c r="G92" s="86"/>
      <c r="H92" s="86"/>
      <c r="I92" s="86"/>
    </row>
    <row r="93" spans="6:9" ht="15">
      <c r="F93" s="86"/>
      <c r="G93" s="86"/>
      <c r="H93" s="86"/>
      <c r="I93" s="86"/>
    </row>
    <row r="94" spans="6:9" ht="15">
      <c r="F94" s="86"/>
      <c r="G94" s="86"/>
      <c r="H94" s="86"/>
      <c r="I94" s="86"/>
    </row>
    <row r="95" spans="6:9" ht="15">
      <c r="F95" s="86"/>
      <c r="G95" s="86"/>
      <c r="H95" s="86"/>
      <c r="I95" s="86"/>
    </row>
    <row r="96" spans="6:9" ht="15">
      <c r="F96" s="86"/>
      <c r="G96" s="86"/>
      <c r="H96" s="86"/>
      <c r="I96" s="86"/>
    </row>
    <row r="97" spans="6:9" ht="15">
      <c r="F97" s="86"/>
      <c r="G97" s="86"/>
      <c r="H97" s="86"/>
      <c r="I97" s="86"/>
    </row>
    <row r="98" spans="6:9" ht="15">
      <c r="F98" s="86"/>
      <c r="G98" s="86"/>
      <c r="H98" s="86"/>
      <c r="I98" s="86"/>
    </row>
    <row r="99" spans="6:9" ht="15">
      <c r="F99" s="86"/>
      <c r="G99" s="86"/>
      <c r="H99" s="86"/>
      <c r="I99" s="86"/>
    </row>
    <row r="100" spans="6:9" ht="15">
      <c r="F100" s="86"/>
      <c r="G100" s="86"/>
      <c r="H100" s="86"/>
      <c r="I100" s="86"/>
    </row>
    <row r="101" spans="6:9" ht="15">
      <c r="F101" s="86"/>
      <c r="G101" s="86"/>
      <c r="H101" s="86"/>
      <c r="I101" s="86"/>
    </row>
    <row r="102" spans="6:9" ht="15">
      <c r="F102" s="86"/>
      <c r="G102" s="86"/>
      <c r="H102" s="86"/>
      <c r="I102" s="86"/>
    </row>
    <row r="103" spans="6:9" ht="15">
      <c r="F103" s="86"/>
      <c r="G103" s="86"/>
      <c r="H103" s="86"/>
      <c r="I103" s="86"/>
    </row>
    <row r="104" spans="6:9" ht="15">
      <c r="F104" s="86"/>
      <c r="G104" s="86"/>
      <c r="H104" s="86"/>
      <c r="I104" s="86"/>
    </row>
    <row r="105" spans="6:9" ht="15">
      <c r="F105" s="86"/>
      <c r="G105" s="86"/>
      <c r="H105" s="86"/>
      <c r="I105" s="86"/>
    </row>
    <row r="106" spans="6:9" ht="15">
      <c r="F106" s="86"/>
      <c r="G106" s="86"/>
      <c r="H106" s="86"/>
      <c r="I106" s="86"/>
    </row>
    <row r="107" spans="6:9" ht="15">
      <c r="F107" s="86"/>
      <c r="G107" s="86"/>
      <c r="H107" s="86"/>
      <c r="I107" s="86"/>
    </row>
    <row r="108" spans="6:9" ht="15">
      <c r="F108" s="86"/>
      <c r="G108" s="86"/>
      <c r="H108" s="86"/>
      <c r="I108" s="86"/>
    </row>
    <row r="109" spans="6:9" ht="15">
      <c r="F109" s="86"/>
      <c r="G109" s="86"/>
      <c r="H109" s="86"/>
      <c r="I109" s="86"/>
    </row>
    <row r="110" spans="6:9" ht="15">
      <c r="F110" s="86"/>
      <c r="G110" s="86"/>
      <c r="H110" s="86"/>
      <c r="I110" s="86"/>
    </row>
    <row r="119" spans="6:9" ht="15">
      <c r="F119" s="86"/>
      <c r="G119" s="86"/>
      <c r="H119" s="86"/>
      <c r="I119" s="86"/>
    </row>
    <row r="120" spans="6:9" ht="15">
      <c r="F120" s="86"/>
      <c r="G120" s="86"/>
      <c r="H120" s="86"/>
      <c r="I120" s="86"/>
    </row>
    <row r="121" spans="6:9" ht="15">
      <c r="F121" s="86"/>
      <c r="G121" s="86"/>
      <c r="H121" s="86"/>
      <c r="I121" s="86"/>
    </row>
    <row r="122" spans="6:9" ht="15">
      <c r="F122" s="86"/>
      <c r="G122" s="86"/>
      <c r="H122" s="86"/>
      <c r="I122" s="86"/>
    </row>
    <row r="123" spans="6:9" ht="15">
      <c r="F123" s="86"/>
      <c r="G123" s="86"/>
      <c r="H123" s="86"/>
      <c r="I123" s="86"/>
    </row>
    <row r="124" spans="6:9" ht="15">
      <c r="F124" s="86"/>
      <c r="G124" s="86"/>
      <c r="H124" s="86"/>
      <c r="I124" s="86"/>
    </row>
    <row r="125" spans="6:9" ht="15">
      <c r="F125" s="86"/>
      <c r="G125" s="86"/>
      <c r="H125" s="86"/>
      <c r="I125" s="86"/>
    </row>
    <row r="126" spans="6:9" ht="15">
      <c r="F126" s="86"/>
      <c r="G126" s="86"/>
      <c r="H126" s="86"/>
      <c r="I126" s="86"/>
    </row>
    <row r="127" spans="6:9" ht="15">
      <c r="F127" s="86"/>
      <c r="G127" s="86"/>
      <c r="H127" s="86"/>
      <c r="I127" s="86"/>
    </row>
    <row r="128" spans="6:9" ht="15">
      <c r="F128" s="86"/>
      <c r="G128" s="86"/>
      <c r="H128" s="86"/>
      <c r="I128" s="86"/>
    </row>
    <row r="129" spans="6:9" ht="15">
      <c r="F129" s="86"/>
      <c r="G129" s="86"/>
      <c r="H129" s="86"/>
      <c r="I129" s="86"/>
    </row>
    <row r="130" spans="6:9" ht="15">
      <c r="F130" s="86"/>
      <c r="G130" s="86"/>
      <c r="H130" s="86"/>
      <c r="I130" s="86"/>
    </row>
    <row r="131" spans="6:9" ht="15">
      <c r="F131" s="86"/>
      <c r="G131" s="86"/>
      <c r="H131" s="86"/>
      <c r="I131" s="86"/>
    </row>
    <row r="132" spans="6:9" ht="15">
      <c r="F132" s="86"/>
      <c r="G132" s="86"/>
      <c r="H132" s="86"/>
      <c r="I132" s="86"/>
    </row>
    <row r="133" spans="6:9" ht="15">
      <c r="F133" s="86"/>
      <c r="G133" s="86"/>
      <c r="H133" s="86"/>
      <c r="I133" s="86"/>
    </row>
    <row r="134" spans="6:9" ht="15">
      <c r="F134" s="86"/>
      <c r="G134" s="86"/>
      <c r="H134" s="86"/>
      <c r="I134" s="86"/>
    </row>
    <row r="135" spans="6:9" ht="15">
      <c r="F135" s="86"/>
      <c r="G135" s="86"/>
      <c r="H135" s="86"/>
      <c r="I135" s="86"/>
    </row>
    <row r="136" spans="6:9" ht="15">
      <c r="F136" s="86"/>
      <c r="G136" s="86"/>
      <c r="H136" s="86"/>
      <c r="I136" s="86"/>
    </row>
    <row r="137" spans="6:9" ht="15">
      <c r="F137" s="86"/>
      <c r="G137" s="86"/>
      <c r="H137" s="86"/>
      <c r="I137" s="86"/>
    </row>
    <row r="138" spans="6:9" ht="15">
      <c r="F138" s="86"/>
      <c r="G138" s="86"/>
      <c r="H138" s="86"/>
      <c r="I138" s="86"/>
    </row>
    <row r="139" spans="6:9" ht="15">
      <c r="F139" s="86"/>
      <c r="G139" s="86"/>
      <c r="H139" s="86"/>
      <c r="I139" s="86"/>
    </row>
    <row r="140" spans="6:9" ht="15">
      <c r="F140" s="86"/>
      <c r="G140" s="86"/>
      <c r="H140" s="86"/>
      <c r="I140" s="86"/>
    </row>
    <row r="141" spans="6:9" ht="15">
      <c r="F141" s="86"/>
      <c r="G141" s="86"/>
      <c r="H141" s="86"/>
      <c r="I141" s="86"/>
    </row>
    <row r="142" spans="6:9" ht="15">
      <c r="F142" s="86"/>
      <c r="G142" s="86"/>
      <c r="H142" s="86"/>
      <c r="I142" s="86"/>
    </row>
    <row r="143" spans="6:9" ht="15">
      <c r="F143" s="86"/>
      <c r="G143" s="86"/>
      <c r="H143" s="86"/>
      <c r="I143" s="86"/>
    </row>
    <row r="144" spans="6:9" ht="15">
      <c r="F144" s="86"/>
      <c r="G144" s="86"/>
      <c r="H144" s="86"/>
      <c r="I144" s="86"/>
    </row>
    <row r="145" spans="6:9" ht="15">
      <c r="F145" s="86"/>
      <c r="G145" s="86"/>
      <c r="H145" s="86"/>
      <c r="I145" s="86"/>
    </row>
    <row r="146" spans="6:9" ht="15">
      <c r="F146" s="86"/>
      <c r="G146" s="86"/>
      <c r="H146" s="86"/>
      <c r="I146" s="86"/>
    </row>
    <row r="147" spans="6:9" ht="15">
      <c r="F147" s="86"/>
      <c r="G147" s="86"/>
      <c r="H147" s="86"/>
      <c r="I147" s="86"/>
    </row>
    <row r="148" spans="6:9" ht="15">
      <c r="F148" s="86"/>
      <c r="G148" s="86"/>
      <c r="H148" s="86"/>
      <c r="I148" s="86"/>
    </row>
    <row r="149" spans="6:9" ht="15">
      <c r="F149" s="86"/>
      <c r="G149" s="86"/>
      <c r="H149" s="86"/>
      <c r="I149" s="86"/>
    </row>
    <row r="150" spans="6:9" ht="15">
      <c r="F150" s="86"/>
      <c r="G150" s="86"/>
      <c r="H150" s="86"/>
      <c r="I150" s="86"/>
    </row>
    <row r="151" spans="6:9" ht="15">
      <c r="F151" s="86"/>
      <c r="G151" s="86"/>
      <c r="H151" s="86"/>
      <c r="I151" s="86"/>
    </row>
    <row r="152" spans="6:9" ht="15">
      <c r="F152" s="86"/>
      <c r="G152" s="86"/>
      <c r="H152" s="86"/>
      <c r="I152" s="86"/>
    </row>
    <row r="153" spans="6:9" ht="15">
      <c r="F153" s="86"/>
      <c r="G153" s="86"/>
      <c r="H153" s="86"/>
      <c r="I153" s="86"/>
    </row>
    <row r="154" spans="6:9" ht="15">
      <c r="F154" s="86"/>
      <c r="G154" s="86"/>
      <c r="H154" s="86"/>
      <c r="I154" s="86"/>
    </row>
    <row r="155" spans="6:9" ht="15">
      <c r="F155" s="86"/>
      <c r="G155" s="86"/>
      <c r="H155" s="86"/>
      <c r="I155" s="86"/>
    </row>
    <row r="156" spans="6:9" ht="15">
      <c r="F156" s="86"/>
      <c r="G156" s="86"/>
      <c r="H156" s="86"/>
      <c r="I156" s="86"/>
    </row>
    <row r="157" spans="6:9" ht="15">
      <c r="F157" s="86"/>
      <c r="G157" s="86"/>
      <c r="H157" s="86"/>
      <c r="I157" s="86"/>
    </row>
    <row r="158" spans="6:9" ht="15">
      <c r="F158" s="86"/>
      <c r="G158" s="86"/>
      <c r="H158" s="86"/>
      <c r="I158" s="86"/>
    </row>
    <row r="159" spans="6:9" ht="15">
      <c r="F159" s="86"/>
      <c r="G159" s="86"/>
      <c r="H159" s="86"/>
      <c r="I159" s="86"/>
    </row>
    <row r="160" spans="6:9" ht="15">
      <c r="F160" s="86"/>
      <c r="G160" s="86"/>
      <c r="H160" s="86"/>
      <c r="I160" s="86"/>
    </row>
    <row r="161" spans="6:9" ht="15">
      <c r="F161" s="86"/>
      <c r="G161" s="86"/>
      <c r="H161" s="86"/>
      <c r="I161" s="86"/>
    </row>
    <row r="162" spans="6:9" ht="15">
      <c r="F162" s="86"/>
      <c r="G162" s="86"/>
      <c r="H162" s="86"/>
      <c r="I162" s="86"/>
    </row>
    <row r="163" spans="6:9" ht="15">
      <c r="F163" s="86"/>
      <c r="G163" s="86"/>
      <c r="H163" s="86"/>
      <c r="I163" s="86"/>
    </row>
    <row r="164" spans="6:9" ht="15">
      <c r="F164" s="86"/>
      <c r="G164" s="86"/>
      <c r="H164" s="86"/>
      <c r="I164" s="86"/>
    </row>
    <row r="165" spans="6:9" ht="15">
      <c r="F165" s="86"/>
      <c r="G165" s="86"/>
      <c r="H165" s="86"/>
      <c r="I165" s="86"/>
    </row>
    <row r="1000" ht="15">
      <c r="A1000" s="31" t="s">
        <v>399</v>
      </c>
    </row>
  </sheetData>
  <sheetProtection/>
  <mergeCells count="2">
    <mergeCell ref="B6:E6"/>
    <mergeCell ref="F6:I6"/>
  </mergeCells>
  <conditionalFormatting sqref="B31:I31">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6" sqref="A6"/>
    </sheetView>
  </sheetViews>
  <sheetFormatPr defaultColWidth="11.421875" defaultRowHeight="15"/>
  <cols>
    <col min="1" max="1" width="62.00390625" style="31" customWidth="1"/>
    <col min="2" max="16384" width="11.421875" style="31" customWidth="1"/>
  </cols>
  <sheetData>
    <row r="1" spans="1:9" ht="18">
      <c r="A1" s="29" t="str">
        <f>HLOOKUP(INDICE!$F$2,Nombres!$C$3:$D$636,21,FALSE)</f>
        <v>Corporate &amp; Investment Banking</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v>2018</v>
      </c>
      <c r="C6" s="295"/>
      <c r="D6" s="295"/>
      <c r="E6" s="296"/>
      <c r="F6" s="295">
        <v>2019</v>
      </c>
      <c r="G6" s="295"/>
      <c r="H6" s="295"/>
      <c r="I6" s="295"/>
    </row>
    <row r="7" spans="1:9" ht="15.75">
      <c r="A7" s="38"/>
      <c r="B7" s="39" t="s">
        <v>182</v>
      </c>
      <c r="C7" s="39" t="s">
        <v>183</v>
      </c>
      <c r="D7" s="39" t="s">
        <v>184</v>
      </c>
      <c r="E7" s="40" t="s">
        <v>185</v>
      </c>
      <c r="F7" s="39" t="s">
        <v>182</v>
      </c>
      <c r="G7" s="39" t="s">
        <v>183</v>
      </c>
      <c r="H7" s="39" t="s">
        <v>184</v>
      </c>
      <c r="I7" s="39" t="s">
        <v>185</v>
      </c>
    </row>
    <row r="8" spans="1:9" ht="15">
      <c r="A8" s="41" t="str">
        <f>HLOOKUP(INDICE!$F$2,Nombres!$C$3:$D$636,33,FALSE)</f>
        <v>Margen de intereses</v>
      </c>
      <c r="B8" s="41">
        <v>330.1654546599999</v>
      </c>
      <c r="C8" s="41">
        <v>339.01038546</v>
      </c>
      <c r="D8" s="41">
        <v>398.7649780799999</v>
      </c>
      <c r="E8" s="42">
        <v>410.89702233000025</v>
      </c>
      <c r="F8" s="52">
        <v>367.27295457000025</v>
      </c>
      <c r="G8" s="52">
        <v>401.2133376799998</v>
      </c>
      <c r="H8" s="52">
        <v>370.46679431000007</v>
      </c>
      <c r="I8" s="52">
        <v>402.37739564</v>
      </c>
    </row>
    <row r="9" spans="1:9" ht="15">
      <c r="A9" s="43" t="str">
        <f>HLOOKUP(INDICE!$F$2,Nombres!$C$3:$D$636,34,FALSE)</f>
        <v>Comisiones netas</v>
      </c>
      <c r="B9" s="44">
        <v>180.42775502</v>
      </c>
      <c r="C9" s="44">
        <v>196.49997059999998</v>
      </c>
      <c r="D9" s="44">
        <v>161.66026178999996</v>
      </c>
      <c r="E9" s="45">
        <v>156.40048366000002</v>
      </c>
      <c r="F9" s="44">
        <v>169.68585523999997</v>
      </c>
      <c r="G9" s="44">
        <v>174.08709848</v>
      </c>
      <c r="H9" s="44">
        <v>192.72121071</v>
      </c>
      <c r="I9" s="44">
        <v>193.73385428000003</v>
      </c>
    </row>
    <row r="10" spans="1:9" ht="15">
      <c r="A10" s="43" t="str">
        <f>HLOOKUP(INDICE!$F$2,Nombres!$C$3:$D$636,35,FALSE)</f>
        <v>Resultados de operaciones financieras</v>
      </c>
      <c r="B10" s="44">
        <v>272.73636534999997</v>
      </c>
      <c r="C10" s="44">
        <v>227.67645545</v>
      </c>
      <c r="D10" s="44">
        <v>181.39184336</v>
      </c>
      <c r="E10" s="45">
        <v>178.27546269000004</v>
      </c>
      <c r="F10" s="44">
        <v>215.32232574</v>
      </c>
      <c r="G10" s="44">
        <v>149.91194901999998</v>
      </c>
      <c r="H10" s="44">
        <v>203.72423269999996</v>
      </c>
      <c r="I10" s="44">
        <v>270.48434682000004</v>
      </c>
    </row>
    <row r="11" spans="1:9" ht="15">
      <c r="A11" s="43" t="str">
        <f>HLOOKUP(INDICE!$F$2,Nombres!$C$3:$D$636,36,FALSE)</f>
        <v>Otros ingresos y cargas de explotación</v>
      </c>
      <c r="B11" s="44">
        <v>-11.951871610000001</v>
      </c>
      <c r="C11" s="44">
        <v>-6.209038289999999</v>
      </c>
      <c r="D11" s="44">
        <v>-12.07669011</v>
      </c>
      <c r="E11" s="45">
        <v>-10.757568030000002</v>
      </c>
      <c r="F11" s="44">
        <v>-15.03617878</v>
      </c>
      <c r="G11" s="44">
        <v>-11.567433280000001</v>
      </c>
      <c r="H11" s="44">
        <v>-15.00085166</v>
      </c>
      <c r="I11" s="44">
        <v>-14.020982290000005</v>
      </c>
    </row>
    <row r="12" spans="1:9" ht="15">
      <c r="A12" s="41" t="str">
        <f>HLOOKUP(INDICE!$F$2,Nombres!$C$3:$D$636,37,FALSE)</f>
        <v>Margen bruto</v>
      </c>
      <c r="B12" s="41">
        <f>+SUM(B8:B11)</f>
        <v>771.3777034199999</v>
      </c>
      <c r="C12" s="41">
        <f aca="true" t="shared" si="0" ref="C12:I12">+SUM(C8:C11)</f>
        <v>756.9777732200001</v>
      </c>
      <c r="D12" s="41">
        <f t="shared" si="0"/>
        <v>729.7403931199998</v>
      </c>
      <c r="E12" s="42">
        <f t="shared" si="0"/>
        <v>734.8154006500002</v>
      </c>
      <c r="F12" s="52">
        <f t="shared" si="0"/>
        <v>737.2449567700003</v>
      </c>
      <c r="G12" s="52">
        <f t="shared" si="0"/>
        <v>713.6449518999998</v>
      </c>
      <c r="H12" s="52">
        <f t="shared" si="0"/>
        <v>751.9113860600002</v>
      </c>
      <c r="I12" s="52">
        <f t="shared" si="0"/>
        <v>852.57461445</v>
      </c>
    </row>
    <row r="13" spans="1:9" ht="15">
      <c r="A13" s="43" t="str">
        <f>HLOOKUP(INDICE!$F$2,Nombres!$C$3:$D$636,38,FALSE)</f>
        <v>Gastos de explotación</v>
      </c>
      <c r="B13" s="44">
        <v>-264.91940607000004</v>
      </c>
      <c r="C13" s="44">
        <v>-256.93112204</v>
      </c>
      <c r="D13" s="44">
        <v>-254.28344008</v>
      </c>
      <c r="E13" s="45">
        <v>-256.32351052</v>
      </c>
      <c r="F13" s="44">
        <v>-262.09357438</v>
      </c>
      <c r="G13" s="44">
        <v>-263.36366774</v>
      </c>
      <c r="H13" s="44">
        <v>-264.73515720000006</v>
      </c>
      <c r="I13" s="44">
        <v>-277.23689119999995</v>
      </c>
    </row>
    <row r="14" spans="1:9" ht="15">
      <c r="A14" s="43" t="str">
        <f>HLOOKUP(INDICE!$F$2,Nombres!$C$3:$D$636,39,FALSE)</f>
        <v>  Gastos de administración</v>
      </c>
      <c r="B14" s="44">
        <v>-238.06949871999996</v>
      </c>
      <c r="C14" s="44">
        <v>-229.21232288</v>
      </c>
      <c r="D14" s="44">
        <v>-227.20483293000004</v>
      </c>
      <c r="E14" s="45">
        <v>-229.17917045999997</v>
      </c>
      <c r="F14" s="44">
        <v>-230.28495641</v>
      </c>
      <c r="G14" s="44">
        <v>-231.65073114999996</v>
      </c>
      <c r="H14" s="44">
        <v>-233.29604868000007</v>
      </c>
      <c r="I14" s="44">
        <v>-246.67937697</v>
      </c>
    </row>
    <row r="15" spans="1:9" ht="15">
      <c r="A15" s="46" t="str">
        <f>HLOOKUP(INDICE!$F$2,Nombres!$C$3:$D$636,40,FALSE)</f>
        <v>  Gastos de personal</v>
      </c>
      <c r="B15" s="44">
        <v>-120.66555629</v>
      </c>
      <c r="C15" s="44">
        <v>-107.38763474999999</v>
      </c>
      <c r="D15" s="44">
        <v>-113.12834025999999</v>
      </c>
      <c r="E15" s="45">
        <v>-111.25218804000001</v>
      </c>
      <c r="F15" s="44">
        <v>-120.07409621</v>
      </c>
      <c r="G15" s="44">
        <v>-116.22512598000002</v>
      </c>
      <c r="H15" s="44">
        <v>-117.87939266</v>
      </c>
      <c r="I15" s="44">
        <v>-124.3529868</v>
      </c>
    </row>
    <row r="16" spans="1:9" ht="15">
      <c r="A16" s="46" t="str">
        <f>HLOOKUP(INDICE!$F$2,Nombres!$C$3:$D$636,41,FALSE)</f>
        <v>  Otros gastos de administración</v>
      </c>
      <c r="B16" s="44">
        <v>-117.40394242999999</v>
      </c>
      <c r="C16" s="44">
        <v>-121.82468813000001</v>
      </c>
      <c r="D16" s="44">
        <v>-114.07649267000001</v>
      </c>
      <c r="E16" s="45">
        <v>-117.92698242</v>
      </c>
      <c r="F16" s="44">
        <v>-110.21086019999998</v>
      </c>
      <c r="G16" s="44">
        <v>-115.42560517000001</v>
      </c>
      <c r="H16" s="44">
        <v>-115.41665602000002</v>
      </c>
      <c r="I16" s="44">
        <v>-122.32639017</v>
      </c>
    </row>
    <row r="17" spans="1:9" ht="15">
      <c r="A17" s="43" t="str">
        <f>HLOOKUP(INDICE!$F$2,Nombres!$C$3:$D$636,42,FALSE)</f>
        <v>  Amortización</v>
      </c>
      <c r="B17" s="44">
        <v>-26.849907350000002</v>
      </c>
      <c r="C17" s="44">
        <v>-27.718799159999996</v>
      </c>
      <c r="D17" s="44">
        <v>-27.078607150000003</v>
      </c>
      <c r="E17" s="45">
        <v>-27.144340059999998</v>
      </c>
      <c r="F17" s="44">
        <v>-31.80861797</v>
      </c>
      <c r="G17" s="44">
        <v>-31.71293659</v>
      </c>
      <c r="H17" s="44">
        <v>-31.439108519999998</v>
      </c>
      <c r="I17" s="44">
        <v>-30.557514230000002</v>
      </c>
    </row>
    <row r="18" spans="1:9" ht="15">
      <c r="A18" s="41" t="str">
        <f>HLOOKUP(INDICE!$F$2,Nombres!$C$3:$D$636,43,FALSE)</f>
        <v>Margen neto</v>
      </c>
      <c r="B18" s="41">
        <f>+B12+B13</f>
        <v>506.45829734999984</v>
      </c>
      <c r="C18" s="41">
        <f aca="true" t="shared" si="1" ref="C18:I18">+C12+C13</f>
        <v>500.04665118000014</v>
      </c>
      <c r="D18" s="41">
        <f t="shared" si="1"/>
        <v>475.4569530399998</v>
      </c>
      <c r="E18" s="42">
        <f t="shared" si="1"/>
        <v>478.49189013000023</v>
      </c>
      <c r="F18" s="52">
        <f t="shared" si="1"/>
        <v>475.15138239000026</v>
      </c>
      <c r="G18" s="52">
        <f t="shared" si="1"/>
        <v>450.2812841599998</v>
      </c>
      <c r="H18" s="52">
        <f t="shared" si="1"/>
        <v>487.1762288600001</v>
      </c>
      <c r="I18" s="52">
        <f t="shared" si="1"/>
        <v>575.3377232500001</v>
      </c>
    </row>
    <row r="19" spans="1:9" ht="15">
      <c r="A19" s="43" t="str">
        <f>HLOOKUP(INDICE!$F$2,Nombres!$C$3:$D$636,44,FALSE)</f>
        <v>Deterioro de activos financieros no valorados a valor razonable con cambios en resultados</v>
      </c>
      <c r="B19" s="44">
        <v>11.43253762999999</v>
      </c>
      <c r="C19" s="44">
        <v>-2.3579289699999912</v>
      </c>
      <c r="D19" s="44">
        <v>-61.386669360000006</v>
      </c>
      <c r="E19" s="45">
        <v>-299.22765867000004</v>
      </c>
      <c r="F19" s="44">
        <v>-54.26807439999999</v>
      </c>
      <c r="G19" s="44">
        <v>-22.60689943</v>
      </c>
      <c r="H19" s="44">
        <v>-76.69532258</v>
      </c>
      <c r="I19" s="44">
        <v>-83.82694446</v>
      </c>
    </row>
    <row r="20" spans="1:9" ht="15">
      <c r="A20" s="43" t="str">
        <f>HLOOKUP(INDICE!$F$2,Nombres!$C$3:$D$636,45,FALSE)</f>
        <v>Provisiones o reversión de provisiones y otros resultados</v>
      </c>
      <c r="B20" s="44">
        <v>-25.726903220000004</v>
      </c>
      <c r="C20" s="44">
        <v>4.394630379999998</v>
      </c>
      <c r="D20" s="44">
        <v>-5.7989291</v>
      </c>
      <c r="E20" s="45">
        <v>-9.087026559999996</v>
      </c>
      <c r="F20" s="44">
        <v>3.9235148399999993</v>
      </c>
      <c r="G20" s="44">
        <v>13.361802939999999</v>
      </c>
      <c r="H20" s="44">
        <v>7.03991164</v>
      </c>
      <c r="I20" s="44">
        <v>-16.029809839999995</v>
      </c>
    </row>
    <row r="21" spans="1:9" ht="15">
      <c r="A21" s="41" t="str">
        <f>HLOOKUP(INDICE!$F$2,Nombres!$C$3:$D$636,46,FALSE)</f>
        <v>Resultado antes de impuestos</v>
      </c>
      <c r="B21" s="41">
        <f>+B18+B19+B20</f>
        <v>492.1639317599998</v>
      </c>
      <c r="C21" s="41">
        <f aca="true" t="shared" si="2" ref="C21:I21">+C18+C19+C20</f>
        <v>502.0833525900002</v>
      </c>
      <c r="D21" s="41">
        <f t="shared" si="2"/>
        <v>408.2713545799998</v>
      </c>
      <c r="E21" s="42">
        <f t="shared" si="2"/>
        <v>170.1772049000002</v>
      </c>
      <c r="F21" s="52">
        <f t="shared" si="2"/>
        <v>424.80682283000027</v>
      </c>
      <c r="G21" s="52">
        <f t="shared" si="2"/>
        <v>441.03618766999983</v>
      </c>
      <c r="H21" s="52">
        <f t="shared" si="2"/>
        <v>417.5208179200001</v>
      </c>
      <c r="I21" s="52">
        <f t="shared" si="2"/>
        <v>475.4809689500001</v>
      </c>
    </row>
    <row r="22" spans="1:9" ht="15">
      <c r="A22" s="43" t="str">
        <f>HLOOKUP(INDICE!$F$2,Nombres!$C$3:$D$636,47,FALSE)</f>
        <v>Impuesto sobre beneficios</v>
      </c>
      <c r="B22" s="44">
        <v>-131.38060725999998</v>
      </c>
      <c r="C22" s="44">
        <v>-131.25648715</v>
      </c>
      <c r="D22" s="44">
        <v>-67.24563295000002</v>
      </c>
      <c r="E22" s="45">
        <v>-33.982815120000005</v>
      </c>
      <c r="F22" s="44">
        <v>-105.92998475</v>
      </c>
      <c r="G22" s="44">
        <v>-104.63837828000001</v>
      </c>
      <c r="H22" s="44">
        <v>-118.72319229</v>
      </c>
      <c r="I22" s="44">
        <v>-101.37589900000002</v>
      </c>
    </row>
    <row r="23" spans="1:9" ht="15">
      <c r="A23" s="41" t="str">
        <f>HLOOKUP(INDICE!$F$2,Nombres!$C$3:$D$636,48,FALSE)</f>
        <v>Resultado del ejercicio</v>
      </c>
      <c r="B23" s="41">
        <f>+B21+B22</f>
        <v>360.7833244999998</v>
      </c>
      <c r="C23" s="41">
        <f aca="true" t="shared" si="3" ref="C23:I23">+C21+C22</f>
        <v>370.8268654400002</v>
      </c>
      <c r="D23" s="41">
        <f t="shared" si="3"/>
        <v>341.0257216299998</v>
      </c>
      <c r="E23" s="42">
        <f t="shared" si="3"/>
        <v>136.1943897800002</v>
      </c>
      <c r="F23" s="52">
        <f t="shared" si="3"/>
        <v>318.87683808000025</v>
      </c>
      <c r="G23" s="52">
        <f t="shared" si="3"/>
        <v>336.3978093899998</v>
      </c>
      <c r="H23" s="52">
        <f t="shared" si="3"/>
        <v>298.79762563000014</v>
      </c>
      <c r="I23" s="52">
        <f t="shared" si="3"/>
        <v>374.1050699500001</v>
      </c>
    </row>
    <row r="24" spans="1:9" ht="15">
      <c r="A24" s="43" t="str">
        <f>HLOOKUP(INDICE!$F$2,Nombres!$C$3:$D$636,49,FALSE)</f>
        <v>Minoritarios</v>
      </c>
      <c r="B24" s="44">
        <v>-57.030775410000004</v>
      </c>
      <c r="C24" s="44">
        <v>-69.63600518000001</v>
      </c>
      <c r="D24" s="44">
        <v>-92.52773205000001</v>
      </c>
      <c r="E24" s="45">
        <v>30.073682060000024</v>
      </c>
      <c r="F24" s="44">
        <v>-89.26752353</v>
      </c>
      <c r="G24" s="44">
        <v>-76.29853191999999</v>
      </c>
      <c r="H24" s="44">
        <v>-54.40111962000001</v>
      </c>
      <c r="I24" s="44">
        <v>-76.99822218999999</v>
      </c>
    </row>
    <row r="25" spans="1:9" ht="15">
      <c r="A25" s="47" t="str">
        <f>HLOOKUP(INDICE!$F$2,Nombres!$C$3:$D$636,50,FALSE)</f>
        <v>Resultado atribuido</v>
      </c>
      <c r="B25" s="47">
        <f>+B23+B24</f>
        <v>303.75254908999983</v>
      </c>
      <c r="C25" s="47">
        <f aca="true" t="shared" si="4" ref="C25:I25">+C23+C24</f>
        <v>301.19086026000014</v>
      </c>
      <c r="D25" s="47">
        <f t="shared" si="4"/>
        <v>248.4979895799998</v>
      </c>
      <c r="E25" s="47">
        <f t="shared" si="4"/>
        <v>166.26807184000023</v>
      </c>
      <c r="F25" s="53">
        <f t="shared" si="4"/>
        <v>229.60931455000025</v>
      </c>
      <c r="G25" s="53">
        <f t="shared" si="4"/>
        <v>260.09927746999983</v>
      </c>
      <c r="H25" s="53">
        <f t="shared" si="4"/>
        <v>244.39650601000014</v>
      </c>
      <c r="I25" s="53">
        <f t="shared" si="4"/>
        <v>297.1068477600001</v>
      </c>
    </row>
    <row r="26" spans="1:9" ht="15">
      <c r="A26" s="65"/>
      <c r="B26" s="66">
        <v>0</v>
      </c>
      <c r="C26" s="66">
        <v>0</v>
      </c>
      <c r="D26" s="66">
        <v>0</v>
      </c>
      <c r="E26" s="66">
        <v>0</v>
      </c>
      <c r="F26" s="66">
        <v>0</v>
      </c>
      <c r="G26" s="66">
        <v>0</v>
      </c>
      <c r="H26" s="66">
        <v>0</v>
      </c>
      <c r="I26" s="66">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4"/>
      <c r="D29" s="54"/>
      <c r="E29" s="54"/>
      <c r="F29" s="30"/>
      <c r="G29" s="60"/>
      <c r="H29" s="60"/>
      <c r="I29" s="60"/>
    </row>
    <row r="30" spans="1:9" ht="15.75">
      <c r="A30" s="30"/>
      <c r="B30" s="55">
        <v>43190</v>
      </c>
      <c r="C30" s="55">
        <v>43281</v>
      </c>
      <c r="D30" s="55">
        <v>43373</v>
      </c>
      <c r="E30" s="71">
        <v>43465</v>
      </c>
      <c r="F30" s="80">
        <v>43555</v>
      </c>
      <c r="G30" s="80">
        <v>43646</v>
      </c>
      <c r="H30" s="80">
        <v>43738</v>
      </c>
      <c r="I30" s="80">
        <v>43830</v>
      </c>
    </row>
    <row r="31" spans="1:9" ht="15">
      <c r="A31" s="43" t="str">
        <f>HLOOKUP(INDICE!$F$2,Nombres!$C$3:$D$636,52,FALSE)</f>
        <v>Efectivo, saldos en efectivo en bancos centrales y otros depósitos a la vista</v>
      </c>
      <c r="B31" s="44">
        <v>3604.36520266</v>
      </c>
      <c r="C31" s="44">
        <v>3639.8827018999996</v>
      </c>
      <c r="D31" s="44">
        <v>3480.1528519800004</v>
      </c>
      <c r="E31" s="45">
        <v>5086.541153849999</v>
      </c>
      <c r="F31" s="44">
        <v>6077.906074889997</v>
      </c>
      <c r="G31" s="44">
        <v>4841.23838952</v>
      </c>
      <c r="H31" s="44">
        <v>4683.1521171299955</v>
      </c>
      <c r="I31" s="44">
        <v>3512.9477220999997</v>
      </c>
    </row>
    <row r="32" spans="1:9" ht="15">
      <c r="A32" s="43" t="str">
        <f>HLOOKUP(INDICE!$F$2,Nombres!$C$3:$D$636,53,FALSE)</f>
        <v>Activos financieros a valor razonable</v>
      </c>
      <c r="B32" s="60">
        <v>100451.36639101001</v>
      </c>
      <c r="C32" s="60">
        <v>99333.06362182999</v>
      </c>
      <c r="D32" s="60">
        <v>93200.23982548999</v>
      </c>
      <c r="E32" s="68">
        <v>92390.71630185998</v>
      </c>
      <c r="F32" s="44">
        <v>94376.97000771998</v>
      </c>
      <c r="G32" s="44">
        <v>108378.37860393999</v>
      </c>
      <c r="H32" s="44">
        <v>112594.44284764</v>
      </c>
      <c r="I32" s="44">
        <v>105385.51679066</v>
      </c>
    </row>
    <row r="33" spans="1:9" ht="15">
      <c r="A33" s="43" t="str">
        <f>HLOOKUP(INDICE!$F$2,Nombres!$C$3:$D$636,54,FALSE)</f>
        <v>Activos financieros a coste amortizado</v>
      </c>
      <c r="B33" s="44">
        <v>63677.40576739</v>
      </c>
      <c r="C33" s="44">
        <v>66586.0596253</v>
      </c>
      <c r="D33" s="44">
        <v>63648.83213722</v>
      </c>
      <c r="E33" s="45">
        <v>65167.207424169996</v>
      </c>
      <c r="F33" s="44">
        <v>68391.93797917</v>
      </c>
      <c r="G33" s="44">
        <v>67296.9523824</v>
      </c>
      <c r="H33" s="44">
        <v>74833.80726245</v>
      </c>
      <c r="I33" s="44">
        <v>76169.23174763001</v>
      </c>
    </row>
    <row r="34" spans="1:9" ht="15">
      <c r="A34" s="43" t="str">
        <f>HLOOKUP(INDICE!$F$2,Nombres!$C$3:$D$636,55,FALSE)</f>
        <v>    de los que préstamos y anticipos a la clientela</v>
      </c>
      <c r="B34" s="44">
        <v>55392.22604088</v>
      </c>
      <c r="C34" s="44">
        <v>58602.993825770005</v>
      </c>
      <c r="D34" s="44">
        <v>55721.51212846</v>
      </c>
      <c r="E34" s="45">
        <v>58719.603980730004</v>
      </c>
      <c r="F34" s="44">
        <v>61014.270208680005</v>
      </c>
      <c r="G34" s="44">
        <v>58069.127781630006</v>
      </c>
      <c r="H34" s="44">
        <v>62397.83713657</v>
      </c>
      <c r="I34" s="44">
        <v>65915.11951481</v>
      </c>
    </row>
    <row r="35" spans="1:9" ht="15">
      <c r="A35" s="43"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31.770700840000003</v>
      </c>
      <c r="C36" s="44">
        <v>31.250384909999998</v>
      </c>
      <c r="D36" s="44">
        <v>28.842907120000003</v>
      </c>
      <c r="E36" s="45">
        <v>28.746886179999997</v>
      </c>
      <c r="F36" s="44">
        <v>81.75444513</v>
      </c>
      <c r="G36" s="44">
        <v>75.79484065</v>
      </c>
      <c r="H36" s="44">
        <v>79.90792358000002</v>
      </c>
      <c r="I36" s="44">
        <v>63.451362519999996</v>
      </c>
    </row>
    <row r="37" spans="1:9" ht="15">
      <c r="A37" s="43" t="str">
        <f>HLOOKUP(INDICE!$F$2,Nombres!$C$3:$D$636,57,FALSE)</f>
        <v>Otros activos</v>
      </c>
      <c r="B37" s="60">
        <f>+B38-B36-B33-B32-B31-B35</f>
        <v>2946.2651790399864</v>
      </c>
      <c r="C37" s="60">
        <f aca="true" t="shared" si="5" ref="C37:I37">+C38-C36-C33-C32-C31-C35</f>
        <v>4753.000601960028</v>
      </c>
      <c r="D37" s="60">
        <f t="shared" si="5"/>
        <v>3707.946873900005</v>
      </c>
      <c r="E37" s="68">
        <f t="shared" si="5"/>
        <v>2179.0009029300036</v>
      </c>
      <c r="F37" s="60">
        <f t="shared" si="5"/>
        <v>1775.8818671199951</v>
      </c>
      <c r="G37" s="60">
        <f t="shared" si="5"/>
        <v>1889.3842345300254</v>
      </c>
      <c r="H37" s="60">
        <f t="shared" si="5"/>
        <v>13903.98275360001</v>
      </c>
      <c r="I37" s="60">
        <f t="shared" si="5"/>
        <v>2505.785116260011</v>
      </c>
    </row>
    <row r="38" spans="1:9" ht="15">
      <c r="A38" s="47" t="str">
        <f>HLOOKUP(INDICE!$F$2,Nombres!$C$3:$D$636,58,FALSE)</f>
        <v>Total activo / pasivo</v>
      </c>
      <c r="B38" s="47">
        <v>170711.17324094</v>
      </c>
      <c r="C38" s="47">
        <v>174343.25693590002</v>
      </c>
      <c r="D38" s="47">
        <v>164066.01459571</v>
      </c>
      <c r="E38" s="74">
        <v>164852.21266898996</v>
      </c>
      <c r="F38" s="53">
        <v>170704.45037402998</v>
      </c>
      <c r="G38" s="53">
        <v>182481.74845104</v>
      </c>
      <c r="H38" s="53">
        <v>206095.29290440003</v>
      </c>
      <c r="I38" s="53">
        <v>187636.93273917</v>
      </c>
    </row>
    <row r="39" spans="1:9" ht="15">
      <c r="A39" s="43" t="str">
        <f>HLOOKUP(INDICE!$F$2,Nombres!$C$3:$D$636,59,FALSE)</f>
        <v>Pasivos financieros mantenidos para negociar y designados a valor razonable con cambios en resultados</v>
      </c>
      <c r="B39" s="60">
        <v>79981.6668886</v>
      </c>
      <c r="C39" s="60">
        <v>79183.83590244001</v>
      </c>
      <c r="D39" s="60">
        <v>76674.76200517999</v>
      </c>
      <c r="E39" s="68">
        <v>73163.07650302003</v>
      </c>
      <c r="F39" s="44">
        <v>81685.21006933998</v>
      </c>
      <c r="G39" s="44">
        <v>94044.95004425998</v>
      </c>
      <c r="H39" s="44">
        <v>94136.24491281998</v>
      </c>
      <c r="I39" s="44">
        <v>91657.31260181002</v>
      </c>
    </row>
    <row r="40" spans="1:9" ht="15">
      <c r="A40" s="43" t="str">
        <f>HLOOKUP(INDICE!$F$2,Nombres!$C$3:$D$636,60,FALSE)</f>
        <v>Depósitos de bancos centrales y entidades de crédito</v>
      </c>
      <c r="B40" s="60">
        <v>19630.230764139997</v>
      </c>
      <c r="C40" s="60">
        <v>16149.67528334</v>
      </c>
      <c r="D40" s="60">
        <v>15922.51815435</v>
      </c>
      <c r="E40" s="68">
        <v>19463.79614035</v>
      </c>
      <c r="F40" s="44">
        <v>15403.99929866</v>
      </c>
      <c r="G40" s="44">
        <v>16397.622034480002</v>
      </c>
      <c r="H40" s="44">
        <v>16916.68969179</v>
      </c>
      <c r="I40" s="44">
        <v>15425.909796369999</v>
      </c>
    </row>
    <row r="41" spans="1:9" ht="15.75" customHeight="1">
      <c r="A41" s="43" t="str">
        <f>HLOOKUP(INDICE!$F$2,Nombres!$C$3:$D$636,61,FALSE)</f>
        <v>Depósitos de la clientela</v>
      </c>
      <c r="B41" s="60">
        <v>42942.78805991999</v>
      </c>
      <c r="C41" s="60">
        <v>40569.780647880005</v>
      </c>
      <c r="D41" s="60">
        <v>41081.86821367</v>
      </c>
      <c r="E41" s="68">
        <v>43068.67361285</v>
      </c>
      <c r="F41" s="44">
        <v>35836.627477660004</v>
      </c>
      <c r="G41" s="44">
        <v>33970.27714687</v>
      </c>
      <c r="H41" s="44">
        <v>37267.62865255</v>
      </c>
      <c r="I41" s="44">
        <v>38864.243928489996</v>
      </c>
    </row>
    <row r="42" spans="1:9" ht="15">
      <c r="A42" s="43" t="str">
        <f>HLOOKUP(INDICE!$F$2,Nombres!$C$3:$D$636,62,FALSE)</f>
        <v>Valores representativos de deuda emitidos</v>
      </c>
      <c r="B42" s="44">
        <v>2394.1225054300003</v>
      </c>
      <c r="C42" s="44">
        <v>2325.9647397300005</v>
      </c>
      <c r="D42" s="44">
        <v>2092.85511555</v>
      </c>
      <c r="E42" s="45">
        <v>1930.9084954900002</v>
      </c>
      <c r="F42" s="44">
        <v>2023.69311082</v>
      </c>
      <c r="G42" s="44">
        <v>2986.10605952</v>
      </c>
      <c r="H42" s="44">
        <v>2430.76057837</v>
      </c>
      <c r="I42" s="44">
        <v>2625.16484926</v>
      </c>
    </row>
    <row r="43" spans="1:9" ht="15">
      <c r="A43" s="43" t="str">
        <f>HLOOKUP(INDICE!$F$2,Nombres!$C$3:$D$636,122,FALSE)</f>
        <v>Posiciones inter-áreas pasivo</v>
      </c>
      <c r="B43" s="44">
        <v>16614.902929820004</v>
      </c>
      <c r="C43" s="44">
        <v>26750.74917570004</v>
      </c>
      <c r="D43" s="44">
        <v>21989.925778260018</v>
      </c>
      <c r="E43" s="45">
        <v>19742.0130670199</v>
      </c>
      <c r="F43" s="44">
        <v>30192.120659749984</v>
      </c>
      <c r="G43" s="44">
        <v>27298.60257194008</v>
      </c>
      <c r="H43" s="44">
        <v>46989.03330469006</v>
      </c>
      <c r="I43" s="44">
        <v>31678.359819210105</v>
      </c>
    </row>
    <row r="44" spans="1:9" ht="15">
      <c r="A44" s="43" t="str">
        <f>HLOOKUP(INDICE!$F$2,Nombres!$C$3:$D$636,63,FALSE)</f>
        <v>Otros pasivos</v>
      </c>
      <c r="B44" s="60">
        <f>+B38-B39-B40-B41-B42-B45-B43</f>
        <v>5793.99636355001</v>
      </c>
      <c r="C44" s="60">
        <f aca="true" t="shared" si="6" ref="C44:I44">+C38-C39-C40-C41-C42-C45-C43</f>
        <v>6229.944084099967</v>
      </c>
      <c r="D44" s="60">
        <f t="shared" si="6"/>
        <v>3162.5317181499886</v>
      </c>
      <c r="E44" s="68">
        <f t="shared" si="6"/>
        <v>4347.608210820028</v>
      </c>
      <c r="F44" s="60">
        <f t="shared" si="6"/>
        <v>1400.7159115700124</v>
      </c>
      <c r="G44" s="60">
        <f t="shared" si="6"/>
        <v>4097.003580749937</v>
      </c>
      <c r="H44" s="60">
        <f t="shared" si="6"/>
        <v>4277.464230239988</v>
      </c>
      <c r="I44" s="60">
        <f t="shared" si="6"/>
        <v>2898.732506399887</v>
      </c>
    </row>
    <row r="45" spans="1:9" ht="15">
      <c r="A45" s="43" t="str">
        <f>HLOOKUP(INDICE!$F$2,Nombres!$C$3:$D$636,64,FALSE)</f>
        <v>Dotación de capital económico</v>
      </c>
      <c r="B45" s="44">
        <v>3353.46572948</v>
      </c>
      <c r="C45" s="44">
        <v>3133.30710271</v>
      </c>
      <c r="D45" s="44">
        <v>3141.55361055</v>
      </c>
      <c r="E45" s="45">
        <v>3136.13663944</v>
      </c>
      <c r="F45" s="44">
        <v>4162.08384623</v>
      </c>
      <c r="G45" s="44">
        <v>3687.1870132199997</v>
      </c>
      <c r="H45" s="44">
        <v>4077.47153394</v>
      </c>
      <c r="I45" s="44">
        <v>4487.20923763</v>
      </c>
    </row>
    <row r="46" spans="1:9" ht="15">
      <c r="A46" s="65"/>
      <c r="B46" s="60"/>
      <c r="C46" s="60"/>
      <c r="D46" s="60"/>
      <c r="E46" s="60"/>
      <c r="F46" s="81"/>
      <c r="G46" s="81"/>
      <c r="H46" s="81"/>
      <c r="I46" s="81"/>
    </row>
    <row r="47" spans="1:9" ht="15">
      <c r="A47" s="43"/>
      <c r="B47" s="60"/>
      <c r="C47" s="60"/>
      <c r="D47" s="60"/>
      <c r="E47" s="60"/>
      <c r="F47" s="81"/>
      <c r="G47" s="81"/>
      <c r="H47" s="81"/>
      <c r="I47" s="81"/>
    </row>
    <row r="48" spans="1:9" ht="18">
      <c r="A48" s="33" t="str">
        <f>HLOOKUP(INDICE!$F$2,Nombres!$C$3:$D$636,65,FALSE)</f>
        <v>Indicadores relevantes y de gestión</v>
      </c>
      <c r="B48" s="34"/>
      <c r="C48" s="34"/>
      <c r="D48" s="34"/>
      <c r="E48" s="34"/>
      <c r="F48" s="85"/>
      <c r="G48" s="85"/>
      <c r="H48" s="85"/>
      <c r="I48" s="85"/>
    </row>
    <row r="49" spans="1:9" ht="15">
      <c r="A49" s="35" t="str">
        <f>HLOOKUP(INDICE!$F$2,Nombres!$C$3:$D$636,32,FALSE)</f>
        <v>(Millones de euros)</v>
      </c>
      <c r="B49" s="30"/>
      <c r="C49" s="30"/>
      <c r="D49" s="30"/>
      <c r="E49" s="30"/>
      <c r="F49" s="83"/>
      <c r="G49" s="81"/>
      <c r="H49" s="81"/>
      <c r="I49" s="81"/>
    </row>
    <row r="50" spans="1:9" ht="15.75">
      <c r="A50" s="30"/>
      <c r="B50" s="55">
        <f aca="true" t="shared" si="7" ref="B50:I50">+B$30</f>
        <v>43190</v>
      </c>
      <c r="C50" s="55">
        <f t="shared" si="7"/>
        <v>43281</v>
      </c>
      <c r="D50" s="55">
        <f t="shared" si="7"/>
        <v>43373</v>
      </c>
      <c r="E50" s="71">
        <f t="shared" si="7"/>
        <v>43465</v>
      </c>
      <c r="F50" s="80">
        <f t="shared" si="7"/>
        <v>43555</v>
      </c>
      <c r="G50" s="80">
        <f t="shared" si="7"/>
        <v>43646</v>
      </c>
      <c r="H50" s="80">
        <f t="shared" si="7"/>
        <v>43738</v>
      </c>
      <c r="I50" s="80">
        <f t="shared" si="7"/>
        <v>43830</v>
      </c>
    </row>
    <row r="51" spans="1:9" ht="15" customHeight="1">
      <c r="A51" s="43" t="str">
        <f>HLOOKUP(INDICE!$F$2,Nombres!$C$3:$D$636,66,FALSE)</f>
        <v>Préstamos y anticipos a la clientela bruto (*)</v>
      </c>
      <c r="B51" s="44">
        <v>55622.252755609996</v>
      </c>
      <c r="C51" s="44">
        <v>59371.76242932</v>
      </c>
      <c r="D51" s="44">
        <v>56469.735348890004</v>
      </c>
      <c r="E51" s="45">
        <v>59407.25859091</v>
      </c>
      <c r="F51" s="81">
        <v>61442.59753416999</v>
      </c>
      <c r="G51" s="81">
        <v>58243.46994497</v>
      </c>
      <c r="H51" s="81">
        <v>62794.00200552999</v>
      </c>
      <c r="I51" s="81">
        <v>66554.28311207</v>
      </c>
    </row>
    <row r="52" spans="1:9" ht="15">
      <c r="A52" s="43" t="str">
        <f>HLOOKUP(INDICE!$F$2,Nombres!$C$3:$D$636,67,FALSE)</f>
        <v>Depósitos de clientes en gestión (**)</v>
      </c>
      <c r="B52" s="44">
        <v>38500.521964939995</v>
      </c>
      <c r="C52" s="44">
        <v>37397.51297997001</v>
      </c>
      <c r="D52" s="44">
        <v>38580.16892596999</v>
      </c>
      <c r="E52" s="45">
        <v>39641.98744974999</v>
      </c>
      <c r="F52" s="44">
        <v>35836.599701600004</v>
      </c>
      <c r="G52" s="44">
        <v>33945.10886227</v>
      </c>
      <c r="H52" s="44">
        <v>37220.15758527</v>
      </c>
      <c r="I52" s="44">
        <v>38848.268843260004</v>
      </c>
    </row>
    <row r="53" spans="1:9" ht="15">
      <c r="A53" s="43" t="str">
        <f>HLOOKUP(INDICE!$F$2,Nombres!$C$3:$D$636,68,FALSE)</f>
        <v>Fondos de inversión</v>
      </c>
      <c r="B53" s="44">
        <v>1251.37949222</v>
      </c>
      <c r="C53" s="44">
        <v>1061.2505930300001</v>
      </c>
      <c r="D53" s="44">
        <v>660.15380117</v>
      </c>
      <c r="E53" s="45">
        <v>679.2284016</v>
      </c>
      <c r="F53" s="44">
        <v>847.5814779299999</v>
      </c>
      <c r="G53" s="44">
        <v>756.0795136500001</v>
      </c>
      <c r="H53" s="44">
        <v>738.9313007200002</v>
      </c>
      <c r="I53" s="44">
        <v>634.9319168100001</v>
      </c>
    </row>
    <row r="54" spans="1:9" ht="15">
      <c r="A54" s="43" t="str">
        <f>HLOOKUP(INDICE!$F$2,Nombres!$C$3:$D$636,69,FALSE)</f>
        <v>Fondos de pensiones</v>
      </c>
      <c r="B54" s="44" t="s">
        <v>400</v>
      </c>
      <c r="C54" s="44" t="s">
        <v>400</v>
      </c>
      <c r="D54" s="44" t="s">
        <v>400</v>
      </c>
      <c r="E54" s="45" t="s">
        <v>400</v>
      </c>
      <c r="F54" s="44" t="s">
        <v>400</v>
      </c>
      <c r="G54" s="44" t="s">
        <v>400</v>
      </c>
      <c r="H54" s="44" t="s">
        <v>400</v>
      </c>
      <c r="I54" s="44" t="s">
        <v>400</v>
      </c>
    </row>
    <row r="55" spans="1:9" ht="15">
      <c r="A55" s="43" t="str">
        <f>HLOOKUP(INDICE!$F$2,Nombres!$C$3:$D$636,70,FALSE)</f>
        <v>Otros recursos fuera de balance</v>
      </c>
      <c r="B55" s="44">
        <v>114.60733761</v>
      </c>
      <c r="C55" s="44">
        <v>298.90359501</v>
      </c>
      <c r="D55" s="44">
        <v>297.2821156</v>
      </c>
      <c r="E55" s="45">
        <v>313.49732758</v>
      </c>
      <c r="F55" s="44">
        <v>545.83101398</v>
      </c>
      <c r="G55" s="44">
        <v>550.28183562</v>
      </c>
      <c r="H55" s="44">
        <v>384.79271908000004</v>
      </c>
      <c r="I55" s="44">
        <v>401.88187617</v>
      </c>
    </row>
    <row r="56" spans="1:9" ht="15">
      <c r="A56" s="65" t="str">
        <f>HLOOKUP(INDICE!$F$2,Nombres!$C$3:$D$636,71,FALSE)</f>
        <v>(*) No incluye las adquisiciones temporales de activos.</v>
      </c>
      <c r="B56" s="60"/>
      <c r="C56" s="60"/>
      <c r="D56" s="60"/>
      <c r="E56" s="60"/>
      <c r="F56" s="60"/>
      <c r="G56" s="60"/>
      <c r="H56" s="60"/>
      <c r="I56" s="60"/>
    </row>
    <row r="57" spans="1:9" ht="15">
      <c r="A57" s="65" t="str">
        <f>HLOOKUP(INDICE!$F$2,Nombres!$C$3:$D$636,72,FALSE)</f>
        <v>(**) No incluye las cesiones temporales de activos.</v>
      </c>
      <c r="B57" s="30"/>
      <c r="C57" s="30"/>
      <c r="D57" s="30"/>
      <c r="E57" s="30"/>
      <c r="F57" s="30"/>
      <c r="G57" s="30"/>
      <c r="H57" s="30"/>
      <c r="I57" s="30"/>
    </row>
    <row r="58" spans="1:9" ht="15">
      <c r="A58" s="65"/>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5">
        <f>+B$6</f>
        <v>2018</v>
      </c>
      <c r="C62" s="295"/>
      <c r="D62" s="295"/>
      <c r="E62" s="296"/>
      <c r="F62" s="295">
        <f>+F$6</f>
        <v>2019</v>
      </c>
      <c r="G62" s="295"/>
      <c r="H62" s="295"/>
      <c r="I62" s="295"/>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Margen de intereses</v>
      </c>
      <c r="B64" s="41">
        <v>312.65903789222295</v>
      </c>
      <c r="C64" s="41">
        <v>323.2549353794129</v>
      </c>
      <c r="D64" s="41">
        <v>397.2970888498173</v>
      </c>
      <c r="E64" s="42">
        <v>400.29225097211906</v>
      </c>
      <c r="F64" s="52">
        <v>360.2474238821647</v>
      </c>
      <c r="G64" s="52">
        <v>397.8550221565514</v>
      </c>
      <c r="H64" s="52">
        <v>375.4037605729812</v>
      </c>
      <c r="I64" s="52">
        <v>407.8242755883029</v>
      </c>
    </row>
    <row r="65" spans="1:9" ht="15">
      <c r="A65" s="43" t="str">
        <f>HLOOKUP(INDICE!$F$2,Nombres!$C$3:$D$636,34,FALSE)</f>
        <v>Comisiones netas</v>
      </c>
      <c r="B65" s="44">
        <v>173.74700691054278</v>
      </c>
      <c r="C65" s="44">
        <v>194.534714223182</v>
      </c>
      <c r="D65" s="44">
        <v>165.29972869208774</v>
      </c>
      <c r="E65" s="45">
        <v>156.05802595628637</v>
      </c>
      <c r="F65" s="44">
        <v>167.1293718809747</v>
      </c>
      <c r="G65" s="44">
        <v>172.44122548435655</v>
      </c>
      <c r="H65" s="44">
        <v>195.27983718234458</v>
      </c>
      <c r="I65" s="44">
        <v>195.37758416232418</v>
      </c>
    </row>
    <row r="66" spans="1:9" ht="15">
      <c r="A66" s="43" t="str">
        <f>HLOOKUP(INDICE!$F$2,Nombres!$C$3:$D$636,35,FALSE)</f>
        <v>Resultados de operaciones financieras</v>
      </c>
      <c r="B66" s="44">
        <v>261.7998670522335</v>
      </c>
      <c r="C66" s="44">
        <v>220.0573069818541</v>
      </c>
      <c r="D66" s="44">
        <v>181.5440033530162</v>
      </c>
      <c r="E66" s="45">
        <v>172.09402211756185</v>
      </c>
      <c r="F66" s="44">
        <v>209.48495151416222</v>
      </c>
      <c r="G66" s="44">
        <v>146.01031248506052</v>
      </c>
      <c r="H66" s="44">
        <v>208.12487502733944</v>
      </c>
      <c r="I66" s="44">
        <v>275.82271525343776</v>
      </c>
    </row>
    <row r="67" spans="1:9" ht="15">
      <c r="A67" s="43" t="str">
        <f>HLOOKUP(INDICE!$F$2,Nombres!$C$3:$D$636,36,FALSE)</f>
        <v>Otros ingresos y cargas de explotación</v>
      </c>
      <c r="B67" s="44">
        <v>-11.069368947369485</v>
      </c>
      <c r="C67" s="44">
        <v>-7.954131663971266</v>
      </c>
      <c r="D67" s="44">
        <v>-13.822852791358066</v>
      </c>
      <c r="E67" s="45">
        <v>-11.208904702230296</v>
      </c>
      <c r="F67" s="44">
        <v>-14.43491361298059</v>
      </c>
      <c r="G67" s="44">
        <v>-11.523146635242744</v>
      </c>
      <c r="H67" s="44">
        <v>-15.301783398693473</v>
      </c>
      <c r="I67" s="44">
        <v>-14.365602363083195</v>
      </c>
    </row>
    <row r="68" spans="1:9" ht="15">
      <c r="A68" s="41" t="str">
        <f>HLOOKUP(INDICE!$F$2,Nombres!$C$3:$D$636,37,FALSE)</f>
        <v>Margen bruto</v>
      </c>
      <c r="B68" s="41">
        <f>+SUM(B64:B67)</f>
        <v>737.1365429076296</v>
      </c>
      <c r="C68" s="41">
        <f aca="true" t="shared" si="9" ref="C68:I68">+SUM(C64:C67)</f>
        <v>729.8928249204778</v>
      </c>
      <c r="D68" s="41">
        <f t="shared" si="9"/>
        <v>730.3179681035632</v>
      </c>
      <c r="E68" s="42">
        <f t="shared" si="9"/>
        <v>717.2353943437371</v>
      </c>
      <c r="F68" s="52">
        <f t="shared" si="9"/>
        <v>722.4268336643211</v>
      </c>
      <c r="G68" s="52">
        <f t="shared" si="9"/>
        <v>704.7834134907257</v>
      </c>
      <c r="H68" s="52">
        <f t="shared" si="9"/>
        <v>763.5066893839717</v>
      </c>
      <c r="I68" s="52">
        <f t="shared" si="9"/>
        <v>864.6589726409817</v>
      </c>
    </row>
    <row r="69" spans="1:9" ht="15">
      <c r="A69" s="43" t="str">
        <f>HLOOKUP(INDICE!$F$2,Nombres!$C$3:$D$636,38,FALSE)</f>
        <v>Gastos de explotación</v>
      </c>
      <c r="B69" s="44">
        <v>-259.83992380251243</v>
      </c>
      <c r="C69" s="44">
        <v>-254.0796738396885</v>
      </c>
      <c r="D69" s="44">
        <v>-259.9524966557278</v>
      </c>
      <c r="E69" s="45">
        <v>-254.49273691684726</v>
      </c>
      <c r="F69" s="44">
        <v>-259.47128730146494</v>
      </c>
      <c r="G69" s="44">
        <v>-260.6148023170046</v>
      </c>
      <c r="H69" s="44">
        <v>-267.06664389473</v>
      </c>
      <c r="I69" s="44">
        <v>-280.27655700680043</v>
      </c>
    </row>
    <row r="70" spans="1:9" ht="15">
      <c r="A70" s="43" t="str">
        <f>HLOOKUP(INDICE!$F$2,Nombres!$C$3:$D$636,39,FALSE)</f>
        <v>  Gastos de administración</v>
      </c>
      <c r="B70" s="44">
        <v>-232.83013998909937</v>
      </c>
      <c r="C70" s="44">
        <v>-226.20974744148066</v>
      </c>
      <c r="D70" s="44">
        <v>-232.72250554163213</v>
      </c>
      <c r="E70" s="45">
        <v>-227.18901549315893</v>
      </c>
      <c r="F70" s="44">
        <v>-227.6361809056284</v>
      </c>
      <c r="G70" s="44">
        <v>-228.87986790858335</v>
      </c>
      <c r="H70" s="44">
        <v>-235.74057756546057</v>
      </c>
      <c r="I70" s="44">
        <v>-249.6544868303277</v>
      </c>
    </row>
    <row r="71" spans="1:9" ht="15">
      <c r="A71" s="46" t="str">
        <f>HLOOKUP(INDICE!$F$2,Nombres!$C$3:$D$636,40,FALSE)</f>
        <v>  Gastos de personal</v>
      </c>
      <c r="B71" s="44">
        <v>-119.87549519582439</v>
      </c>
      <c r="C71" s="44">
        <v>-106.75929382705885</v>
      </c>
      <c r="D71" s="44">
        <v>-115.19965892463388</v>
      </c>
      <c r="E71" s="45">
        <v>-111.41099712706053</v>
      </c>
      <c r="F71" s="44">
        <v>-119.60038173514124</v>
      </c>
      <c r="G71" s="44">
        <v>-115.96511753301095</v>
      </c>
      <c r="H71" s="44">
        <v>-117.70124767857823</v>
      </c>
      <c r="I71" s="44">
        <v>-125.26485470326958</v>
      </c>
    </row>
    <row r="72" spans="1:9" ht="15">
      <c r="A72" s="46" t="str">
        <f>HLOOKUP(INDICE!$F$2,Nombres!$C$3:$D$636,41,FALSE)</f>
        <v>  Otros gastos de administración</v>
      </c>
      <c r="B72" s="44">
        <v>-112.954644793275</v>
      </c>
      <c r="C72" s="44">
        <v>-119.4504536144218</v>
      </c>
      <c r="D72" s="44">
        <v>-117.52284661699828</v>
      </c>
      <c r="E72" s="45">
        <v>-115.77801836609841</v>
      </c>
      <c r="F72" s="44">
        <v>-108.03579917048718</v>
      </c>
      <c r="G72" s="44">
        <v>-112.9147503755724</v>
      </c>
      <c r="H72" s="44">
        <v>-118.03932988688231</v>
      </c>
      <c r="I72" s="44">
        <v>-124.38963212705809</v>
      </c>
    </row>
    <row r="73" spans="1:9" ht="15">
      <c r="A73" s="43" t="str">
        <f>HLOOKUP(INDICE!$F$2,Nombres!$C$3:$D$636,42,FALSE)</f>
        <v>  Amortización</v>
      </c>
      <c r="B73" s="44">
        <v>-27.00978381341304</v>
      </c>
      <c r="C73" s="44">
        <v>-27.869926398207863</v>
      </c>
      <c r="D73" s="44">
        <v>-27.229991114095657</v>
      </c>
      <c r="E73" s="45">
        <v>-27.30372142368831</v>
      </c>
      <c r="F73" s="44">
        <v>-31.83510639583649</v>
      </c>
      <c r="G73" s="44">
        <v>-31.73493440842126</v>
      </c>
      <c r="H73" s="44">
        <v>-31.326066329269473</v>
      </c>
      <c r="I73" s="44">
        <v>-30.622070176472775</v>
      </c>
    </row>
    <row r="74" spans="1:9" ht="15">
      <c r="A74" s="41" t="str">
        <f>HLOOKUP(INDICE!$F$2,Nombres!$C$3:$D$636,43,FALSE)</f>
        <v>Margen neto</v>
      </c>
      <c r="B74" s="41">
        <f>+B68+B69</f>
        <v>477.2966191051172</v>
      </c>
      <c r="C74" s="41">
        <f aca="true" t="shared" si="10" ref="C74:I74">+C68+C69</f>
        <v>475.8131510807893</v>
      </c>
      <c r="D74" s="41">
        <f t="shared" si="10"/>
        <v>470.3654714478354</v>
      </c>
      <c r="E74" s="42">
        <f t="shared" si="10"/>
        <v>462.7426574268898</v>
      </c>
      <c r="F74" s="52">
        <f t="shared" si="10"/>
        <v>462.9555463628561</v>
      </c>
      <c r="G74" s="52">
        <f t="shared" si="10"/>
        <v>444.1686111737211</v>
      </c>
      <c r="H74" s="52">
        <f t="shared" si="10"/>
        <v>496.44004548924164</v>
      </c>
      <c r="I74" s="52">
        <f t="shared" si="10"/>
        <v>584.3824156341813</v>
      </c>
    </row>
    <row r="75" spans="1:9" ht="15">
      <c r="A75" s="43" t="str">
        <f>HLOOKUP(INDICE!$F$2,Nombres!$C$3:$D$636,44,FALSE)</f>
        <v>Deterioro de activos financieros no valorados a valor razonable con cambios en resultados</v>
      </c>
      <c r="B75" s="44">
        <v>21.32002334618688</v>
      </c>
      <c r="C75" s="44">
        <v>0.6452082058872182</v>
      </c>
      <c r="D75" s="44">
        <v>-55.47243871020977</v>
      </c>
      <c r="E75" s="45">
        <v>-272.5487423458612</v>
      </c>
      <c r="F75" s="44">
        <v>-54.192630453761005</v>
      </c>
      <c r="G75" s="44">
        <v>-22.510027132726236</v>
      </c>
      <c r="H75" s="44">
        <v>-75.63739637757433</v>
      </c>
      <c r="I75" s="44">
        <v>-85.05718690593847</v>
      </c>
    </row>
    <row r="76" spans="1:9" ht="15">
      <c r="A76" s="43" t="str">
        <f>HLOOKUP(INDICE!$F$2,Nombres!$C$3:$D$636,45,FALSE)</f>
        <v>Provisiones o reversión de provisiones y otros resultados</v>
      </c>
      <c r="B76" s="44">
        <v>-25.36421808951335</v>
      </c>
      <c r="C76" s="44">
        <v>4.498010511311717</v>
      </c>
      <c r="D76" s="44">
        <v>-5.733398872207321</v>
      </c>
      <c r="E76" s="45">
        <v>-9.04941949942552</v>
      </c>
      <c r="F76" s="44">
        <v>3.997360439693981</v>
      </c>
      <c r="G76" s="44">
        <v>13.440429174960313</v>
      </c>
      <c r="H76" s="44">
        <v>6.758569316126552</v>
      </c>
      <c r="I76" s="44">
        <v>-15.900939350780844</v>
      </c>
    </row>
    <row r="77" spans="1:9" ht="15">
      <c r="A77" s="41" t="str">
        <f>HLOOKUP(INDICE!$F$2,Nombres!$C$3:$D$636,46,FALSE)</f>
        <v>Resultado antes de impuestos</v>
      </c>
      <c r="B77" s="41">
        <f>+B74+B75+B76</f>
        <v>473.2524243617907</v>
      </c>
      <c r="C77" s="41">
        <f aca="true" t="shared" si="11" ref="C77:I77">+C74+C75+C76</f>
        <v>480.9563697979882</v>
      </c>
      <c r="D77" s="41">
        <f t="shared" si="11"/>
        <v>409.1596338654183</v>
      </c>
      <c r="E77" s="42">
        <f t="shared" si="11"/>
        <v>181.14449558160308</v>
      </c>
      <c r="F77" s="52">
        <f t="shared" si="11"/>
        <v>412.7602763487891</v>
      </c>
      <c r="G77" s="52">
        <f t="shared" si="11"/>
        <v>435.09901321595515</v>
      </c>
      <c r="H77" s="52">
        <f t="shared" si="11"/>
        <v>427.56121842779385</v>
      </c>
      <c r="I77" s="52">
        <f t="shared" si="11"/>
        <v>483.42428937746195</v>
      </c>
    </row>
    <row r="78" spans="1:9" ht="15">
      <c r="A78" s="43" t="str">
        <f>HLOOKUP(INDICE!$F$2,Nombres!$C$3:$D$636,47,FALSE)</f>
        <v>Impuesto sobre beneficios</v>
      </c>
      <c r="B78" s="44">
        <v>-126.3448115194155</v>
      </c>
      <c r="C78" s="44">
        <v>-126.9448958615684</v>
      </c>
      <c r="D78" s="44">
        <v>-67.19883259723676</v>
      </c>
      <c r="E78" s="45">
        <v>-34.46574605034493</v>
      </c>
      <c r="F78" s="44">
        <v>-103.09226640037372</v>
      </c>
      <c r="G78" s="44">
        <v>-102.17974738197593</v>
      </c>
      <c r="H78" s="44">
        <v>-121.76774898137228</v>
      </c>
      <c r="I78" s="44">
        <v>-103.62769155627807</v>
      </c>
    </row>
    <row r="79" spans="1:9" ht="15">
      <c r="A79" s="41" t="str">
        <f>HLOOKUP(INDICE!$F$2,Nombres!$C$3:$D$636,48,FALSE)</f>
        <v>Resultado del ejercicio</v>
      </c>
      <c r="B79" s="41">
        <f>+B77+B78</f>
        <v>346.9076128423752</v>
      </c>
      <c r="C79" s="41">
        <f aca="true" t="shared" si="12" ref="C79:I79">+C77+C78</f>
        <v>354.0114739364198</v>
      </c>
      <c r="D79" s="41">
        <f t="shared" si="12"/>
        <v>341.9608012681815</v>
      </c>
      <c r="E79" s="42">
        <f t="shared" si="12"/>
        <v>146.67874953125815</v>
      </c>
      <c r="F79" s="52">
        <f t="shared" si="12"/>
        <v>309.6680099484154</v>
      </c>
      <c r="G79" s="52">
        <f t="shared" si="12"/>
        <v>332.91926583397924</v>
      </c>
      <c r="H79" s="52">
        <f t="shared" si="12"/>
        <v>305.79346944642157</v>
      </c>
      <c r="I79" s="52">
        <f t="shared" si="12"/>
        <v>379.79659782118387</v>
      </c>
    </row>
    <row r="80" spans="1:9" ht="15">
      <c r="A80" s="43" t="str">
        <f>HLOOKUP(INDICE!$F$2,Nombres!$C$3:$D$636,49,FALSE)</f>
        <v>Minoritarios</v>
      </c>
      <c r="B80" s="44">
        <v>-48.07581666675725</v>
      </c>
      <c r="C80" s="44">
        <v>-60.274243008272926</v>
      </c>
      <c r="D80" s="44">
        <v>-88.55187372467395</v>
      </c>
      <c r="E80" s="45">
        <v>23.455464616120757</v>
      </c>
      <c r="F80" s="44">
        <v>-85.43742821593487</v>
      </c>
      <c r="G80" s="44">
        <v>-75.86092619000904</v>
      </c>
      <c r="H80" s="44">
        <v>-56.8807617770834</v>
      </c>
      <c r="I80" s="44">
        <v>-78.78628107697267</v>
      </c>
    </row>
    <row r="81" spans="1:9" ht="15">
      <c r="A81" s="47" t="str">
        <f>HLOOKUP(INDICE!$F$2,Nombres!$C$3:$D$636,50,FALSE)</f>
        <v>Resultado atribuido</v>
      </c>
      <c r="B81" s="47">
        <f>+B79+B80</f>
        <v>298.83179617561797</v>
      </c>
      <c r="C81" s="47">
        <f aca="true" t="shared" si="13" ref="C81:I81">+C79+C80</f>
        <v>293.73723092814686</v>
      </c>
      <c r="D81" s="47">
        <f t="shared" si="13"/>
        <v>253.40892754350756</v>
      </c>
      <c r="E81" s="47">
        <f t="shared" si="13"/>
        <v>170.1342141473789</v>
      </c>
      <c r="F81" s="53">
        <f t="shared" si="13"/>
        <v>224.23058173248052</v>
      </c>
      <c r="G81" s="53">
        <f t="shared" si="13"/>
        <v>257.0583396439702</v>
      </c>
      <c r="H81" s="53">
        <f t="shared" si="13"/>
        <v>248.91270766933818</v>
      </c>
      <c r="I81" s="53">
        <f t="shared" si="13"/>
        <v>301.0103167442112</v>
      </c>
    </row>
    <row r="82" spans="1:9" ht="15">
      <c r="A82" s="65"/>
      <c r="B82" s="66">
        <v>0</v>
      </c>
      <c r="C82" s="66">
        <v>0</v>
      </c>
      <c r="D82" s="66">
        <v>0</v>
      </c>
      <c r="E82" s="66">
        <v>0</v>
      </c>
      <c r="F82" s="66">
        <v>0</v>
      </c>
      <c r="G82" s="66">
        <v>0</v>
      </c>
      <c r="H82" s="66">
        <v>0</v>
      </c>
      <c r="I82" s="66">
        <v>0</v>
      </c>
    </row>
    <row r="83" spans="1:9" ht="15">
      <c r="A83" s="41"/>
      <c r="B83" s="41"/>
      <c r="C83" s="41"/>
      <c r="D83" s="41"/>
      <c r="E83" s="41"/>
      <c r="F83" s="52"/>
      <c r="G83" s="52"/>
      <c r="H83" s="52"/>
      <c r="I83" s="52"/>
    </row>
    <row r="84" spans="1:9" ht="18">
      <c r="A84" s="33" t="str">
        <f>HLOOKUP(INDICE!$F$2,Nombres!$C$3:$D$636,51,FALSE)</f>
        <v>Balances</v>
      </c>
      <c r="B84" s="34"/>
      <c r="C84" s="34"/>
      <c r="D84" s="34"/>
      <c r="E84" s="34"/>
      <c r="F84" s="72"/>
      <c r="G84" s="72"/>
      <c r="H84" s="72"/>
      <c r="I84" s="72"/>
    </row>
    <row r="85" spans="1:9" ht="15">
      <c r="A85" s="35" t="str">
        <f>HLOOKUP(INDICE!$F$2,Nombres!$C$3:$D$636,73,FALSE)</f>
        <v>(Millones de euros constantes)</v>
      </c>
      <c r="B85" s="30"/>
      <c r="C85" s="54"/>
      <c r="D85" s="54"/>
      <c r="E85" s="54"/>
      <c r="F85" s="73"/>
      <c r="G85" s="44"/>
      <c r="H85" s="44"/>
      <c r="I85" s="44"/>
    </row>
    <row r="86" spans="1:9" ht="15.75">
      <c r="A86" s="30"/>
      <c r="B86" s="55">
        <f aca="true" t="shared" si="14" ref="B86:I86">+B$30</f>
        <v>43190</v>
      </c>
      <c r="C86" s="55">
        <f t="shared" si="14"/>
        <v>43281</v>
      </c>
      <c r="D86" s="55">
        <f t="shared" si="14"/>
        <v>43373</v>
      </c>
      <c r="E86" s="71">
        <f t="shared" si="14"/>
        <v>43465</v>
      </c>
      <c r="F86" s="55">
        <f t="shared" si="14"/>
        <v>43555</v>
      </c>
      <c r="G86" s="55">
        <f t="shared" si="14"/>
        <v>43646</v>
      </c>
      <c r="H86" s="55">
        <f t="shared" si="14"/>
        <v>43738</v>
      </c>
      <c r="I86" s="55">
        <f t="shared" si="14"/>
        <v>43830</v>
      </c>
    </row>
    <row r="87" spans="1:9" ht="15">
      <c r="A87" s="43" t="str">
        <f>HLOOKUP(INDICE!$F$2,Nombres!$C$3:$D$636,52,FALSE)</f>
        <v>Efectivo, saldos en efectivo en bancos centrales y otros depósitos a la vista</v>
      </c>
      <c r="B87" s="44">
        <v>3923.3758761931217</v>
      </c>
      <c r="C87" s="44">
        <v>3793.391137786442</v>
      </c>
      <c r="D87" s="44">
        <v>3612.390222905954</v>
      </c>
      <c r="E87" s="45">
        <v>5159.85457443761</v>
      </c>
      <c r="F87" s="44">
        <v>6059.363449192579</v>
      </c>
      <c r="G87" s="44">
        <v>4883.35910253116</v>
      </c>
      <c r="H87" s="44">
        <v>4597.332542592827</v>
      </c>
      <c r="I87" s="44">
        <v>3512.9477220999997</v>
      </c>
    </row>
    <row r="88" spans="1:9" ht="15">
      <c r="A88" s="43" t="str">
        <f>HLOOKUP(INDICE!$F$2,Nombres!$C$3:$D$636,53,FALSE)</f>
        <v>Activos financieros a valor razonable</v>
      </c>
      <c r="B88" s="60">
        <v>100935.3379108695</v>
      </c>
      <c r="C88" s="60">
        <v>100008.84555266387</v>
      </c>
      <c r="D88" s="60">
        <v>93476.45240535631</v>
      </c>
      <c r="E88" s="68">
        <v>93076.96204665226</v>
      </c>
      <c r="F88" s="44">
        <v>94547.93466216474</v>
      </c>
      <c r="G88" s="44">
        <v>108678.52044141974</v>
      </c>
      <c r="H88" s="44">
        <v>112709.53647441592</v>
      </c>
      <c r="I88" s="44">
        <v>105385.51679066</v>
      </c>
    </row>
    <row r="89" spans="1:9" ht="15">
      <c r="A89" s="43" t="str">
        <f>HLOOKUP(INDICE!$F$2,Nombres!$C$3:$D$636,54,FALSE)</f>
        <v>Activos financieros a coste amortizado</v>
      </c>
      <c r="B89" s="44">
        <v>61660.824921485975</v>
      </c>
      <c r="C89" s="44">
        <v>64913.20222980579</v>
      </c>
      <c r="D89" s="44">
        <v>64190.49429652398</v>
      </c>
      <c r="E89" s="45">
        <v>64855.247801811944</v>
      </c>
      <c r="F89" s="44">
        <v>67829.7955222615</v>
      </c>
      <c r="G89" s="44">
        <v>67331.46644806652</v>
      </c>
      <c r="H89" s="44">
        <v>73939.66363406891</v>
      </c>
      <c r="I89" s="44">
        <v>76169.23174763001</v>
      </c>
    </row>
    <row r="90" spans="1:9" ht="15">
      <c r="A90" s="43" t="str">
        <f>HLOOKUP(INDICE!$F$2,Nombres!$C$3:$D$636,55,FALSE)</f>
        <v>    de los que préstamos y anticipos a la clientela</v>
      </c>
      <c r="B90" s="44">
        <v>53711.8714956486</v>
      </c>
      <c r="C90" s="44">
        <v>57179.57164665803</v>
      </c>
      <c r="D90" s="44">
        <v>56274.87174628968</v>
      </c>
      <c r="E90" s="45">
        <v>58471.582140782484</v>
      </c>
      <c r="F90" s="44">
        <v>60503.09825214359</v>
      </c>
      <c r="G90" s="44">
        <v>58116.093512975836</v>
      </c>
      <c r="H90" s="44">
        <v>61521.202852908005</v>
      </c>
      <c r="I90" s="44">
        <v>65915.11951481</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30.773948673187654</v>
      </c>
      <c r="C92" s="44">
        <v>30.77601142135686</v>
      </c>
      <c r="D92" s="44">
        <v>29.403349891252766</v>
      </c>
      <c r="E92" s="45">
        <v>28.908426729731737</v>
      </c>
      <c r="F92" s="44">
        <v>81.38486199411783</v>
      </c>
      <c r="G92" s="44">
        <v>76.22031862758604</v>
      </c>
      <c r="H92" s="44">
        <v>78.41828281135686</v>
      </c>
      <c r="I92" s="44">
        <v>63.451362519999996</v>
      </c>
    </row>
    <row r="93" spans="1:9" ht="15">
      <c r="A93" s="43" t="str">
        <f>HLOOKUP(INDICE!$F$2,Nombres!$C$3:$D$636,57,FALSE)</f>
        <v>Otros activos</v>
      </c>
      <c r="B93" s="60">
        <f>+B94-B92-B89-B88-B87-B91</f>
        <v>3015.3895102719566</v>
      </c>
      <c r="C93" s="60">
        <f aca="true" t="shared" si="15" ref="C93:I93">+C94-C92-C89-C88-C87-C91</f>
        <v>4713.155117843475</v>
      </c>
      <c r="D93" s="60">
        <f t="shared" si="15"/>
        <v>3766.376179399819</v>
      </c>
      <c r="E93" s="68">
        <f t="shared" si="15"/>
        <v>2235.716726441133</v>
      </c>
      <c r="F93" s="60">
        <f t="shared" si="15"/>
        <v>1764.8331330316996</v>
      </c>
      <c r="G93" s="60">
        <f t="shared" si="15"/>
        <v>1878.3689984370449</v>
      </c>
      <c r="H93" s="60">
        <f t="shared" si="15"/>
        <v>13866.002837118554</v>
      </c>
      <c r="I93" s="60">
        <f t="shared" si="15"/>
        <v>2505.785116260011</v>
      </c>
    </row>
    <row r="94" spans="1:9" ht="15">
      <c r="A94" s="47" t="str">
        <f>HLOOKUP(INDICE!$F$2,Nombres!$C$3:$D$636,58,FALSE)</f>
        <v>Total activo / pasivo</v>
      </c>
      <c r="B94" s="47">
        <v>169565.70216749373</v>
      </c>
      <c r="C94" s="47">
        <v>173459.37004952092</v>
      </c>
      <c r="D94" s="47">
        <v>165075.1164540773</v>
      </c>
      <c r="E94" s="74">
        <v>165356.68957607268</v>
      </c>
      <c r="F94" s="53">
        <v>170283.31162864465</v>
      </c>
      <c r="G94" s="53">
        <v>182847.93530908204</v>
      </c>
      <c r="H94" s="53">
        <v>205190.95377100757</v>
      </c>
      <c r="I94" s="53">
        <v>187636.93273917</v>
      </c>
    </row>
    <row r="95" spans="1:9" ht="15">
      <c r="A95" s="43" t="str">
        <f>HLOOKUP(INDICE!$F$2,Nombres!$C$3:$D$636,59,FALSE)</f>
        <v>Pasivos financieros mantenidos para negociar y designados a valor razonable con cambios en resultados</v>
      </c>
      <c r="B95" s="60">
        <v>80198.52043428677</v>
      </c>
      <c r="C95" s="60">
        <v>79473.98626270611</v>
      </c>
      <c r="D95" s="60">
        <v>76750.33235151885</v>
      </c>
      <c r="E95" s="68">
        <v>73285.57374735246</v>
      </c>
      <c r="F95" s="44">
        <v>81861.59019269189</v>
      </c>
      <c r="G95" s="44">
        <v>94391.40267969127</v>
      </c>
      <c r="H95" s="44">
        <v>94290.42664166084</v>
      </c>
      <c r="I95" s="44">
        <v>91657.31260181002</v>
      </c>
    </row>
    <row r="96" spans="1:9" ht="15">
      <c r="A96" s="43" t="str">
        <f>HLOOKUP(INDICE!$F$2,Nombres!$C$3:$D$636,60,FALSE)</f>
        <v>Depósitos de bancos centrales y entidades de crédito</v>
      </c>
      <c r="B96" s="60">
        <v>19994.93445093608</v>
      </c>
      <c r="C96" s="60">
        <v>16399.451326054772</v>
      </c>
      <c r="D96" s="60">
        <v>16015.523927681412</v>
      </c>
      <c r="E96" s="68">
        <v>19751.603419563577</v>
      </c>
      <c r="F96" s="44">
        <v>15374.4554234347</v>
      </c>
      <c r="G96" s="44">
        <v>16404.421878434416</v>
      </c>
      <c r="H96" s="44">
        <v>16889.853791837962</v>
      </c>
      <c r="I96" s="44">
        <v>15425.909796369999</v>
      </c>
    </row>
    <row r="97" spans="1:9" ht="15">
      <c r="A97" s="43" t="str">
        <f>HLOOKUP(INDICE!$F$2,Nombres!$C$3:$D$636,61,FALSE)</f>
        <v>Depósitos de la clientela</v>
      </c>
      <c r="B97" s="60">
        <v>42089.24936630414</v>
      </c>
      <c r="C97" s="60">
        <v>39981.168302451646</v>
      </c>
      <c r="D97" s="60">
        <v>41466.17573043141</v>
      </c>
      <c r="E97" s="68">
        <v>43258.217404947914</v>
      </c>
      <c r="F97" s="44">
        <v>35621.54310528782</v>
      </c>
      <c r="G97" s="44">
        <v>34102.43548523838</v>
      </c>
      <c r="H97" s="44">
        <v>36855.61809819224</v>
      </c>
      <c r="I97" s="44">
        <v>38864.243928489996</v>
      </c>
    </row>
    <row r="98" spans="1:9" ht="15">
      <c r="A98" s="43" t="str">
        <f>HLOOKUP(INDICE!$F$2,Nombres!$C$3:$D$636,62,FALSE)</f>
        <v>Valores representativos de deuda emitidos</v>
      </c>
      <c r="B98" s="44">
        <v>2374.4981587157313</v>
      </c>
      <c r="C98" s="44">
        <v>2329.2328399980197</v>
      </c>
      <c r="D98" s="44">
        <v>2109.197661514681</v>
      </c>
      <c r="E98" s="45">
        <v>1952.0307916628572</v>
      </c>
      <c r="F98" s="44">
        <v>2028.9280920609199</v>
      </c>
      <c r="G98" s="44">
        <v>3009.500478654443</v>
      </c>
      <c r="H98" s="44">
        <v>2423.2697723241263</v>
      </c>
      <c r="I98" s="44">
        <v>2625.16484926</v>
      </c>
    </row>
    <row r="99" spans="1:9" ht="15">
      <c r="A99" s="43" t="str">
        <f>HLOOKUP(INDICE!$F$2,Nombres!$C$3:$D$636,122,FALSE)</f>
        <v>Posiciones inter-áreas pasivo</v>
      </c>
      <c r="B99" s="44">
        <v>16038.185947474907</v>
      </c>
      <c r="C99" s="44">
        <v>26218.694982735702</v>
      </c>
      <c r="D99" s="44">
        <v>22442.956350994617</v>
      </c>
      <c r="E99" s="45">
        <v>19562.93279574369</v>
      </c>
      <c r="F99" s="44">
        <v>29857.881667291746</v>
      </c>
      <c r="G99" s="44">
        <v>27148.802612002124</v>
      </c>
      <c r="H99" s="44">
        <v>46393.942663172</v>
      </c>
      <c r="I99" s="44">
        <v>31678.359819210105</v>
      </c>
    </row>
    <row r="100" spans="1:9" ht="15">
      <c r="A100" s="43" t="str">
        <f>HLOOKUP(INDICE!$F$2,Nombres!$C$3:$D$636,63,FALSE)</f>
        <v>Otros pasivos</v>
      </c>
      <c r="B100" s="60">
        <f>+B94-B95-B96-B97-B98-B101-B99</f>
        <v>5566.80973731085</v>
      </c>
      <c r="C100" s="60">
        <f aca="true" t="shared" si="16" ref="C100:I100">+C94-C95-C96-C97-C98-C101-C99</f>
        <v>5949.676002123528</v>
      </c>
      <c r="D100" s="60">
        <f t="shared" si="16"/>
        <v>3153.4815855050147</v>
      </c>
      <c r="E100" s="68">
        <f t="shared" si="16"/>
        <v>4384.380370131195</v>
      </c>
      <c r="F100" s="60">
        <f t="shared" si="16"/>
        <v>1409.9590984835595</v>
      </c>
      <c r="G100" s="60">
        <f t="shared" si="16"/>
        <v>4111.566631090889</v>
      </c>
      <c r="H100" s="60">
        <f t="shared" si="16"/>
        <v>4313.73722569026</v>
      </c>
      <c r="I100" s="60">
        <f t="shared" si="16"/>
        <v>2898.732506399887</v>
      </c>
    </row>
    <row r="101" spans="1:9" ht="15">
      <c r="A101" s="43" t="str">
        <f>HLOOKUP(INDICE!$F$2,Nombres!$C$3:$D$636,64,FALSE)</f>
        <v>Dotación de capital económico</v>
      </c>
      <c r="B101" s="44">
        <v>3303.504072465253</v>
      </c>
      <c r="C101" s="44">
        <v>3107.1603334511487</v>
      </c>
      <c r="D101" s="44">
        <v>3137.4488464313185</v>
      </c>
      <c r="E101" s="45">
        <v>3161.95104667098</v>
      </c>
      <c r="F101" s="44">
        <v>4128.954049394009</v>
      </c>
      <c r="G101" s="44">
        <v>3679.805543970524</v>
      </c>
      <c r="H101" s="44">
        <v>4024.105578130138</v>
      </c>
      <c r="I101" s="44">
        <v>4487.20923763</v>
      </c>
    </row>
    <row r="102" spans="1:9" ht="15">
      <c r="A102" s="65"/>
      <c r="B102" s="60"/>
      <c r="C102" s="60"/>
      <c r="D102" s="60"/>
      <c r="E102" s="60"/>
      <c r="F102" s="44"/>
      <c r="G102" s="44"/>
      <c r="H102" s="44"/>
      <c r="I102" s="44"/>
    </row>
    <row r="103" spans="1:9" ht="15">
      <c r="A103" s="43"/>
      <c r="B103" s="60"/>
      <c r="C103" s="60"/>
      <c r="D103" s="60"/>
      <c r="E103" s="60"/>
      <c r="F103" s="44"/>
      <c r="G103" s="44"/>
      <c r="H103" s="44"/>
      <c r="I103" s="44"/>
    </row>
    <row r="104" spans="1:9" ht="18">
      <c r="A104" s="33" t="str">
        <f>HLOOKUP(INDICE!$F$2,Nombres!$C$3:$D$636,65,FALSE)</f>
        <v>Indicadores relevantes y de gestión</v>
      </c>
      <c r="B104" s="34"/>
      <c r="C104" s="34"/>
      <c r="D104" s="34"/>
      <c r="E104" s="34"/>
      <c r="F104" s="72"/>
      <c r="G104" s="72"/>
      <c r="H104" s="72"/>
      <c r="I104" s="72"/>
    </row>
    <row r="105" spans="1:9" ht="15">
      <c r="A105" s="35" t="str">
        <f>HLOOKUP(INDICE!$F$2,Nombres!$C$3:$D$636,73,FALSE)</f>
        <v>(Millones de euros constantes)</v>
      </c>
      <c r="B105" s="30"/>
      <c r="C105" s="30"/>
      <c r="D105" s="30"/>
      <c r="E105" s="30"/>
      <c r="F105" s="73"/>
      <c r="G105" s="44"/>
      <c r="H105" s="44"/>
      <c r="I105" s="44"/>
    </row>
    <row r="106" spans="1:9" ht="15.75">
      <c r="A106" s="30"/>
      <c r="B106" s="55">
        <f aca="true" t="shared" si="17" ref="B106:I106">+B$30</f>
        <v>43190</v>
      </c>
      <c r="C106" s="55">
        <f t="shared" si="17"/>
        <v>43281</v>
      </c>
      <c r="D106" s="55">
        <f t="shared" si="17"/>
        <v>43373</v>
      </c>
      <c r="E106" s="71">
        <f t="shared" si="17"/>
        <v>43465</v>
      </c>
      <c r="F106" s="55">
        <f t="shared" si="17"/>
        <v>43555</v>
      </c>
      <c r="G106" s="55">
        <f t="shared" si="17"/>
        <v>43646</v>
      </c>
      <c r="H106" s="55">
        <f t="shared" si="17"/>
        <v>43738</v>
      </c>
      <c r="I106" s="55">
        <f t="shared" si="17"/>
        <v>43830</v>
      </c>
    </row>
    <row r="107" spans="1:9" ht="15">
      <c r="A107" s="43" t="str">
        <f>HLOOKUP(INDICE!$F$2,Nombres!$C$3:$D$636,66,FALSE)</f>
        <v>Préstamos y anticipos a la clientela bruto (*)</v>
      </c>
      <c r="B107" s="44">
        <v>53811.34021686908</v>
      </c>
      <c r="C107" s="44">
        <v>57863.47468210276</v>
      </c>
      <c r="D107" s="44">
        <v>57036.259077830124</v>
      </c>
      <c r="E107" s="45">
        <v>59137.40742235762</v>
      </c>
      <c r="F107" s="44">
        <v>60912.847796877955</v>
      </c>
      <c r="G107" s="44">
        <v>58273.524441270776</v>
      </c>
      <c r="H107" s="44">
        <v>61883.158483906955</v>
      </c>
      <c r="I107" s="44">
        <v>66554.28311207</v>
      </c>
    </row>
    <row r="108" spans="1:9" ht="15">
      <c r="A108" s="43" t="str">
        <f>HLOOKUP(INDICE!$F$2,Nombres!$C$3:$D$636,67,FALSE)</f>
        <v>Depósitos de clientes en gestión (**)</v>
      </c>
      <c r="B108" s="44">
        <v>37380.742722991075</v>
      </c>
      <c r="C108" s="44">
        <v>36562.067426473026</v>
      </c>
      <c r="D108" s="44">
        <v>38898.49825595123</v>
      </c>
      <c r="E108" s="45">
        <v>39626.13884334279</v>
      </c>
      <c r="F108" s="44">
        <v>35621.51532922648</v>
      </c>
      <c r="G108" s="44">
        <v>34077.56179647931</v>
      </c>
      <c r="H108" s="44">
        <v>36807.00918659838</v>
      </c>
      <c r="I108" s="44">
        <v>38848.268843260004</v>
      </c>
    </row>
    <row r="109" spans="1:9" ht="15">
      <c r="A109" s="43" t="str">
        <f>HLOOKUP(INDICE!$F$2,Nombres!$C$3:$D$636,68,FALSE)</f>
        <v>Fondos de inversión</v>
      </c>
      <c r="B109" s="44">
        <v>996.6634769040007</v>
      </c>
      <c r="C109" s="44">
        <v>883.3637334290449</v>
      </c>
      <c r="D109" s="44">
        <v>584.4879671810282</v>
      </c>
      <c r="E109" s="45">
        <v>625.6598825884051</v>
      </c>
      <c r="F109" s="44">
        <v>770.7319283443006</v>
      </c>
      <c r="G109" s="44">
        <v>692.2731426528736</v>
      </c>
      <c r="H109" s="44">
        <v>730.4783247501053</v>
      </c>
      <c r="I109" s="44">
        <v>634.9319168100001</v>
      </c>
    </row>
    <row r="110" spans="1:9" ht="15">
      <c r="A110" s="43" t="str">
        <f>HLOOKUP(INDICE!$F$2,Nombres!$C$3:$D$636,69,FALSE)</f>
        <v>Fondos de pensiones</v>
      </c>
      <c r="B110" s="44" t="s">
        <v>400</v>
      </c>
      <c r="C110" s="44" t="s">
        <v>400</v>
      </c>
      <c r="D110" s="44" t="s">
        <v>400</v>
      </c>
      <c r="E110" s="45" t="s">
        <v>400</v>
      </c>
      <c r="F110" s="44" t="s">
        <v>400</v>
      </c>
      <c r="G110" s="44" t="s">
        <v>400</v>
      </c>
      <c r="H110" s="44" t="s">
        <v>400</v>
      </c>
      <c r="I110" s="44" t="s">
        <v>400</v>
      </c>
    </row>
    <row r="111" spans="1:9" ht="15">
      <c r="A111" s="43" t="str">
        <f>HLOOKUP(INDICE!$F$2,Nombres!$C$3:$D$636,70,FALSE)</f>
        <v>Otros recursos fuera de balance</v>
      </c>
      <c r="B111" s="44">
        <v>121.5900762198918</v>
      </c>
      <c r="C111" s="44">
        <v>322.22356712619325</v>
      </c>
      <c r="D111" s="44">
        <v>304.96913464801673</v>
      </c>
      <c r="E111" s="45">
        <v>331.9446071605313</v>
      </c>
      <c r="F111" s="44">
        <v>557.8152046218544</v>
      </c>
      <c r="G111" s="44">
        <v>565.6843654733179</v>
      </c>
      <c r="H111" s="44">
        <v>388.99964978447923</v>
      </c>
      <c r="I111" s="44">
        <v>401.88187617</v>
      </c>
    </row>
    <row r="112" spans="1:9" ht="15">
      <c r="A112" s="65" t="str">
        <f>HLOOKUP(INDICE!$F$2,Nombres!$C$3:$D$636,71,FALSE)</f>
        <v>(*) No incluye las adquisiciones temporales de activos.</v>
      </c>
      <c r="B112" s="60"/>
      <c r="C112" s="60"/>
      <c r="D112" s="60"/>
      <c r="E112" s="60"/>
      <c r="F112" s="60"/>
      <c r="G112" s="60"/>
      <c r="H112" s="60"/>
      <c r="I112" s="60"/>
    </row>
    <row r="113" spans="1:9" ht="15">
      <c r="A113" s="65" t="str">
        <f>HLOOKUP(INDICE!$F$2,Nombres!$C$3:$D$636,72,FALSE)</f>
        <v>(**) No incluye las cesiones temporales de activos.</v>
      </c>
      <c r="B113" s="30"/>
      <c r="C113" s="30"/>
      <c r="D113" s="30"/>
      <c r="E113" s="30"/>
      <c r="F113" s="30"/>
      <c r="G113" s="30"/>
      <c r="H113" s="30"/>
      <c r="I113" s="30"/>
    </row>
    <row r="114" spans="1:9" ht="15">
      <c r="A114" s="65"/>
      <c r="B114" s="60"/>
      <c r="C114" s="44"/>
      <c r="D114" s="44"/>
      <c r="E114" s="44"/>
      <c r="F114" s="44"/>
      <c r="G114" s="30"/>
      <c r="H114" s="30"/>
      <c r="I114" s="30"/>
    </row>
    <row r="120" spans="6:9" ht="15">
      <c r="F120" s="86"/>
      <c r="G120" s="86"/>
      <c r="H120" s="86"/>
      <c r="I120" s="86"/>
    </row>
    <row r="121" spans="6:9" ht="15">
      <c r="F121" s="86"/>
      <c r="G121" s="86"/>
      <c r="H121" s="86"/>
      <c r="I121" s="86"/>
    </row>
    <row r="122" spans="6:9" ht="15">
      <c r="F122" s="86"/>
      <c r="G122" s="86"/>
      <c r="H122" s="86"/>
      <c r="I122" s="86"/>
    </row>
    <row r="123" spans="6:9" ht="15">
      <c r="F123" s="86"/>
      <c r="G123" s="86"/>
      <c r="H123" s="86"/>
      <c r="I123" s="86"/>
    </row>
    <row r="124" spans="6:9" ht="15">
      <c r="F124" s="86"/>
      <c r="G124" s="86"/>
      <c r="H124" s="86"/>
      <c r="I124" s="86"/>
    </row>
    <row r="125" spans="6:9" ht="15">
      <c r="F125" s="86"/>
      <c r="G125" s="86"/>
      <c r="H125" s="86"/>
      <c r="I125" s="86"/>
    </row>
    <row r="126" spans="6:9" ht="15">
      <c r="F126" s="86"/>
      <c r="G126" s="86"/>
      <c r="H126" s="86"/>
      <c r="I126" s="86"/>
    </row>
    <row r="127" spans="6:9" ht="15">
      <c r="F127" s="86"/>
      <c r="G127" s="86"/>
      <c r="H127" s="86"/>
      <c r="I127" s="86"/>
    </row>
    <row r="128" spans="6:9" ht="15">
      <c r="F128" s="86"/>
      <c r="G128" s="86"/>
      <c r="H128" s="86"/>
      <c r="I128" s="86"/>
    </row>
    <row r="129" spans="6:9" ht="15">
      <c r="F129" s="86"/>
      <c r="G129" s="86"/>
      <c r="H129" s="86"/>
      <c r="I129" s="86"/>
    </row>
    <row r="130" spans="6:9" ht="15">
      <c r="F130" s="86"/>
      <c r="G130" s="86"/>
      <c r="H130" s="86"/>
      <c r="I130" s="86"/>
    </row>
    <row r="131" spans="6:9" ht="15">
      <c r="F131" s="86"/>
      <c r="G131" s="86"/>
      <c r="H131" s="86"/>
      <c r="I131" s="86"/>
    </row>
    <row r="132" spans="6:9" ht="15">
      <c r="F132" s="86"/>
      <c r="G132" s="86"/>
      <c r="H132" s="86"/>
      <c r="I132" s="86"/>
    </row>
    <row r="133" spans="6:9" ht="15">
      <c r="F133" s="86"/>
      <c r="G133" s="86"/>
      <c r="H133" s="86"/>
      <c r="I133" s="86"/>
    </row>
    <row r="134" spans="6:9" ht="15">
      <c r="F134" s="86"/>
      <c r="G134" s="86"/>
      <c r="H134" s="86"/>
      <c r="I134" s="86"/>
    </row>
    <row r="135" spans="6:9" ht="15">
      <c r="F135" s="86"/>
      <c r="G135" s="86"/>
      <c r="H135" s="86"/>
      <c r="I135" s="86"/>
    </row>
    <row r="136" spans="6:9" ht="15">
      <c r="F136" s="86"/>
      <c r="G136" s="86"/>
      <c r="H136" s="86"/>
      <c r="I136" s="86"/>
    </row>
    <row r="137" spans="6:9" ht="15">
      <c r="F137" s="86"/>
      <c r="G137" s="86"/>
      <c r="H137" s="86"/>
      <c r="I137" s="86"/>
    </row>
    <row r="138" spans="6:9" ht="15">
      <c r="F138" s="86"/>
      <c r="G138" s="86"/>
      <c r="H138" s="86"/>
      <c r="I138" s="86"/>
    </row>
    <row r="139" spans="6:9" ht="15">
      <c r="F139" s="86"/>
      <c r="G139" s="86"/>
      <c r="H139" s="86"/>
      <c r="I139" s="86"/>
    </row>
    <row r="140" spans="6:9" ht="15">
      <c r="F140" s="86"/>
      <c r="G140" s="86"/>
      <c r="H140" s="86"/>
      <c r="I140" s="86"/>
    </row>
    <row r="141" spans="6:9" ht="15">
      <c r="F141" s="86"/>
      <c r="G141" s="86"/>
      <c r="H141" s="86"/>
      <c r="I141" s="86"/>
    </row>
    <row r="142" spans="6:9" ht="15">
      <c r="F142" s="86"/>
      <c r="G142" s="86"/>
      <c r="H142" s="86"/>
      <c r="I142" s="86"/>
    </row>
    <row r="143" spans="6:9" ht="15">
      <c r="F143" s="86"/>
      <c r="G143" s="86"/>
      <c r="H143" s="86"/>
      <c r="I143" s="86"/>
    </row>
    <row r="144" spans="6:9" ht="15">
      <c r="F144" s="86"/>
      <c r="G144" s="86"/>
      <c r="H144" s="86"/>
      <c r="I144" s="86"/>
    </row>
    <row r="145" spans="6:9" ht="15">
      <c r="F145" s="86"/>
      <c r="G145" s="86"/>
      <c r="H145" s="86"/>
      <c r="I145" s="86"/>
    </row>
    <row r="146" spans="6:9" ht="15">
      <c r="F146" s="86"/>
      <c r="G146" s="86"/>
      <c r="H146" s="86"/>
      <c r="I146" s="86"/>
    </row>
    <row r="147" spans="6:9" ht="15">
      <c r="F147" s="86"/>
      <c r="G147" s="86"/>
      <c r="H147" s="86"/>
      <c r="I147" s="86"/>
    </row>
    <row r="148" spans="6:9" ht="15">
      <c r="F148" s="86"/>
      <c r="G148" s="86"/>
      <c r="H148" s="86"/>
      <c r="I148" s="86"/>
    </row>
    <row r="149" spans="6:9" ht="15">
      <c r="F149" s="86"/>
      <c r="G149" s="86"/>
      <c r="H149" s="86"/>
      <c r="I149" s="86"/>
    </row>
    <row r="150" spans="6:9" ht="15">
      <c r="F150" s="86"/>
      <c r="G150" s="86"/>
      <c r="H150" s="86"/>
      <c r="I150" s="86"/>
    </row>
    <row r="151" spans="6:9" ht="15">
      <c r="F151" s="86"/>
      <c r="G151" s="86"/>
      <c r="H151" s="86"/>
      <c r="I151" s="86"/>
    </row>
    <row r="152" spans="6:9" ht="15">
      <c r="F152" s="86"/>
      <c r="G152" s="86"/>
      <c r="H152" s="86"/>
      <c r="I152" s="86"/>
    </row>
    <row r="153" spans="6:9" ht="15">
      <c r="F153" s="86"/>
      <c r="G153" s="86"/>
      <c r="H153" s="86"/>
      <c r="I153" s="86"/>
    </row>
    <row r="154" spans="6:9" ht="15">
      <c r="F154" s="86"/>
      <c r="G154" s="86"/>
      <c r="H154" s="86"/>
      <c r="I154" s="86"/>
    </row>
    <row r="155" spans="6:9" ht="15">
      <c r="F155" s="86"/>
      <c r="G155" s="86"/>
      <c r="H155" s="86"/>
      <c r="I155" s="86"/>
    </row>
    <row r="156" spans="6:9" ht="15">
      <c r="F156" s="86"/>
      <c r="G156" s="86"/>
      <c r="H156" s="86"/>
      <c r="I156" s="86"/>
    </row>
    <row r="157" spans="6:9" ht="15">
      <c r="F157" s="86"/>
      <c r="G157" s="86"/>
      <c r="H157" s="86"/>
      <c r="I157" s="86"/>
    </row>
    <row r="158" spans="6:9" ht="15">
      <c r="F158" s="86"/>
      <c r="G158" s="86"/>
      <c r="H158" s="86"/>
      <c r="I158" s="86"/>
    </row>
    <row r="159" spans="6:9" ht="15">
      <c r="F159" s="86"/>
      <c r="G159" s="86"/>
      <c r="H159" s="86"/>
      <c r="I159" s="86"/>
    </row>
    <row r="160" spans="6:9" ht="15">
      <c r="F160" s="86"/>
      <c r="G160" s="86"/>
      <c r="H160" s="86"/>
      <c r="I160" s="86"/>
    </row>
    <row r="161" spans="6:9" ht="15">
      <c r="F161" s="86"/>
      <c r="G161" s="86"/>
      <c r="H161" s="86"/>
      <c r="I161" s="86"/>
    </row>
    <row r="162" spans="6:9" ht="15">
      <c r="F162" s="86"/>
      <c r="G162" s="86"/>
      <c r="H162" s="86"/>
      <c r="I162" s="86"/>
    </row>
    <row r="163" spans="6:9" ht="15">
      <c r="F163" s="86"/>
      <c r="G163" s="86"/>
      <c r="H163" s="86"/>
      <c r="I163" s="86"/>
    </row>
    <row r="164" spans="6:9" ht="15">
      <c r="F164" s="86"/>
      <c r="G164" s="86"/>
      <c r="H164" s="86"/>
      <c r="I164" s="86"/>
    </row>
    <row r="165" spans="6:9" ht="15">
      <c r="F165" s="86"/>
      <c r="G165" s="86"/>
      <c r="H165" s="86"/>
      <c r="I165" s="86"/>
    </row>
    <row r="166" spans="6:9" ht="15">
      <c r="F166" s="86"/>
      <c r="G166" s="86"/>
      <c r="H166" s="86"/>
      <c r="I166" s="86"/>
    </row>
    <row r="1000" ht="15">
      <c r="A1000" s="31" t="s">
        <v>399</v>
      </c>
    </row>
  </sheetData>
  <sheetProtection/>
  <mergeCells count="4">
    <mergeCell ref="B6:E6"/>
    <mergeCell ref="B62:E62"/>
    <mergeCell ref="F6:I6"/>
    <mergeCell ref="F62:I62"/>
  </mergeCells>
  <conditionalFormatting sqref="B26:I26">
    <cfRule type="cellIs" priority="2" dxfId="116" operator="notBetween">
      <formula>0.5</formula>
      <formula>-0.5</formula>
    </cfRule>
  </conditionalFormatting>
  <conditionalFormatting sqref="B82:I82">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A4" sqref="A4"/>
    </sheetView>
  </sheetViews>
  <sheetFormatPr defaultColWidth="12.57421875" defaultRowHeight="15"/>
  <cols>
    <col min="1" max="1" width="40.7109375" style="102" customWidth="1"/>
    <col min="2" max="9" width="10.00390625" style="102" customWidth="1"/>
    <col min="10" max="255" width="12.57421875" style="102" customWidth="1"/>
  </cols>
  <sheetData>
    <row r="1" spans="1:9" ht="18">
      <c r="A1" s="100" t="str">
        <f>HLOOKUP(INDICE!$F$2,Nombres!$C$3:$D$636,82,FALSE)</f>
        <v>Eficiencia (*)</v>
      </c>
      <c r="B1" s="101"/>
      <c r="C1" s="101"/>
      <c r="D1" s="101"/>
      <c r="E1" s="101"/>
      <c r="F1" s="101"/>
      <c r="G1" s="101"/>
      <c r="H1" s="101"/>
      <c r="I1" s="101"/>
    </row>
    <row r="2" spans="1:9" ht="15">
      <c r="A2" s="103" t="str">
        <f>HLOOKUP(INDICE!$F$2,Nombres!$C$3:$D$636,84,FALSE)</f>
        <v>(Porcentaje)</v>
      </c>
      <c r="B2" s="104"/>
      <c r="C2" s="104"/>
      <c r="D2" s="104"/>
      <c r="E2" s="104"/>
      <c r="F2" s="104"/>
      <c r="G2" s="104"/>
      <c r="H2" s="104"/>
      <c r="I2" s="104"/>
    </row>
    <row r="3" spans="1:9" ht="15.75">
      <c r="A3" s="105"/>
      <c r="B3" s="106">
        <v>43190</v>
      </c>
      <c r="C3" s="106">
        <v>43281</v>
      </c>
      <c r="D3" s="106">
        <v>43373</v>
      </c>
      <c r="E3" s="106">
        <v>43465</v>
      </c>
      <c r="F3" s="106">
        <v>43555</v>
      </c>
      <c r="G3" s="106">
        <v>43646</v>
      </c>
      <c r="H3" s="106">
        <v>43738</v>
      </c>
      <c r="I3" s="106">
        <v>43830</v>
      </c>
    </row>
    <row r="4" spans="1:9" ht="15">
      <c r="A4" s="104"/>
      <c r="B4" s="107"/>
      <c r="C4" s="107"/>
      <c r="D4" s="107"/>
      <c r="E4" s="108"/>
      <c r="F4" s="107"/>
      <c r="G4" s="107"/>
      <c r="H4" s="104"/>
      <c r="I4" s="104"/>
    </row>
    <row r="5" spans="1:255" ht="15">
      <c r="A5" s="109" t="str">
        <f>HLOOKUP(INDICE!$F$2,Nombres!$C$3:$D$636,3,FALSE)</f>
        <v>Grupo BBVA</v>
      </c>
      <c r="B5" s="110">
        <v>49.37577889692981</v>
      </c>
      <c r="C5" s="110">
        <v>49.70164744169299</v>
      </c>
      <c r="D5" s="110">
        <v>49.56360857487705</v>
      </c>
      <c r="E5" s="111">
        <v>49.27821898191192</v>
      </c>
      <c r="F5" s="112">
        <v>48.14505023260383</v>
      </c>
      <c r="G5" s="112">
        <v>48.99703665656422</v>
      </c>
      <c r="H5" s="112">
        <v>48.66449224265393</v>
      </c>
      <c r="I5" s="112">
        <v>48.498303476861736</v>
      </c>
      <c r="J5" s="113"/>
      <c r="K5" s="113"/>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104"/>
      <c r="B6" s="114"/>
      <c r="C6" s="114"/>
      <c r="D6" s="114"/>
      <c r="E6" s="115"/>
      <c r="F6" s="114"/>
      <c r="G6" s="114"/>
      <c r="H6" s="114"/>
      <c r="I6" s="114"/>
      <c r="J6" s="116"/>
      <c r="K6" s="116"/>
      <c r="L6" s="116"/>
    </row>
    <row r="7" spans="1:255" ht="15">
      <c r="A7" s="61" t="str">
        <f>HLOOKUP(INDICE!$F$2,Nombres!$C$3:$D$636,7,FALSE)</f>
        <v>España</v>
      </c>
      <c r="B7" s="117">
        <v>53.1537369352727</v>
      </c>
      <c r="C7" s="117">
        <v>55.80302611667436</v>
      </c>
      <c r="D7" s="117">
        <v>56.02463416211295</v>
      </c>
      <c r="E7" s="118">
        <v>55.87107174264359</v>
      </c>
      <c r="F7" s="119">
        <v>54.39140337146377</v>
      </c>
      <c r="G7" s="119">
        <v>57.776902139697384</v>
      </c>
      <c r="H7" s="119">
        <v>56.67685229188636</v>
      </c>
      <c r="I7" s="119">
        <v>56.74152972297263</v>
      </c>
      <c r="J7" s="113"/>
      <c r="K7" s="11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104"/>
      <c r="B8" s="114"/>
      <c r="C8" s="114"/>
      <c r="D8" s="114"/>
      <c r="E8" s="115"/>
      <c r="F8" s="114"/>
      <c r="G8" s="114"/>
      <c r="H8" s="114"/>
      <c r="I8" s="114"/>
      <c r="J8" s="120"/>
      <c r="K8" s="116"/>
      <c r="L8" s="116"/>
    </row>
    <row r="9" spans="1:255" ht="15">
      <c r="A9" s="61" t="str">
        <f>HLOOKUP(INDICE!$F$2,Nombres!$C$3:$D$636,10,FALSE)</f>
        <v>EEUU</v>
      </c>
      <c r="B9" s="117">
        <v>62.17934731377892</v>
      </c>
      <c r="C9" s="117">
        <v>62.14108938391267</v>
      </c>
      <c r="D9" s="117">
        <v>62.85092577847622</v>
      </c>
      <c r="E9" s="118">
        <v>62.24369602841725</v>
      </c>
      <c r="F9" s="119">
        <v>58.816327838863316</v>
      </c>
      <c r="G9" s="119">
        <v>59.41534680562488</v>
      </c>
      <c r="H9" s="119">
        <v>59.521873389360124</v>
      </c>
      <c r="I9" s="119">
        <v>61.005108584056686</v>
      </c>
      <c r="J9" s="113"/>
      <c r="K9" s="113"/>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104"/>
      <c r="B10" s="114"/>
      <c r="C10" s="114"/>
      <c r="D10" s="114"/>
      <c r="E10" s="115"/>
      <c r="F10" s="114"/>
      <c r="G10" s="114"/>
      <c r="H10" s="114"/>
      <c r="I10" s="114"/>
      <c r="J10" s="120"/>
      <c r="K10" s="116"/>
      <c r="L10" s="116"/>
    </row>
    <row r="11" spans="1:12" ht="15">
      <c r="A11" s="61" t="str">
        <f>HLOOKUP(INDICE!$F$2,Nombres!$C$3:$D$636,11,FALSE)</f>
        <v>México</v>
      </c>
      <c r="B11" s="117">
        <v>33.48538027596018</v>
      </c>
      <c r="C11" s="117">
        <v>33.364872691454664</v>
      </c>
      <c r="D11" s="117">
        <v>33.285939428751995</v>
      </c>
      <c r="E11" s="118">
        <v>33.26124183940236</v>
      </c>
      <c r="F11" s="119">
        <v>33.34160122513832</v>
      </c>
      <c r="G11" s="119">
        <v>33.07127085731837</v>
      </c>
      <c r="H11" s="119">
        <v>33.11856159958715</v>
      </c>
      <c r="I11" s="119">
        <v>32.94242353842493</v>
      </c>
      <c r="J11" s="120"/>
      <c r="K11" s="116"/>
      <c r="L11" s="116"/>
    </row>
    <row r="12" spans="1:12" ht="15">
      <c r="A12" s="104"/>
      <c r="B12" s="114"/>
      <c r="C12" s="114"/>
      <c r="D12" s="114"/>
      <c r="E12" s="115"/>
      <c r="F12" s="114"/>
      <c r="G12" s="114"/>
      <c r="H12" s="114"/>
      <c r="I12" s="114"/>
      <c r="J12" s="120"/>
      <c r="K12" s="116"/>
      <c r="L12" s="116"/>
    </row>
    <row r="13" spans="1:255" ht="15">
      <c r="A13" s="61" t="str">
        <f>HLOOKUP(INDICE!$F$2,Nombres!$C$3:$D$636,12,FALSE)</f>
        <v>Turquía </v>
      </c>
      <c r="B13" s="117">
        <v>35.668263512046295</v>
      </c>
      <c r="C13" s="117">
        <v>35.29296333080396</v>
      </c>
      <c r="D13" s="117">
        <v>32.73088290006053</v>
      </c>
      <c r="E13" s="118">
        <v>31.971785134293494</v>
      </c>
      <c r="F13" s="119">
        <v>35.402997540878076</v>
      </c>
      <c r="G13" s="119">
        <v>35.40222639531226</v>
      </c>
      <c r="H13" s="119">
        <v>34.790454759229156</v>
      </c>
      <c r="I13" s="119">
        <v>33.84072855894281</v>
      </c>
      <c r="J13" s="113"/>
      <c r="K13" s="1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104"/>
      <c r="B14" s="114"/>
      <c r="C14" s="114"/>
      <c r="D14" s="114"/>
      <c r="E14" s="115"/>
      <c r="F14" s="114"/>
      <c r="G14" s="114"/>
      <c r="H14" s="114"/>
      <c r="I14" s="114"/>
      <c r="J14" s="116"/>
      <c r="K14" s="116"/>
      <c r="L14" s="116"/>
    </row>
    <row r="15" spans="1:255" ht="15">
      <c r="A15" s="61" t="str">
        <f>HLOOKUP(INDICE!$F$2,Nombres!$C$3:$D$636,13,FALSE)</f>
        <v>América del Sur </v>
      </c>
      <c r="B15" s="117">
        <v>48.09472257593123</v>
      </c>
      <c r="C15" s="117">
        <v>45.749617448315824</v>
      </c>
      <c r="D15" s="117">
        <v>45.51730893864748</v>
      </c>
      <c r="E15" s="118">
        <v>46.18544990294207</v>
      </c>
      <c r="F15" s="119">
        <v>38.434859777107846</v>
      </c>
      <c r="G15" s="119">
        <v>39.07273965685615</v>
      </c>
      <c r="H15" s="119">
        <v>39.893814060913435</v>
      </c>
      <c r="I15" s="119">
        <v>40.88862772625681</v>
      </c>
      <c r="J15" s="113"/>
      <c r="K15" s="113"/>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104"/>
      <c r="B16" s="114"/>
      <c r="C16" s="114"/>
      <c r="D16" s="114"/>
      <c r="E16" s="115"/>
      <c r="F16" s="114"/>
      <c r="G16" s="114"/>
      <c r="H16" s="114"/>
      <c r="I16" s="114"/>
      <c r="J16" s="116"/>
      <c r="K16" s="116"/>
      <c r="L16" s="116"/>
    </row>
    <row r="17" spans="1:9" ht="15">
      <c r="A17" s="61" t="str">
        <f>HLOOKUP(INDICE!$F$2,Nombres!$C$3:$D$636,18,FALSE)</f>
        <v>Resto de Eurasia</v>
      </c>
      <c r="B17" s="117">
        <v>56.7548058922298</v>
      </c>
      <c r="C17" s="117">
        <v>64.55484961896502</v>
      </c>
      <c r="D17" s="117">
        <v>67.30637835657411</v>
      </c>
      <c r="E17" s="118">
        <v>69.25874293059259</v>
      </c>
      <c r="F17" s="119">
        <v>67.28779094649842</v>
      </c>
      <c r="G17" s="119">
        <v>64.47610724615278</v>
      </c>
      <c r="H17" s="119">
        <v>62.82087228871301</v>
      </c>
      <c r="I17" s="119">
        <v>64.62106287926123</v>
      </c>
    </row>
    <row r="18" spans="1:12" ht="15">
      <c r="A18" s="104"/>
      <c r="B18" s="121"/>
      <c r="C18" s="121"/>
      <c r="D18" s="121"/>
      <c r="E18" s="121"/>
      <c r="F18" s="121"/>
      <c r="G18" s="121"/>
      <c r="H18" s="104"/>
      <c r="I18" s="287"/>
      <c r="J18" s="116"/>
      <c r="K18" s="116"/>
      <c r="L18" s="116"/>
    </row>
    <row r="19" spans="1:12" ht="15">
      <c r="A19" s="122" t="str">
        <f>HLOOKUP(INDICE!$F$2,Nombres!$C$3:$D$636,83,FALSE)</f>
        <v>(*) Gastos de explotación / Margen bruto. Incluye amortizaciones</v>
      </c>
      <c r="B19" s="104"/>
      <c r="C19" s="104"/>
      <c r="D19" s="104"/>
      <c r="E19" s="104"/>
      <c r="F19" s="104"/>
      <c r="G19" s="104"/>
      <c r="H19" s="104"/>
      <c r="I19" s="287"/>
      <c r="J19" s="116"/>
      <c r="K19" s="116"/>
      <c r="L19" s="116"/>
    </row>
    <row r="20" spans="1:12" ht="15">
      <c r="A20" s="123"/>
      <c r="B20" s="123"/>
      <c r="C20" s="123"/>
      <c r="D20" s="123"/>
      <c r="E20" s="123"/>
      <c r="F20" s="123"/>
      <c r="G20" s="123"/>
      <c r="H20" s="123"/>
      <c r="I20" s="288"/>
      <c r="J20" s="116"/>
      <c r="K20" s="116"/>
      <c r="L20" s="116"/>
    </row>
    <row r="21" spans="1:9" ht="15">
      <c r="A21" s="123"/>
      <c r="B21" s="123"/>
      <c r="C21" s="123"/>
      <c r="D21" s="123"/>
      <c r="E21" s="123"/>
      <c r="F21" s="123"/>
      <c r="G21" s="123"/>
      <c r="H21" s="123"/>
      <c r="I21" s="123"/>
    </row>
    <row r="1000" ht="15">
      <c r="A1000" s="102" t="s">
        <v>399</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IU1000"/>
  <sheetViews>
    <sheetView showGridLines="0" zoomScalePageLayoutView="0" workbookViewId="0" topLeftCell="A16">
      <selection activeCell="A39" sqref="A39"/>
    </sheetView>
  </sheetViews>
  <sheetFormatPr defaultColWidth="12.57421875" defaultRowHeight="15"/>
  <cols>
    <col min="1" max="1" width="45.7109375" style="160" customWidth="1"/>
    <col min="2" max="6" width="10.8515625" style="102" customWidth="1" collapsed="1"/>
    <col min="7" max="7" width="10.8515625" style="102" customWidth="1"/>
    <col min="8" max="9" width="10.8515625" style="125" customWidth="1"/>
    <col min="10" max="11" width="9.57421875" style="125" customWidth="1"/>
    <col min="12" max="255" width="12.57421875" style="125" customWidth="1"/>
  </cols>
  <sheetData>
    <row r="1" spans="1:9" ht="19.5">
      <c r="A1" s="100" t="str">
        <f>HLOOKUP(INDICE!$F$2,Nombres!$C$3:$D$636,85,FALSE)</f>
        <v>Tasa de mora</v>
      </c>
      <c r="B1" s="124"/>
      <c r="C1" s="124"/>
      <c r="D1" s="124"/>
      <c r="E1" s="124"/>
      <c r="F1" s="124"/>
      <c r="G1" s="101"/>
      <c r="H1" s="101"/>
      <c r="I1" s="101"/>
    </row>
    <row r="2" spans="1:9" ht="15">
      <c r="A2" s="103" t="str">
        <f>HLOOKUP(INDICE!$F$2,Nombres!$C$3:$D$636,84,FALSE)</f>
        <v>(Porcentaje)</v>
      </c>
      <c r="B2" s="104"/>
      <c r="C2" s="104"/>
      <c r="D2" s="104"/>
      <c r="E2" s="104"/>
      <c r="F2" s="104"/>
      <c r="G2" s="104"/>
      <c r="H2" s="104"/>
      <c r="I2" s="104"/>
    </row>
    <row r="3" spans="1:9" ht="15.75">
      <c r="A3" s="104"/>
      <c r="B3" s="126">
        <v>43190</v>
      </c>
      <c r="C3" s="126">
        <v>43281</v>
      </c>
      <c r="D3" s="126">
        <v>43373</v>
      </c>
      <c r="E3" s="126">
        <v>43465</v>
      </c>
      <c r="F3" s="126">
        <v>43555</v>
      </c>
      <c r="G3" s="126">
        <v>43646</v>
      </c>
      <c r="H3" s="126">
        <v>43738</v>
      </c>
      <c r="I3" s="126">
        <v>43830</v>
      </c>
    </row>
    <row r="4" spans="1:9" ht="15">
      <c r="A4" s="104"/>
      <c r="B4" s="107"/>
      <c r="C4" s="107"/>
      <c r="D4" s="104"/>
      <c r="E4" s="127"/>
      <c r="F4" s="107"/>
      <c r="G4" s="107"/>
      <c r="H4" s="104"/>
      <c r="I4" s="104"/>
    </row>
    <row r="5" spans="1:255" ht="15">
      <c r="A5" s="109" t="str">
        <f>HLOOKUP(INDICE!$F$2,Nombres!$C$3:$D$636,3,FALSE)</f>
        <v>Grupo BBVA</v>
      </c>
      <c r="B5" s="110">
        <v>4.410838039265202</v>
      </c>
      <c r="C5" s="110">
        <v>4.352179254599031</v>
      </c>
      <c r="D5" s="110">
        <v>4.130921634813759</v>
      </c>
      <c r="E5" s="111">
        <v>3.9389568177606624</v>
      </c>
      <c r="F5" s="110">
        <v>3.938797707459412</v>
      </c>
      <c r="G5" s="112">
        <v>3.840750505641798</v>
      </c>
      <c r="H5" s="112">
        <v>3.900664612738405</v>
      </c>
      <c r="I5" s="112">
        <v>3.7853910684721916</v>
      </c>
      <c r="J5" s="128"/>
      <c r="K5" s="12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104"/>
      <c r="B6" s="114"/>
      <c r="C6" s="114"/>
      <c r="D6" s="114"/>
      <c r="E6" s="115"/>
      <c r="F6" s="114"/>
      <c r="G6" s="114"/>
      <c r="H6" s="114"/>
      <c r="I6" s="114"/>
      <c r="J6" s="128"/>
      <c r="K6" s="129"/>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5">
      <c r="A7" s="61" t="str">
        <f>HLOOKUP(INDICE!$F$2,Nombres!$C$3:$D$636,7,FALSE)</f>
        <v>España</v>
      </c>
      <c r="B7" s="117">
        <v>6.578547109200153</v>
      </c>
      <c r="C7" s="117">
        <v>6.324624965143158</v>
      </c>
      <c r="D7" s="117">
        <v>5.627953461916468</v>
      </c>
      <c r="E7" s="118">
        <v>5.103428610253874</v>
      </c>
      <c r="F7" s="117">
        <v>4.948403994016465</v>
      </c>
      <c r="G7" s="119">
        <v>4.603987549229379</v>
      </c>
      <c r="H7" s="119">
        <v>4.578169053798744</v>
      </c>
      <c r="I7" s="119">
        <v>4.440766161330202</v>
      </c>
      <c r="J7" s="128"/>
      <c r="K7" s="12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104"/>
      <c r="B8" s="114"/>
      <c r="C8" s="114"/>
      <c r="D8" s="114"/>
      <c r="E8" s="115"/>
      <c r="F8" s="114"/>
      <c r="G8" s="114"/>
      <c r="H8" s="114"/>
      <c r="I8" s="114"/>
      <c r="J8" s="128"/>
      <c r="K8" s="131"/>
    </row>
    <row r="9" spans="1:255" ht="15">
      <c r="A9" s="61" t="str">
        <f>HLOOKUP(INDICE!$F$2,Nombres!$C$3:$D$636,10,FALSE)</f>
        <v>EEUU</v>
      </c>
      <c r="B9" s="117">
        <v>1.1688488249245594</v>
      </c>
      <c r="C9" s="117">
        <v>1.195317684382126</v>
      </c>
      <c r="D9" s="117">
        <v>1.1003067142506437</v>
      </c>
      <c r="E9" s="118">
        <v>1.2571006676507832</v>
      </c>
      <c r="F9" s="117">
        <v>1.4029665896681813</v>
      </c>
      <c r="G9" s="119">
        <v>1.308617051444271</v>
      </c>
      <c r="H9" s="119">
        <v>1.0974046074920774</v>
      </c>
      <c r="I9" s="119">
        <v>1.1006195277301103</v>
      </c>
      <c r="J9" s="128"/>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104"/>
      <c r="B10" s="114"/>
      <c r="C10" s="114"/>
      <c r="D10" s="114"/>
      <c r="E10" s="115"/>
      <c r="F10" s="114"/>
      <c r="G10" s="114"/>
      <c r="H10" s="114"/>
      <c r="I10" s="114"/>
      <c r="J10" s="128"/>
      <c r="K10" s="131"/>
    </row>
    <row r="11" spans="1:11" ht="15">
      <c r="A11" s="61" t="str">
        <f>HLOOKUP(INDICE!$F$2,Nombres!$C$3:$D$636,11,FALSE)</f>
        <v>México</v>
      </c>
      <c r="B11" s="117">
        <v>2.129409858582437</v>
      </c>
      <c r="C11" s="117">
        <v>1.9642932301377627</v>
      </c>
      <c r="D11" s="117">
        <v>2.0220795483705696</v>
      </c>
      <c r="E11" s="118">
        <v>2.052413265836875</v>
      </c>
      <c r="F11" s="117">
        <v>2.038759011769611</v>
      </c>
      <c r="G11" s="119">
        <v>2.18631706301653</v>
      </c>
      <c r="H11" s="119">
        <v>2.388529667685984</v>
      </c>
      <c r="I11" s="119">
        <v>2.3559129158948484</v>
      </c>
      <c r="J11" s="128"/>
      <c r="K11" s="131"/>
    </row>
    <row r="12" spans="1:11" ht="15">
      <c r="A12" s="104"/>
      <c r="B12" s="114"/>
      <c r="C12" s="114"/>
      <c r="D12" s="114"/>
      <c r="E12" s="115"/>
      <c r="F12" s="114"/>
      <c r="G12" s="114"/>
      <c r="H12" s="114"/>
      <c r="I12" s="114"/>
      <c r="J12" s="128"/>
      <c r="K12" s="131"/>
    </row>
    <row r="13" spans="1:255" ht="15">
      <c r="A13" s="61" t="str">
        <f>HLOOKUP(INDICE!$F$2,Nombres!$C$3:$D$636,12,FALSE)</f>
        <v>Turquía </v>
      </c>
      <c r="B13" s="117">
        <v>3.7277549320549213</v>
      </c>
      <c r="C13" s="117">
        <v>4.4748865673876</v>
      </c>
      <c r="D13" s="117">
        <v>5.156707921804905</v>
      </c>
      <c r="E13" s="118">
        <v>5.250371613722836</v>
      </c>
      <c r="F13" s="117">
        <v>5.747430227097583</v>
      </c>
      <c r="G13" s="119">
        <v>6.329489946442276</v>
      </c>
      <c r="H13" s="119">
        <v>7.189493216331347</v>
      </c>
      <c r="I13" s="119">
        <v>6.9899061302184515</v>
      </c>
      <c r="J13" s="128"/>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5">
      <c r="A14" s="104"/>
      <c r="B14" s="114"/>
      <c r="C14" s="114"/>
      <c r="D14" s="114"/>
      <c r="E14" s="115"/>
      <c r="F14" s="114"/>
      <c r="G14" s="114"/>
      <c r="H14" s="114"/>
      <c r="I14" s="114"/>
      <c r="J14" s="128"/>
      <c r="K14" s="131"/>
    </row>
    <row r="15" spans="1:255" ht="15">
      <c r="A15" s="61" t="str">
        <f>HLOOKUP(INDICE!$F$2,Nombres!$C$3:$D$636,13,FALSE)</f>
        <v>América del Sur </v>
      </c>
      <c r="B15" s="117">
        <v>3.6148030352735674</v>
      </c>
      <c r="C15" s="117">
        <v>3.723676167789457</v>
      </c>
      <c r="D15" s="117">
        <v>4.256353244266041</v>
      </c>
      <c r="E15" s="118">
        <v>4.316357672356568</v>
      </c>
      <c r="F15" s="117">
        <v>4.375262622171091</v>
      </c>
      <c r="G15" s="119">
        <v>4.431582178772133</v>
      </c>
      <c r="H15" s="119">
        <v>4.401656122016425</v>
      </c>
      <c r="I15" s="119">
        <v>4.405304640281197</v>
      </c>
      <c r="J15" s="128"/>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04"/>
      <c r="B16" s="132"/>
      <c r="C16" s="132"/>
      <c r="D16" s="132"/>
      <c r="E16" s="133"/>
      <c r="F16" s="132"/>
      <c r="G16" s="252"/>
      <c r="H16" s="252"/>
      <c r="I16" s="252"/>
      <c r="J16" s="128"/>
      <c r="K16" s="131"/>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row>
    <row r="17" spans="1:9" ht="15">
      <c r="A17" s="61" t="str">
        <f>HLOOKUP(INDICE!$F$2,Nombres!$C$3:$D$636,18,FALSE)</f>
        <v>Resto de Eurasia</v>
      </c>
      <c r="B17" s="117">
        <v>1.9638286637600957</v>
      </c>
      <c r="C17" s="117">
        <v>1.5926291838991196</v>
      </c>
      <c r="D17" s="117">
        <v>1.5087129080803234</v>
      </c>
      <c r="E17" s="118">
        <v>1.6574101818266673</v>
      </c>
      <c r="F17" s="117">
        <v>1.5916817252835276</v>
      </c>
      <c r="G17" s="119">
        <v>1.3879928047261318</v>
      </c>
      <c r="H17" s="119">
        <v>1.3323388414184951</v>
      </c>
      <c r="I17" s="119">
        <v>1.2256241630227576</v>
      </c>
    </row>
    <row r="18" spans="1:255" ht="15">
      <c r="A18" s="134"/>
      <c r="B18" s="132"/>
      <c r="C18" s="132"/>
      <c r="D18" s="135"/>
      <c r="E18" s="135"/>
      <c r="F18" s="132"/>
      <c r="G18" s="132"/>
      <c r="H18" s="135"/>
      <c r="I18" s="135"/>
      <c r="J18" s="131"/>
      <c r="K18" s="131"/>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row>
    <row r="19" spans="1:11" ht="15">
      <c r="A19" s="104"/>
      <c r="B19" s="132"/>
      <c r="C19" s="132"/>
      <c r="D19" s="135"/>
      <c r="E19" s="135"/>
      <c r="F19" s="132"/>
      <c r="G19" s="132"/>
      <c r="H19" s="135"/>
      <c r="I19" s="135"/>
      <c r="J19" s="131"/>
      <c r="K19" s="131"/>
    </row>
    <row r="20" spans="1:255" ht="18">
      <c r="A20" s="100" t="str">
        <f>HLOOKUP(INDICE!$F$2,Nombres!$C$3:$D$636,86,FALSE)</f>
        <v>Tasa de cobertura</v>
      </c>
      <c r="B20" s="136"/>
      <c r="C20" s="136"/>
      <c r="D20" s="137"/>
      <c r="E20" s="137"/>
      <c r="F20" s="136"/>
      <c r="G20" s="136"/>
      <c r="H20" s="137"/>
      <c r="I20" s="137"/>
      <c r="J20" s="131"/>
      <c r="K20" s="131"/>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c r="IT20" s="138"/>
      <c r="IU20" s="138"/>
    </row>
    <row r="21" spans="1:11" ht="15">
      <c r="A21" s="103" t="str">
        <f>HLOOKUP(INDICE!$F$2,Nombres!$C$3:$D$636,84,FALSE)</f>
        <v>(Porcentaje)</v>
      </c>
      <c r="B21" s="121"/>
      <c r="C21" s="121"/>
      <c r="D21" s="135"/>
      <c r="E21" s="135"/>
      <c r="F21" s="121"/>
      <c r="G21" s="121"/>
      <c r="H21" s="135"/>
      <c r="I21" s="135"/>
      <c r="J21" s="131"/>
      <c r="K21" s="131"/>
    </row>
    <row r="22" spans="1:11" ht="15.75">
      <c r="A22" s="104"/>
      <c r="B22" s="126">
        <f>+B$3</f>
        <v>43190</v>
      </c>
      <c r="C22" s="126">
        <f aca="true" t="shared" si="0" ref="C22:I22">+C$3</f>
        <v>43281</v>
      </c>
      <c r="D22" s="126">
        <f t="shared" si="0"/>
        <v>43373</v>
      </c>
      <c r="E22" s="126">
        <f t="shared" si="0"/>
        <v>43465</v>
      </c>
      <c r="F22" s="126">
        <f t="shared" si="0"/>
        <v>43555</v>
      </c>
      <c r="G22" s="126">
        <f t="shared" si="0"/>
        <v>43646</v>
      </c>
      <c r="H22" s="126">
        <f t="shared" si="0"/>
        <v>43738</v>
      </c>
      <c r="I22" s="126">
        <f t="shared" si="0"/>
        <v>43830</v>
      </c>
      <c r="J22" s="131"/>
      <c r="K22" s="131"/>
    </row>
    <row r="23" spans="1:11" ht="15">
      <c r="A23" s="104"/>
      <c r="B23" s="139"/>
      <c r="C23" s="139"/>
      <c r="D23" s="135"/>
      <c r="E23" s="135"/>
      <c r="F23" s="139"/>
      <c r="G23" s="139"/>
      <c r="H23" s="135"/>
      <c r="I23" s="135"/>
      <c r="J23" s="131"/>
      <c r="K23" s="131"/>
    </row>
    <row r="24" spans="1:255" ht="15">
      <c r="A24" s="109" t="str">
        <f>HLOOKUP(INDICE!$F$2,Nombres!$C$3:$D$636,3,FALSE)</f>
        <v>Grupo BBVA</v>
      </c>
      <c r="B24" s="140">
        <v>72.65980533705793</v>
      </c>
      <c r="C24" s="140">
        <v>71.00096871382874</v>
      </c>
      <c r="D24" s="140">
        <v>72.85355097470803</v>
      </c>
      <c r="E24" s="141">
        <v>73.11628511285497</v>
      </c>
      <c r="F24" s="140">
        <v>74.0833351497957</v>
      </c>
      <c r="G24" s="253">
        <v>74.63308685307358</v>
      </c>
      <c r="H24" s="253">
        <v>75.42395902581653</v>
      </c>
      <c r="I24" s="253">
        <v>76.61105282920435</v>
      </c>
      <c r="J24" s="142"/>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104"/>
      <c r="B25" s="143"/>
      <c r="C25" s="143"/>
      <c r="D25" s="143"/>
      <c r="E25" s="144"/>
      <c r="F25" s="143"/>
      <c r="G25" s="143"/>
      <c r="H25" s="143"/>
      <c r="I25" s="143"/>
      <c r="J25" s="142"/>
      <c r="K25" s="131"/>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row>
    <row r="26" spans="1:255" ht="15">
      <c r="A26" s="61" t="str">
        <f>HLOOKUP(INDICE!$F$2,Nombres!$C$3:$D$636,7,FALSE)</f>
        <v>España</v>
      </c>
      <c r="B26" s="145">
        <v>58.62266643085412</v>
      </c>
      <c r="C26" s="145">
        <v>58.16206337369927</v>
      </c>
      <c r="D26" s="145">
        <v>57.26169527852404</v>
      </c>
      <c r="E26" s="146">
        <v>56.7439581511345</v>
      </c>
      <c r="F26" s="145">
        <v>57.80998489416923</v>
      </c>
      <c r="G26" s="254">
        <v>57.97168826053406</v>
      </c>
      <c r="H26" s="254">
        <v>58.868286177930095</v>
      </c>
      <c r="I26" s="254">
        <v>59.70511295547688</v>
      </c>
      <c r="J26" s="142"/>
      <c r="K26" s="147"/>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5">
      <c r="A27" s="104"/>
      <c r="B27" s="143"/>
      <c r="C27" s="143"/>
      <c r="D27" s="143"/>
      <c r="E27" s="144"/>
      <c r="F27" s="143"/>
      <c r="G27" s="143"/>
      <c r="H27" s="143"/>
      <c r="I27" s="143"/>
      <c r="J27" s="142"/>
      <c r="K27" s="131"/>
    </row>
    <row r="28" spans="1:255" ht="15">
      <c r="A28" s="61" t="str">
        <f>HLOOKUP(INDICE!$F$2,Nombres!$C$3:$D$636,10,FALSE)</f>
        <v>EEUU</v>
      </c>
      <c r="B28" s="145">
        <v>98.09104358843501</v>
      </c>
      <c r="C28" s="145">
        <v>93.3125645678977</v>
      </c>
      <c r="D28" s="145">
        <v>101.11133015211313</v>
      </c>
      <c r="E28" s="146">
        <v>84.65946241240587</v>
      </c>
      <c r="F28" s="145">
        <v>84.87265564593575</v>
      </c>
      <c r="G28" s="254">
        <v>91.17346647632841</v>
      </c>
      <c r="H28" s="254">
        <v>102.14036710893441</v>
      </c>
      <c r="I28" s="254">
        <v>101.18163272482042</v>
      </c>
      <c r="J28" s="142"/>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104"/>
      <c r="B29" s="143"/>
      <c r="C29" s="143"/>
      <c r="D29" s="143"/>
      <c r="E29" s="144"/>
      <c r="F29" s="143"/>
      <c r="G29" s="143"/>
      <c r="H29" s="143"/>
      <c r="I29" s="143"/>
      <c r="J29" s="142"/>
      <c r="K29" s="131"/>
    </row>
    <row r="30" spans="1:255" ht="15">
      <c r="A30" s="61" t="str">
        <f>HLOOKUP(INDICE!$F$2,Nombres!$C$3:$D$636,11,FALSE)</f>
        <v>México</v>
      </c>
      <c r="B30" s="145">
        <v>153.27095204832756</v>
      </c>
      <c r="C30" s="145">
        <v>154.58811836121532</v>
      </c>
      <c r="D30" s="145">
        <v>149.46022517398183</v>
      </c>
      <c r="E30" s="146">
        <v>154.09315588998024</v>
      </c>
      <c r="F30" s="145">
        <v>158.74652569918757</v>
      </c>
      <c r="G30" s="254">
        <v>147.66842995668318</v>
      </c>
      <c r="H30" s="254">
        <v>136.2228297468643</v>
      </c>
      <c r="I30" s="254">
        <v>136.337294869198</v>
      </c>
      <c r="J30" s="142"/>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104"/>
      <c r="B31" s="143"/>
      <c r="C31" s="143"/>
      <c r="D31" s="143"/>
      <c r="E31" s="144"/>
      <c r="F31" s="143"/>
      <c r="G31" s="143"/>
      <c r="H31" s="143"/>
      <c r="I31" s="143"/>
      <c r="J31" s="142"/>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61" t="str">
        <f>HLOOKUP(INDICE!$F$2,Nombres!$C$3:$D$636,12,FALSE)</f>
        <v>Turquía </v>
      </c>
      <c r="B32" s="145">
        <v>85.75428031684513</v>
      </c>
      <c r="C32" s="145">
        <v>75.64958838351316</v>
      </c>
      <c r="D32" s="145">
        <v>76.46824488383285</v>
      </c>
      <c r="E32" s="146">
        <v>81.03437544876054</v>
      </c>
      <c r="F32" s="145">
        <v>77.64504167900044</v>
      </c>
      <c r="G32" s="254">
        <v>75.46014947289875</v>
      </c>
      <c r="H32" s="254">
        <v>74.5284545903617</v>
      </c>
      <c r="I32" s="254">
        <v>75.4109785168987</v>
      </c>
      <c r="J32" s="14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5">
      <c r="A33" s="104"/>
      <c r="B33" s="143"/>
      <c r="C33" s="143"/>
      <c r="D33" s="143"/>
      <c r="E33" s="144"/>
      <c r="F33" s="143"/>
      <c r="G33" s="143"/>
      <c r="H33" s="143"/>
      <c r="I33" s="143"/>
      <c r="J33" s="142"/>
      <c r="K33" s="131"/>
    </row>
    <row r="34" spans="1:255" ht="15">
      <c r="A34" s="61" t="str">
        <f>HLOOKUP(INDICE!$F$2,Nombres!$C$3:$D$636,13,FALSE)</f>
        <v>América del Sur </v>
      </c>
      <c r="B34" s="145">
        <v>93.10602132857963</v>
      </c>
      <c r="C34" s="145">
        <v>91.28620589735546</v>
      </c>
      <c r="D34" s="145">
        <v>101.4980606182421</v>
      </c>
      <c r="E34" s="146">
        <v>96.92020376956432</v>
      </c>
      <c r="F34" s="145">
        <v>95.74178951562412</v>
      </c>
      <c r="G34" s="254">
        <v>95.08390511442671</v>
      </c>
      <c r="H34" s="254">
        <v>96.55302078028674</v>
      </c>
      <c r="I34" s="254">
        <v>99.82865447621964</v>
      </c>
      <c r="J34" s="142"/>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5">
      <c r="A35" s="104"/>
      <c r="B35" s="148"/>
      <c r="C35" s="148"/>
      <c r="D35" s="148"/>
      <c r="E35" s="149"/>
      <c r="F35" s="148"/>
      <c r="G35" s="255"/>
      <c r="H35" s="255"/>
      <c r="I35" s="255"/>
      <c r="J35" s="142"/>
      <c r="K35" s="131"/>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row>
    <row r="36" spans="1:9" ht="15">
      <c r="A36" s="61" t="str">
        <f>HLOOKUP(INDICE!$F$2,Nombres!$C$3:$D$636,18,FALSE)</f>
        <v>Resto de Eurasia</v>
      </c>
      <c r="B36" s="145">
        <v>87.86656232573783</v>
      </c>
      <c r="C36" s="145">
        <v>92.97385735613078</v>
      </c>
      <c r="D36" s="145">
        <v>100.49359273861866</v>
      </c>
      <c r="E36" s="146">
        <v>82.75630067428546</v>
      </c>
      <c r="F36" s="145">
        <v>83.8710109127425</v>
      </c>
      <c r="G36" s="254">
        <v>97.58406230218966</v>
      </c>
      <c r="H36" s="254">
        <v>96.69430996704168</v>
      </c>
      <c r="I36" s="254">
        <v>97.71754310139052</v>
      </c>
    </row>
    <row r="37" spans="1:255" ht="15">
      <c r="A37" s="134"/>
      <c r="B37" s="150"/>
      <c r="C37" s="150"/>
      <c r="D37" s="135"/>
      <c r="E37" s="135"/>
      <c r="F37" s="150"/>
      <c r="G37" s="150"/>
      <c r="H37" s="135"/>
      <c r="I37" s="135"/>
      <c r="J37" s="131"/>
      <c r="K37" s="131"/>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row>
    <row r="38" spans="1:11" ht="15">
      <c r="A38" s="104"/>
      <c r="B38" s="150"/>
      <c r="C38" s="150"/>
      <c r="D38" s="135"/>
      <c r="E38" s="135"/>
      <c r="F38" s="150"/>
      <c r="G38" s="150"/>
      <c r="H38" s="135"/>
      <c r="I38" s="135"/>
      <c r="J38" s="131"/>
      <c r="K38" s="131"/>
    </row>
    <row r="39" spans="1:11" ht="18">
      <c r="A39" s="100" t="str">
        <f>HLOOKUP(INDICE!$F$2,Nombres!$C$3:$D$636,87,FALSE)</f>
        <v>Coste del riesgo acumulado</v>
      </c>
      <c r="B39" s="136"/>
      <c r="C39" s="136"/>
      <c r="D39" s="137"/>
      <c r="E39" s="137"/>
      <c r="F39" s="136"/>
      <c r="G39" s="136"/>
      <c r="H39" s="137"/>
      <c r="I39" s="137"/>
      <c r="J39" s="131"/>
      <c r="K39" s="131"/>
    </row>
    <row r="40" spans="1:11" ht="15">
      <c r="A40" s="103" t="str">
        <f>HLOOKUP(INDICE!$F$2,Nombres!$C$3:$D$636,84,FALSE)</f>
        <v>(Porcentaje)</v>
      </c>
      <c r="B40" s="150"/>
      <c r="C40" s="150"/>
      <c r="D40" s="135"/>
      <c r="E40" s="135"/>
      <c r="F40" s="150"/>
      <c r="G40" s="150"/>
      <c r="H40" s="135"/>
      <c r="I40" s="135"/>
      <c r="J40" s="131"/>
      <c r="K40" s="131"/>
    </row>
    <row r="41" spans="1:11" ht="15.75">
      <c r="A41" s="104"/>
      <c r="B41" s="126">
        <f>+B$3</f>
        <v>43190</v>
      </c>
      <c r="C41" s="126">
        <f aca="true" t="shared" si="1" ref="C41:I41">+C$3</f>
        <v>43281</v>
      </c>
      <c r="D41" s="126">
        <f t="shared" si="1"/>
        <v>43373</v>
      </c>
      <c r="E41" s="126">
        <f t="shared" si="1"/>
        <v>43465</v>
      </c>
      <c r="F41" s="126">
        <f t="shared" si="1"/>
        <v>43555</v>
      </c>
      <c r="G41" s="126">
        <f t="shared" si="1"/>
        <v>43646</v>
      </c>
      <c r="H41" s="126">
        <f t="shared" si="1"/>
        <v>43738</v>
      </c>
      <c r="I41" s="126">
        <f t="shared" si="1"/>
        <v>43830</v>
      </c>
      <c r="J41" s="131"/>
      <c r="K41" s="131"/>
    </row>
    <row r="42" spans="1:11" ht="15">
      <c r="A42" s="104"/>
      <c r="B42" s="139"/>
      <c r="C42" s="139"/>
      <c r="D42" s="135"/>
      <c r="E42" s="135"/>
      <c r="F42" s="139"/>
      <c r="G42" s="139"/>
      <c r="H42" s="135"/>
      <c r="I42" s="135"/>
      <c r="J42" s="131"/>
      <c r="K42" s="131"/>
    </row>
    <row r="43" spans="1:255" ht="15">
      <c r="A43" s="109" t="str">
        <f>HLOOKUP(INDICE!$F$2,Nombres!$C$3:$D$636,3,FALSE)</f>
        <v>Grupo BBVA</v>
      </c>
      <c r="B43" s="151">
        <v>0.8488828608087586</v>
      </c>
      <c r="C43" s="151">
        <v>0.8172567720133568</v>
      </c>
      <c r="D43" s="151">
        <v>0.8971441139176066</v>
      </c>
      <c r="E43" s="152">
        <v>1.0110789800068103</v>
      </c>
      <c r="F43" s="151">
        <v>1.0568133494551344</v>
      </c>
      <c r="G43" s="256">
        <v>0.9147458881456375</v>
      </c>
      <c r="H43" s="256">
        <v>1.0063472060723617</v>
      </c>
      <c r="I43" s="256">
        <v>1.0399705349585093</v>
      </c>
      <c r="J43" s="11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104"/>
      <c r="B44" s="153"/>
      <c r="C44" s="153"/>
      <c r="D44" s="153"/>
      <c r="E44" s="154"/>
      <c r="F44" s="153"/>
      <c r="G44" s="153"/>
      <c r="H44" s="153"/>
      <c r="I44" s="153"/>
      <c r="J44" s="131"/>
      <c r="K44" s="131"/>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c r="IT44" s="130"/>
      <c r="IU44" s="130"/>
    </row>
    <row r="45" spans="1:255" ht="15">
      <c r="A45" s="61" t="str">
        <f>HLOOKUP(INDICE!$F$2,Nombres!$C$3:$D$636,7,FALSE)</f>
        <v>España</v>
      </c>
      <c r="B45" s="155">
        <v>0.2921534557802823</v>
      </c>
      <c r="C45" s="155">
        <v>0.24776602860192526</v>
      </c>
      <c r="D45" s="155">
        <v>0.22222667526042486</v>
      </c>
      <c r="E45" s="156">
        <v>0.2147992708118744</v>
      </c>
      <c r="F45" s="155">
        <v>0.17558477038464385</v>
      </c>
      <c r="G45" s="257">
        <v>-0.03253920232005578</v>
      </c>
      <c r="H45" s="257">
        <v>0.08068323374028091</v>
      </c>
      <c r="I45" s="257">
        <v>0.12283192332954618</v>
      </c>
      <c r="J45" s="113"/>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104"/>
      <c r="B46" s="153"/>
      <c r="C46" s="153"/>
      <c r="D46" s="153"/>
      <c r="E46" s="154"/>
      <c r="F46" s="153"/>
      <c r="G46" s="153"/>
      <c r="H46" s="153"/>
      <c r="I46" s="153"/>
      <c r="J46" s="131"/>
      <c r="K46" s="131"/>
    </row>
    <row r="47" spans="1:255" ht="15">
      <c r="A47" s="61" t="str">
        <f>HLOOKUP(INDICE!$F$2,Nombres!$C$3:$D$636,10,FALSE)</f>
        <v>EEUU</v>
      </c>
      <c r="B47" s="155">
        <v>0.15617070733024402</v>
      </c>
      <c r="C47" s="155">
        <v>0.23329805419301525</v>
      </c>
      <c r="D47" s="155">
        <v>0.330651606581017</v>
      </c>
      <c r="E47" s="156">
        <v>0.3933362260327724</v>
      </c>
      <c r="F47" s="155">
        <v>1.0569485211550307</v>
      </c>
      <c r="G47" s="257">
        <v>0.9371799424634694</v>
      </c>
      <c r="H47" s="257">
        <v>0.8738324074588072</v>
      </c>
      <c r="I47" s="257">
        <v>0.8815652437940975</v>
      </c>
      <c r="J47" s="113"/>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104"/>
      <c r="B48" s="153"/>
      <c r="C48" s="153"/>
      <c r="D48" s="153"/>
      <c r="E48" s="154"/>
      <c r="F48" s="153"/>
      <c r="G48" s="153"/>
      <c r="H48" s="153"/>
      <c r="I48" s="153"/>
      <c r="J48" s="113"/>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61" t="str">
        <f>HLOOKUP(INDICE!$F$2,Nombres!$C$3:$D$636,11,FALSE)</f>
        <v>México</v>
      </c>
      <c r="B49" s="155">
        <v>3.1826216363503086</v>
      </c>
      <c r="C49" s="155">
        <v>2.9302255116440046</v>
      </c>
      <c r="D49" s="155">
        <v>2.8225978533767364</v>
      </c>
      <c r="E49" s="156">
        <v>3.072537554693112</v>
      </c>
      <c r="F49" s="155">
        <v>2.927113611979482</v>
      </c>
      <c r="G49" s="257">
        <v>2.980907538022087</v>
      </c>
      <c r="H49" s="257">
        <v>2.9782791981216126</v>
      </c>
      <c r="I49" s="257">
        <v>3.0092318086817706</v>
      </c>
      <c r="J49" s="113"/>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5">
      <c r="A50" s="104"/>
      <c r="B50" s="153"/>
      <c r="C50" s="153"/>
      <c r="D50" s="153"/>
      <c r="E50" s="154"/>
      <c r="F50" s="153"/>
      <c r="G50" s="153"/>
      <c r="H50" s="153"/>
      <c r="I50" s="153"/>
      <c r="J50" s="131"/>
      <c r="K50" s="131"/>
    </row>
    <row r="51" spans="1:255" ht="15">
      <c r="A51" s="61" t="str">
        <f>HLOOKUP(INDICE!$F$2,Nombres!$C$3:$D$636,12,FALSE)</f>
        <v>Turquía </v>
      </c>
      <c r="B51" s="155">
        <v>1.1670833141360157</v>
      </c>
      <c r="C51" s="155">
        <v>1.2250242896809682</v>
      </c>
      <c r="D51" s="155">
        <v>1.7172594378188264</v>
      </c>
      <c r="E51" s="156">
        <v>2.4415683796995413</v>
      </c>
      <c r="F51" s="155">
        <v>1.8248649867024833</v>
      </c>
      <c r="G51" s="257">
        <v>1.56774625954964</v>
      </c>
      <c r="H51" s="257">
        <v>1.9872476707593627</v>
      </c>
      <c r="I51" s="257">
        <v>2.068071045723666</v>
      </c>
      <c r="J51" s="113"/>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5">
      <c r="A52" s="104"/>
      <c r="B52" s="153"/>
      <c r="C52" s="153"/>
      <c r="D52" s="153"/>
      <c r="E52" s="154"/>
      <c r="F52" s="153"/>
      <c r="G52" s="153"/>
      <c r="H52" s="153"/>
      <c r="I52" s="153"/>
      <c r="J52" s="131"/>
      <c r="K52" s="131"/>
    </row>
    <row r="53" spans="1:255" ht="15">
      <c r="A53" s="61" t="str">
        <f>HLOOKUP(INDICE!$F$2,Nombres!$C$3:$D$636,13,FALSE)</f>
        <v>América del Sur </v>
      </c>
      <c r="B53" s="155">
        <v>1.3742464720629206</v>
      </c>
      <c r="C53" s="155">
        <v>1.2776251158940741</v>
      </c>
      <c r="D53" s="155">
        <v>1.446626596478783</v>
      </c>
      <c r="E53" s="156">
        <v>1.443196843256789</v>
      </c>
      <c r="F53" s="155">
        <v>1.93747380131668</v>
      </c>
      <c r="G53" s="257">
        <v>1.8853970471435517</v>
      </c>
      <c r="H53" s="257">
        <v>1.9088297371558753</v>
      </c>
      <c r="I53" s="257">
        <v>1.8795183389279755</v>
      </c>
      <c r="J53" s="11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5">
      <c r="A54" s="104"/>
      <c r="B54" s="157"/>
      <c r="C54" s="157"/>
      <c r="D54" s="157"/>
      <c r="E54" s="158"/>
      <c r="F54" s="157"/>
      <c r="G54" s="258"/>
      <c r="H54" s="258"/>
      <c r="I54" s="258"/>
      <c r="J54" s="131"/>
      <c r="K54" s="131"/>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c r="IT54" s="130"/>
      <c r="IU54" s="130"/>
    </row>
    <row r="55" spans="1:9" ht="15">
      <c r="A55" s="61" t="str">
        <f>HLOOKUP(INDICE!$F$2,Nombres!$C$3:$D$636,18,FALSE)</f>
        <v>Resto de Eurasia</v>
      </c>
      <c r="B55" s="155">
        <v>-0.3536555184910115</v>
      </c>
      <c r="C55" s="155">
        <v>-0.13870880591345913</v>
      </c>
      <c r="D55" s="155">
        <v>0.12283554210088311</v>
      </c>
      <c r="E55" s="156">
        <v>-0.10575888422006897</v>
      </c>
      <c r="F55" s="155">
        <v>0.23558833918456487</v>
      </c>
      <c r="G55" s="257">
        <v>0.11963495376904648</v>
      </c>
      <c r="H55" s="257">
        <v>0.048645152052657736</v>
      </c>
      <c r="I55" s="257">
        <v>0.023805887532375083</v>
      </c>
    </row>
    <row r="56" spans="1:9" ht="15">
      <c r="A56" s="134"/>
      <c r="B56" s="104"/>
      <c r="C56" s="150"/>
      <c r="D56" s="150"/>
      <c r="E56" s="150"/>
      <c r="F56" s="104"/>
      <c r="G56" s="259"/>
      <c r="H56" s="259"/>
      <c r="I56" s="259"/>
    </row>
    <row r="57" spans="1:9" ht="15">
      <c r="A57" s="104"/>
      <c r="B57" s="104"/>
      <c r="C57" s="104"/>
      <c r="D57" s="104"/>
      <c r="E57" s="104"/>
      <c r="F57" s="104"/>
      <c r="G57" s="104"/>
      <c r="H57" s="104"/>
      <c r="I57" s="104"/>
    </row>
    <row r="58" spans="1:9" ht="15">
      <c r="A58" s="104"/>
      <c r="B58" s="104"/>
      <c r="C58" s="104"/>
      <c r="D58" s="104"/>
      <c r="E58" s="104"/>
      <c r="F58" s="104"/>
      <c r="G58" s="104"/>
      <c r="H58" s="104"/>
      <c r="I58" s="104"/>
    </row>
    <row r="59" spans="1:9" ht="15">
      <c r="A59" s="159"/>
      <c r="B59" s="123"/>
      <c r="C59" s="123"/>
      <c r="D59" s="123"/>
      <c r="E59" s="123"/>
      <c r="F59" s="123"/>
      <c r="G59" s="123"/>
      <c r="H59" s="159"/>
      <c r="I59" s="159"/>
    </row>
    <row r="1000" ht="15">
      <c r="A1000" s="160" t="s">
        <v>399</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1000"/>
  <sheetViews>
    <sheetView showGridLines="0" tabSelected="1" zoomScale="80" zoomScaleNormal="80" zoomScalePageLayoutView="0" workbookViewId="0" topLeftCell="A1">
      <selection activeCell="G13" sqref="G13"/>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2018-2019</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c r="B6" s="2"/>
      <c r="C6" s="10" t="str">
        <f>HLOOKUP($F$2,Nombres!$C$3:$D$636,226,FALSE)</f>
        <v>Cuentas de resultados consolidadas proforma</v>
      </c>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9" t="str">
        <f>HLOOKUP($F$2,Nombres!$C$3:$D$636,7,FALSE)</f>
        <v>España</v>
      </c>
      <c r="D9" s="14"/>
      <c r="E9" s="14" t="b">
        <v>1</v>
      </c>
      <c r="F9" s="1" t="b">
        <f aca="true" t="shared" si="0" ref="F9:F19">OR($E$8,E9)</f>
        <v>1</v>
      </c>
      <c r="G9" s="15"/>
    </row>
    <row r="10" spans="1:7" ht="23.25" customHeight="1">
      <c r="A10" s="17"/>
      <c r="B10" s="2"/>
      <c r="C10" s="10" t="str">
        <f>HLOOKUP($F$2,Nombres!$C$3:$D$636,10,FALSE)</f>
        <v>EEUU</v>
      </c>
      <c r="D10" s="2"/>
      <c r="E10" s="2" t="b">
        <v>1</v>
      </c>
      <c r="F10" s="1" t="b">
        <f t="shared" si="0"/>
        <v>1</v>
      </c>
      <c r="G10" s="9"/>
    </row>
    <row r="11" spans="2:7" ht="23.25" customHeight="1">
      <c r="B11" s="2"/>
      <c r="C11" s="10" t="str">
        <f>HLOOKUP($F$2,Nombres!$C$3:$D$636,11,FALSE)</f>
        <v>México</v>
      </c>
      <c r="D11" s="2"/>
      <c r="E11" s="2" t="b">
        <v>1</v>
      </c>
      <c r="F11" s="1" t="b">
        <f t="shared" si="0"/>
        <v>1</v>
      </c>
      <c r="G11" s="9"/>
    </row>
    <row r="12" spans="1:7" ht="23.25" customHeight="1">
      <c r="A12" s="18"/>
      <c r="B12" s="2"/>
      <c r="C12" s="10" t="str">
        <f>HLOOKUP($F$2,Nombres!$C$3:$D$636,12,FALSE)</f>
        <v>Turquía </v>
      </c>
      <c r="D12" s="2"/>
      <c r="E12" s="2" t="b">
        <v>1</v>
      </c>
      <c r="F12" s="1" t="b">
        <f t="shared" si="0"/>
        <v>1</v>
      </c>
      <c r="G12" s="9"/>
    </row>
    <row r="13" spans="1:7" s="17" customFormat="1" ht="23.25" customHeight="1">
      <c r="A13" s="18"/>
      <c r="B13" s="19"/>
      <c r="C13" s="10" t="str">
        <f>HLOOKUP($F$2,Nombres!$C$3:$D$636,13,FALSE)</f>
        <v>América del Sur </v>
      </c>
      <c r="D13" s="2"/>
      <c r="E13" s="2" t="b">
        <v>1</v>
      </c>
      <c r="F13" s="20" t="b">
        <f>OR($E$8,E13)</f>
        <v>1</v>
      </c>
      <c r="G13" s="21"/>
    </row>
    <row r="14" spans="2:7" ht="23.25" customHeight="1">
      <c r="B14" s="2"/>
      <c r="C14" s="10" t="str">
        <f>HLOOKUP($F$2,Nombres!$C$3:$D$636,14,FALSE)</f>
        <v>Argentina</v>
      </c>
      <c r="D14" s="2"/>
      <c r="E14" s="2" t="b">
        <v>0</v>
      </c>
      <c r="F14" s="1" t="b">
        <f t="shared" si="0"/>
        <v>0</v>
      </c>
      <c r="G14" s="9"/>
    </row>
    <row r="15" spans="1:7" s="17" customFormat="1" ht="23.25" customHeight="1">
      <c r="A15" s="1"/>
      <c r="B15" s="19"/>
      <c r="C15" s="10" t="str">
        <f>HLOOKUP($F$2,Nombres!$C$3:$D$636,15,FALSE)</f>
        <v>Chile</v>
      </c>
      <c r="D15" s="22"/>
      <c r="E15" s="2" t="b">
        <v>0</v>
      </c>
      <c r="F15" s="20" t="b">
        <f t="shared" si="0"/>
        <v>0</v>
      </c>
      <c r="G15" s="21"/>
    </row>
    <row r="16" spans="1:7" s="17" customFormat="1" ht="23.25" customHeight="1">
      <c r="A16" s="6"/>
      <c r="B16" s="19"/>
      <c r="C16" s="10" t="str">
        <f>HLOOKUP($F$2,Nombres!$C$3:$D$636,16,FALSE)</f>
        <v>Colombia</v>
      </c>
      <c r="D16" s="22"/>
      <c r="E16" s="2" t="b">
        <v>1</v>
      </c>
      <c r="F16" s="20" t="b">
        <f t="shared" si="0"/>
        <v>1</v>
      </c>
      <c r="G16" s="21"/>
    </row>
    <row r="17" spans="2:7" ht="23.25" customHeight="1">
      <c r="B17" s="2"/>
      <c r="C17" s="10" t="str">
        <f>HLOOKUP($F$2,Nombres!$C$3:$D$636,17,FALSE)</f>
        <v>Perú</v>
      </c>
      <c r="D17" s="22"/>
      <c r="E17" s="2" t="b">
        <v>0</v>
      </c>
      <c r="F17" s="1" t="b">
        <f t="shared" si="0"/>
        <v>0</v>
      </c>
      <c r="G17" s="9"/>
    </row>
    <row r="18" spans="2:7" ht="21.75" customHeight="1">
      <c r="B18" s="2"/>
      <c r="C18" s="10" t="str">
        <f>HLOOKUP($F$2,Nombres!$C$3:$D$636,18,FALSE)</f>
        <v>Resto de Eurasia</v>
      </c>
      <c r="D18" s="22"/>
      <c r="E18" s="2" t="b">
        <v>0</v>
      </c>
      <c r="F18" s="1" t="b">
        <f t="shared" si="0"/>
        <v>0</v>
      </c>
      <c r="G18" s="9"/>
    </row>
    <row r="19" spans="2:7" ht="23.25" customHeight="1">
      <c r="B19" s="2"/>
      <c r="C19" s="10" t="str">
        <f>HLOOKUP($F$2,Nombres!$C$3:$D$636,19,FALSE)</f>
        <v>Centro Corporativo</v>
      </c>
      <c r="D19" s="22"/>
      <c r="E19" s="2" t="b">
        <v>0</v>
      </c>
      <c r="F19" s="1" t="b">
        <f t="shared" si="0"/>
        <v>0</v>
      </c>
      <c r="G19" s="9"/>
    </row>
    <row r="20" spans="2:7" ht="23.25" customHeight="1">
      <c r="B20" s="2"/>
      <c r="C20" s="23"/>
      <c r="D20" s="2"/>
      <c r="E20" s="2"/>
      <c r="G20" s="9"/>
    </row>
    <row r="21" spans="1:7" ht="23.25" customHeight="1">
      <c r="A21" s="16"/>
      <c r="B21" s="2"/>
      <c r="C21" s="7" t="str">
        <f>HLOOKUP($F$2,Nombres!$C$3:$D$636,20,FALSE)</f>
        <v>Información adicional:</v>
      </c>
      <c r="D21" s="2"/>
      <c r="E21" s="2"/>
      <c r="G21" s="9"/>
    </row>
    <row r="22" spans="1:7" ht="23.25" customHeight="1">
      <c r="A22" s="24"/>
      <c r="B22" s="2"/>
      <c r="C22" s="10" t="str">
        <f>HLOOKUP($F$2,Nombres!$C$3:$D$636,21,FALSE)</f>
        <v>Corporate &amp; Investment Banking</v>
      </c>
      <c r="D22" s="2"/>
      <c r="E22" s="2" t="b">
        <v>0</v>
      </c>
      <c r="F22" s="1" t="b">
        <f>OR($E$8,E22)</f>
        <v>0</v>
      </c>
      <c r="G22" s="9"/>
    </row>
    <row r="23" spans="2:7" ht="24.75" customHeight="1">
      <c r="B23" s="2"/>
      <c r="C23" s="7" t="str">
        <f>HLOOKUP($F$2,Nombres!$C$3:$D$636,22,FALSE)</f>
        <v>Anexo:</v>
      </c>
      <c r="D23" s="14"/>
      <c r="E23" s="2"/>
      <c r="G23" s="9"/>
    </row>
    <row r="24" spans="1:7" s="16" customFormat="1" ht="23.25" customHeight="1">
      <c r="A24" s="1"/>
      <c r="B24" s="14"/>
      <c r="C24" s="25" t="str">
        <f>HLOOKUP($F$2,Nombres!$C$3:$D$636,23,FALSE)</f>
        <v>Eficiencia</v>
      </c>
      <c r="D24" s="2"/>
      <c r="E24" s="14" t="b">
        <v>0</v>
      </c>
      <c r="F24" s="1" t="b">
        <f aca="true" t="shared" si="1" ref="F24:F31">OR($E$23,E24)</f>
        <v>0</v>
      </c>
      <c r="G24" s="15"/>
    </row>
    <row r="25" spans="1:7" s="24" customFormat="1" ht="23.25" customHeight="1">
      <c r="A25" s="1"/>
      <c r="B25" s="26"/>
      <c r="C25" s="25" t="str">
        <f>HLOOKUP($F$2,Nombres!$C$3:$D$636,24,FALSE)</f>
        <v>Tasas de mora, cobertura y coste de riesgo</v>
      </c>
      <c r="D25" s="2"/>
      <c r="E25" s="26" t="b">
        <v>0</v>
      </c>
      <c r="F25" s="24" t="b">
        <f t="shared" si="1"/>
        <v>0</v>
      </c>
      <c r="G25" s="27"/>
    </row>
    <row r="26" spans="2:7" ht="23.25" customHeight="1">
      <c r="B26" s="2"/>
      <c r="C26" s="25" t="str">
        <f>HLOOKUP($F$2,Nombres!$C$3:$D$636,25,FALSE)</f>
        <v>Empleados, oficinas y cajeros automáticos</v>
      </c>
      <c r="D26" s="2"/>
      <c r="E26" s="2" t="b">
        <v>0</v>
      </c>
      <c r="F26" s="1" t="b">
        <f t="shared" si="1"/>
        <v>0</v>
      </c>
      <c r="G26" s="9"/>
    </row>
    <row r="27" spans="2:7" ht="22.5" customHeight="1">
      <c r="B27" s="2"/>
      <c r="C27" s="25" t="str">
        <f>HLOOKUP($F$2,Nombres!$C$3:$D$636,26,FALSE)</f>
        <v>Tipos de cambio</v>
      </c>
      <c r="D27" s="2"/>
      <c r="E27" s="2" t="b">
        <v>0</v>
      </c>
      <c r="F27" s="1" t="b">
        <f t="shared" si="1"/>
        <v>0</v>
      </c>
      <c r="G27" s="9"/>
    </row>
    <row r="28" spans="2:6" ht="22.5" customHeight="1">
      <c r="B28" s="2"/>
      <c r="C28" s="25" t="str">
        <f>HLOOKUP($F$2,Nombres!$C$3:$D$636,27,FALSE)</f>
        <v>Diferenciales de la clientela</v>
      </c>
      <c r="D28" s="14"/>
      <c r="E28" s="2" t="b">
        <v>1</v>
      </c>
      <c r="F28" s="1" t="b">
        <f t="shared" si="1"/>
        <v>1</v>
      </c>
    </row>
    <row r="29" spans="2:6" ht="23.25" customHeight="1">
      <c r="B29" s="2"/>
      <c r="C29" s="25" t="str">
        <f>HLOOKUP($F$2,Nombres!$C$3:$D$636,28,FALSE)</f>
        <v>Activos ponderados por riesgo. Desglose por áreas de negocio y principales países</v>
      </c>
      <c r="D29" s="26"/>
      <c r="E29" s="2" t="b">
        <v>0</v>
      </c>
      <c r="F29" s="1" t="b">
        <f t="shared" si="1"/>
        <v>0</v>
      </c>
    </row>
    <row r="30" spans="2:6" ht="23.25" customHeight="1">
      <c r="B30" s="2"/>
      <c r="C30" s="25" t="str">
        <f>HLOOKUP($F$2,Nombres!$C$3:$D$636,29,FALSE)</f>
        <v>Desglose del crédito no dudoso en gestión</v>
      </c>
      <c r="D30" s="2"/>
      <c r="E30" s="2" t="b">
        <v>0</v>
      </c>
      <c r="F30" s="1" t="b">
        <f t="shared" si="1"/>
        <v>0</v>
      </c>
    </row>
    <row r="31" spans="2:6" ht="23.25" customHeight="1">
      <c r="B31" s="2"/>
      <c r="C31" s="25" t="str">
        <f>HLOOKUP($F$2,Nombres!$C$3:$D$636,120,FALSE)</f>
        <v>Desglose de los recursos de clientes en gestión</v>
      </c>
      <c r="D31" s="2"/>
      <c r="E31" s="2" t="b">
        <v>0</v>
      </c>
      <c r="F31" s="1" t="b">
        <f t="shared" si="1"/>
        <v>0</v>
      </c>
    </row>
    <row r="32" spans="2:5" ht="23.25" customHeight="1">
      <c r="B32" s="2"/>
      <c r="C32" s="25" t="str">
        <f>HLOOKUP($F$2,Nombres!$C$3:$D$636,242,FALSE)</f>
        <v>Carteras Coap</v>
      </c>
      <c r="D32" s="2"/>
      <c r="E32" s="2"/>
    </row>
    <row r="33" spans="2:5" ht="23.25" customHeight="1">
      <c r="B33" s="2"/>
      <c r="C33" s="3"/>
      <c r="D33" s="2"/>
      <c r="E33" s="2"/>
    </row>
    <row r="34" spans="2:8" ht="23.25" customHeight="1">
      <c r="B34" s="2"/>
      <c r="C34" s="294"/>
      <c r="D34" s="294"/>
      <c r="E34" s="294"/>
      <c r="F34" s="294"/>
      <c r="G34" s="294"/>
      <c r="H34" s="294"/>
    </row>
    <row r="35" spans="2:5" ht="23.25" customHeight="1">
      <c r="B35" s="2"/>
      <c r="C35" s="3"/>
      <c r="D35" s="2"/>
      <c r="E35" s="2"/>
    </row>
    <row r="36" spans="2:5" ht="23.25" customHeight="1">
      <c r="B36" s="2"/>
      <c r="C36" s="3"/>
      <c r="D36" s="2"/>
      <c r="E36" s="2"/>
    </row>
    <row r="37" spans="2:5" ht="23.25" customHeight="1">
      <c r="B37" s="2"/>
      <c r="C37" s="3"/>
      <c r="D37" s="2"/>
      <c r="E37" s="2"/>
    </row>
    <row r="38" spans="2:5" ht="23.25" customHeight="1">
      <c r="B38" s="2"/>
      <c r="C38" s="3"/>
      <c r="D38" s="2"/>
      <c r="E38" s="2"/>
    </row>
    <row r="1000" ht="23.25" customHeight="1">
      <c r="A1000" s="1" t="s">
        <v>399</v>
      </c>
    </row>
  </sheetData>
  <sheetProtection/>
  <mergeCells count="1">
    <mergeCell ref="C34:H34"/>
  </mergeCells>
  <hyperlinks>
    <hyperlink ref="C5" location="'Cuenta de Resultados'!A1" display="'Cuenta de Resultados'!A1"/>
    <hyperlink ref="C6" location="'Cuenta de Resultados Proforma'!A1" display="'Cuenta de Resultados Proforma'!A1"/>
    <hyperlink ref="C9" location="España!A1" display="España!A1"/>
    <hyperlink ref="C10" location="EEUU!A1" display="EEUU!A1"/>
    <hyperlink ref="C11" location="Mexico!A1" display="Mexico!A1"/>
    <hyperlink ref="C12" location="Turquia!A1" display="Turquia!A1"/>
    <hyperlink ref="C13" location="AdS!A1" display="AdS!A1"/>
    <hyperlink ref="C14" location="Argentina!A1" display="Argentina!A1"/>
    <hyperlink ref="C15" location="Chile!A1" display="Chile!A1"/>
    <hyperlink ref="C16" location="Colombia!A1" display="Colombia!A1"/>
    <hyperlink ref="C17" location="Peru!A1" display="Peru!A1"/>
    <hyperlink ref="C18" location="'Resto de Eurasia'!A1" display="'Resto de Eurasia'!A1"/>
    <hyperlink ref="C19" location="'Centro Corporativo'!A1" display="'Centro Corporativo'!A1"/>
    <hyperlink ref="C22" location="'Corporate &amp; Investment Banking'!A1" display="'Corporate &amp; Investment Banking'!A1"/>
    <hyperlink ref="C24" location="Eficiencia!A1" display="Eficiencia!A1"/>
    <hyperlink ref="C25" location="'Mora,cobertura,coste de riesgo'!A1" display="'Mora,cobertura,coste de riesgo'!A1"/>
    <hyperlink ref="C26" location="'Empleados, oficinas y cajeros'!A1" display="'Empleados, oficinas y cajeros'!A1"/>
    <hyperlink ref="C27" location="'Tipos de Cambio'!A1" display="'Tipos de Cambio'!A1"/>
    <hyperlink ref="C29" location="APRs!A1" display="APRs!A1"/>
    <hyperlink ref="C30" location="Inversion!A1" display="Inversion!A1"/>
    <hyperlink ref="C28" location="Diferenciales!A1" display="Diferenciales!A1"/>
    <hyperlink ref="C31" location="Recursos!A1" display="Recursos!A1"/>
    <hyperlink ref="C7" location="Balance!A1" display="Balance!A1"/>
    <hyperlink ref="C32"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2" sqref="A2"/>
    </sheetView>
  </sheetViews>
  <sheetFormatPr defaultColWidth="11.421875" defaultRowHeight="15"/>
  <cols>
    <col min="1" max="1" width="23.8515625" style="0" customWidth="1"/>
  </cols>
  <sheetData>
    <row r="1" spans="1:41" ht="18">
      <c r="A1" s="260" t="str">
        <f>HLOOKUP(INDICE!$F$2,Nombres!$C$3:$D$636,123,FALSE)</f>
        <v>Oficinas</v>
      </c>
      <c r="B1" s="161"/>
      <c r="C1" s="161"/>
      <c r="D1" s="162"/>
      <c r="E1" s="162"/>
      <c r="F1" s="162"/>
      <c r="G1" s="162"/>
      <c r="H1" s="162"/>
      <c r="I1" s="162"/>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63"/>
      <c r="B2" s="106">
        <v>43190</v>
      </c>
      <c r="C2" s="106">
        <v>43281</v>
      </c>
      <c r="D2" s="106">
        <v>43373</v>
      </c>
      <c r="E2" s="106">
        <v>43465</v>
      </c>
      <c r="F2" s="106">
        <v>43555</v>
      </c>
      <c r="G2" s="106">
        <v>43646</v>
      </c>
      <c r="H2" s="106">
        <v>43738</v>
      </c>
      <c r="I2" s="106">
        <v>43830</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61" t="str">
        <f>HLOOKUP(INDICE!$F$2,Nombres!$C$3:$D$636,7,FALSE)</f>
        <v>España</v>
      </c>
      <c r="B3" s="41">
        <v>2929</v>
      </c>
      <c r="C3" s="41">
        <v>2881</v>
      </c>
      <c r="D3" s="41">
        <v>2870</v>
      </c>
      <c r="E3" s="41">
        <v>2840</v>
      </c>
      <c r="F3" s="41">
        <v>2774</v>
      </c>
      <c r="G3" s="41">
        <v>2733</v>
      </c>
      <c r="H3" s="41">
        <v>2696</v>
      </c>
      <c r="I3" s="41">
        <v>2642</v>
      </c>
      <c r="J3" s="56"/>
      <c r="K3" s="31"/>
      <c r="L3" s="123"/>
      <c r="M3" s="123"/>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61" t="str">
        <f>HLOOKUP(INDICE!$F$2,Nombres!$C$3:$D$636,10,FALSE)</f>
        <v>EEUU</v>
      </c>
      <c r="B4" s="41">
        <v>652</v>
      </c>
      <c r="C4" s="41">
        <v>648</v>
      </c>
      <c r="D4" s="41">
        <v>648</v>
      </c>
      <c r="E4" s="41">
        <v>646</v>
      </c>
      <c r="F4" s="41">
        <v>643</v>
      </c>
      <c r="G4" s="41">
        <v>644</v>
      </c>
      <c r="H4" s="41">
        <v>643</v>
      </c>
      <c r="I4" s="41">
        <v>643</v>
      </c>
      <c r="J4" s="56"/>
      <c r="K4" s="31"/>
      <c r="L4" s="123"/>
      <c r="M4" s="123"/>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61" t="str">
        <f>HLOOKUP(INDICE!$F$2,Nombres!$C$3:$D$636,11,FALSE)</f>
        <v>México</v>
      </c>
      <c r="B5" s="41">
        <v>1833</v>
      </c>
      <c r="C5" s="41">
        <v>1836</v>
      </c>
      <c r="D5" s="41">
        <v>1836</v>
      </c>
      <c r="E5" s="41">
        <v>1836</v>
      </c>
      <c r="F5" s="41">
        <v>1794</v>
      </c>
      <c r="G5" s="41">
        <v>1821</v>
      </c>
      <c r="H5" s="41">
        <v>1848</v>
      </c>
      <c r="I5" s="41">
        <v>1860</v>
      </c>
      <c r="J5" s="56"/>
      <c r="K5" s="31"/>
      <c r="L5" s="123"/>
      <c r="M5" s="123"/>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61" t="str">
        <f>HLOOKUP(INDICE!$F$2,Nombres!$C$3:$D$636,12,FALSE)</f>
        <v>Turquía </v>
      </c>
      <c r="B6" s="41">
        <v>1082</v>
      </c>
      <c r="C6" s="41">
        <v>1072</v>
      </c>
      <c r="D6" s="41">
        <v>1069</v>
      </c>
      <c r="E6" s="41">
        <v>1066</v>
      </c>
      <c r="F6" s="41">
        <v>1060</v>
      </c>
      <c r="G6" s="41">
        <v>1051</v>
      </c>
      <c r="H6" s="41">
        <v>1044</v>
      </c>
      <c r="I6" s="41">
        <v>1038</v>
      </c>
      <c r="J6" s="56"/>
      <c r="K6" s="31"/>
      <c r="L6" s="123"/>
      <c r="M6" s="12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61" t="str">
        <f>HLOOKUP(INDICE!$F$2,Nombres!$C$3:$D$636,13,FALSE)</f>
        <v>América del Sur </v>
      </c>
      <c r="B7" s="41">
        <v>1669</v>
      </c>
      <c r="C7" s="41">
        <v>1669</v>
      </c>
      <c r="D7" s="41">
        <v>1541</v>
      </c>
      <c r="E7" s="41">
        <v>1543</v>
      </c>
      <c r="F7" s="41">
        <v>1541</v>
      </c>
      <c r="G7" s="41">
        <v>1542</v>
      </c>
      <c r="H7" s="41">
        <v>1535</v>
      </c>
      <c r="I7" s="41">
        <v>1530</v>
      </c>
      <c r="J7" s="56"/>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64" t="str">
        <f>HLOOKUP(INDICE!$F$2,Nombres!$C$3:$D$636,14,FALSE)</f>
        <v>Argentina</v>
      </c>
      <c r="B8" s="262">
        <v>251</v>
      </c>
      <c r="C8" s="262">
        <v>252</v>
      </c>
      <c r="D8" s="262">
        <v>251</v>
      </c>
      <c r="E8" s="262">
        <v>253</v>
      </c>
      <c r="F8" s="262">
        <v>253</v>
      </c>
      <c r="G8" s="262">
        <v>253</v>
      </c>
      <c r="H8" s="262">
        <v>252</v>
      </c>
      <c r="I8" s="262">
        <v>252</v>
      </c>
      <c r="J8" s="56"/>
      <c r="K8" s="31"/>
      <c r="L8" s="123"/>
      <c r="M8" s="123"/>
      <c r="N8" s="276"/>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263" t="str">
        <f>HLOOKUP(INDICE!$F$2,Nombres!$C$3:$D$636,15,FALSE)</f>
        <v>Chile</v>
      </c>
      <c r="B9" s="44">
        <v>136</v>
      </c>
      <c r="C9" s="44">
        <v>135</v>
      </c>
      <c r="D9" s="44">
        <v>13</v>
      </c>
      <c r="E9" s="44">
        <v>13</v>
      </c>
      <c r="F9" s="44">
        <v>14</v>
      </c>
      <c r="G9" s="44">
        <v>14</v>
      </c>
      <c r="H9" s="44">
        <v>18</v>
      </c>
      <c r="I9" s="44">
        <v>17</v>
      </c>
      <c r="J9" s="56"/>
      <c r="K9" s="31"/>
      <c r="L9" s="123"/>
      <c r="M9" s="123"/>
      <c r="N9" s="276"/>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63" t="str">
        <f>HLOOKUP(INDICE!$F$2,Nombres!$C$3:$D$636,16,FALSE)</f>
        <v>Colombia</v>
      </c>
      <c r="B10" s="44">
        <v>555</v>
      </c>
      <c r="C10" s="44">
        <v>559</v>
      </c>
      <c r="D10" s="44">
        <v>558</v>
      </c>
      <c r="E10" s="44">
        <v>558</v>
      </c>
      <c r="F10" s="44">
        <v>557</v>
      </c>
      <c r="G10" s="44">
        <v>557</v>
      </c>
      <c r="H10" s="44">
        <v>548</v>
      </c>
      <c r="I10" s="44">
        <v>551</v>
      </c>
      <c r="J10" s="56"/>
      <c r="K10" s="123"/>
      <c r="L10" s="123"/>
      <c r="M10" s="123"/>
      <c r="N10" s="276"/>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63" t="str">
        <f>HLOOKUP(INDICE!$F$2,Nombres!$C$3:$D$636,17,FALSE)</f>
        <v>Perú</v>
      </c>
      <c r="B11" s="44">
        <v>332</v>
      </c>
      <c r="C11" s="44">
        <v>332</v>
      </c>
      <c r="D11" s="44">
        <v>332</v>
      </c>
      <c r="E11" s="44">
        <v>332</v>
      </c>
      <c r="F11" s="44">
        <v>332</v>
      </c>
      <c r="G11" s="44">
        <v>333</v>
      </c>
      <c r="H11" s="44">
        <v>333</v>
      </c>
      <c r="I11" s="44">
        <v>332</v>
      </c>
      <c r="J11" s="56"/>
      <c r="K11" s="123"/>
      <c r="L11" s="123"/>
      <c r="M11" s="123"/>
      <c r="N11" s="276"/>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63" t="str">
        <f>HLOOKUP(INDICE!$F$2,Nombres!$C$3:$D$636,89,FALSE)</f>
        <v>Resto de América del Sur</v>
      </c>
      <c r="B12" s="44">
        <v>395</v>
      </c>
      <c r="C12" s="44">
        <v>391</v>
      </c>
      <c r="D12" s="44">
        <v>387</v>
      </c>
      <c r="E12" s="44">
        <v>387</v>
      </c>
      <c r="F12" s="44">
        <v>385</v>
      </c>
      <c r="G12" s="44">
        <v>385</v>
      </c>
      <c r="H12" s="44">
        <v>384</v>
      </c>
      <c r="I12" s="44">
        <v>378</v>
      </c>
      <c r="J12" s="56"/>
      <c r="K12" s="123"/>
      <c r="L12" s="123"/>
      <c r="M12" s="123"/>
      <c r="N12" s="276"/>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61" t="str">
        <f>HLOOKUP(INDICE!$F$2,Nombres!$C$3:$D$636,18,FALSE)</f>
        <v>Resto de Eurasia</v>
      </c>
      <c r="B13" s="41">
        <v>35</v>
      </c>
      <c r="C13" s="41">
        <v>35</v>
      </c>
      <c r="D13" s="41">
        <v>35</v>
      </c>
      <c r="E13" s="41">
        <v>32</v>
      </c>
      <c r="F13" s="41">
        <v>32</v>
      </c>
      <c r="G13" s="41">
        <v>32</v>
      </c>
      <c r="H13" s="41">
        <v>32</v>
      </c>
      <c r="I13" s="41">
        <v>31</v>
      </c>
      <c r="J13" s="56"/>
      <c r="K13" s="123"/>
      <c r="L13" s="123"/>
      <c r="M13" s="123"/>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61" t="s">
        <v>6</v>
      </c>
      <c r="B14" s="41">
        <f aca="true" t="shared" si="0" ref="B14:I14">+SUM(B3:B6,B8:B13)</f>
        <v>8200</v>
      </c>
      <c r="C14" s="41">
        <f t="shared" si="0"/>
        <v>8141</v>
      </c>
      <c r="D14" s="41">
        <f t="shared" si="0"/>
        <v>7999</v>
      </c>
      <c r="E14" s="41">
        <f t="shared" si="0"/>
        <v>7963</v>
      </c>
      <c r="F14" s="41">
        <f t="shared" si="0"/>
        <v>7844</v>
      </c>
      <c r="G14" s="41">
        <f t="shared" si="0"/>
        <v>7823</v>
      </c>
      <c r="H14" s="41">
        <f t="shared" si="0"/>
        <v>7798</v>
      </c>
      <c r="I14" s="41">
        <f t="shared" si="0"/>
        <v>7744</v>
      </c>
      <c r="J14" s="56"/>
      <c r="K14" s="123"/>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65"/>
      <c r="B15" s="166">
        <v>0</v>
      </c>
      <c r="C15" s="166">
        <v>0</v>
      </c>
      <c r="D15" s="166">
        <v>0</v>
      </c>
      <c r="E15" s="166">
        <v>0</v>
      </c>
      <c r="F15" s="166">
        <v>0</v>
      </c>
      <c r="G15" s="166">
        <v>0</v>
      </c>
      <c r="H15" s="166">
        <v>0</v>
      </c>
      <c r="I15" s="166">
        <v>0</v>
      </c>
      <c r="J15" s="31"/>
      <c r="K15" s="123"/>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65"/>
      <c r="B16" s="166"/>
      <c r="C16" s="166"/>
      <c r="D16" s="166"/>
      <c r="E16" s="166"/>
      <c r="F16" s="166"/>
      <c r="G16" s="166"/>
      <c r="H16" s="166"/>
      <c r="I16" s="166"/>
      <c r="J16" s="31"/>
      <c r="K16" s="123"/>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60" t="str">
        <f>HLOOKUP(INDICE!$F$2,Nombres!$C$3:$D$636,124,FALSE)</f>
        <v>Empleados</v>
      </c>
      <c r="B17" s="161"/>
      <c r="C17" s="161"/>
      <c r="D17" s="162"/>
      <c r="E17" s="162"/>
      <c r="F17" s="162"/>
      <c r="G17" s="162"/>
      <c r="H17" s="162"/>
      <c r="I17" s="162"/>
      <c r="J17" s="167"/>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63"/>
      <c r="B18" s="106">
        <f aca="true" t="shared" si="1" ref="B18:I18">+B$2</f>
        <v>43190</v>
      </c>
      <c r="C18" s="106">
        <f t="shared" si="1"/>
        <v>43281</v>
      </c>
      <c r="D18" s="106">
        <f t="shared" si="1"/>
        <v>43373</v>
      </c>
      <c r="E18" s="106">
        <f t="shared" si="1"/>
        <v>43465</v>
      </c>
      <c r="F18" s="106">
        <f t="shared" si="1"/>
        <v>43555</v>
      </c>
      <c r="G18" s="106">
        <f t="shared" si="1"/>
        <v>43646</v>
      </c>
      <c r="H18" s="106">
        <f t="shared" si="1"/>
        <v>43738</v>
      </c>
      <c r="I18" s="106">
        <f t="shared" si="1"/>
        <v>43830</v>
      </c>
      <c r="J18" s="167"/>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61" t="str">
        <f>HLOOKUP(INDICE!$F$2,Nombres!$C$3:$D$636,7,FALSE)</f>
        <v>España</v>
      </c>
      <c r="B19" s="41">
        <v>30622</v>
      </c>
      <c r="C19" s="41">
        <v>30531</v>
      </c>
      <c r="D19" s="41">
        <v>30337</v>
      </c>
      <c r="E19" s="41">
        <v>30338</v>
      </c>
      <c r="F19" s="41">
        <v>30292</v>
      </c>
      <c r="G19" s="41">
        <v>30275</v>
      </c>
      <c r="H19" s="41">
        <v>30233</v>
      </c>
      <c r="I19" s="41">
        <v>30283</v>
      </c>
      <c r="J19" s="123"/>
      <c r="K19" s="41"/>
      <c r="L19" s="31"/>
      <c r="M19" s="56"/>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61" t="str">
        <f>HLOOKUP(INDICE!$F$2,Nombres!$C$3:$D$636,10,FALSE)</f>
        <v>EEUU</v>
      </c>
      <c r="B20" s="41">
        <v>10977</v>
      </c>
      <c r="C20" s="41">
        <v>10908</v>
      </c>
      <c r="D20" s="41">
        <v>11005</v>
      </c>
      <c r="E20" s="41">
        <v>10984</v>
      </c>
      <c r="F20" s="41">
        <v>10933</v>
      </c>
      <c r="G20" s="41">
        <v>10866</v>
      </c>
      <c r="H20" s="41">
        <v>10771</v>
      </c>
      <c r="I20" s="41">
        <v>10825</v>
      </c>
      <c r="J20" s="123"/>
      <c r="K20" s="41"/>
      <c r="L20" s="31"/>
      <c r="M20" s="56"/>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61" t="str">
        <f>HLOOKUP(INDICE!$F$2,Nombres!$C$3:$D$636,11,FALSE)</f>
        <v>México</v>
      </c>
      <c r="B21" s="41">
        <v>37439</v>
      </c>
      <c r="C21" s="41">
        <v>37863</v>
      </c>
      <c r="D21" s="41">
        <v>36281</v>
      </c>
      <c r="E21" s="41">
        <v>36123</v>
      </c>
      <c r="F21" s="41">
        <v>36701</v>
      </c>
      <c r="G21" s="41">
        <v>37335</v>
      </c>
      <c r="H21" s="41">
        <v>37613</v>
      </c>
      <c r="I21" s="41">
        <v>37805</v>
      </c>
      <c r="J21" s="123"/>
      <c r="K21" s="41"/>
      <c r="L21" s="31"/>
      <c r="M21" s="56"/>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61" t="str">
        <f>HLOOKUP(INDICE!$F$2,Nombres!$C$3:$D$636,12,FALSE)</f>
        <v>Turquía </v>
      </c>
      <c r="B22" s="41">
        <v>22400</v>
      </c>
      <c r="C22" s="41">
        <v>22286</v>
      </c>
      <c r="D22" s="41">
        <v>22367</v>
      </c>
      <c r="E22" s="41">
        <v>21994</v>
      </c>
      <c r="F22" s="41">
        <v>21884</v>
      </c>
      <c r="G22" s="41">
        <v>21950</v>
      </c>
      <c r="H22" s="41">
        <v>22118</v>
      </c>
      <c r="I22" s="41">
        <v>22275</v>
      </c>
      <c r="J22" s="123"/>
      <c r="K22" s="41"/>
      <c r="L22" s="31"/>
      <c r="M22" s="56"/>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61" t="str">
        <f>HLOOKUP(INDICE!$F$2,Nombres!$C$3:$D$636,13,FALSE)</f>
        <v>América del Sur </v>
      </c>
      <c r="B23" s="41">
        <v>29183</v>
      </c>
      <c r="C23" s="41">
        <v>29076</v>
      </c>
      <c r="D23" s="41">
        <v>25230</v>
      </c>
      <c r="E23" s="41">
        <v>25050</v>
      </c>
      <c r="F23" s="41">
        <v>24773</v>
      </c>
      <c r="G23" s="41">
        <v>24432</v>
      </c>
      <c r="H23" s="41">
        <v>24456</v>
      </c>
      <c r="I23" s="41">
        <v>24644</v>
      </c>
      <c r="J23" s="56"/>
      <c r="K23" s="44"/>
      <c r="L23" s="31"/>
      <c r="M23" s="56"/>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64" t="str">
        <f>HLOOKUP(INDICE!$F$2,Nombres!$C$3:$D$636,14,FALSE)</f>
        <v>Argentina</v>
      </c>
      <c r="B24" s="44">
        <v>6244</v>
      </c>
      <c r="C24" s="44">
        <v>6253</v>
      </c>
      <c r="D24" s="44">
        <v>6250</v>
      </c>
      <c r="E24" s="44">
        <v>6262</v>
      </c>
      <c r="F24" s="44">
        <v>6313</v>
      </c>
      <c r="G24" s="44">
        <v>6402</v>
      </c>
      <c r="H24" s="44">
        <v>6398</v>
      </c>
      <c r="I24" s="44">
        <v>6402</v>
      </c>
      <c r="J24" s="56"/>
      <c r="K24" s="44"/>
      <c r="L24" s="123"/>
      <c r="M24" s="56"/>
      <c r="N24" s="277"/>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263" t="str">
        <f>HLOOKUP(INDICE!$F$2,Nombres!$C$3:$D$636,15,FALSE)</f>
        <v>Chile</v>
      </c>
      <c r="B25" s="44">
        <v>4855</v>
      </c>
      <c r="C25" s="44">
        <v>4812</v>
      </c>
      <c r="D25" s="44">
        <v>917</v>
      </c>
      <c r="E25" s="44">
        <v>923</v>
      </c>
      <c r="F25" s="44">
        <v>933</v>
      </c>
      <c r="G25" s="44">
        <v>947</v>
      </c>
      <c r="H25" s="44">
        <v>962</v>
      </c>
      <c r="I25" s="44">
        <v>956</v>
      </c>
      <c r="J25" s="56"/>
      <c r="K25" s="44"/>
      <c r="L25" s="123"/>
      <c r="M25" s="56"/>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63" t="str">
        <f>HLOOKUP(INDICE!$F$2,Nombres!$C$3:$D$636,16,FALSE)</f>
        <v>Colombia</v>
      </c>
      <c r="B26" s="44">
        <v>6744</v>
      </c>
      <c r="C26" s="44">
        <v>6747</v>
      </c>
      <c r="D26" s="44">
        <v>6765</v>
      </c>
      <c r="E26" s="44">
        <v>6803</v>
      </c>
      <c r="F26" s="44">
        <v>6769</v>
      </c>
      <c r="G26" s="44">
        <v>6778</v>
      </c>
      <c r="H26" s="44">
        <v>6847</v>
      </c>
      <c r="I26" s="44">
        <v>6899</v>
      </c>
      <c r="J26" s="56"/>
      <c r="K26" s="44"/>
      <c r="L26" s="123"/>
      <c r="M26" s="56"/>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63" t="str">
        <f>HLOOKUP(INDICE!$F$2,Nombres!$C$3:$D$636,17,FALSE)</f>
        <v>Perú</v>
      </c>
      <c r="B27" s="44">
        <v>6063</v>
      </c>
      <c r="C27" s="44">
        <v>6199</v>
      </c>
      <c r="D27" s="44">
        <v>6360</v>
      </c>
      <c r="E27" s="44">
        <v>6267</v>
      </c>
      <c r="F27" s="44">
        <v>6142</v>
      </c>
      <c r="G27" s="44">
        <v>6216</v>
      </c>
      <c r="H27" s="44">
        <v>6269</v>
      </c>
      <c r="I27" s="44">
        <v>6420</v>
      </c>
      <c r="J27" s="56"/>
      <c r="K27" s="44"/>
      <c r="L27" s="123"/>
      <c r="M27" s="56"/>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63" t="str">
        <f>HLOOKUP(INDICE!$F$2,Nombres!$C$3:$D$636,89,FALSE)</f>
        <v>Resto de América del Sur</v>
      </c>
      <c r="B28" s="44">
        <v>5277</v>
      </c>
      <c r="C28" s="44">
        <v>5065</v>
      </c>
      <c r="D28" s="44">
        <v>4938</v>
      </c>
      <c r="E28" s="44">
        <v>4795</v>
      </c>
      <c r="F28" s="44">
        <v>4616</v>
      </c>
      <c r="G28" s="44">
        <v>4089</v>
      </c>
      <c r="H28" s="44">
        <v>3980</v>
      </c>
      <c r="I28" s="44">
        <v>3967</v>
      </c>
      <c r="J28" s="56"/>
      <c r="K28" s="44"/>
      <c r="L28" s="123"/>
      <c r="M28" s="56"/>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61" t="str">
        <f>HLOOKUP(INDICE!$F$2,Nombres!$C$3:$D$636,18,FALSE)</f>
        <v>Resto de Eurasia</v>
      </c>
      <c r="B29" s="41">
        <v>1124</v>
      </c>
      <c r="C29" s="41">
        <v>1120</v>
      </c>
      <c r="D29" s="41">
        <v>1137</v>
      </c>
      <c r="E29" s="41">
        <v>1138</v>
      </c>
      <c r="F29" s="41">
        <v>1166</v>
      </c>
      <c r="G29" s="41">
        <v>1159</v>
      </c>
      <c r="H29" s="41">
        <v>1141</v>
      </c>
      <c r="I29" s="41">
        <v>1141</v>
      </c>
      <c r="J29" s="123"/>
      <c r="K29" s="44"/>
      <c r="L29" s="31"/>
      <c r="M29" s="56"/>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61" t="s">
        <v>6</v>
      </c>
      <c r="B30" s="41">
        <f aca="true" t="shared" si="2" ref="B30:I30">+SUM(B19:B22,B24:B29)</f>
        <v>131745</v>
      </c>
      <c r="C30" s="41">
        <f t="shared" si="2"/>
        <v>131784</v>
      </c>
      <c r="D30" s="41">
        <f t="shared" si="2"/>
        <v>126357</v>
      </c>
      <c r="E30" s="41">
        <f t="shared" si="2"/>
        <v>125627</v>
      </c>
      <c r="F30" s="41">
        <f t="shared" si="2"/>
        <v>125749</v>
      </c>
      <c r="G30" s="41">
        <f t="shared" si="2"/>
        <v>126017</v>
      </c>
      <c r="H30" s="41">
        <f t="shared" si="2"/>
        <v>126332</v>
      </c>
      <c r="I30" s="41">
        <f t="shared" si="2"/>
        <v>126973</v>
      </c>
      <c r="J30" s="56"/>
      <c r="K30" s="31"/>
      <c r="L30" s="31"/>
      <c r="M30" s="56"/>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65"/>
      <c r="B31" s="166">
        <v>0</v>
      </c>
      <c r="C31" s="166">
        <v>0</v>
      </c>
      <c r="D31" s="166">
        <v>0</v>
      </c>
      <c r="E31" s="166">
        <v>0</v>
      </c>
      <c r="F31" s="166">
        <v>0</v>
      </c>
      <c r="G31" s="166">
        <v>0</v>
      </c>
      <c r="H31" s="166">
        <v>0</v>
      </c>
      <c r="I31" s="166">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65"/>
      <c r="B32" s="166"/>
      <c r="C32" s="166"/>
      <c r="D32" s="166"/>
      <c r="E32" s="166"/>
      <c r="F32" s="166"/>
      <c r="G32" s="166"/>
      <c r="H32" s="166"/>
      <c r="I32" s="166"/>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60" t="str">
        <f>HLOOKUP(INDICE!$F$2,Nombres!$C$3:$D$636,125,FALSE)</f>
        <v>Cajeros automáticos</v>
      </c>
      <c r="B33" s="161"/>
      <c r="C33" s="161"/>
      <c r="D33" s="162"/>
      <c r="E33" s="162"/>
      <c r="F33" s="162"/>
      <c r="G33" s="162"/>
      <c r="H33" s="162"/>
      <c r="I33" s="162"/>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50"/>
      <c r="B34" s="106">
        <f aca="true" t="shared" si="3" ref="B34:I34">+B$2</f>
        <v>43190</v>
      </c>
      <c r="C34" s="106">
        <f t="shared" si="3"/>
        <v>43281</v>
      </c>
      <c r="D34" s="106">
        <f t="shared" si="3"/>
        <v>43373</v>
      </c>
      <c r="E34" s="106">
        <f t="shared" si="3"/>
        <v>43465</v>
      </c>
      <c r="F34" s="106">
        <f t="shared" si="3"/>
        <v>43555</v>
      </c>
      <c r="G34" s="106">
        <f t="shared" si="3"/>
        <v>43646</v>
      </c>
      <c r="H34" s="106">
        <f t="shared" si="3"/>
        <v>43738</v>
      </c>
      <c r="I34" s="106">
        <f t="shared" si="3"/>
        <v>43830</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61" t="str">
        <f>HLOOKUP(INDICE!$F$2,Nombres!$C$3:$D$636,7,FALSE)</f>
        <v>España</v>
      </c>
      <c r="B35" s="41">
        <v>6321</v>
      </c>
      <c r="C35" s="41">
        <v>6264</v>
      </c>
      <c r="D35" s="41">
        <v>6258</v>
      </c>
      <c r="E35" s="41">
        <v>6195</v>
      </c>
      <c r="F35" s="41">
        <v>6095</v>
      </c>
      <c r="G35" s="41">
        <v>6025</v>
      </c>
      <c r="H35" s="41">
        <v>5978</v>
      </c>
      <c r="I35" s="41">
        <v>5880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61" t="str">
        <f>HLOOKUP(INDICE!$F$2,Nombres!$C$3:$D$636,245,FALSE)</f>
        <v>EEUU (*)</v>
      </c>
      <c r="B36" s="41">
        <v>1422</v>
      </c>
      <c r="C36" s="41">
        <v>1393</v>
      </c>
      <c r="D36" s="41">
        <v>1407</v>
      </c>
      <c r="E36" s="41">
        <v>1406</v>
      </c>
      <c r="F36" s="41">
        <v>1403</v>
      </c>
      <c r="G36" s="41">
        <v>1393</v>
      </c>
      <c r="H36" s="41">
        <v>1391</v>
      </c>
      <c r="I36" s="41">
        <v>1386</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61" t="str">
        <f>HLOOKUP(INDICE!$F$2,Nombres!$C$3:$D$636,246,FALSE)</f>
        <v>Mexico (**)</v>
      </c>
      <c r="B37" s="41">
        <v>11798</v>
      </c>
      <c r="C37" s="41">
        <v>11924</v>
      </c>
      <c r="D37" s="41">
        <v>12076</v>
      </c>
      <c r="E37" s="41">
        <v>12477</v>
      </c>
      <c r="F37" s="41">
        <v>12640</v>
      </c>
      <c r="G37" s="41">
        <v>12839</v>
      </c>
      <c r="H37" s="41">
        <v>13005</v>
      </c>
      <c r="I37" s="41">
        <v>13170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61" t="str">
        <f>HLOOKUP(INDICE!$F$2,Nombres!$C$3:$D$636,12,FALSE)</f>
        <v>Turquía </v>
      </c>
      <c r="B38" s="41">
        <v>5217</v>
      </c>
      <c r="C38" s="41">
        <v>5269</v>
      </c>
      <c r="D38" s="41">
        <v>5335</v>
      </c>
      <c r="E38" s="41">
        <v>5476</v>
      </c>
      <c r="F38" s="41">
        <v>5420</v>
      </c>
      <c r="G38" s="41">
        <v>5422</v>
      </c>
      <c r="H38" s="41">
        <v>5454</v>
      </c>
      <c r="I38" s="41">
        <v>5484</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61" t="str">
        <f>HLOOKUP(INDICE!$F$2,Nombres!$C$3:$D$636,13,FALSE)</f>
        <v>América del Sur </v>
      </c>
      <c r="B39" s="41">
        <v>7374</v>
      </c>
      <c r="C39" s="41">
        <v>7246</v>
      </c>
      <c r="D39" s="41">
        <v>6845</v>
      </c>
      <c r="E39" s="41">
        <v>6924</v>
      </c>
      <c r="F39" s="41">
        <v>6946</v>
      </c>
      <c r="G39" s="41">
        <v>6946</v>
      </c>
      <c r="H39" s="41">
        <v>6979</v>
      </c>
      <c r="I39" s="41">
        <v>6715</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64" t="str">
        <f>HLOOKUP(INDICE!$F$2,Nombres!$C$3:$D$636,14,FALSE)</f>
        <v>Argentina</v>
      </c>
      <c r="B40" s="44">
        <v>1564</v>
      </c>
      <c r="C40" s="44">
        <v>1577</v>
      </c>
      <c r="D40" s="44">
        <v>1617</v>
      </c>
      <c r="E40" s="44">
        <v>1669</v>
      </c>
      <c r="F40" s="44">
        <v>1694</v>
      </c>
      <c r="G40" s="44">
        <v>1694</v>
      </c>
      <c r="H40" s="44">
        <v>1720</v>
      </c>
      <c r="I40" s="44">
        <v>1733</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263" t="str">
        <f>HLOOKUP(INDICE!$F$2,Nombres!$C$3:$D$636,15,FALSE)</f>
        <v>Chile</v>
      </c>
      <c r="B41" s="44">
        <v>431</v>
      </c>
      <c r="C41" s="44">
        <v>431</v>
      </c>
      <c r="D41" s="44">
        <v>0</v>
      </c>
      <c r="E41" s="44">
        <v>0</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63" t="str">
        <f>HLOOKUP(INDICE!$F$2,Nombres!$C$3:$D$636,16,FALSE)</f>
        <v>Colombia</v>
      </c>
      <c r="B42" s="44">
        <v>1339</v>
      </c>
      <c r="C42" s="44">
        <v>1335</v>
      </c>
      <c r="D42" s="44">
        <v>1343</v>
      </c>
      <c r="E42" s="44">
        <v>1346</v>
      </c>
      <c r="F42" s="44">
        <v>1350</v>
      </c>
      <c r="G42" s="44">
        <v>1357</v>
      </c>
      <c r="H42" s="44">
        <v>1359</v>
      </c>
      <c r="I42" s="44">
        <v>1361</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63" t="str">
        <f>HLOOKUP(INDICE!$F$2,Nombres!$C$3:$D$636,17,FALSE)</f>
        <v>Perú</v>
      </c>
      <c r="B43" s="44">
        <v>1965</v>
      </c>
      <c r="C43" s="44">
        <v>1949</v>
      </c>
      <c r="D43" s="44">
        <v>1945</v>
      </c>
      <c r="E43" s="44">
        <v>1970</v>
      </c>
      <c r="F43" s="44">
        <v>1975</v>
      </c>
      <c r="G43" s="44">
        <v>1969</v>
      </c>
      <c r="H43" s="44">
        <v>1974</v>
      </c>
      <c r="I43" s="44">
        <v>1969</v>
      </c>
      <c r="J43" s="31"/>
      <c r="K43" s="31"/>
      <c r="L43" s="167"/>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63" t="str">
        <f>HLOOKUP(INDICE!$F$2,Nombres!$C$3:$D$636,89,FALSE)</f>
        <v>Resto de América del Sur</v>
      </c>
      <c r="B44" s="44">
        <v>2075</v>
      </c>
      <c r="C44" s="44">
        <v>1954</v>
      </c>
      <c r="D44" s="44">
        <v>1940</v>
      </c>
      <c r="E44" s="44">
        <v>1939</v>
      </c>
      <c r="F44" s="44">
        <v>1927</v>
      </c>
      <c r="G44" s="44">
        <v>1926</v>
      </c>
      <c r="H44" s="44">
        <v>1926</v>
      </c>
      <c r="I44" s="44">
        <v>1652</v>
      </c>
      <c r="J44" s="31"/>
      <c r="K44" s="31"/>
      <c r="L44" s="167"/>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61" t="str">
        <f>HLOOKUP(INDICE!$F$2,Nombres!$C$3:$D$636,18,FALSE)</f>
        <v>Resto de Eurasia</v>
      </c>
      <c r="B45" s="41">
        <v>25</v>
      </c>
      <c r="C45" s="41">
        <v>25</v>
      </c>
      <c r="D45" s="41">
        <v>24</v>
      </c>
      <c r="E45" s="41">
        <v>24</v>
      </c>
      <c r="F45" s="41">
        <v>24</v>
      </c>
      <c r="G45" s="41">
        <v>24</v>
      </c>
      <c r="H45" s="41">
        <v>23</v>
      </c>
      <c r="I45" s="41">
        <v>23</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61" t="s">
        <v>6</v>
      </c>
      <c r="B46" s="41">
        <f aca="true" t="shared" si="4" ref="B46:I46">+SUM(B35:B38,B40:B45)</f>
        <v>32157</v>
      </c>
      <c r="C46" s="41">
        <f t="shared" si="4"/>
        <v>32121</v>
      </c>
      <c r="D46" s="41">
        <f t="shared" si="4"/>
        <v>31945</v>
      </c>
      <c r="E46" s="41">
        <f t="shared" si="4"/>
        <v>32502</v>
      </c>
      <c r="F46" s="41">
        <f t="shared" si="4"/>
        <v>32528</v>
      </c>
      <c r="G46" s="41">
        <f t="shared" si="4"/>
        <v>32649</v>
      </c>
      <c r="H46" s="41">
        <f t="shared" si="4"/>
        <v>32830</v>
      </c>
      <c r="I46" s="41">
        <f t="shared" si="4"/>
        <v>32658</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104"/>
      <c r="B47" s="166">
        <v>0</v>
      </c>
      <c r="C47" s="166">
        <v>0</v>
      </c>
      <c r="D47" s="166">
        <v>0</v>
      </c>
      <c r="E47" s="166">
        <v>0</v>
      </c>
      <c r="F47" s="166">
        <v>0</v>
      </c>
      <c r="G47" s="166">
        <v>0</v>
      </c>
      <c r="H47" s="166">
        <v>0</v>
      </c>
      <c r="I47" s="166">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64" t="str">
        <f>HLOOKUP(INDICE!$F$2,Nombres!$C$3:$D$636,243,FALSE)</f>
        <v>(*) Serie de datos revisada 18-19 debido a cambio de criterio en la contabilización de cajeros.</v>
      </c>
      <c r="B48" s="104"/>
      <c r="C48" s="104"/>
      <c r="D48" s="104"/>
      <c r="E48" s="104"/>
      <c r="F48" s="104"/>
      <c r="G48" s="104"/>
      <c r="H48" s="104"/>
      <c r="I48" s="104"/>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64" t="str">
        <f>HLOOKUP(INDICE!$F$2,Nombres!$C$3:$D$636,244,FALSE)</f>
        <v>(**) Reajuste del dato del 1T en 2T</v>
      </c>
      <c r="B49" s="104"/>
      <c r="C49" s="104"/>
      <c r="D49" s="104"/>
      <c r="E49" s="104"/>
      <c r="F49" s="104"/>
      <c r="G49" s="104"/>
      <c r="H49" s="104"/>
      <c r="I49" s="104"/>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104"/>
      <c r="B50" s="104"/>
      <c r="C50" s="104"/>
      <c r="D50" s="104"/>
      <c r="E50" s="104"/>
      <c r="F50" s="104"/>
      <c r="G50" s="104"/>
      <c r="H50" s="104"/>
      <c r="I50" s="104"/>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104"/>
      <c r="B51" s="104"/>
      <c r="C51" s="104"/>
      <c r="D51" s="104"/>
      <c r="E51" s="104"/>
      <c r="F51" s="104"/>
      <c r="G51" s="104"/>
      <c r="H51" s="104"/>
      <c r="I51" s="104"/>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104"/>
      <c r="B52" s="104"/>
      <c r="C52" s="104"/>
      <c r="D52" s="104"/>
      <c r="E52" s="104"/>
      <c r="F52" s="104"/>
      <c r="G52" s="104"/>
      <c r="H52" s="104"/>
      <c r="I52" s="104"/>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104"/>
      <c r="B53" s="104"/>
      <c r="C53" s="104"/>
      <c r="D53" s="104"/>
      <c r="E53" s="104"/>
      <c r="F53" s="104"/>
      <c r="G53" s="104"/>
      <c r="H53" s="104"/>
      <c r="I53" s="104"/>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104"/>
      <c r="B54" s="104"/>
      <c r="C54" s="104"/>
      <c r="D54" s="104"/>
      <c r="E54" s="104"/>
      <c r="F54" s="104"/>
      <c r="G54" s="104"/>
      <c r="H54" s="104"/>
      <c r="I54" s="104"/>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104"/>
      <c r="B55" s="104"/>
      <c r="C55" s="104"/>
      <c r="D55" s="104"/>
      <c r="E55" s="104"/>
      <c r="F55" s="104"/>
      <c r="G55" s="104"/>
      <c r="H55" s="104"/>
      <c r="I55" s="104"/>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104"/>
      <c r="B56" s="104"/>
      <c r="C56" s="104"/>
      <c r="D56" s="104"/>
      <c r="E56" s="104"/>
      <c r="F56" s="104"/>
      <c r="G56" s="104"/>
      <c r="H56" s="104"/>
      <c r="I56" s="104"/>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104"/>
      <c r="B57" s="104"/>
      <c r="C57" s="104"/>
      <c r="D57" s="104"/>
      <c r="E57" s="104"/>
      <c r="F57" s="104"/>
      <c r="G57" s="104"/>
      <c r="H57" s="104"/>
      <c r="I57" s="104"/>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104"/>
      <c r="B58" s="104"/>
      <c r="C58" s="104"/>
      <c r="D58" s="104"/>
      <c r="E58" s="104"/>
      <c r="F58" s="104"/>
      <c r="G58" s="104"/>
      <c r="H58" s="104"/>
      <c r="I58" s="104"/>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104"/>
      <c r="B59" s="104"/>
      <c r="C59" s="104"/>
      <c r="D59" s="104"/>
      <c r="E59" s="104"/>
      <c r="F59" s="104"/>
      <c r="G59" s="104"/>
      <c r="H59" s="104"/>
      <c r="I59" s="104"/>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104"/>
      <c r="B60" s="104"/>
      <c r="C60" s="104"/>
      <c r="D60" s="104"/>
      <c r="E60" s="104"/>
      <c r="F60" s="104"/>
      <c r="G60" s="104"/>
      <c r="H60" s="104"/>
      <c r="I60" s="104"/>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399</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I16">
    <cfRule type="cellIs" priority="3" dxfId="16" operator="notEqual">
      <formula>0</formula>
    </cfRule>
  </conditionalFormatting>
  <conditionalFormatting sqref="B31:I32">
    <cfRule type="cellIs" priority="2" dxfId="16" operator="notEqual">
      <formula>0</formula>
    </cfRule>
  </conditionalFormatting>
  <conditionalFormatting sqref="B47:I47">
    <cfRule type="cellIs" priority="1" dxfId="16" operator="notEqual">
      <formula>0</formula>
    </cfRule>
  </conditionalFormatting>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H25" sqref="H25"/>
    </sheetView>
  </sheetViews>
  <sheetFormatPr defaultColWidth="11.421875" defaultRowHeight="15"/>
  <cols>
    <col min="1" max="1" width="52.8515625" style="0" customWidth="1"/>
    <col min="5" max="5" width="8.140625" style="0" customWidth="1"/>
    <col min="6" max="6" width="7.421875" style="0" customWidth="1"/>
    <col min="7" max="8" width="14.140625" style="0" customWidth="1"/>
  </cols>
  <sheetData>
    <row r="1" spans="1:23" ht="18">
      <c r="A1" s="100" t="str">
        <f>HLOOKUP(INDICE!$F$2,Nombres!$C$3:$D$636,161,FALSE)</f>
        <v>Tipos de cambio</v>
      </c>
      <c r="B1" s="101"/>
      <c r="C1" s="101"/>
      <c r="D1" s="101"/>
      <c r="E1" s="101"/>
      <c r="F1" s="101"/>
      <c r="G1" s="101"/>
      <c r="H1" s="101"/>
      <c r="I1" s="123"/>
      <c r="J1" s="102"/>
      <c r="K1" s="102"/>
      <c r="L1" s="102"/>
      <c r="M1" s="168"/>
      <c r="N1" s="168"/>
      <c r="O1" s="168"/>
      <c r="P1" s="168"/>
      <c r="Q1" s="168"/>
      <c r="R1" s="168"/>
      <c r="S1" s="168"/>
      <c r="T1" s="168"/>
      <c r="U1" s="168"/>
      <c r="V1" s="168"/>
      <c r="W1" s="168"/>
    </row>
    <row r="2" spans="1:12" ht="15">
      <c r="A2" s="169" t="str">
        <f>HLOOKUP(INDICE!$F$2,Nombres!$C$3:$D$636,162,FALSE)</f>
        <v>(Expresados en divisa/euro)</v>
      </c>
      <c r="B2" s="170"/>
      <c r="C2" s="170"/>
      <c r="D2" s="170"/>
      <c r="E2" s="170"/>
      <c r="F2" s="170"/>
      <c r="G2" s="170"/>
      <c r="H2" s="170"/>
      <c r="I2" s="123"/>
      <c r="J2" s="102"/>
      <c r="K2" s="102"/>
      <c r="L2" s="102"/>
    </row>
    <row r="3" spans="1:8" ht="19.5">
      <c r="A3" s="171"/>
      <c r="B3" s="298" t="str">
        <f>HLOOKUP(INDICE!$F$2,Nombres!$C$3:$D$636,163,FALSE)</f>
        <v>Cambios finales (*)</v>
      </c>
      <c r="C3" s="298"/>
      <c r="D3" s="298"/>
      <c r="E3" s="172"/>
      <c r="F3" s="173"/>
      <c r="G3" s="298" t="str">
        <f>HLOOKUP(INDICE!$F$2,Nombres!$C$3:$D$636,164,FALSE)</f>
        <v>Cambios medios (**)</v>
      </c>
      <c r="H3" s="298"/>
    </row>
    <row r="4" spans="1:8" ht="15.75">
      <c r="A4" s="105"/>
      <c r="B4" s="80"/>
      <c r="C4" s="174" t="str">
        <f>HLOOKUP(INDICE!$F$2,Nombres!$C$3:$D$636,165,FALSE)</f>
        <v>∆% sobre</v>
      </c>
      <c r="D4" s="174" t="str">
        <f>HLOOKUP(INDICE!$F$2,Nombres!$C$3:$D$636,165,FALSE)</f>
        <v>∆% sobre</v>
      </c>
      <c r="E4" s="172"/>
      <c r="F4" s="173"/>
      <c r="G4" s="175"/>
      <c r="H4" s="174" t="str">
        <f>HLOOKUP(INDICE!$F$2,Nombres!$C$3:$D$636,165,FALSE)</f>
        <v>∆% sobre</v>
      </c>
    </row>
    <row r="5" spans="1:8" ht="15.75">
      <c r="A5" s="105"/>
      <c r="B5" s="176">
        <v>43830</v>
      </c>
      <c r="C5" s="176">
        <f>DATE(YEAR(B5),MONTH(B5)-12,DAY(B5))</f>
        <v>43465</v>
      </c>
      <c r="D5" s="176">
        <v>43738</v>
      </c>
      <c r="E5" s="177"/>
      <c r="F5" s="178"/>
      <c r="G5" s="176">
        <f>+B5</f>
        <v>43830</v>
      </c>
      <c r="H5" s="179">
        <f>+C5</f>
        <v>43465</v>
      </c>
    </row>
    <row r="6" spans="1:8" ht="15">
      <c r="A6" s="61" t="str">
        <f>HLOOKUP(INDICE!$F$2,Nombres!$C$3:$D$636,152,FALSE)</f>
        <v>Peso mexicano</v>
      </c>
      <c r="B6" s="180">
        <v>21.2201999997972</v>
      </c>
      <c r="C6" s="181">
        <v>0.059939480094467035</v>
      </c>
      <c r="D6" s="181">
        <v>0.010932978967319151</v>
      </c>
      <c r="E6" s="182"/>
      <c r="F6" s="60"/>
      <c r="G6" s="180">
        <v>21.553148000202917</v>
      </c>
      <c r="H6" s="181">
        <v>0.05342236590682048</v>
      </c>
    </row>
    <row r="7" spans="1:8" ht="15">
      <c r="A7" s="61" t="str">
        <f>HLOOKUP(INDICE!$F$2,Nombres!$C$3:$D$636,153,FALSE)</f>
        <v>Dólar estadounidense</v>
      </c>
      <c r="B7" s="180">
        <v>1.1234000000004156</v>
      </c>
      <c r="C7" s="181">
        <v>0.01922786536396126</v>
      </c>
      <c r="D7" s="181">
        <v>-0.030710343600122814</v>
      </c>
      <c r="E7" s="150"/>
      <c r="F7" s="60"/>
      <c r="G7" s="180">
        <v>1.1194510000005102</v>
      </c>
      <c r="H7" s="181">
        <v>0.05497898643506516</v>
      </c>
    </row>
    <row r="8" spans="1:8" ht="15">
      <c r="A8" s="61" t="str">
        <f>HLOOKUP(INDICE!$F$2,Nombres!$C$3:$D$636,154,FALSE)</f>
        <v>Peso argentino</v>
      </c>
      <c r="B8" s="180">
        <v>67.28604300006572</v>
      </c>
      <c r="C8" s="181">
        <v>-0.35662670354978354</v>
      </c>
      <c r="D8" s="181">
        <v>-0.07242240413803913</v>
      </c>
      <c r="E8" s="150"/>
      <c r="F8" s="60"/>
      <c r="G8" s="293" t="s">
        <v>426</v>
      </c>
      <c r="H8" s="293" t="s">
        <v>426</v>
      </c>
    </row>
    <row r="9" spans="1:8" ht="15">
      <c r="A9" s="61" t="str">
        <f>HLOOKUP(INDICE!$F$2,Nombres!$C$3:$D$636,155,FALSE)</f>
        <v>Peso chileno</v>
      </c>
      <c r="B9" s="180">
        <v>841.1345160107999</v>
      </c>
      <c r="C9" s="181">
        <v>-0.05420009148766902</v>
      </c>
      <c r="D9" s="181">
        <v>-0.060562921985359286</v>
      </c>
      <c r="E9" s="150"/>
      <c r="F9" s="60"/>
      <c r="G9" s="180">
        <v>786.7488452165356</v>
      </c>
      <c r="H9" s="181">
        <v>-0.0378094920514761</v>
      </c>
    </row>
    <row r="10" spans="1:8" ht="15">
      <c r="A10" s="61" t="str">
        <f>HLOOKUP(INDICE!$F$2,Nombres!$C$3:$D$636,156,FALSE)</f>
        <v>Peso colombiano</v>
      </c>
      <c r="B10" s="180">
        <v>3681.539079487628</v>
      </c>
      <c r="C10" s="181">
        <v>0.017324078651685504</v>
      </c>
      <c r="D10" s="181">
        <v>0.023969217010104016</v>
      </c>
      <c r="E10" s="150"/>
      <c r="F10" s="60"/>
      <c r="G10" s="180">
        <v>3673.674692189869</v>
      </c>
      <c r="H10" s="181">
        <v>-0.051543522648083484</v>
      </c>
    </row>
    <row r="11" spans="1:8" ht="15">
      <c r="A11" s="61" t="str">
        <f>HLOOKUP(INDICE!$F$2,Nombres!$C$3:$D$636,157,FALSE)</f>
        <v>Sol peruano</v>
      </c>
      <c r="B11" s="180">
        <v>3.7204759999963124</v>
      </c>
      <c r="C11" s="181">
        <v>0.03806405535923263</v>
      </c>
      <c r="D11" s="181">
        <v>-0.010749699767799159</v>
      </c>
      <c r="E11" s="150"/>
      <c r="F11" s="60"/>
      <c r="G11" s="180">
        <v>3.733473999998728</v>
      </c>
      <c r="H11" s="181">
        <v>0.03890376027569942</v>
      </c>
    </row>
    <row r="12" spans="1:8" ht="15">
      <c r="A12" s="61" t="str">
        <f>HLOOKUP(INDICE!$F$2,Nombres!$C$3:$D$636,158,FALSE)</f>
        <v>Lira turca</v>
      </c>
      <c r="B12" s="180">
        <v>6.684300000017844</v>
      </c>
      <c r="C12" s="181">
        <v>-0.09357647344122055</v>
      </c>
      <c r="D12" s="181">
        <v>-0.08006821956216026</v>
      </c>
      <c r="E12" s="150"/>
      <c r="F12" s="60"/>
      <c r="G12" s="180">
        <v>6.3594519999807</v>
      </c>
      <c r="H12" s="181">
        <v>-0.10277786992964699</v>
      </c>
    </row>
    <row r="13" spans="1:8" ht="15">
      <c r="A13" s="104"/>
      <c r="C13" s="183"/>
      <c r="D13" s="183"/>
      <c r="E13" s="183"/>
      <c r="F13" s="183"/>
      <c r="G13" s="104"/>
      <c r="H13" s="104"/>
    </row>
    <row r="14" spans="1:8" ht="15">
      <c r="A14" s="104"/>
      <c r="B14" s="184"/>
      <c r="C14" s="183"/>
      <c r="D14" s="183"/>
      <c r="E14" s="183"/>
      <c r="F14" s="183"/>
      <c r="G14" s="104"/>
      <c r="H14" s="104"/>
    </row>
    <row r="15" spans="1:8" ht="15">
      <c r="A15" s="122" t="str">
        <f>HLOOKUP(INDICE!$F$2,Nombres!$C$3:$D$636,159,FALSE)</f>
        <v>(*) Utilizados en el cálculo de euros constantes de los datos de balance y actividad</v>
      </c>
      <c r="B15" s="134"/>
      <c r="C15" s="134"/>
      <c r="D15" s="134"/>
      <c r="E15" s="183"/>
      <c r="F15" s="183"/>
      <c r="G15" s="104"/>
      <c r="H15" s="104"/>
    </row>
    <row r="16" spans="1:8" ht="15">
      <c r="A16" s="122" t="str">
        <f>HLOOKUP(INDICE!$F$2,Nombres!$C$3:$D$636,160,FALSE)</f>
        <v>(**) Utilizados en el cálculo de euros constantes de los datos de resultados</v>
      </c>
      <c r="B16" s="134"/>
      <c r="C16" s="134"/>
      <c r="D16" s="134"/>
      <c r="E16" s="183"/>
      <c r="F16" s="183"/>
      <c r="G16" s="104"/>
      <c r="H16" s="104"/>
    </row>
    <row r="17" ht="15">
      <c r="A17" s="122" t="str">
        <f>HLOOKUP(INDICE!$F$2,Nombres!$C$3:$D$636,256,FALSE)</f>
        <v>(1) En aplicación de la NIC 29 "Información en economías hiperinflacionarias", la conversión de la cuenta de resultados de Argentina se hace empleando el tipo de cambio final.</v>
      </c>
    </row>
    <row r="20" ht="15">
      <c r="C20" s="183"/>
    </row>
    <row r="25" spans="2:4" ht="15">
      <c r="B25" s="289"/>
      <c r="C25" s="289"/>
      <c r="D25" s="289"/>
    </row>
    <row r="27" ht="15">
      <c r="D27" s="289"/>
    </row>
    <row r="1000" ht="15">
      <c r="A1000" t="s">
        <v>399</v>
      </c>
    </row>
  </sheetData>
  <sheetProtection/>
  <mergeCells count="2">
    <mergeCell ref="B3:D3"/>
    <mergeCell ref="G3:H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D1000"/>
  <sheetViews>
    <sheetView showGridLines="0" zoomScalePageLayoutView="0" workbookViewId="0" topLeftCell="A1">
      <selection activeCell="A7" sqref="A7"/>
    </sheetView>
  </sheetViews>
  <sheetFormatPr defaultColWidth="11.421875" defaultRowHeight="15"/>
  <cols>
    <col min="1" max="1" width="30.7109375" style="186" customWidth="1"/>
    <col min="2" max="9" width="10.7109375" style="186" customWidth="1"/>
    <col min="10" max="255" width="11.421875" style="186" customWidth="1"/>
  </cols>
  <sheetData>
    <row r="1" spans="1:9" ht="19.5">
      <c r="A1" s="100" t="str">
        <f>HLOOKUP(INDICE!$F$2,Nombres!$C$3:$D$636,171,FALSE)</f>
        <v>Diferenciales de la clientela (*)</v>
      </c>
      <c r="B1" s="185"/>
      <c r="C1" s="185"/>
      <c r="D1" s="185"/>
      <c r="E1" s="185"/>
      <c r="F1" s="185"/>
      <c r="G1" s="265"/>
      <c r="H1" s="265"/>
      <c r="I1" s="265"/>
    </row>
    <row r="2" spans="1:9" ht="19.5">
      <c r="A2" s="187" t="str">
        <f>HLOOKUP(INDICE!$F$2,Nombres!$C$3:$D$636,172,FALSE)</f>
        <v>(Porcentaje)</v>
      </c>
      <c r="B2" s="188"/>
      <c r="C2" s="188"/>
      <c r="D2" s="188"/>
      <c r="E2" s="188"/>
      <c r="F2" s="188"/>
      <c r="G2" s="189"/>
      <c r="H2" s="189"/>
      <c r="I2" s="189"/>
    </row>
    <row r="3" spans="1:9" ht="15.75">
      <c r="A3" s="189"/>
      <c r="B3" s="299">
        <v>2018</v>
      </c>
      <c r="C3" s="299"/>
      <c r="D3" s="299"/>
      <c r="E3" s="299"/>
      <c r="F3" s="299">
        <v>2019</v>
      </c>
      <c r="G3" s="299"/>
      <c r="H3" s="299"/>
      <c r="I3" s="299"/>
    </row>
    <row r="4" spans="1:9" ht="15.75">
      <c r="A4" s="150"/>
      <c r="B4" s="190" t="str">
        <f>HLOOKUP(INDICE!$F$2,Nombres!$C$3:$D$636,167,FALSE)</f>
        <v>1er Trim.</v>
      </c>
      <c r="C4" s="190" t="str">
        <f>HLOOKUP(INDICE!$F$2,Nombres!$C$3:$D$636,168,FALSE)</f>
        <v>2º Trim.</v>
      </c>
      <c r="D4" s="190" t="str">
        <f>HLOOKUP(INDICE!$F$2,Nombres!$C$3:$D$636,169,FALSE)</f>
        <v>3er Trim.</v>
      </c>
      <c r="E4" s="190" t="str">
        <f>HLOOKUP(INDICE!$F$2,Nombres!$C$3:$D$636,170,FALSE)</f>
        <v>4º Trim.</v>
      </c>
      <c r="F4" s="190" t="str">
        <f>HLOOKUP(INDICE!$F$2,Nombres!$C$3:$D$636,167,FALSE)</f>
        <v>1er Trim.</v>
      </c>
      <c r="G4" s="190" t="str">
        <f>HLOOKUP(INDICE!$F$2,Nombres!$C$3:$D$636,168,FALSE)</f>
        <v>2º Trim.</v>
      </c>
      <c r="H4" s="190" t="str">
        <f>HLOOKUP(INDICE!$F$2,Nombres!$C$3:$D$636,169,FALSE)</f>
        <v>3er Trim.</v>
      </c>
      <c r="I4" s="190" t="str">
        <f>HLOOKUP(INDICE!$F$2,Nombres!$C$3:$D$636,170,FALSE)</f>
        <v>4º Trim.</v>
      </c>
    </row>
    <row r="5" spans="1:9" ht="15">
      <c r="A5" s="150"/>
      <c r="B5" s="107"/>
      <c r="C5" s="107"/>
      <c r="D5" s="107"/>
      <c r="E5" s="107"/>
      <c r="F5" s="107"/>
      <c r="G5" s="189"/>
      <c r="H5" s="189"/>
      <c r="I5" s="189"/>
    </row>
    <row r="6" spans="1:30" ht="15">
      <c r="A6" s="191" t="str">
        <f>HLOOKUP(INDICE!$F$2,Nombres!$C$3:$D$636,173,FALSE)</f>
        <v>Rentabilidad de los prestamos</v>
      </c>
      <c r="B6" s="192">
        <v>0.020139176092669714</v>
      </c>
      <c r="C6" s="192">
        <v>0.020146126826651897</v>
      </c>
      <c r="D6" s="192">
        <v>0.020133350517807777</v>
      </c>
      <c r="E6" s="192">
        <v>0.020329401047414958</v>
      </c>
      <c r="F6" s="192">
        <v>0.020353258764476648</v>
      </c>
      <c r="G6" s="192">
        <v>0.020551099349604435</v>
      </c>
      <c r="H6" s="192">
        <v>0.02045087474035144</v>
      </c>
      <c r="I6" s="192">
        <v>0.020239704480605195</v>
      </c>
      <c r="J6" s="290"/>
      <c r="K6" s="290"/>
      <c r="L6" s="290"/>
      <c r="M6" s="290"/>
      <c r="O6" s="193"/>
      <c r="P6" s="193"/>
      <c r="Q6" s="193"/>
      <c r="R6" s="193"/>
      <c r="W6" s="193"/>
      <c r="X6" s="193"/>
      <c r="Y6" s="193"/>
      <c r="Z6" s="193"/>
      <c r="AA6" s="193"/>
      <c r="AB6" s="193"/>
      <c r="AC6" s="193"/>
      <c r="AD6" s="193"/>
    </row>
    <row r="7" spans="1:30" ht="15">
      <c r="A7" s="191" t="str">
        <f>HLOOKUP(INDICE!$F$2,Nombres!$C$3:$D$636,174,FALSE)</f>
        <v>Coste de los depositos</v>
      </c>
      <c r="B7" s="192">
        <v>-0.0006960913730502219</v>
      </c>
      <c r="C7" s="192">
        <v>-0.000705296705836201</v>
      </c>
      <c r="D7" s="192">
        <v>-0.0007942837582102309</v>
      </c>
      <c r="E7" s="192">
        <v>-0.0007991758546006626</v>
      </c>
      <c r="F7" s="192">
        <v>-0.0007079484064169193</v>
      </c>
      <c r="G7" s="192">
        <v>-0.0006129971692167433</v>
      </c>
      <c r="H7" s="192">
        <v>-0.0004684084662086657</v>
      </c>
      <c r="I7" s="192">
        <v>-0.00037320126871388375</v>
      </c>
      <c r="J7" s="290"/>
      <c r="K7" s="290"/>
      <c r="L7" s="290"/>
      <c r="M7" s="290"/>
      <c r="O7" s="193"/>
      <c r="P7" s="193"/>
      <c r="Q7" s="193"/>
      <c r="R7" s="193"/>
      <c r="W7" s="193"/>
      <c r="X7" s="193"/>
      <c r="Y7" s="193"/>
      <c r="Z7" s="193"/>
      <c r="AA7" s="193"/>
      <c r="AB7" s="193"/>
      <c r="AC7" s="193"/>
      <c r="AD7" s="193"/>
    </row>
    <row r="8" spans="1:30" ht="15">
      <c r="A8" s="194" t="str">
        <f>HLOOKUP(INDICE!$F$2,Nombres!$C$3:$D$636,175,FALSE)</f>
        <v>Actividad bancaria en España</v>
      </c>
      <c r="B8" s="195">
        <v>0.019443084719619492</v>
      </c>
      <c r="C8" s="195">
        <v>0.019440830120815697</v>
      </c>
      <c r="D8" s="195">
        <v>0.019339066759597547</v>
      </c>
      <c r="E8" s="195">
        <v>0.019530225192814294</v>
      </c>
      <c r="F8" s="195">
        <v>0.019645310358059727</v>
      </c>
      <c r="G8" s="195">
        <v>0.019938102180387694</v>
      </c>
      <c r="H8" s="195">
        <v>0.019982466274142775</v>
      </c>
      <c r="I8" s="195">
        <v>0.01986650321189131</v>
      </c>
      <c r="J8" s="290"/>
      <c r="K8" s="290"/>
      <c r="L8" s="290"/>
      <c r="M8" s="290"/>
      <c r="O8" s="193"/>
      <c r="P8" s="193"/>
      <c r="Q8" s="193"/>
      <c r="R8" s="193"/>
      <c r="W8" s="193"/>
      <c r="X8" s="193"/>
      <c r="Y8" s="193"/>
      <c r="Z8" s="193"/>
      <c r="AA8" s="193"/>
      <c r="AB8" s="193"/>
      <c r="AC8" s="193"/>
      <c r="AD8" s="193"/>
    </row>
    <row r="9" spans="1:30" ht="15">
      <c r="A9" s="150"/>
      <c r="B9" s="196"/>
      <c r="C9" s="196"/>
      <c r="D9" s="196"/>
      <c r="E9" s="196"/>
      <c r="F9" s="196"/>
      <c r="G9" s="196"/>
      <c r="H9" s="196"/>
      <c r="I9" s="196"/>
      <c r="O9" s="193"/>
      <c r="P9" s="193"/>
      <c r="Q9" s="193"/>
      <c r="R9" s="193"/>
      <c r="W9" s="193"/>
      <c r="X9" s="193"/>
      <c r="Y9" s="193"/>
      <c r="Z9" s="193"/>
      <c r="AA9" s="193"/>
      <c r="AB9" s="193"/>
      <c r="AC9" s="193"/>
      <c r="AD9" s="193"/>
    </row>
    <row r="10" spans="1:30" ht="15">
      <c r="A10" s="191" t="str">
        <f>HLOOKUP(INDICE!$F$2,Nombres!$C$3:$D$636,173,FALSE)</f>
        <v>Rentabilidad de los prestamos</v>
      </c>
      <c r="B10" s="192">
        <v>0.043140192150107615</v>
      </c>
      <c r="C10" s="192">
        <v>0.04512203844599354</v>
      </c>
      <c r="D10" s="192">
        <v>0.04645192385461046</v>
      </c>
      <c r="E10" s="192">
        <v>0.048286820817364635</v>
      </c>
      <c r="F10" s="192">
        <v>0.050387928711691066</v>
      </c>
      <c r="G10" s="192">
        <v>0.050388555592085806</v>
      </c>
      <c r="H10" s="192">
        <v>0.049302107425794946</v>
      </c>
      <c r="I10" s="192">
        <v>0.046834834943257804</v>
      </c>
      <c r="J10" s="290"/>
      <c r="K10" s="290"/>
      <c r="L10" s="290"/>
      <c r="M10" s="290"/>
      <c r="O10" s="193"/>
      <c r="P10" s="193"/>
      <c r="Q10" s="193"/>
      <c r="R10" s="193"/>
      <c r="W10" s="193"/>
      <c r="X10" s="193"/>
      <c r="Y10" s="193"/>
      <c r="Z10" s="193"/>
      <c r="AA10" s="193"/>
      <c r="AB10" s="193"/>
      <c r="AC10" s="193"/>
      <c r="AD10" s="193"/>
    </row>
    <row r="11" spans="1:30" ht="15">
      <c r="A11" s="191" t="str">
        <f>HLOOKUP(INDICE!$F$2,Nombres!$C$3:$D$636,174,FALSE)</f>
        <v>Coste de los depositos</v>
      </c>
      <c r="B11" s="192">
        <v>-0.004507224233386518</v>
      </c>
      <c r="C11" s="192">
        <v>-0.00538068502755062</v>
      </c>
      <c r="D11" s="192">
        <v>-0.006599496833825986</v>
      </c>
      <c r="E11" s="192">
        <v>-0.007422512880963793</v>
      </c>
      <c r="F11" s="192">
        <v>-0.008444088241841879</v>
      </c>
      <c r="G11" s="192">
        <v>-0.009633820763058118</v>
      </c>
      <c r="H11" s="192">
        <v>-0.01016193322521777</v>
      </c>
      <c r="I11" s="192">
        <v>-0.00954307302646493</v>
      </c>
      <c r="J11" s="290"/>
      <c r="K11" s="290"/>
      <c r="L11" s="290"/>
      <c r="M11" s="290"/>
      <c r="O11" s="193"/>
      <c r="P11" s="193"/>
      <c r="Q11" s="193"/>
      <c r="R11" s="193"/>
      <c r="W11" s="193"/>
      <c r="X11" s="193"/>
      <c r="Y11" s="193"/>
      <c r="Z11" s="193"/>
      <c r="AA11" s="193"/>
      <c r="AB11" s="193"/>
      <c r="AC11" s="193"/>
      <c r="AD11" s="193"/>
    </row>
    <row r="12" spans="1:30" ht="15">
      <c r="A12" s="194" t="str">
        <f>HLOOKUP(INDICE!$F$2,Nombres!$C$3:$D$636,176,FALSE)</f>
        <v>Estados Unidos (**)</v>
      </c>
      <c r="B12" s="195">
        <v>0.03863296791672109</v>
      </c>
      <c r="C12" s="195">
        <v>0.03974135341844291</v>
      </c>
      <c r="D12" s="195">
        <v>0.039852427020784474</v>
      </c>
      <c r="E12" s="195">
        <v>0.04086430793640084</v>
      </c>
      <c r="F12" s="195">
        <v>0.04194384046984918</v>
      </c>
      <c r="G12" s="195">
        <v>0.04075473482902769</v>
      </c>
      <c r="H12" s="195">
        <v>0.03914017420057718</v>
      </c>
      <c r="I12" s="195">
        <v>0.03729176191679287</v>
      </c>
      <c r="J12" s="290"/>
      <c r="K12" s="290"/>
      <c r="L12" s="290"/>
      <c r="M12" s="290"/>
      <c r="O12" s="193"/>
      <c r="P12" s="193"/>
      <c r="Q12" s="193"/>
      <c r="R12" s="193"/>
      <c r="W12" s="193"/>
      <c r="X12" s="193"/>
      <c r="Y12" s="193"/>
      <c r="Z12" s="193"/>
      <c r="AA12" s="193"/>
      <c r="AB12" s="193"/>
      <c r="AC12" s="193"/>
      <c r="AD12" s="193"/>
    </row>
    <row r="13" spans="1:30" ht="15">
      <c r="A13" s="150"/>
      <c r="B13" s="196"/>
      <c r="C13" s="196"/>
      <c r="D13" s="196"/>
      <c r="E13" s="196"/>
      <c r="F13" s="196"/>
      <c r="G13" s="196"/>
      <c r="H13" s="196"/>
      <c r="I13" s="196"/>
      <c r="O13" s="193"/>
      <c r="P13" s="193"/>
      <c r="Q13" s="193"/>
      <c r="R13" s="193"/>
      <c r="W13" s="193"/>
      <c r="X13" s="193"/>
      <c r="Y13" s="193"/>
      <c r="Z13" s="193"/>
      <c r="AA13" s="193"/>
      <c r="AB13" s="193"/>
      <c r="AC13" s="193"/>
      <c r="AD13" s="193"/>
    </row>
    <row r="14" spans="1:30" ht="15">
      <c r="A14" s="191" t="str">
        <f>HLOOKUP(INDICE!$F$2,Nombres!$C$3:$D$636,173,FALSE)</f>
        <v>Rentabilidad de los prestamos</v>
      </c>
      <c r="B14" s="192">
        <v>0.14200232555648126</v>
      </c>
      <c r="C14" s="192">
        <v>0.14195093864989178</v>
      </c>
      <c r="D14" s="192">
        <v>0.14290599008175994</v>
      </c>
      <c r="E14" s="192">
        <v>0.14380192401846967</v>
      </c>
      <c r="F14" s="192">
        <v>0.14498939498770297</v>
      </c>
      <c r="G14" s="192">
        <v>0.14555500935000304</v>
      </c>
      <c r="H14" s="192">
        <v>0.14503377708489937</v>
      </c>
      <c r="I14" s="192">
        <v>0.14323353022236252</v>
      </c>
      <c r="J14" s="290"/>
      <c r="K14" s="290"/>
      <c r="L14" s="290"/>
      <c r="M14" s="290"/>
      <c r="O14" s="193"/>
      <c r="P14" s="193"/>
      <c r="Q14" s="193"/>
      <c r="R14" s="193"/>
      <c r="W14" s="193"/>
      <c r="X14" s="193"/>
      <c r="Y14" s="193"/>
      <c r="Z14" s="193"/>
      <c r="AA14" s="193"/>
      <c r="AB14" s="193"/>
      <c r="AC14" s="193"/>
      <c r="AD14" s="193"/>
    </row>
    <row r="15" spans="1:30" ht="15">
      <c r="A15" s="191" t="str">
        <f>HLOOKUP(INDICE!$F$2,Nombres!$C$3:$D$636,174,FALSE)</f>
        <v>Coste de los depositos</v>
      </c>
      <c r="B15" s="192">
        <v>-0.021404652530349108</v>
      </c>
      <c r="C15" s="192">
        <v>-0.023020120929046494</v>
      </c>
      <c r="D15" s="192">
        <v>-0.02489742545856494</v>
      </c>
      <c r="E15" s="192">
        <v>-0.026216524501409467</v>
      </c>
      <c r="F15" s="192">
        <v>-0.02685263330249462</v>
      </c>
      <c r="G15" s="192">
        <v>-0.027501700582947562</v>
      </c>
      <c r="H15" s="192">
        <v>-0.02913650070428849</v>
      </c>
      <c r="I15" s="192">
        <v>-0.026290599858240105</v>
      </c>
      <c r="J15" s="290"/>
      <c r="K15" s="290"/>
      <c r="L15" s="290"/>
      <c r="M15" s="290"/>
      <c r="O15" s="193"/>
      <c r="P15" s="193"/>
      <c r="Q15" s="193"/>
      <c r="R15" s="193"/>
      <c r="W15" s="193"/>
      <c r="X15" s="193"/>
      <c r="Y15" s="193"/>
      <c r="Z15" s="193"/>
      <c r="AA15" s="193"/>
      <c r="AB15" s="193"/>
      <c r="AC15" s="193"/>
      <c r="AD15" s="193"/>
    </row>
    <row r="16" spans="1:30" ht="15">
      <c r="A16" s="194" t="str">
        <f>HLOOKUP(INDICE!$F$2,Nombres!$C$3:$D$636,177,FALSE)</f>
        <v>México pesos mexicanos</v>
      </c>
      <c r="B16" s="195">
        <v>0.12059767302613215</v>
      </c>
      <c r="C16" s="195">
        <v>0.11893081772084528</v>
      </c>
      <c r="D16" s="195">
        <v>0.11800856462319499</v>
      </c>
      <c r="E16" s="195">
        <v>0.1175853995170602</v>
      </c>
      <c r="F16" s="195">
        <v>0.11813676168520834</v>
      </c>
      <c r="G16" s="195">
        <v>0.11805330876705547</v>
      </c>
      <c r="H16" s="195">
        <v>0.11589727638061087</v>
      </c>
      <c r="I16" s="195">
        <v>0.11694293036412241</v>
      </c>
      <c r="J16" s="290"/>
      <c r="K16" s="290"/>
      <c r="L16" s="290"/>
      <c r="M16" s="290"/>
      <c r="O16" s="193"/>
      <c r="P16" s="193"/>
      <c r="Q16" s="193"/>
      <c r="R16" s="193"/>
      <c r="W16" s="193"/>
      <c r="X16" s="193"/>
      <c r="Y16" s="193"/>
      <c r="Z16" s="193"/>
      <c r="AA16" s="193"/>
      <c r="AB16" s="193"/>
      <c r="AC16" s="193"/>
      <c r="AD16" s="193"/>
    </row>
    <row r="17" spans="1:30" ht="15">
      <c r="A17" s="150"/>
      <c r="B17" s="196"/>
      <c r="C17" s="196"/>
      <c r="D17" s="196"/>
      <c r="E17" s="196"/>
      <c r="F17" s="196"/>
      <c r="G17" s="196"/>
      <c r="H17" s="196"/>
      <c r="I17" s="196"/>
      <c r="O17" s="193"/>
      <c r="P17" s="193"/>
      <c r="Q17" s="193"/>
      <c r="R17" s="193"/>
      <c r="W17" s="193"/>
      <c r="X17" s="193"/>
      <c r="Y17" s="193"/>
      <c r="Z17" s="193"/>
      <c r="AA17" s="193"/>
      <c r="AB17" s="193"/>
      <c r="AC17" s="193"/>
      <c r="AD17" s="193"/>
    </row>
    <row r="18" spans="1:30" ht="15">
      <c r="A18" s="191" t="str">
        <f>HLOOKUP(INDICE!$F$2,Nombres!$C$3:$D$636,173,FALSE)</f>
        <v>Rentabilidad de los prestamos</v>
      </c>
      <c r="B18" s="196">
        <v>0.040175844367236556</v>
      </c>
      <c r="C18" s="196">
        <v>0.041968418827449325</v>
      </c>
      <c r="D18" s="196">
        <v>0.04255173775254403</v>
      </c>
      <c r="E18" s="196">
        <v>0.04464350952780109</v>
      </c>
      <c r="F18" s="196">
        <v>0.046648646094920455</v>
      </c>
      <c r="G18" s="196">
        <v>0.04614444324285154</v>
      </c>
      <c r="H18" s="196">
        <v>0.044381731410295375</v>
      </c>
      <c r="I18" s="196">
        <v>0.04141821217130468</v>
      </c>
      <c r="O18" s="193"/>
      <c r="P18" s="193"/>
      <c r="Q18" s="193"/>
      <c r="R18" s="193"/>
      <c r="W18" s="193"/>
      <c r="X18" s="193"/>
      <c r="Y18" s="193"/>
      <c r="Z18" s="193"/>
      <c r="AA18" s="193"/>
      <c r="AB18" s="193"/>
      <c r="AC18" s="193"/>
      <c r="AD18" s="193"/>
    </row>
    <row r="19" spans="1:30" ht="15">
      <c r="A19" s="191" t="str">
        <f>HLOOKUP(INDICE!$F$2,Nombres!$C$3:$D$636,174,FALSE)</f>
        <v>Coste de los depositos</v>
      </c>
      <c r="B19" s="196">
        <v>-0.0009242727807763606</v>
      </c>
      <c r="C19" s="196">
        <v>-0.001356159008274012</v>
      </c>
      <c r="D19" s="196">
        <v>-0.0015153214008600232</v>
      </c>
      <c r="E19" s="196">
        <v>-0.0019343997417436186</v>
      </c>
      <c r="F19" s="196">
        <v>-0.002409387115802023</v>
      </c>
      <c r="G19" s="196">
        <v>-0.003076417278350444</v>
      </c>
      <c r="H19" s="196">
        <v>-0.0036005796424752445</v>
      </c>
      <c r="I19" s="196">
        <v>-0.003017096480601097</v>
      </c>
      <c r="O19" s="193"/>
      <c r="P19" s="193"/>
      <c r="Q19" s="193"/>
      <c r="R19" s="193"/>
      <c r="W19" s="193"/>
      <c r="X19" s="193"/>
      <c r="Y19" s="193"/>
      <c r="Z19" s="193"/>
      <c r="AA19" s="193"/>
      <c r="AB19" s="193"/>
      <c r="AC19" s="193"/>
      <c r="AD19" s="193"/>
    </row>
    <row r="20" spans="1:30" ht="15">
      <c r="A20" s="194" t="str">
        <f>HLOOKUP(INDICE!$F$2,Nombres!$C$3:$D$636,178,FALSE)</f>
        <v>México moneda extranjera</v>
      </c>
      <c r="B20" s="197">
        <v>0.03925157158646019</v>
      </c>
      <c r="C20" s="197">
        <v>0.04061225981917531</v>
      </c>
      <c r="D20" s="197">
        <v>0.04103641635168401</v>
      </c>
      <c r="E20" s="197">
        <v>0.04270910978605747</v>
      </c>
      <c r="F20" s="197">
        <v>0.04423925897911843</v>
      </c>
      <c r="G20" s="197">
        <v>0.04306802596450109</v>
      </c>
      <c r="H20" s="197">
        <v>0.04078115176782013</v>
      </c>
      <c r="I20" s="197">
        <v>0.038401115690703584</v>
      </c>
      <c r="O20" s="193"/>
      <c r="P20" s="193"/>
      <c r="Q20" s="193"/>
      <c r="R20" s="193"/>
      <c r="W20" s="193"/>
      <c r="X20" s="193"/>
      <c r="Y20" s="193"/>
      <c r="Z20" s="193"/>
      <c r="AA20" s="193"/>
      <c r="AB20" s="193"/>
      <c r="AC20" s="193"/>
      <c r="AD20" s="193"/>
    </row>
    <row r="21" spans="1:30" ht="15">
      <c r="A21" s="150"/>
      <c r="B21" s="196"/>
      <c r="C21" s="196"/>
      <c r="D21" s="196"/>
      <c r="E21" s="196"/>
      <c r="F21" s="196"/>
      <c r="G21" s="196"/>
      <c r="H21" s="196"/>
      <c r="I21" s="196"/>
      <c r="O21" s="193"/>
      <c r="P21" s="193"/>
      <c r="Q21" s="193"/>
      <c r="R21" s="193"/>
      <c r="W21" s="193"/>
      <c r="X21" s="193"/>
      <c r="Y21" s="193"/>
      <c r="Z21" s="193"/>
      <c r="AA21" s="193"/>
      <c r="AB21" s="193"/>
      <c r="AC21" s="193"/>
      <c r="AD21" s="193"/>
    </row>
    <row r="22" spans="1:30" ht="15">
      <c r="A22" s="191" t="str">
        <f>HLOOKUP(INDICE!$F$2,Nombres!$C$3:$D$636,173,FALSE)</f>
        <v>Rentabilidad de los prestamos</v>
      </c>
      <c r="B22" s="192">
        <v>0.14554577253318232</v>
      </c>
      <c r="C22" s="192">
        <v>0.1514326090585716</v>
      </c>
      <c r="D22" s="192">
        <v>0.17188405891396352</v>
      </c>
      <c r="E22" s="192">
        <v>0.18979269196969376</v>
      </c>
      <c r="F22" s="192">
        <v>0.19017727480570767</v>
      </c>
      <c r="G22" s="192">
        <v>0.19088657833660883</v>
      </c>
      <c r="H22" s="192">
        <v>0.18562904182859502</v>
      </c>
      <c r="I22" s="192">
        <v>0.16457807120632795</v>
      </c>
      <c r="J22" s="290"/>
      <c r="K22" s="290"/>
      <c r="L22" s="290"/>
      <c r="M22" s="290"/>
      <c r="O22" s="193"/>
      <c r="P22" s="193"/>
      <c r="Q22" s="193"/>
      <c r="R22" s="193"/>
      <c r="W22" s="193"/>
      <c r="X22" s="193"/>
      <c r="Y22" s="193"/>
      <c r="Z22" s="193"/>
      <c r="AA22" s="193"/>
      <c r="AB22" s="193"/>
      <c r="AC22" s="193"/>
      <c r="AD22" s="193"/>
    </row>
    <row r="23" spans="1:30" ht="15">
      <c r="A23" s="191" t="str">
        <f>HLOOKUP(INDICE!$F$2,Nombres!$C$3:$D$636,174,FALSE)</f>
        <v>Coste de los depositos</v>
      </c>
      <c r="B23" s="192">
        <v>-0.09619437259085131</v>
      </c>
      <c r="C23" s="192">
        <v>-0.099617531776267</v>
      </c>
      <c r="D23" s="192">
        <v>-0.13170590040159544</v>
      </c>
      <c r="E23" s="192">
        <v>-0.17857751853623602</v>
      </c>
      <c r="F23" s="192">
        <v>-0.16518269688597997</v>
      </c>
      <c r="G23" s="192">
        <v>-0.16369924267697866</v>
      </c>
      <c r="H23" s="192">
        <v>-0.144607004292289</v>
      </c>
      <c r="I23" s="192">
        <v>-0.09340047129807973</v>
      </c>
      <c r="J23" s="290"/>
      <c r="K23" s="290"/>
      <c r="L23" s="290"/>
      <c r="M23" s="290"/>
      <c r="O23" s="193"/>
      <c r="P23" s="193"/>
      <c r="Q23" s="193"/>
      <c r="R23" s="193"/>
      <c r="W23" s="193"/>
      <c r="X23" s="193"/>
      <c r="Y23" s="193"/>
      <c r="Z23" s="193"/>
      <c r="AA23" s="193"/>
      <c r="AB23" s="193"/>
      <c r="AC23" s="193"/>
      <c r="AD23" s="193"/>
    </row>
    <row r="24" spans="1:30" ht="15">
      <c r="A24" s="194" t="str">
        <f>HLOOKUP(INDICE!$F$2,Nombres!$C$3:$D$636,179,FALSE)</f>
        <v>Turquía liras turcas</v>
      </c>
      <c r="B24" s="195">
        <v>0.04935139994233101</v>
      </c>
      <c r="C24" s="195">
        <v>0.05181507728230457</v>
      </c>
      <c r="D24" s="195">
        <v>0.0401781585123681</v>
      </c>
      <c r="E24" s="195">
        <v>0.011215173433457758</v>
      </c>
      <c r="F24" s="195">
        <v>0.0249945779197277</v>
      </c>
      <c r="G24" s="195">
        <v>0.027187335659630163</v>
      </c>
      <c r="H24" s="195">
        <v>0.04102203753630601</v>
      </c>
      <c r="I24" s="195">
        <v>0.07117759990824822</v>
      </c>
      <c r="J24" s="290"/>
      <c r="K24" s="290"/>
      <c r="L24" s="290"/>
      <c r="M24" s="290"/>
      <c r="O24" s="193"/>
      <c r="P24" s="193"/>
      <c r="Q24" s="193"/>
      <c r="R24" s="193"/>
      <c r="W24" s="193"/>
      <c r="X24" s="193"/>
      <c r="Y24" s="193"/>
      <c r="Z24" s="193"/>
      <c r="AA24" s="193"/>
      <c r="AB24" s="193"/>
      <c r="AC24" s="193"/>
      <c r="AD24" s="193"/>
    </row>
    <row r="25" spans="1:30" ht="15">
      <c r="A25" s="194"/>
      <c r="B25" s="195"/>
      <c r="C25" s="195"/>
      <c r="D25" s="195"/>
      <c r="E25" s="195"/>
      <c r="F25" s="195"/>
      <c r="G25" s="195"/>
      <c r="H25" s="195"/>
      <c r="I25" s="195"/>
      <c r="J25" s="290"/>
      <c r="K25" s="290"/>
      <c r="L25" s="290"/>
      <c r="M25" s="290"/>
      <c r="O25" s="193"/>
      <c r="P25" s="193"/>
      <c r="Q25" s="193"/>
      <c r="R25" s="193"/>
      <c r="W25" s="193"/>
      <c r="X25" s="193"/>
      <c r="Y25" s="193"/>
      <c r="Z25" s="193"/>
      <c r="AA25" s="193"/>
      <c r="AB25" s="193"/>
      <c r="AC25" s="193"/>
      <c r="AD25" s="193"/>
    </row>
    <row r="26" spans="1:30" ht="15">
      <c r="A26" s="191" t="str">
        <f>HLOOKUP(INDICE!$F$2,Nombres!$C$3:$D$636,173,FALSE)</f>
        <v>Rentabilidad de los prestamos</v>
      </c>
      <c r="B26" s="198">
        <v>0.06452623971101738</v>
      </c>
      <c r="C26" s="198">
        <v>0.06789755200418211</v>
      </c>
      <c r="D26" s="198">
        <v>0.07088285203925823</v>
      </c>
      <c r="E26" s="198">
        <v>0.07477987335585959</v>
      </c>
      <c r="F26" s="198">
        <v>0.07468097349664432</v>
      </c>
      <c r="G26" s="198">
        <v>0.07302623956024035</v>
      </c>
      <c r="H26" s="198">
        <v>0.07038642728373758</v>
      </c>
      <c r="I26" s="198">
        <v>0.06708090909668922</v>
      </c>
      <c r="J26" s="290"/>
      <c r="K26" s="290"/>
      <c r="L26" s="290"/>
      <c r="M26" s="290"/>
      <c r="O26" s="193"/>
      <c r="P26" s="193"/>
      <c r="Q26" s="193"/>
      <c r="R26" s="193"/>
      <c r="W26" s="193"/>
      <c r="X26" s="193"/>
      <c r="Y26" s="193"/>
      <c r="Z26" s="193"/>
      <c r="AA26" s="193"/>
      <c r="AB26" s="193"/>
      <c r="AC26" s="193"/>
      <c r="AD26" s="193"/>
    </row>
    <row r="27" spans="1:30" ht="15">
      <c r="A27" s="191" t="str">
        <f>HLOOKUP(INDICE!$F$2,Nombres!$C$3:$D$636,174,FALSE)</f>
        <v>Coste de los depositos</v>
      </c>
      <c r="B27" s="198">
        <v>-0.022898271597928347</v>
      </c>
      <c r="C27" s="198">
        <v>-0.02353825531809533</v>
      </c>
      <c r="D27" s="198">
        <v>-0.026152993463748837</v>
      </c>
      <c r="E27" s="198">
        <v>-0.03128782761871164</v>
      </c>
      <c r="F27" s="198">
        <v>-0.025179314777140912</v>
      </c>
      <c r="G27" s="198">
        <v>-0.02130771023550386</v>
      </c>
      <c r="H27" s="198">
        <v>-0.017862961977656844</v>
      </c>
      <c r="I27" s="198">
        <v>-0.014130801987506592</v>
      </c>
      <c r="J27" s="290"/>
      <c r="K27" s="290"/>
      <c r="L27" s="290"/>
      <c r="M27" s="290"/>
      <c r="O27" s="193"/>
      <c r="P27" s="193"/>
      <c r="Q27" s="193"/>
      <c r="R27" s="193"/>
      <c r="W27" s="193"/>
      <c r="X27" s="193"/>
      <c r="Y27" s="193"/>
      <c r="Z27" s="193"/>
      <c r="AA27" s="193"/>
      <c r="AB27" s="193"/>
      <c r="AC27" s="193"/>
      <c r="AD27" s="193"/>
    </row>
    <row r="28" spans="1:30" ht="15">
      <c r="A28" s="194" t="str">
        <f>HLOOKUP(INDICE!$F$2,Nombres!$C$3:$D$636,180,FALSE)</f>
        <v>Turquía moneda extranjera</v>
      </c>
      <c r="B28" s="195">
        <v>0.04162796811308904</v>
      </c>
      <c r="C28" s="195">
        <v>0.044359296686086784</v>
      </c>
      <c r="D28" s="195">
        <v>0.044729858575509394</v>
      </c>
      <c r="E28" s="195">
        <v>0.043492045737147954</v>
      </c>
      <c r="F28" s="195">
        <v>0.049501658719503405</v>
      </c>
      <c r="G28" s="195">
        <v>0.05171852932473649</v>
      </c>
      <c r="H28" s="195">
        <v>0.052523465306080735</v>
      </c>
      <c r="I28" s="195">
        <v>0.05295010710918263</v>
      </c>
      <c r="J28" s="290"/>
      <c r="K28" s="290"/>
      <c r="L28" s="290"/>
      <c r="M28" s="290"/>
      <c r="O28" s="193"/>
      <c r="P28" s="193"/>
      <c r="Q28" s="193"/>
      <c r="R28" s="193"/>
      <c r="W28" s="193"/>
      <c r="X28" s="193"/>
      <c r="Y28" s="193"/>
      <c r="Z28" s="193"/>
      <c r="AA28" s="193"/>
      <c r="AB28" s="193"/>
      <c r="AC28" s="193"/>
      <c r="AD28" s="193"/>
    </row>
    <row r="29" spans="1:30" ht="15">
      <c r="A29" s="150"/>
      <c r="B29" s="196"/>
      <c r="C29" s="196"/>
      <c r="D29" s="196"/>
      <c r="E29" s="196"/>
      <c r="F29" s="196"/>
      <c r="G29" s="196"/>
      <c r="H29" s="196"/>
      <c r="I29" s="196"/>
      <c r="O29" s="193"/>
      <c r="P29" s="193"/>
      <c r="Q29" s="193"/>
      <c r="R29" s="193"/>
      <c r="W29" s="193"/>
      <c r="X29" s="193"/>
      <c r="Y29" s="193"/>
      <c r="Z29" s="193"/>
      <c r="AA29" s="193"/>
      <c r="AB29" s="193"/>
      <c r="AC29" s="193"/>
      <c r="AD29" s="193"/>
    </row>
    <row r="30" spans="1:30" ht="15">
      <c r="A30" s="191" t="str">
        <f>HLOOKUP(INDICE!$F$2,Nombres!$C$3:$D$636,173,FALSE)</f>
        <v>Rentabilidad de los prestamos</v>
      </c>
      <c r="B30" s="192">
        <v>0.19287058493680043</v>
      </c>
      <c r="C30" s="192">
        <v>0.2071657415905105</v>
      </c>
      <c r="D30" s="192">
        <v>0.23997530225748073</v>
      </c>
      <c r="E30" s="192">
        <v>0.2908547514205928</v>
      </c>
      <c r="F30" s="192">
        <v>0.28504103189696145</v>
      </c>
      <c r="G30" s="192">
        <v>0.2927070159869264</v>
      </c>
      <c r="H30" s="192">
        <v>0.2936044746786395</v>
      </c>
      <c r="I30" s="192">
        <v>0.3653761080175471</v>
      </c>
      <c r="J30" s="290"/>
      <c r="K30" s="290"/>
      <c r="L30" s="290"/>
      <c r="M30" s="290"/>
      <c r="O30" s="193"/>
      <c r="P30" s="193"/>
      <c r="Q30" s="193"/>
      <c r="R30" s="193"/>
      <c r="W30" s="193"/>
      <c r="X30" s="193"/>
      <c r="Y30" s="193"/>
      <c r="Z30" s="193"/>
      <c r="AA30" s="193"/>
      <c r="AB30" s="193"/>
      <c r="AC30" s="193"/>
      <c r="AD30" s="193"/>
    </row>
    <row r="31" spans="1:30" ht="15">
      <c r="A31" s="191" t="str">
        <f>HLOOKUP(INDICE!$F$2,Nombres!$C$3:$D$636,174,FALSE)</f>
        <v>Coste de los depositos</v>
      </c>
      <c r="B31" s="192">
        <v>-0.06589099006588217</v>
      </c>
      <c r="C31" s="192">
        <v>-0.07426063789854875</v>
      </c>
      <c r="D31" s="192">
        <v>-0.0984612442216059</v>
      </c>
      <c r="E31" s="192">
        <v>-0.14369624820000265</v>
      </c>
      <c r="F31" s="192">
        <v>-0.12525660668056623</v>
      </c>
      <c r="G31" s="192">
        <v>-0.13023559460080653</v>
      </c>
      <c r="H31" s="192">
        <v>-0.1306487092753034</v>
      </c>
      <c r="I31" s="192">
        <v>-0.12126845945347617</v>
      </c>
      <c r="J31" s="290"/>
      <c r="K31" s="290"/>
      <c r="L31" s="290"/>
      <c r="M31" s="290"/>
      <c r="O31" s="193"/>
      <c r="P31" s="193"/>
      <c r="Q31" s="193"/>
      <c r="R31" s="193"/>
      <c r="W31" s="193"/>
      <c r="X31" s="193"/>
      <c r="Y31" s="193"/>
      <c r="Z31" s="193"/>
      <c r="AA31" s="193"/>
      <c r="AB31" s="193"/>
      <c r="AC31" s="193"/>
      <c r="AD31" s="193"/>
    </row>
    <row r="32" spans="1:30" ht="15">
      <c r="A32" s="194" t="str">
        <f>HLOOKUP(INDICE!$F$2,Nombres!$C$3:$D$636,181,FALSE)</f>
        <v>Argentina</v>
      </c>
      <c r="B32" s="199">
        <v>0.12697959487091826</v>
      </c>
      <c r="C32" s="199">
        <v>0.13290510369196173</v>
      </c>
      <c r="D32" s="199">
        <v>0.14151405803587483</v>
      </c>
      <c r="E32" s="199">
        <v>0.14715850322059015</v>
      </c>
      <c r="F32" s="199">
        <v>0.15978442521639522</v>
      </c>
      <c r="G32" s="199">
        <v>0.16247142138611986</v>
      </c>
      <c r="H32" s="199">
        <v>0.1629557654033361</v>
      </c>
      <c r="I32" s="199">
        <v>0.24410764856407094</v>
      </c>
      <c r="J32" s="290"/>
      <c r="K32" s="290"/>
      <c r="L32" s="290"/>
      <c r="M32" s="290"/>
      <c r="O32" s="193"/>
      <c r="P32" s="193"/>
      <c r="Q32" s="193"/>
      <c r="R32" s="193"/>
      <c r="W32" s="193"/>
      <c r="X32" s="193"/>
      <c r="Y32" s="193"/>
      <c r="Z32" s="193"/>
      <c r="AA32" s="193"/>
      <c r="AB32" s="193"/>
      <c r="AC32" s="193"/>
      <c r="AD32" s="193"/>
    </row>
    <row r="33" spans="1:30" ht="15">
      <c r="A33" s="150"/>
      <c r="B33" s="196"/>
      <c r="C33" s="196"/>
      <c r="D33" s="196"/>
      <c r="E33" s="196"/>
      <c r="F33" s="196"/>
      <c r="G33" s="196"/>
      <c r="H33" s="196"/>
      <c r="I33" s="196"/>
      <c r="O33" s="193"/>
      <c r="P33" s="193"/>
      <c r="Q33" s="193"/>
      <c r="R33" s="193"/>
      <c r="W33" s="193"/>
      <c r="X33" s="193"/>
      <c r="Y33" s="193"/>
      <c r="Z33" s="193"/>
      <c r="AA33" s="193"/>
      <c r="AB33" s="193"/>
      <c r="AC33" s="193"/>
      <c r="AD33" s="193"/>
    </row>
    <row r="34" spans="1:30" ht="15">
      <c r="A34" s="191" t="str">
        <f>HLOOKUP(INDICE!$F$2,Nombres!$C$3:$D$636,173,FALSE)</f>
        <v>Rentabilidad de los prestamos</v>
      </c>
      <c r="B34" s="192">
        <v>0.11313129929927329</v>
      </c>
      <c r="C34" s="192">
        <v>0.11217879190283801</v>
      </c>
      <c r="D34" s="192">
        <v>0.10985605664820579</v>
      </c>
      <c r="E34" s="192">
        <v>0.11069456164430537</v>
      </c>
      <c r="F34" s="192">
        <v>0.1089627806404097</v>
      </c>
      <c r="G34" s="192">
        <v>0.10877566846312808</v>
      </c>
      <c r="H34" s="192">
        <v>0.10820642181563203</v>
      </c>
      <c r="I34" s="192">
        <v>0.10631871386270016</v>
      </c>
      <c r="J34" s="290"/>
      <c r="K34" s="290"/>
      <c r="L34" s="290"/>
      <c r="M34" s="290"/>
      <c r="O34" s="193"/>
      <c r="P34" s="193"/>
      <c r="Q34" s="193"/>
      <c r="R34" s="193"/>
      <c r="W34" s="193"/>
      <c r="X34" s="193"/>
      <c r="Y34" s="193"/>
      <c r="Z34" s="193"/>
      <c r="AA34" s="193"/>
      <c r="AB34" s="193"/>
      <c r="AC34" s="193"/>
      <c r="AD34" s="193"/>
    </row>
    <row r="35" spans="1:30" ht="15">
      <c r="A35" s="191" t="str">
        <f>HLOOKUP(INDICE!$F$2,Nombres!$C$3:$D$636,174,FALSE)</f>
        <v>Coste de los depositos</v>
      </c>
      <c r="B35" s="192">
        <v>-0.045979262866492204</v>
      </c>
      <c r="C35" s="192">
        <v>-0.044322978819227324</v>
      </c>
      <c r="D35" s="192">
        <v>-0.04205570647770007</v>
      </c>
      <c r="E35" s="192">
        <v>-0.04159688196699892</v>
      </c>
      <c r="F35" s="192">
        <v>-0.041348850652115</v>
      </c>
      <c r="G35" s="192">
        <v>-0.04089258146462727</v>
      </c>
      <c r="H35" s="192">
        <v>-0.04183714919583777</v>
      </c>
      <c r="I35" s="192">
        <v>-0.040904318460166046</v>
      </c>
      <c r="J35" s="290"/>
      <c r="K35" s="290"/>
      <c r="L35" s="290"/>
      <c r="M35" s="290"/>
      <c r="O35" s="193"/>
      <c r="P35" s="193"/>
      <c r="Q35" s="193"/>
      <c r="R35" s="193"/>
      <c r="W35" s="193"/>
      <c r="X35" s="193"/>
      <c r="Y35" s="193"/>
      <c r="Z35" s="193"/>
      <c r="AA35" s="193"/>
      <c r="AB35" s="193"/>
      <c r="AC35" s="193"/>
      <c r="AD35" s="193"/>
    </row>
    <row r="36" spans="1:30" ht="15">
      <c r="A36" s="194" t="str">
        <f>HLOOKUP(INDICE!$F$2,Nombres!$C$3:$D$636,182,FALSE)</f>
        <v>Colombia</v>
      </c>
      <c r="B36" s="195">
        <v>0.06715203643278109</v>
      </c>
      <c r="C36" s="195">
        <v>0.06785581308361069</v>
      </c>
      <c r="D36" s="195">
        <v>0.06780035017050572</v>
      </c>
      <c r="E36" s="195">
        <v>0.06909767967730646</v>
      </c>
      <c r="F36" s="195">
        <v>0.06761392998829471</v>
      </c>
      <c r="G36" s="195">
        <v>0.06788308699850082</v>
      </c>
      <c r="H36" s="195">
        <v>0.06636927261979426</v>
      </c>
      <c r="I36" s="195">
        <v>0.0654143954025341</v>
      </c>
      <c r="J36" s="290"/>
      <c r="K36" s="290"/>
      <c r="L36" s="290"/>
      <c r="M36" s="290"/>
      <c r="O36" s="193"/>
      <c r="P36" s="193"/>
      <c r="Q36" s="193"/>
      <c r="R36" s="193"/>
      <c r="W36" s="193"/>
      <c r="X36" s="193"/>
      <c r="Y36" s="193"/>
      <c r="Z36" s="193"/>
      <c r="AA36" s="193"/>
      <c r="AB36" s="193"/>
      <c r="AC36" s="193"/>
      <c r="AD36" s="193"/>
    </row>
    <row r="37" spans="1:30" ht="15">
      <c r="A37" s="150"/>
      <c r="B37" s="196"/>
      <c r="C37" s="196"/>
      <c r="D37" s="196"/>
      <c r="E37" s="196"/>
      <c r="F37" s="196"/>
      <c r="G37" s="196"/>
      <c r="H37" s="196"/>
      <c r="I37" s="196"/>
      <c r="O37" s="193"/>
      <c r="P37" s="193"/>
      <c r="Q37" s="193"/>
      <c r="R37" s="193"/>
      <c r="W37" s="193"/>
      <c r="X37" s="193"/>
      <c r="Y37" s="193"/>
      <c r="Z37" s="193"/>
      <c r="AA37" s="193"/>
      <c r="AB37" s="193"/>
      <c r="AC37" s="193"/>
      <c r="AD37" s="193"/>
    </row>
    <row r="38" spans="1:30" ht="15">
      <c r="A38" s="191" t="str">
        <f>HLOOKUP(INDICE!$F$2,Nombres!$C$3:$D$636,173,FALSE)</f>
        <v>Rentabilidad de los prestamos</v>
      </c>
      <c r="B38" s="192">
        <v>0.07918122873714728</v>
      </c>
      <c r="C38" s="192">
        <v>0.0783927954294053</v>
      </c>
      <c r="D38" s="192">
        <v>0.07837807578719011</v>
      </c>
      <c r="E38" s="192">
        <v>0.07889213609214633</v>
      </c>
      <c r="F38" s="192">
        <v>0.07893505295600035</v>
      </c>
      <c r="G38" s="192">
        <v>0.07849548479212574</v>
      </c>
      <c r="H38" s="192">
        <v>0.07783019900355526</v>
      </c>
      <c r="I38" s="192">
        <v>0.07428275375942259</v>
      </c>
      <c r="J38" s="290"/>
      <c r="K38" s="290"/>
      <c r="L38" s="290"/>
      <c r="M38" s="290"/>
      <c r="O38" s="193"/>
      <c r="P38" s="193"/>
      <c r="Q38" s="193"/>
      <c r="R38" s="193"/>
      <c r="W38" s="193"/>
      <c r="X38" s="193"/>
      <c r="Y38" s="193"/>
      <c r="Z38" s="193"/>
      <c r="AA38" s="193"/>
      <c r="AB38" s="193"/>
      <c r="AC38" s="193"/>
      <c r="AD38" s="193"/>
    </row>
    <row r="39" spans="1:30" ht="15">
      <c r="A39" s="191" t="str">
        <f>HLOOKUP(INDICE!$F$2,Nombres!$C$3:$D$636,174,FALSE)</f>
        <v>Coste de los depositos</v>
      </c>
      <c r="B39" s="192">
        <v>-0.011700318618599175</v>
      </c>
      <c r="C39" s="192">
        <v>-0.010911456358656268</v>
      </c>
      <c r="D39" s="192">
        <v>-0.01135349421755884</v>
      </c>
      <c r="E39" s="192">
        <v>-0.012029152948960094</v>
      </c>
      <c r="F39" s="192">
        <v>-0.012696981868987054</v>
      </c>
      <c r="G39" s="192">
        <v>-0.014012516285399434</v>
      </c>
      <c r="H39" s="192">
        <v>-0.014538669131027512</v>
      </c>
      <c r="I39" s="192">
        <v>-0.013706786087149677</v>
      </c>
      <c r="J39" s="290"/>
      <c r="K39" s="290"/>
      <c r="L39" s="290"/>
      <c r="M39" s="290"/>
      <c r="O39" s="193"/>
      <c r="P39" s="193"/>
      <c r="Q39" s="193"/>
      <c r="R39" s="193"/>
      <c r="W39" s="193"/>
      <c r="X39" s="193"/>
      <c r="Y39" s="193"/>
      <c r="Z39" s="193"/>
      <c r="AA39" s="193"/>
      <c r="AB39" s="193"/>
      <c r="AC39" s="193"/>
      <c r="AD39" s="193"/>
    </row>
    <row r="40" spans="1:30" ht="15">
      <c r="A40" s="194" t="str">
        <f>HLOOKUP(INDICE!$F$2,Nombres!$C$3:$D$636,183,FALSE)</f>
        <v>Perú</v>
      </c>
      <c r="B40" s="195">
        <v>0.06748091011854811</v>
      </c>
      <c r="C40" s="195">
        <v>0.06748133907074903</v>
      </c>
      <c r="D40" s="195">
        <v>0.06702458156963127</v>
      </c>
      <c r="E40" s="195">
        <v>0.06686298314318624</v>
      </c>
      <c r="F40" s="195">
        <v>0.0662380710870133</v>
      </c>
      <c r="G40" s="195">
        <v>0.06448296850672632</v>
      </c>
      <c r="H40" s="195">
        <v>0.06329152987252774</v>
      </c>
      <c r="I40" s="195">
        <v>0.06057596767227291</v>
      </c>
      <c r="J40" s="290"/>
      <c r="K40" s="290"/>
      <c r="L40" s="290"/>
      <c r="M40" s="290"/>
      <c r="O40" s="193"/>
      <c r="P40" s="193"/>
      <c r="Q40" s="193"/>
      <c r="R40" s="193"/>
      <c r="W40" s="193"/>
      <c r="X40" s="193"/>
      <c r="Y40" s="193"/>
      <c r="Z40" s="193"/>
      <c r="AA40" s="193"/>
      <c r="AB40" s="193"/>
      <c r="AC40" s="193"/>
      <c r="AD40" s="193"/>
    </row>
    <row r="41" spans="1:18" ht="15">
      <c r="A41" s="150"/>
      <c r="B41" s="196"/>
      <c r="C41" s="196"/>
      <c r="D41" s="196"/>
      <c r="E41" s="196"/>
      <c r="F41" s="196"/>
      <c r="G41" s="196"/>
      <c r="H41" s="196"/>
      <c r="I41" s="196"/>
      <c r="O41" s="193"/>
      <c r="P41" s="193"/>
      <c r="Q41" s="193"/>
      <c r="R41" s="193"/>
    </row>
    <row r="42" spans="1:9" ht="15">
      <c r="A42" s="200" t="str">
        <f>HLOOKUP(INDICE!$F$2,Nombres!$C$3:$D$636,184,FALSE)</f>
        <v>(*) Diferencia entre el rendimiento de los préstamos y el coste de los depósitos de los clientes.</v>
      </c>
      <c r="B42" s="189"/>
      <c r="C42" s="189"/>
      <c r="D42" s="189"/>
      <c r="E42" s="189"/>
      <c r="F42" s="300"/>
      <c r="G42" s="300"/>
      <c r="H42" s="189"/>
      <c r="I42" s="189"/>
    </row>
    <row r="43" spans="1:9" ht="15">
      <c r="A43" s="200" t="str">
        <f>HLOOKUP(INDICE!$F$2,Nombres!$C$3:$D$636,185,FALSE)</f>
        <v>(**)  Excluye la actividad en Nueva York.</v>
      </c>
      <c r="B43" s="189"/>
      <c r="C43" s="189"/>
      <c r="D43" s="189"/>
      <c r="E43" s="189"/>
      <c r="F43" s="189"/>
      <c r="G43" s="189"/>
      <c r="H43" s="189"/>
      <c r="I43" s="189"/>
    </row>
    <row r="44" ht="15">
      <c r="A44" s="200" t="str">
        <f>HLOOKUP(INDICE!$F$2,Nombres!$C$3:$D$636,186,FALSE)</f>
        <v>Nota: Los diferenciales de la clientela han sido actualizados.</v>
      </c>
    </row>
    <row r="1000" ht="15">
      <c r="A1000" t="s">
        <v>399</v>
      </c>
    </row>
  </sheetData>
  <sheetProtection/>
  <mergeCells count="3">
    <mergeCell ref="B3:E3"/>
    <mergeCell ref="F42:G42"/>
    <mergeCell ref="F3:I3"/>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0"/>
  <sheetViews>
    <sheetView showGridLines="0" zoomScalePageLayoutView="0" workbookViewId="0" topLeftCell="A1">
      <selection activeCell="A4" sqref="A4"/>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10" width="11.421875" style="0" customWidth="1"/>
    <col min="11" max="12" width="14.7109375" style="0" bestFit="1" customWidth="1"/>
  </cols>
  <sheetData>
    <row r="1" spans="1:9" ht="18">
      <c r="A1" s="100" t="str">
        <f>HLOOKUP(INDICE!$F$2,Nombres!$C$3:$D$636,88,FALSE)</f>
        <v>Activos ponderados por riesgo. Desglose por áreas de negocio y principales países</v>
      </c>
      <c r="B1" s="161"/>
      <c r="C1" s="161"/>
      <c r="D1" s="162"/>
      <c r="E1" s="162"/>
      <c r="F1" s="162"/>
      <c r="G1" s="162"/>
      <c r="H1" s="162"/>
      <c r="I1" s="162"/>
    </row>
    <row r="2" spans="1:9" ht="15">
      <c r="A2" s="169" t="str">
        <f>HLOOKUP(INDICE!$F$2,Nombres!$C$3:$D$636,32,FALSE)</f>
        <v>(Millones de euros)</v>
      </c>
      <c r="B2" s="60"/>
      <c r="C2" s="60"/>
      <c r="D2" s="201"/>
      <c r="E2" s="201"/>
      <c r="F2" s="201"/>
      <c r="G2" s="201"/>
      <c r="H2" s="201"/>
      <c r="I2" s="201"/>
    </row>
    <row r="3" spans="1:9" ht="15">
      <c r="A3" s="202"/>
      <c r="B3" s="60"/>
      <c r="C3" s="60"/>
      <c r="D3" s="165"/>
      <c r="E3" s="165"/>
      <c r="F3" s="165"/>
      <c r="G3" s="165"/>
      <c r="H3" s="165"/>
      <c r="I3" s="165"/>
    </row>
    <row r="4" spans="1:9" ht="15.75" customHeight="1">
      <c r="A4" s="203"/>
      <c r="B4" s="301" t="str">
        <f>HLOOKUP(INDICE!$F$2,Nombres!$C$3:$D$636,222,FALSE)</f>
        <v>CRD IV fully loaded</v>
      </c>
      <c r="C4" s="301"/>
      <c r="D4" s="301"/>
      <c r="E4" s="301"/>
      <c r="F4" s="301"/>
      <c r="G4" s="301"/>
      <c r="H4" s="301"/>
      <c r="I4" s="301"/>
    </row>
    <row r="5" spans="1:11" ht="15.75">
      <c r="A5" s="203"/>
      <c r="B5" s="204">
        <v>43190</v>
      </c>
      <c r="C5" s="204">
        <v>43281</v>
      </c>
      <c r="D5" s="204">
        <v>43373</v>
      </c>
      <c r="E5" s="204">
        <v>43465</v>
      </c>
      <c r="F5" s="204">
        <v>43555</v>
      </c>
      <c r="G5" s="204">
        <v>43646</v>
      </c>
      <c r="H5" s="204">
        <v>43738</v>
      </c>
      <c r="I5" s="204">
        <v>43830</v>
      </c>
      <c r="K5" s="205"/>
    </row>
    <row r="6" spans="1:12" ht="15">
      <c r="A6" s="109" t="str">
        <f>HLOOKUP(INDICE!$F$2,Nombres!$C$3:$D$636,3,FALSE)</f>
        <v>Grupo BBVA</v>
      </c>
      <c r="B6" s="206">
        <v>358315</v>
      </c>
      <c r="C6" s="206">
        <v>357107</v>
      </c>
      <c r="D6" s="206">
        <v>343271.21099997003</v>
      </c>
      <c r="E6" s="206">
        <v>348804.49749885</v>
      </c>
      <c r="F6" s="206">
        <v>361172.8259933509</v>
      </c>
      <c r="G6" s="206">
        <v>360563.46100000996</v>
      </c>
      <c r="H6" s="206">
        <v>368690</v>
      </c>
      <c r="I6" s="206">
        <v>364942.50258706</v>
      </c>
      <c r="K6" s="207"/>
      <c r="L6" s="208"/>
    </row>
    <row r="7" spans="1:12" ht="15">
      <c r="A7" s="61" t="str">
        <f>HLOOKUP(INDICE!$F$2,Nombres!$C$3:$D$636,7,FALSE)</f>
        <v>España</v>
      </c>
      <c r="B7" s="44">
        <v>109746.43737697</v>
      </c>
      <c r="C7" s="44">
        <v>108069.78890755998</v>
      </c>
      <c r="D7" s="44">
        <v>107990.07372943999</v>
      </c>
      <c r="E7" s="44">
        <v>104113.26340615</v>
      </c>
      <c r="F7" s="44">
        <v>107581.10528188001</v>
      </c>
      <c r="G7" s="44">
        <v>107284.71581371999</v>
      </c>
      <c r="H7" s="44">
        <v>105866.42993339</v>
      </c>
      <c r="I7" s="44">
        <v>104924.79273609</v>
      </c>
      <c r="K7" s="207"/>
      <c r="L7" s="208"/>
    </row>
    <row r="8" spans="1:12" ht="15">
      <c r="A8" s="61" t="str">
        <f>HLOOKUP(INDICE!$F$2,Nombres!$C$3:$D$636,10,FALSE)</f>
        <v>EEUU</v>
      </c>
      <c r="B8" s="44">
        <v>57265.60901435</v>
      </c>
      <c r="C8" s="44">
        <v>61453.80723846001</v>
      </c>
      <c r="D8" s="44">
        <v>62720.58211572001</v>
      </c>
      <c r="E8" s="44">
        <v>64175.25526802</v>
      </c>
      <c r="F8" s="44">
        <v>65216.61492800999</v>
      </c>
      <c r="G8" s="44">
        <v>62383.25559174</v>
      </c>
      <c r="H8" s="44">
        <v>65901.90966341001</v>
      </c>
      <c r="I8" s="44">
        <v>65169.67996069999</v>
      </c>
      <c r="K8" s="207"/>
      <c r="L8" s="208"/>
    </row>
    <row r="9" spans="1:12" ht="15">
      <c r="A9" s="61" t="str">
        <f>HLOOKUP(INDICE!$F$2,Nombres!$C$3:$D$636,11,FALSE)</f>
        <v>México</v>
      </c>
      <c r="B9" s="44">
        <v>47715.43925727</v>
      </c>
      <c r="C9" s="44">
        <v>50648.284846350005</v>
      </c>
      <c r="D9" s="44">
        <v>54497.57373872</v>
      </c>
      <c r="E9" s="44">
        <v>53176.76411678</v>
      </c>
      <c r="F9" s="44">
        <v>54831.19951235999</v>
      </c>
      <c r="G9" s="44">
        <v>55918.63351755</v>
      </c>
      <c r="H9" s="44">
        <v>57453.72837060001</v>
      </c>
      <c r="I9" s="44">
        <v>59298.60472881999</v>
      </c>
      <c r="K9" s="207"/>
      <c r="L9" s="208"/>
    </row>
    <row r="10" spans="1:12" ht="15">
      <c r="A10" s="61" t="str">
        <f>HLOOKUP(INDICE!$F$2,Nombres!$C$3:$D$636,12,FALSE)</f>
        <v>Turquía </v>
      </c>
      <c r="B10" s="44">
        <v>60903.657199</v>
      </c>
      <c r="C10" s="44">
        <v>58770.429000000004</v>
      </c>
      <c r="D10" s="44">
        <v>52822.007</v>
      </c>
      <c r="E10" s="44">
        <v>56486.38402669001</v>
      </c>
      <c r="F10" s="44">
        <v>58526.021</v>
      </c>
      <c r="G10" s="44">
        <v>57550.859</v>
      </c>
      <c r="H10" s="44">
        <v>58520.61499999999</v>
      </c>
      <c r="I10" s="44">
        <v>56641.584009540005</v>
      </c>
      <c r="K10" s="207"/>
      <c r="L10" s="208"/>
    </row>
    <row r="11" spans="1:12" ht="15">
      <c r="A11" s="61" t="str">
        <f>HLOOKUP(INDICE!$F$2,Nombres!$C$3:$D$636,13,FALSE)</f>
        <v>América del Sur </v>
      </c>
      <c r="B11" s="44">
        <v>55731.64647656001</v>
      </c>
      <c r="C11" s="44">
        <v>55154.71180540001</v>
      </c>
      <c r="D11" s="44">
        <v>41578.09704145</v>
      </c>
      <c r="E11" s="44">
        <v>42723.584994250006</v>
      </c>
      <c r="F11" s="44">
        <v>44970.242165469994</v>
      </c>
      <c r="G11" s="44">
        <v>43995.12974496999</v>
      </c>
      <c r="H11" s="44">
        <v>45283.813445730004</v>
      </c>
      <c r="I11" s="44">
        <v>45674.332531240005</v>
      </c>
      <c r="K11" s="207"/>
      <c r="L11" s="208"/>
    </row>
    <row r="12" spans="1:12" ht="15">
      <c r="A12" s="209" t="str">
        <f>HLOOKUP(INDICE!$F$2,Nombres!$C$3:$D$636,14,FALSE)</f>
        <v>Argentina</v>
      </c>
      <c r="B12" s="44">
        <v>8681.945295000001</v>
      </c>
      <c r="C12" s="44">
        <v>7914.303000000002</v>
      </c>
      <c r="D12" s="44">
        <v>7020.528999999999</v>
      </c>
      <c r="E12" s="44">
        <v>8036.43650064</v>
      </c>
      <c r="F12" s="44">
        <v>7963.3332040000005</v>
      </c>
      <c r="G12" s="44">
        <v>6434.688216479999</v>
      </c>
      <c r="H12" s="44">
        <v>6070.40200074</v>
      </c>
      <c r="I12" s="44">
        <v>6093.435606259999</v>
      </c>
      <c r="K12" s="207"/>
      <c r="L12" s="208"/>
    </row>
    <row r="13" spans="1:12" ht="15">
      <c r="A13" s="209" t="str">
        <f>HLOOKUP(INDICE!$F$2,Nombres!$C$3:$D$636,15,FALSE)</f>
        <v>Chile</v>
      </c>
      <c r="B13" s="44">
        <v>14681.04369465</v>
      </c>
      <c r="C13" s="44">
        <v>14818.880717290001</v>
      </c>
      <c r="D13" s="44">
        <v>2118.9981815300002</v>
      </c>
      <c r="E13" s="44">
        <v>2243.2030071399995</v>
      </c>
      <c r="F13" s="44">
        <v>2361.031</v>
      </c>
      <c r="G13" s="44">
        <v>2268.095</v>
      </c>
      <c r="H13" s="44">
        <v>2247.5370000000003</v>
      </c>
      <c r="I13" s="44">
        <v>2120.76200496</v>
      </c>
      <c r="K13" s="207"/>
      <c r="L13" s="208"/>
    </row>
    <row r="14" spans="1:12" ht="15">
      <c r="A14" s="209" t="str">
        <f>HLOOKUP(INDICE!$F$2,Nombres!$C$3:$D$636,16,FALSE)</f>
        <v>Colombia</v>
      </c>
      <c r="B14" s="44">
        <v>12973.685412490002</v>
      </c>
      <c r="C14" s="44">
        <v>12982.57609274</v>
      </c>
      <c r="D14" s="44">
        <v>13247.878054019999</v>
      </c>
      <c r="E14" s="44">
        <v>12680.485499460001</v>
      </c>
      <c r="F14" s="44">
        <v>13671.30359109</v>
      </c>
      <c r="G14" s="44">
        <v>13777.74060688</v>
      </c>
      <c r="H14" s="44">
        <v>14051.3617015</v>
      </c>
      <c r="I14" s="44">
        <v>14172.45169123</v>
      </c>
      <c r="K14" s="207"/>
      <c r="L14" s="208"/>
    </row>
    <row r="15" spans="1:12" ht="15">
      <c r="A15" s="209" t="str">
        <f>HLOOKUP(INDICE!$F$2,Nombres!$C$3:$D$636,17,FALSE)</f>
        <v>Perú</v>
      </c>
      <c r="B15" s="44">
        <v>14617.84737267</v>
      </c>
      <c r="C15" s="44">
        <v>15367.88322663</v>
      </c>
      <c r="D15" s="44">
        <v>15247.47003715</v>
      </c>
      <c r="E15" s="44">
        <v>15738.960986850003</v>
      </c>
      <c r="F15" s="44">
        <v>17134.898370379997</v>
      </c>
      <c r="G15" s="44">
        <v>17715.26892161</v>
      </c>
      <c r="H15" s="44">
        <v>19130.248743490003</v>
      </c>
      <c r="I15" s="44">
        <v>19292.970229630002</v>
      </c>
      <c r="K15" s="207"/>
      <c r="L15" s="208"/>
    </row>
    <row r="16" spans="1:12" ht="15">
      <c r="A16" s="209" t="str">
        <f>HLOOKUP(INDICE!$F$2,Nombres!$C$3:$D$636,89,FALSE)</f>
        <v>Resto de América del Sur</v>
      </c>
      <c r="B16" s="44">
        <v>4777.12470175</v>
      </c>
      <c r="C16" s="44">
        <v>4071.0687687399995</v>
      </c>
      <c r="D16" s="44">
        <v>3943.2217687499997</v>
      </c>
      <c r="E16" s="44">
        <v>4024.4990001600004</v>
      </c>
      <c r="F16" s="44">
        <v>3839.676</v>
      </c>
      <c r="G16" s="44">
        <v>3799.337</v>
      </c>
      <c r="H16" s="44">
        <v>3784.264</v>
      </c>
      <c r="I16" s="44">
        <v>3994.7129991600004</v>
      </c>
      <c r="K16" s="207"/>
      <c r="L16" s="208"/>
    </row>
    <row r="17" spans="1:12" ht="15">
      <c r="A17" s="61" t="str">
        <f>HLOOKUP(INDICE!$F$2,Nombres!$C$3:$D$636,18,FALSE)</f>
        <v>Resto de Eurasia</v>
      </c>
      <c r="B17" s="44">
        <v>15052.297731889998</v>
      </c>
      <c r="C17" s="44">
        <v>14695.64772541</v>
      </c>
      <c r="D17" s="44">
        <v>13646.650012179998</v>
      </c>
      <c r="E17" s="44">
        <v>15475.72999986</v>
      </c>
      <c r="F17" s="44">
        <v>16069.803597829998</v>
      </c>
      <c r="G17" s="44">
        <v>16404.989291629998</v>
      </c>
      <c r="H17" s="44">
        <v>17611.92645592</v>
      </c>
      <c r="I17" s="44">
        <v>17974.841906719997</v>
      </c>
      <c r="K17" s="207"/>
      <c r="L17" s="208"/>
    </row>
    <row r="18" spans="1:12" ht="15">
      <c r="A18" s="61" t="str">
        <f>HLOOKUP(INDICE!$F$2,Nombres!$C$3:$D$636,19,FALSE)</f>
        <v>Centro Corporativo</v>
      </c>
      <c r="B18" s="44">
        <f aca="true" t="shared" si="0" ref="B18:I18">+B6-B7-B8-B9-B10-B11-B17</f>
        <v>11899.91294395996</v>
      </c>
      <c r="C18" s="44">
        <f t="shared" si="0"/>
        <v>8314.33047682</v>
      </c>
      <c r="D18" s="44">
        <f t="shared" si="0"/>
        <v>10016.22736246002</v>
      </c>
      <c r="E18" s="44">
        <f t="shared" si="0"/>
        <v>12653.515687099985</v>
      </c>
      <c r="F18" s="44">
        <f t="shared" si="0"/>
        <v>13977.839507800918</v>
      </c>
      <c r="G18" s="44">
        <f t="shared" si="0"/>
        <v>17025.878040399988</v>
      </c>
      <c r="H18" s="44">
        <f t="shared" si="0"/>
        <v>18051.577130949994</v>
      </c>
      <c r="I18" s="44">
        <f t="shared" si="0"/>
        <v>15258.666713949988</v>
      </c>
      <c r="K18" s="207"/>
      <c r="L18" s="208"/>
    </row>
    <row r="19" spans="1:9" ht="15">
      <c r="A19" s="30"/>
      <c r="B19" s="210">
        <f>+B7+B8+B9+B10+B11+B17+B18-B6</f>
        <v>0</v>
      </c>
      <c r="C19" s="210">
        <f aca="true" t="shared" si="1" ref="C19:I19">+C7+C8+C9+C10+C11+C17+C18-C6</f>
        <v>0</v>
      </c>
      <c r="D19" s="210">
        <f t="shared" si="1"/>
        <v>0</v>
      </c>
      <c r="E19" s="210">
        <f t="shared" si="1"/>
        <v>0</v>
      </c>
      <c r="F19" s="210">
        <f t="shared" si="1"/>
        <v>0</v>
      </c>
      <c r="G19" s="210">
        <f t="shared" si="1"/>
        <v>0</v>
      </c>
      <c r="H19" s="210">
        <f t="shared" si="1"/>
        <v>0</v>
      </c>
      <c r="I19" s="210">
        <f t="shared" si="1"/>
        <v>0</v>
      </c>
    </row>
    <row r="20" spans="1:6" ht="15">
      <c r="A20" s="165"/>
      <c r="B20" s="165"/>
      <c r="C20" s="165"/>
      <c r="D20" s="165"/>
      <c r="E20" s="165"/>
      <c r="F20" s="165"/>
    </row>
    <row r="21" spans="1:6" ht="15">
      <c r="A21" s="266" t="str">
        <f>HLOOKUP(INDICE!$F$2,Nombres!$C$3:$D$636,229,FALSE)</f>
        <v>(*) Hay pequeñas diferencias en el 1T 2019 de APRs entre las Areas de Negocio por reclasificaciones hechas posteriores al cierre no habiendo variacíon ninguna en el total de los APRs.</v>
      </c>
      <c r="B21" s="211"/>
      <c r="C21" s="211"/>
      <c r="D21" s="211"/>
      <c r="E21" s="211"/>
      <c r="F21" s="211"/>
    </row>
    <row r="22" spans="2:6" ht="15">
      <c r="B22" s="113"/>
      <c r="F22" s="31"/>
    </row>
    <row r="1000" ht="15">
      <c r="A1000" t="s">
        <v>399</v>
      </c>
    </row>
  </sheetData>
  <sheetProtection/>
  <mergeCells count="1">
    <mergeCell ref="B4:I4"/>
  </mergeCells>
  <conditionalFormatting sqref="B19:I19">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N1000"/>
  <sheetViews>
    <sheetView showGridLines="0" zoomScalePageLayoutView="0" workbookViewId="0" topLeftCell="A28">
      <selection activeCell="K38" sqref="K38"/>
    </sheetView>
  </sheetViews>
  <sheetFormatPr defaultColWidth="11.421875" defaultRowHeight="15"/>
  <cols>
    <col min="1" max="1" width="42.421875" style="215" customWidth="1"/>
    <col min="2" max="2" width="13.57421875" style="215" bestFit="1" customWidth="1"/>
    <col min="3" max="4" width="11.421875" style="215" customWidth="1"/>
    <col min="5" max="5" width="11.7109375" style="215" bestFit="1" customWidth="1"/>
    <col min="6" max="9" width="11.421875" style="215" customWidth="1"/>
    <col min="10" max="10" width="4.7109375" style="214" customWidth="1"/>
    <col min="11" max="11" width="11.421875" style="215" customWidth="1"/>
    <col min="12" max="12" width="11.7109375" style="215" bestFit="1" customWidth="1"/>
    <col min="13" max="16384" width="11.421875" style="215" customWidth="1"/>
  </cols>
  <sheetData>
    <row r="1" spans="1:12" ht="18">
      <c r="A1" s="212" t="str">
        <f>HLOOKUP(INDICE!$F$2,Nombres!$C$3:$D$636,113,FALSE)</f>
        <v>Desglose del crédito no dudoso en gestión</v>
      </c>
      <c r="B1" s="213"/>
      <c r="C1" s="213"/>
      <c r="D1" s="213"/>
      <c r="E1" s="213"/>
      <c r="F1" s="213"/>
      <c r="G1" s="213"/>
      <c r="H1" s="213"/>
      <c r="I1" s="213"/>
      <c r="L1" s="216"/>
    </row>
    <row r="2" spans="1:12" ht="15.75">
      <c r="A2" s="217" t="str">
        <f>HLOOKUP(INDICE!$F$2,Nombres!$C$3:$D$636,73,FALSE)</f>
        <v>(Millones de euros constantes)</v>
      </c>
      <c r="B2" s="216"/>
      <c r="C2" s="216"/>
      <c r="D2" s="216"/>
      <c r="E2" s="216"/>
      <c r="F2" s="216"/>
      <c r="L2" s="216"/>
    </row>
    <row r="3" spans="1:12" ht="15.75">
      <c r="A3" s="218"/>
      <c r="B3" s="216"/>
      <c r="C3" s="216"/>
      <c r="D3" s="216"/>
      <c r="E3" s="216"/>
      <c r="F3" s="216"/>
      <c r="L3" s="216"/>
    </row>
    <row r="4" spans="1:9" ht="15.75" customHeight="1">
      <c r="A4" s="219"/>
      <c r="B4" s="302" t="str">
        <f>HLOOKUP(INDICE!$F$2,Nombres!$C$3:$D$636,7,FALSE)</f>
        <v>España</v>
      </c>
      <c r="C4" s="302"/>
      <c r="D4" s="302"/>
      <c r="E4" s="302"/>
      <c r="F4" s="302"/>
      <c r="G4" s="302"/>
      <c r="H4" s="302"/>
      <c r="I4" s="302"/>
    </row>
    <row r="5" spans="1:12" ht="15.75">
      <c r="A5" s="220"/>
      <c r="B5" s="126">
        <v>43190</v>
      </c>
      <c r="C5" s="126">
        <v>43281</v>
      </c>
      <c r="D5" s="126">
        <v>43373</v>
      </c>
      <c r="E5" s="126">
        <v>43465</v>
      </c>
      <c r="F5" s="126">
        <v>43555</v>
      </c>
      <c r="G5" s="126">
        <v>43646</v>
      </c>
      <c r="H5" s="126">
        <v>43738</v>
      </c>
      <c r="I5" s="126">
        <v>43830</v>
      </c>
      <c r="L5" s="55"/>
    </row>
    <row r="6" spans="1:14" ht="15">
      <c r="A6" s="221" t="str">
        <f>HLOOKUP(INDICE!$F$2,Nombres!$C$3:$D$636,209,FALSE)</f>
        <v>Hipotecario</v>
      </c>
      <c r="B6" s="222">
        <v>76410.39031799999</v>
      </c>
      <c r="C6" s="222">
        <v>75878.30673999999</v>
      </c>
      <c r="D6" s="222">
        <v>75378.17960399998</v>
      </c>
      <c r="E6" s="222">
        <v>74542.80918699998</v>
      </c>
      <c r="F6" s="222">
        <v>74144.91266199999</v>
      </c>
      <c r="G6" s="222">
        <v>73355.26624299999</v>
      </c>
      <c r="H6" s="222">
        <v>72461.449829</v>
      </c>
      <c r="I6" s="222">
        <v>72147.683961</v>
      </c>
      <c r="L6" s="222"/>
      <c r="N6" s="278"/>
    </row>
    <row r="7" spans="1:14" ht="15">
      <c r="A7" s="221" t="str">
        <f>HLOOKUP(INDICE!$F$2,Nombres!$C$3:$D$636,210,FALSE)</f>
        <v>Consumo  y tarjetas de Credito</v>
      </c>
      <c r="B7" s="222">
        <v>10154.102161000004</v>
      </c>
      <c r="C7" s="222">
        <v>10856.740969999999</v>
      </c>
      <c r="D7" s="222">
        <v>11257.842447</v>
      </c>
      <c r="E7" s="222">
        <v>11748.645396</v>
      </c>
      <c r="F7" s="222">
        <v>12152.646872</v>
      </c>
      <c r="G7" s="222">
        <v>12829.867210999997</v>
      </c>
      <c r="H7" s="222">
        <v>13018.849939</v>
      </c>
      <c r="I7" s="222">
        <v>13603.417359</v>
      </c>
      <c r="J7" s="291"/>
      <c r="L7" s="222"/>
      <c r="N7" s="278"/>
    </row>
    <row r="8" spans="1:14" ht="15">
      <c r="A8" s="221" t="str">
        <f>HLOOKUP(INDICE!$F$2,Nombres!$C$3:$D$636,211,FALSE)</f>
        <v>Negocios retail</v>
      </c>
      <c r="B8" s="222">
        <v>12752.313954000001</v>
      </c>
      <c r="C8" s="222">
        <v>13065.464990999999</v>
      </c>
      <c r="D8" s="222">
        <v>13209.931408</v>
      </c>
      <c r="E8" s="222">
        <v>13340.453282000002</v>
      </c>
      <c r="F8" s="222">
        <v>13432.270105999996</v>
      </c>
      <c r="G8" s="222">
        <v>13630.372268000001</v>
      </c>
      <c r="H8" s="222">
        <v>13526.263164999997</v>
      </c>
      <c r="I8" s="222">
        <v>13797.169811000003</v>
      </c>
      <c r="J8" s="291"/>
      <c r="L8" s="222"/>
      <c r="N8" s="278"/>
    </row>
    <row r="9" spans="1:14" ht="15">
      <c r="A9" s="221" t="str">
        <f>HLOOKUP(INDICE!$F$2,Nombres!$C$3:$D$636,212,FALSE)</f>
        <v>Empresas medianas</v>
      </c>
      <c r="B9" s="222">
        <v>15081.292352</v>
      </c>
      <c r="C9" s="222">
        <v>15367.786436000002</v>
      </c>
      <c r="D9" s="222">
        <v>15422.427546</v>
      </c>
      <c r="E9" s="222">
        <v>15796.834724</v>
      </c>
      <c r="F9" s="222">
        <v>16134.799098</v>
      </c>
      <c r="G9" s="222">
        <v>16517.061405</v>
      </c>
      <c r="H9" s="222">
        <v>16381.853256</v>
      </c>
      <c r="I9" s="222">
        <v>16806.501168000003</v>
      </c>
      <c r="J9" s="291"/>
      <c r="L9" s="222"/>
      <c r="N9" s="278"/>
    </row>
    <row r="10" spans="1:14" ht="15">
      <c r="A10" s="221" t="str">
        <f>HLOOKUP(INDICE!$F$2,Nombres!$C$3:$D$636,213,FALSE)</f>
        <v>Corporativa + CIB</v>
      </c>
      <c r="B10" s="222">
        <v>22251.045862</v>
      </c>
      <c r="C10" s="222">
        <v>21650.302579</v>
      </c>
      <c r="D10" s="222">
        <v>21519.74726931</v>
      </c>
      <c r="E10" s="222">
        <v>23376.51682975</v>
      </c>
      <c r="F10" s="222">
        <v>23559.61327302</v>
      </c>
      <c r="G10" s="222">
        <v>22662.43654849</v>
      </c>
      <c r="H10" s="222">
        <v>21148.22085149</v>
      </c>
      <c r="I10" s="222">
        <v>22175.319833</v>
      </c>
      <c r="L10" s="222"/>
      <c r="N10" s="278"/>
    </row>
    <row r="11" spans="1:14" ht="15">
      <c r="A11" s="221" t="str">
        <f>HLOOKUP(INDICE!$F$2,Nombres!$C$3:$D$636,214,FALSE)</f>
        <v>Sector público</v>
      </c>
      <c r="B11" s="222">
        <v>18051.32587</v>
      </c>
      <c r="C11" s="222">
        <v>19541.907404999998</v>
      </c>
      <c r="D11" s="222">
        <v>17491.369694999998</v>
      </c>
      <c r="E11" s="222">
        <v>17070.121237</v>
      </c>
      <c r="F11" s="222">
        <v>17001.861112</v>
      </c>
      <c r="G11" s="222">
        <v>18798.359816000004</v>
      </c>
      <c r="H11" s="222">
        <v>16092.142047000001</v>
      </c>
      <c r="I11" s="222">
        <v>15298.7735</v>
      </c>
      <c r="L11" s="222"/>
      <c r="N11" s="278"/>
    </row>
    <row r="12" spans="1:14" ht="15">
      <c r="A12" s="221" t="str">
        <f>HLOOKUP(INDICE!$F$2,Nombres!$C$3:$D$636,215,FALSE)</f>
        <v>Otros</v>
      </c>
      <c r="B12" s="222">
        <v>9158.102006999998</v>
      </c>
      <c r="C12" s="222">
        <v>9917.498860000002</v>
      </c>
      <c r="D12" s="222">
        <v>9953.464952689998</v>
      </c>
      <c r="E12" s="222">
        <v>10521.063201250001</v>
      </c>
      <c r="F12" s="222">
        <v>10376.181539420002</v>
      </c>
      <c r="G12" s="222">
        <v>9747.253813</v>
      </c>
      <c r="H12" s="222">
        <v>10231.178997619998</v>
      </c>
      <c r="I12" s="222">
        <v>10320.67998311</v>
      </c>
      <c r="L12" s="222"/>
      <c r="N12" s="278"/>
    </row>
    <row r="13" spans="1:14" ht="15">
      <c r="A13" s="223" t="str">
        <f>HLOOKUP(INDICE!$F$2,Nombres!$C$3:$D$636,112,FALSE)</f>
        <v>Crédito no dudoso en gestión (*)</v>
      </c>
      <c r="B13" s="224">
        <v>163858.57252400002</v>
      </c>
      <c r="C13" s="224">
        <v>166278.007981</v>
      </c>
      <c r="D13" s="224">
        <v>164232.96292199998</v>
      </c>
      <c r="E13" s="224">
        <v>166396.443857</v>
      </c>
      <c r="F13" s="224">
        <v>166802.28466243998</v>
      </c>
      <c r="G13" s="224">
        <v>167540.61730449</v>
      </c>
      <c r="H13" s="224">
        <v>162859.95808511</v>
      </c>
      <c r="I13" s="224">
        <v>164149.54561511002</v>
      </c>
      <c r="L13" s="223"/>
      <c r="N13" s="278"/>
    </row>
    <row r="14" spans="1:14" ht="15.75">
      <c r="A14" s="216"/>
      <c r="B14" s="225">
        <f>+SUM(B6:B12)-B13</f>
        <v>0</v>
      </c>
      <c r="C14" s="225">
        <f aca="true" t="shared" si="0" ref="C14:I14">+SUM(C6:C12)-C13</f>
        <v>0</v>
      </c>
      <c r="D14" s="225">
        <f t="shared" si="0"/>
        <v>0</v>
      </c>
      <c r="E14" s="225">
        <f t="shared" si="0"/>
        <v>0</v>
      </c>
      <c r="F14" s="225">
        <f t="shared" si="0"/>
        <v>0</v>
      </c>
      <c r="G14" s="225">
        <f t="shared" si="0"/>
        <v>0</v>
      </c>
      <c r="H14" s="225">
        <f t="shared" si="0"/>
        <v>0</v>
      </c>
      <c r="I14" s="225">
        <f t="shared" si="0"/>
        <v>0</v>
      </c>
      <c r="L14" s="226"/>
      <c r="N14" s="278"/>
    </row>
    <row r="15" spans="1:14" ht="15">
      <c r="A15" s="292"/>
      <c r="B15" s="222"/>
      <c r="C15" s="222"/>
      <c r="D15" s="222"/>
      <c r="E15" s="222"/>
      <c r="F15" s="222"/>
      <c r="G15" s="222"/>
      <c r="H15" s="222"/>
      <c r="I15" s="222"/>
      <c r="L15" s="222"/>
      <c r="N15" s="278"/>
    </row>
    <row r="16" spans="1:12" ht="15.75">
      <c r="A16" s="216"/>
      <c r="B16" s="227"/>
      <c r="C16" s="227"/>
      <c r="D16" s="227"/>
      <c r="E16" s="227"/>
      <c r="F16" s="227"/>
      <c r="L16" s="227"/>
    </row>
    <row r="17" spans="1:9" ht="15.75">
      <c r="A17" s="219"/>
      <c r="B17" s="302" t="str">
        <f>HLOOKUP(INDICE!$F$2,Nombres!$C$3:$D$636,10,FALSE)</f>
        <v>EEUU</v>
      </c>
      <c r="C17" s="302"/>
      <c r="D17" s="302"/>
      <c r="E17" s="302"/>
      <c r="F17" s="302"/>
      <c r="G17" s="302"/>
      <c r="H17" s="302"/>
      <c r="I17" s="302"/>
    </row>
    <row r="18" spans="1:12" ht="15.75">
      <c r="A18" s="220"/>
      <c r="B18" s="126">
        <f>+B$5</f>
        <v>43190</v>
      </c>
      <c r="C18" s="126">
        <f aca="true" t="shared" si="1" ref="C18:I18">+C$5</f>
        <v>43281</v>
      </c>
      <c r="D18" s="126">
        <f t="shared" si="1"/>
        <v>43373</v>
      </c>
      <c r="E18" s="126">
        <f t="shared" si="1"/>
        <v>43465</v>
      </c>
      <c r="F18" s="126">
        <f t="shared" si="1"/>
        <v>43555</v>
      </c>
      <c r="G18" s="126">
        <f t="shared" si="1"/>
        <v>43646</v>
      </c>
      <c r="H18" s="126">
        <f t="shared" si="1"/>
        <v>43738</v>
      </c>
      <c r="I18" s="126">
        <f t="shared" si="1"/>
        <v>43830</v>
      </c>
      <c r="L18" s="55"/>
    </row>
    <row r="19" spans="1:14" ht="15">
      <c r="A19" s="221" t="str">
        <f>HLOOKUP(INDICE!$F$2,Nombres!$C$3:$D$636,105,FALSE)</f>
        <v>Hipotecario</v>
      </c>
      <c r="B19" s="222">
        <v>13711.451408901634</v>
      </c>
      <c r="C19" s="222">
        <v>14047.393351245333</v>
      </c>
      <c r="D19" s="222">
        <v>14175.522902041506</v>
      </c>
      <c r="E19" s="222">
        <v>14229.623017609327</v>
      </c>
      <c r="F19" s="222">
        <v>14162.506013665208</v>
      </c>
      <c r="G19" s="222">
        <v>14172.727131741203</v>
      </c>
      <c r="H19" s="222">
        <v>14129.595275948162</v>
      </c>
      <c r="I19" s="222">
        <v>14159.740763320002</v>
      </c>
      <c r="L19" s="222"/>
      <c r="N19" s="278"/>
    </row>
    <row r="20" spans="1:14" ht="15">
      <c r="A20" s="221" t="str">
        <f>HLOOKUP(INDICE!$F$2,Nombres!$C$3:$D$636,210,FALSE)</f>
        <v>Consumo  y tarjetas de Credito</v>
      </c>
      <c r="B20" s="222">
        <v>5038.7128090513</v>
      </c>
      <c r="C20" s="222">
        <v>5478.002333490993</v>
      </c>
      <c r="D20" s="222">
        <v>5945.4407506003545</v>
      </c>
      <c r="E20" s="222">
        <v>6189.172204425286</v>
      </c>
      <c r="F20" s="222">
        <v>6159.098160740159</v>
      </c>
      <c r="G20" s="222">
        <v>6089.997008674581</v>
      </c>
      <c r="H20" s="222">
        <v>6040.372352894519</v>
      </c>
      <c r="I20" s="222">
        <v>6084.113561119999</v>
      </c>
      <c r="L20" s="222"/>
      <c r="N20" s="278"/>
    </row>
    <row r="21" spans="1:14" ht="15.75" customHeight="1">
      <c r="A21" s="221" t="str">
        <f>HLOOKUP(INDICE!$F$2,Nombres!$C$3:$D$636,108,FALSE)</f>
        <v>Sector público</v>
      </c>
      <c r="B21" s="222">
        <v>5448.519055894662</v>
      </c>
      <c r="C21" s="222">
        <v>5525.562709223218</v>
      </c>
      <c r="D21" s="222">
        <v>5491.128642157343</v>
      </c>
      <c r="E21" s="222">
        <v>5503.756323557227</v>
      </c>
      <c r="F21" s="222">
        <v>5532.547397992389</v>
      </c>
      <c r="G21" s="222">
        <v>5513.580302605199</v>
      </c>
      <c r="H21" s="222">
        <v>5473.01290502381</v>
      </c>
      <c r="I21" s="222">
        <v>5373.65425281</v>
      </c>
      <c r="L21" s="222"/>
      <c r="N21" s="278"/>
    </row>
    <row r="22" spans="1:14" ht="15">
      <c r="A22" s="221" t="s">
        <v>7</v>
      </c>
      <c r="B22" s="222">
        <v>8572.667979095859</v>
      </c>
      <c r="C22" s="222">
        <v>8995.070198637593</v>
      </c>
      <c r="D22" s="222">
        <v>9091.62833389345</v>
      </c>
      <c r="E22" s="222">
        <v>9743.315379191252</v>
      </c>
      <c r="F22" s="222">
        <v>9159.94992346862</v>
      </c>
      <c r="G22" s="222">
        <v>9100.535493017202</v>
      </c>
      <c r="H22" s="222">
        <v>9182.059850482918</v>
      </c>
      <c r="I22" s="222">
        <v>10486.18584658</v>
      </c>
      <c r="L22" s="222"/>
      <c r="N22" s="278"/>
    </row>
    <row r="23" spans="1:14" ht="15">
      <c r="A23" s="221" t="str">
        <f>HLOOKUP(INDICE!$F$2,Nombres!$C$3:$D$636,203,FALSE)</f>
        <v>Resto Comercial</v>
      </c>
      <c r="B23" s="222">
        <v>23643.39267142899</v>
      </c>
      <c r="C23" s="222">
        <v>23864.35703271476</v>
      </c>
      <c r="D23" s="222">
        <v>24703.179383774594</v>
      </c>
      <c r="E23" s="222">
        <v>25179.813510804084</v>
      </c>
      <c r="F23" s="222">
        <v>25244.489595129657</v>
      </c>
      <c r="G23" s="222">
        <v>24735.99300284897</v>
      </c>
      <c r="H23" s="222">
        <v>25304.904998439422</v>
      </c>
      <c r="I23" s="222">
        <v>25874.715234400002</v>
      </c>
      <c r="L23" s="222"/>
      <c r="N23" s="278"/>
    </row>
    <row r="24" spans="1:14" ht="15">
      <c r="A24" s="221" t="str">
        <f>HLOOKUP(INDICE!$F$2,Nombres!$C$3:$D$636,111,FALSE)</f>
        <v>Otros</v>
      </c>
      <c r="B24" s="222">
        <v>1166.767598987013</v>
      </c>
      <c r="C24" s="222">
        <v>885.5996157742131</v>
      </c>
      <c r="D24" s="222">
        <v>1109.863881899353</v>
      </c>
      <c r="E24" s="222">
        <v>1107.1164048362716</v>
      </c>
      <c r="F24" s="222">
        <v>1151.5269944638621</v>
      </c>
      <c r="G24" s="222">
        <v>1341.093659763108</v>
      </c>
      <c r="H24" s="222">
        <v>1251.2265103308814</v>
      </c>
      <c r="I24" s="222">
        <v>1263.0241046</v>
      </c>
      <c r="L24" s="222"/>
      <c r="N24" s="278"/>
    </row>
    <row r="25" spans="1:14" ht="15">
      <c r="A25" s="223" t="str">
        <f>HLOOKUP(INDICE!$F$2,Nombres!$C$3:$D$636,112,FALSE)</f>
        <v>Crédito no dudoso en gestión (*)</v>
      </c>
      <c r="B25" s="224">
        <v>57581.511523359455</v>
      </c>
      <c r="C25" s="224">
        <v>58795.985241086106</v>
      </c>
      <c r="D25" s="224">
        <v>60516.763894366595</v>
      </c>
      <c r="E25" s="224">
        <v>61952.79684042344</v>
      </c>
      <c r="F25" s="224">
        <v>61410.1180854599</v>
      </c>
      <c r="G25" s="224">
        <v>60953.92659865026</v>
      </c>
      <c r="H25" s="224">
        <v>61381.17189311972</v>
      </c>
      <c r="I25" s="224">
        <v>63241.43376282999</v>
      </c>
      <c r="L25" s="222"/>
      <c r="N25" s="278"/>
    </row>
    <row r="26" spans="1:14" ht="15.75">
      <c r="A26" s="216"/>
      <c r="B26" s="225">
        <f aca="true" t="shared" si="2" ref="B26:I26">+SUM(B19:B24)-B25</f>
        <v>0</v>
      </c>
      <c r="C26" s="225">
        <f t="shared" si="2"/>
        <v>0</v>
      </c>
      <c r="D26" s="225">
        <f t="shared" si="2"/>
        <v>0</v>
      </c>
      <c r="E26" s="225">
        <f t="shared" si="2"/>
        <v>0</v>
      </c>
      <c r="F26" s="225">
        <f t="shared" si="2"/>
        <v>0</v>
      </c>
      <c r="G26" s="225">
        <f t="shared" si="2"/>
        <v>0</v>
      </c>
      <c r="H26" s="225">
        <f t="shared" si="2"/>
        <v>0</v>
      </c>
      <c r="I26" s="225">
        <f t="shared" si="2"/>
        <v>0</v>
      </c>
      <c r="L26" s="228"/>
      <c r="N26" s="278"/>
    </row>
    <row r="27" spans="1:14" ht="15.75">
      <c r="A27" s="216"/>
      <c r="B27" s="226"/>
      <c r="C27" s="226"/>
      <c r="D27" s="226"/>
      <c r="E27" s="226"/>
      <c r="F27" s="226"/>
      <c r="G27" s="226"/>
      <c r="H27" s="226"/>
      <c r="I27" s="226"/>
      <c r="L27" s="229"/>
      <c r="N27" s="278"/>
    </row>
    <row r="28" spans="1:14" ht="15.75">
      <c r="A28" s="292"/>
      <c r="F28" s="227"/>
      <c r="G28" s="227"/>
      <c r="H28" s="227"/>
      <c r="I28" s="227"/>
      <c r="L28" s="222"/>
      <c r="N28" s="278"/>
    </row>
    <row r="29" spans="1:12" ht="15.75">
      <c r="A29" s="216"/>
      <c r="B29" s="227"/>
      <c r="C29" s="227"/>
      <c r="D29" s="227"/>
      <c r="E29" s="227"/>
      <c r="F29" s="227"/>
      <c r="L29" s="230"/>
    </row>
    <row r="30" spans="1:12" ht="15.75">
      <c r="A30" s="219"/>
      <c r="B30" s="302" t="str">
        <f>HLOOKUP(INDICE!$F$2,Nombres!$C$3:$D$636,204,FALSE)</f>
        <v>Mexico (***)</v>
      </c>
      <c r="C30" s="302"/>
      <c r="D30" s="302"/>
      <c r="E30" s="302"/>
      <c r="F30" s="302"/>
      <c r="G30" s="302"/>
      <c r="H30" s="302"/>
      <c r="I30" s="302"/>
      <c r="L30" s="231"/>
    </row>
    <row r="31" spans="1:12" ht="15.75">
      <c r="A31" s="220"/>
      <c r="B31" s="126">
        <f>+B$5</f>
        <v>43190</v>
      </c>
      <c r="C31" s="126">
        <f aca="true" t="shared" si="3" ref="C31:I31">+C$5</f>
        <v>43281</v>
      </c>
      <c r="D31" s="126">
        <f t="shared" si="3"/>
        <v>43373</v>
      </c>
      <c r="E31" s="126">
        <f t="shared" si="3"/>
        <v>43465</v>
      </c>
      <c r="F31" s="126">
        <f t="shared" si="3"/>
        <v>43555</v>
      </c>
      <c r="G31" s="126">
        <f t="shared" si="3"/>
        <v>43646</v>
      </c>
      <c r="H31" s="126">
        <f t="shared" si="3"/>
        <v>43738</v>
      </c>
      <c r="I31" s="126">
        <f t="shared" si="3"/>
        <v>43830</v>
      </c>
      <c r="L31" s="55"/>
    </row>
    <row r="32" spans="1:14" ht="15">
      <c r="A32" s="221" t="str">
        <f>HLOOKUP(INDICE!$F$2,Nombres!$C$3:$D$636,105,FALSE)</f>
        <v>Hipotecario</v>
      </c>
      <c r="B32" s="222">
        <v>9351.132533519502</v>
      </c>
      <c r="C32" s="222">
        <v>9501.602313724557</v>
      </c>
      <c r="D32" s="222">
        <v>9668.18947987582</v>
      </c>
      <c r="E32" s="222">
        <v>9860.195791900815</v>
      </c>
      <c r="F32" s="222">
        <v>10143.888625019714</v>
      </c>
      <c r="G32" s="222">
        <v>10430.061745779405</v>
      </c>
      <c r="H32" s="222">
        <v>10661.358348765567</v>
      </c>
      <c r="I32" s="222">
        <v>10894.117065677261</v>
      </c>
      <c r="L32" s="222"/>
      <c r="N32" s="278"/>
    </row>
    <row r="33" spans="1:14" ht="15">
      <c r="A33" s="221" t="str">
        <f>HLOOKUP(INDICE!$F$2,Nombres!$C$3:$D$636,106,FALSE)</f>
        <v>Consumo</v>
      </c>
      <c r="B33" s="222">
        <v>7397.73289631107</v>
      </c>
      <c r="C33" s="222">
        <v>7592.555980855031</v>
      </c>
      <c r="D33" s="222">
        <v>7740.344015463557</v>
      </c>
      <c r="E33" s="222">
        <v>7883.1371117005765</v>
      </c>
      <c r="F33" s="222">
        <v>8275.897246434459</v>
      </c>
      <c r="G33" s="222">
        <v>8533.792041157983</v>
      </c>
      <c r="H33" s="222">
        <v>8840.230212999062</v>
      </c>
      <c r="I33" s="222">
        <v>8912.25023217677</v>
      </c>
      <c r="L33" s="222"/>
      <c r="N33" s="278"/>
    </row>
    <row r="34" spans="1:14" ht="15">
      <c r="A34" s="221" t="str">
        <f>HLOOKUP(INDICE!$F$2,Nombres!$C$3:$D$636,107,FALSE)</f>
        <v>Tarjetas de Crédito</v>
      </c>
      <c r="B34" s="222">
        <v>4800.328487104435</v>
      </c>
      <c r="C34" s="222">
        <v>4819.26720457947</v>
      </c>
      <c r="D34" s="222">
        <v>4813.269136810968</v>
      </c>
      <c r="E34" s="222">
        <v>4983.975289731971</v>
      </c>
      <c r="F34" s="222">
        <v>4832.673835303636</v>
      </c>
      <c r="G34" s="222">
        <v>4960.82566235832</v>
      </c>
      <c r="H34" s="222">
        <v>5038.174205725286</v>
      </c>
      <c r="I34" s="222">
        <v>5243.799370326552</v>
      </c>
      <c r="L34" s="222"/>
      <c r="N34" s="278"/>
    </row>
    <row r="35" spans="1:14" ht="15">
      <c r="A35" s="221" t="str">
        <f>HLOOKUP(INDICE!$F$2,Nombres!$C$3:$D$636,110,FALSE)</f>
        <v>Pymes</v>
      </c>
      <c r="B35" s="222">
        <v>3558.6525265847367</v>
      </c>
      <c r="C35" s="222">
        <v>3640.0783598482885</v>
      </c>
      <c r="D35" s="222">
        <v>3689.873298475929</v>
      </c>
      <c r="E35" s="222">
        <v>3605.174104825833</v>
      </c>
      <c r="F35" s="222">
        <v>3703.6978436777686</v>
      </c>
      <c r="G35" s="222">
        <v>3680.2619145746203</v>
      </c>
      <c r="H35" s="222">
        <v>3586.65240370802</v>
      </c>
      <c r="I35" s="222">
        <v>3427.2817408644332</v>
      </c>
      <c r="L35" s="222"/>
      <c r="N35" s="278"/>
    </row>
    <row r="36" spans="1:14" ht="15">
      <c r="A36" s="221" t="str">
        <f>HLOOKUP(INDICE!$F$2,Nombres!$C$3:$D$636,216,FALSE)</f>
        <v>Resto Minorista</v>
      </c>
      <c r="B36" s="222">
        <v>24.184227628144146</v>
      </c>
      <c r="C36" s="222">
        <v>21.907107976569563</v>
      </c>
      <c r="D36" s="222">
        <v>21.894367743670067</v>
      </c>
      <c r="E36" s="222">
        <v>9.843699727247406</v>
      </c>
      <c r="F36" s="222">
        <v>10.176536626043642</v>
      </c>
      <c r="G36" s="222">
        <v>10.18957734102389</v>
      </c>
      <c r="H36" s="222">
        <v>9.904291958235987</v>
      </c>
      <c r="I36" s="222">
        <v>9.955427450822855</v>
      </c>
      <c r="L36" s="222"/>
      <c r="N36" s="278"/>
    </row>
    <row r="37" spans="1:14" ht="15">
      <c r="A37" s="221" t="str">
        <f>HLOOKUP(INDICE!$F$2,Nombres!$C$3:$D$636,217,FALSE)</f>
        <v>Resto Empresas</v>
      </c>
      <c r="B37" s="222">
        <v>21483.212508827462</v>
      </c>
      <c r="C37" s="222">
        <v>23941.790375310666</v>
      </c>
      <c r="D37" s="222">
        <v>23589.022024301343</v>
      </c>
      <c r="E37" s="222">
        <v>24010.224642179943</v>
      </c>
      <c r="F37" s="222">
        <v>23575.146765035784</v>
      </c>
      <c r="G37" s="222">
        <v>24312.616565468812</v>
      </c>
      <c r="H37" s="222">
        <v>24084.04165079611</v>
      </c>
      <c r="I37" s="222">
        <v>24950.294353127058</v>
      </c>
      <c r="L37" s="222"/>
      <c r="N37" s="278"/>
    </row>
    <row r="38" spans="1:14" ht="15">
      <c r="A38" s="221" t="str">
        <f>HLOOKUP(INDICE!$F$2,Nombres!$C$3:$D$636,108,FALSE)</f>
        <v>Sector público</v>
      </c>
      <c r="B38" s="222">
        <v>3296.7590586066117</v>
      </c>
      <c r="C38" s="222">
        <v>3492.7488109869787</v>
      </c>
      <c r="D38" s="222">
        <v>3637.051146145687</v>
      </c>
      <c r="E38" s="222">
        <v>3813.728988316841</v>
      </c>
      <c r="F38" s="222">
        <v>3659.5528889138254</v>
      </c>
      <c r="G38" s="222">
        <v>3656.228773106798</v>
      </c>
      <c r="H38" s="222">
        <v>3821.5876676182534</v>
      </c>
      <c r="I38" s="222">
        <v>4306.165992985199</v>
      </c>
      <c r="L38" s="222"/>
      <c r="N38" s="278"/>
    </row>
    <row r="39" spans="1:14" ht="15.75" customHeight="1">
      <c r="A39" s="223" t="str">
        <f>HLOOKUP(INDICE!$F$2,Nombres!$C$3:$D$636,112,FALSE)</f>
        <v>Crédito no dudoso en gestión (*)</v>
      </c>
      <c r="B39" s="224">
        <v>49912.00223858196</v>
      </c>
      <c r="C39" s="224">
        <v>53009.95015328156</v>
      </c>
      <c r="D39" s="224">
        <v>53159.64346881697</v>
      </c>
      <c r="E39" s="224">
        <v>54166.27962838323</v>
      </c>
      <c r="F39" s="224">
        <v>54201.03374101123</v>
      </c>
      <c r="G39" s="224">
        <v>55583.97627978696</v>
      </c>
      <c r="H39" s="224">
        <v>56041.94878157053</v>
      </c>
      <c r="I39" s="224">
        <v>57743.8641826081</v>
      </c>
      <c r="J39" s="279"/>
      <c r="L39" s="228"/>
      <c r="N39" s="278"/>
    </row>
    <row r="40" spans="1:12" ht="15.75">
      <c r="A40" s="232" t="str">
        <f>HLOOKUP(INDICE!$F$2,Nombres!$C$3:$D$636,205,FALSE)</f>
        <v>Criterio Local Contable(***) </v>
      </c>
      <c r="B40" s="225">
        <f>+SUM(B32:B38)-B39</f>
        <v>0</v>
      </c>
      <c r="C40" s="225">
        <f aca="true" t="shared" si="4" ref="C40:I40">+SUM(C32:C38)-C39</f>
        <v>0</v>
      </c>
      <c r="D40" s="225">
        <f t="shared" si="4"/>
        <v>0</v>
      </c>
      <c r="E40" s="225">
        <f t="shared" si="4"/>
        <v>0</v>
      </c>
      <c r="F40" s="225">
        <f t="shared" si="4"/>
        <v>0</v>
      </c>
      <c r="G40" s="225">
        <f t="shared" si="4"/>
        <v>0</v>
      </c>
      <c r="H40" s="225">
        <f t="shared" si="4"/>
        <v>0</v>
      </c>
      <c r="I40" s="225">
        <f t="shared" si="4"/>
        <v>0</v>
      </c>
      <c r="L40" s="229"/>
    </row>
    <row r="41" spans="1:12" ht="15">
      <c r="A41" s="292"/>
      <c r="B41" s="222"/>
      <c r="C41" s="222"/>
      <c r="D41" s="222"/>
      <c r="E41" s="222"/>
      <c r="F41" s="222"/>
      <c r="G41" s="222"/>
      <c r="H41" s="222"/>
      <c r="I41" s="222"/>
      <c r="L41" s="222"/>
    </row>
    <row r="42" spans="2:12" ht="15.75">
      <c r="B42" s="227"/>
      <c r="C42" s="227"/>
      <c r="D42" s="227"/>
      <c r="E42" s="227"/>
      <c r="F42" s="227"/>
      <c r="L42" s="227"/>
    </row>
    <row r="43" spans="1:13" ht="15.75">
      <c r="A43" s="219"/>
      <c r="B43" s="302" t="str">
        <f>HLOOKUP(INDICE!$F$2,Nombres!$C$3:$D$636,12,FALSE)</f>
        <v>Turquía </v>
      </c>
      <c r="C43" s="302"/>
      <c r="D43" s="302"/>
      <c r="E43" s="302"/>
      <c r="F43" s="302"/>
      <c r="G43" s="302"/>
      <c r="H43" s="302"/>
      <c r="I43" s="302"/>
      <c r="L43" s="233"/>
      <c r="M43" s="233"/>
    </row>
    <row r="44" spans="1:13" ht="15.75">
      <c r="A44" s="220"/>
      <c r="B44" s="126">
        <f>+B$5</f>
        <v>43190</v>
      </c>
      <c r="C44" s="126">
        <f aca="true" t="shared" si="5" ref="C44:I44">+C$5</f>
        <v>43281</v>
      </c>
      <c r="D44" s="126">
        <f t="shared" si="5"/>
        <v>43373</v>
      </c>
      <c r="E44" s="126">
        <f t="shared" si="5"/>
        <v>43465</v>
      </c>
      <c r="F44" s="126">
        <f t="shared" si="5"/>
        <v>43555</v>
      </c>
      <c r="G44" s="126">
        <f t="shared" si="5"/>
        <v>43646</v>
      </c>
      <c r="H44" s="126">
        <f t="shared" si="5"/>
        <v>43738</v>
      </c>
      <c r="I44" s="126">
        <f t="shared" si="5"/>
        <v>43830</v>
      </c>
      <c r="L44" s="55"/>
      <c r="M44" s="233"/>
    </row>
    <row r="45" spans="1:14" ht="15">
      <c r="A45" s="221" t="str">
        <f>HLOOKUP(INDICE!$F$2,Nombres!$C$3:$D$636,105,FALSE)</f>
        <v>Hipotecario</v>
      </c>
      <c r="B45" s="222">
        <v>3511.205564327094</v>
      </c>
      <c r="C45" s="222">
        <v>3486.1715726469397</v>
      </c>
      <c r="D45" s="222">
        <v>3343.4474502471185</v>
      </c>
      <c r="E45" s="222">
        <v>3199.480227346013</v>
      </c>
      <c r="F45" s="222">
        <v>3073.9190960948185</v>
      </c>
      <c r="G45" s="222">
        <v>2956.6944870337497</v>
      </c>
      <c r="H45" s="222">
        <v>2858.149219802388</v>
      </c>
      <c r="I45" s="222">
        <v>2928.0388927199997</v>
      </c>
      <c r="L45" s="222"/>
      <c r="M45" s="233"/>
      <c r="N45" s="278"/>
    </row>
    <row r="46" spans="1:14" ht="15">
      <c r="A46" s="221" t="str">
        <f>HLOOKUP(INDICE!$F$2,Nombres!$C$3:$D$636,106,FALSE)</f>
        <v>Consumo</v>
      </c>
      <c r="B46" s="222">
        <v>4822.813777243417</v>
      </c>
      <c r="C46" s="222">
        <v>5022.386463309869</v>
      </c>
      <c r="D46" s="222">
        <v>5091.871111677805</v>
      </c>
      <c r="E46" s="222">
        <v>4772.1705245022695</v>
      </c>
      <c r="F46" s="222">
        <v>4623.088635051028</v>
      </c>
      <c r="G46" s="222">
        <v>4634.08284636527</v>
      </c>
      <c r="H46" s="222">
        <v>4764.284325287686</v>
      </c>
      <c r="I46" s="222">
        <v>5603.05365857</v>
      </c>
      <c r="L46" s="222"/>
      <c r="M46" s="233"/>
      <c r="N46" s="278"/>
    </row>
    <row r="47" spans="1:14" ht="15">
      <c r="A47" s="221" t="str">
        <f>HLOOKUP(INDICE!$F$2,Nombres!$C$3:$D$636,107,FALSE)</f>
        <v>Tarjetas de Crédito</v>
      </c>
      <c r="B47" s="222">
        <v>3051.0434281356006</v>
      </c>
      <c r="C47" s="222">
        <v>3190.587423197775</v>
      </c>
      <c r="D47" s="222">
        <v>3433.737197455968</v>
      </c>
      <c r="E47" s="222">
        <v>3516.9314408598034</v>
      </c>
      <c r="F47" s="222">
        <v>3510.2657736172496</v>
      </c>
      <c r="G47" s="222">
        <v>3615.231878271467</v>
      </c>
      <c r="H47" s="222">
        <v>3758.1954627591463</v>
      </c>
      <c r="I47" s="222">
        <v>3837.3289999999997</v>
      </c>
      <c r="L47" s="222"/>
      <c r="M47" s="233"/>
      <c r="N47" s="278"/>
    </row>
    <row r="48" spans="1:14" ht="15">
      <c r="A48" s="221" t="str">
        <f>HLOOKUP(INDICE!$F$2,Nombres!$C$3:$D$636,108,FALSE)</f>
        <v>Sector público</v>
      </c>
      <c r="B48" s="222">
        <v>67.85980907791657</v>
      </c>
      <c r="C48" s="222">
        <v>78.06427735729659</v>
      </c>
      <c r="D48" s="222">
        <v>96.65015869322254</v>
      </c>
      <c r="E48" s="222">
        <v>85.91082184724111</v>
      </c>
      <c r="F48" s="222">
        <v>64.35341552590587</v>
      </c>
      <c r="G48" s="222">
        <v>64.1158502758341</v>
      </c>
      <c r="H48" s="222">
        <v>91.24159377916625</v>
      </c>
      <c r="I48" s="222">
        <v>107.072</v>
      </c>
      <c r="L48" s="222"/>
      <c r="M48" s="233"/>
      <c r="N48" s="278"/>
    </row>
    <row r="49" spans="1:14" ht="15">
      <c r="A49" s="221" t="str">
        <f>HLOOKUP(INDICE!$F$2,Nombres!$C$3:$D$636,109,FALSE)</f>
        <v>Sociedades financieras y sociedades no financieras</v>
      </c>
      <c r="B49" s="222">
        <v>24256.162556544605</v>
      </c>
      <c r="C49" s="222">
        <v>25936.510331941172</v>
      </c>
      <c r="D49" s="222">
        <v>29388.388902289935</v>
      </c>
      <c r="E49" s="222">
        <v>25068.57477615501</v>
      </c>
      <c r="F49" s="222">
        <v>27478.305700629833</v>
      </c>
      <c r="G49" s="222">
        <v>26001.71180684534</v>
      </c>
      <c r="H49" s="222">
        <v>24577.407088383694</v>
      </c>
      <c r="I49" s="222">
        <v>26552.005000000005</v>
      </c>
      <c r="L49" s="221"/>
      <c r="M49" s="233"/>
      <c r="N49" s="278"/>
    </row>
    <row r="50" spans="1:14" ht="15">
      <c r="A50" s="221" t="str">
        <f>HLOOKUP(INDICE!$F$2,Nombres!$C$3:$D$636,111,FALSE)</f>
        <v>Otros</v>
      </c>
      <c r="B50" s="222">
        <v>491.9783927578743</v>
      </c>
      <c r="C50" s="222">
        <v>494.261614904985</v>
      </c>
      <c r="D50" s="222">
        <v>514.0901753260842</v>
      </c>
      <c r="E50" s="222">
        <v>516.8832071986022</v>
      </c>
      <c r="F50" s="222">
        <v>534.3521371987878</v>
      </c>
      <c r="G50" s="222">
        <v>584.7793583774753</v>
      </c>
      <c r="H50" s="222">
        <v>615.8315282649121</v>
      </c>
      <c r="I50" s="222">
        <v>634.8574487100001</v>
      </c>
      <c r="L50" s="221"/>
      <c r="M50" s="233"/>
      <c r="N50" s="278"/>
    </row>
    <row r="51" spans="1:14" ht="15">
      <c r="A51" s="223" t="str">
        <f>HLOOKUP(INDICE!$F$2,Nombres!$C$3:$D$636,112,FALSE)</f>
        <v>Crédito no dudoso en gestión (*)</v>
      </c>
      <c r="B51" s="224">
        <v>36201.0635280865</v>
      </c>
      <c r="C51" s="224">
        <v>38207.98168335803</v>
      </c>
      <c r="D51" s="224">
        <v>41868.18499569013</v>
      </c>
      <c r="E51" s="224">
        <v>37159.950997908934</v>
      </c>
      <c r="F51" s="224">
        <v>39284.28475811762</v>
      </c>
      <c r="G51" s="224">
        <v>37856.616227169136</v>
      </c>
      <c r="H51" s="224">
        <v>36665.10921827699</v>
      </c>
      <c r="I51" s="224">
        <v>39662.356000000014</v>
      </c>
      <c r="L51" s="221"/>
      <c r="M51" s="233"/>
      <c r="N51" s="278"/>
    </row>
    <row r="52" spans="1:14" ht="15.75">
      <c r="A52" s="216"/>
      <c r="B52" s="225">
        <f>+SUM(B45:B50)-B51</f>
        <v>0</v>
      </c>
      <c r="C52" s="225">
        <f aca="true" t="shared" si="6" ref="C52:I52">+SUM(C45:C50)-C51</f>
        <v>0</v>
      </c>
      <c r="D52" s="225">
        <f t="shared" si="6"/>
        <v>0</v>
      </c>
      <c r="E52" s="225">
        <f t="shared" si="6"/>
        <v>0</v>
      </c>
      <c r="F52" s="225">
        <f t="shared" si="6"/>
        <v>0</v>
      </c>
      <c r="G52" s="225">
        <f t="shared" si="6"/>
        <v>0</v>
      </c>
      <c r="H52" s="225">
        <f t="shared" si="6"/>
        <v>0</v>
      </c>
      <c r="I52" s="225">
        <f t="shared" si="6"/>
        <v>0</v>
      </c>
      <c r="L52" s="223"/>
      <c r="M52" s="233"/>
      <c r="N52" s="278"/>
    </row>
    <row r="53" spans="1:13" ht="15.75">
      <c r="A53" s="216"/>
      <c r="B53" s="226"/>
      <c r="C53" s="226"/>
      <c r="D53" s="226"/>
      <c r="E53" s="226"/>
      <c r="F53" s="226"/>
      <c r="G53" s="226"/>
      <c r="H53" s="226"/>
      <c r="I53" s="226"/>
      <c r="L53" s="226"/>
      <c r="M53" s="233"/>
    </row>
    <row r="54" spans="1:12" ht="15.75">
      <c r="A54" s="216"/>
      <c r="B54" s="226"/>
      <c r="C54" s="226"/>
      <c r="D54" s="226"/>
      <c r="E54" s="226"/>
      <c r="F54" s="226"/>
      <c r="G54" s="226"/>
      <c r="H54" s="226"/>
      <c r="I54" s="226"/>
      <c r="L54" s="226"/>
    </row>
    <row r="55" spans="1:9" ht="15.75" customHeight="1">
      <c r="A55" s="219"/>
      <c r="B55" s="302" t="str">
        <f>HLOOKUP(INDICE!$F$2,Nombres!$C$3:$D$636,13,FALSE)</f>
        <v>América del Sur </v>
      </c>
      <c r="C55" s="302"/>
      <c r="D55" s="302"/>
      <c r="E55" s="302"/>
      <c r="F55" s="302"/>
      <c r="G55" s="302"/>
      <c r="H55" s="302"/>
      <c r="I55" s="302"/>
    </row>
    <row r="56" spans="1:9" ht="15.75">
      <c r="A56" s="220"/>
      <c r="B56" s="126">
        <f>+B$5</f>
        <v>43190</v>
      </c>
      <c r="C56" s="126">
        <f aca="true" t="shared" si="7" ref="C56:I56">+C$5</f>
        <v>43281</v>
      </c>
      <c r="D56" s="126">
        <f t="shared" si="7"/>
        <v>43373</v>
      </c>
      <c r="E56" s="126">
        <f t="shared" si="7"/>
        <v>43465</v>
      </c>
      <c r="F56" s="126">
        <f t="shared" si="7"/>
        <v>43555</v>
      </c>
      <c r="G56" s="126">
        <f t="shared" si="7"/>
        <v>43646</v>
      </c>
      <c r="H56" s="126">
        <f t="shared" si="7"/>
        <v>43738</v>
      </c>
      <c r="I56" s="126">
        <f t="shared" si="7"/>
        <v>43830</v>
      </c>
    </row>
    <row r="57" spans="1:14" ht="15">
      <c r="A57" s="221" t="s">
        <v>8</v>
      </c>
      <c r="B57" s="222">
        <v>2051.4525733531927</v>
      </c>
      <c r="C57" s="222">
        <v>2347.3594052031135</v>
      </c>
      <c r="D57" s="222">
        <v>2582.4855864045658</v>
      </c>
      <c r="E57" s="222">
        <v>2715.624729256013</v>
      </c>
      <c r="F57" s="222">
        <v>2831.722156494017</v>
      </c>
      <c r="G57" s="222">
        <v>2819.4273727449904</v>
      </c>
      <c r="H57" s="222">
        <v>3090.5142055910674</v>
      </c>
      <c r="I57" s="222">
        <v>2929.3118056400003</v>
      </c>
      <c r="L57" s="222"/>
      <c r="N57" s="278"/>
    </row>
    <row r="58" spans="1:14" ht="15">
      <c r="A58" s="221" t="s">
        <v>9</v>
      </c>
      <c r="B58" s="222">
        <v>12923.131415051346</v>
      </c>
      <c r="C58" s="222">
        <v>13168.572609104014</v>
      </c>
      <c r="D58" s="222">
        <v>1816.774343312795</v>
      </c>
      <c r="E58" s="222">
        <v>1934.5589946692005</v>
      </c>
      <c r="F58" s="222">
        <v>1925.8766640663384</v>
      </c>
      <c r="G58" s="222">
        <v>1901.1068087378771</v>
      </c>
      <c r="H58" s="222">
        <v>1912.5388837199362</v>
      </c>
      <c r="I58" s="222">
        <v>1805.6470000000002</v>
      </c>
      <c r="L58" s="222"/>
      <c r="N58" s="278"/>
    </row>
    <row r="59" spans="1:14" ht="15">
      <c r="A59" s="221" t="s">
        <v>10</v>
      </c>
      <c r="B59" s="222">
        <v>11635.758177210955</v>
      </c>
      <c r="C59" s="222">
        <v>11867.946145096172</v>
      </c>
      <c r="D59" s="222">
        <v>11871.417369551888</v>
      </c>
      <c r="E59" s="222">
        <v>12040.345676063129</v>
      </c>
      <c r="F59" s="222">
        <v>11879.032475600057</v>
      </c>
      <c r="G59" s="222">
        <v>12108.194063572433</v>
      </c>
      <c r="H59" s="222">
        <v>12533.80757484099</v>
      </c>
      <c r="I59" s="222">
        <v>12853.139425149999</v>
      </c>
      <c r="L59" s="222"/>
      <c r="N59" s="278"/>
    </row>
    <row r="60" spans="1:14" ht="15" customHeight="1">
      <c r="A60" s="221" t="s">
        <v>11</v>
      </c>
      <c r="B60" s="222">
        <v>13443.809770180103</v>
      </c>
      <c r="C60" s="222">
        <v>13559.935547295087</v>
      </c>
      <c r="D60" s="222">
        <v>13787.31760466927</v>
      </c>
      <c r="E60" s="222">
        <v>13858.94753577527</v>
      </c>
      <c r="F60" s="222">
        <v>14316.747824405351</v>
      </c>
      <c r="G60" s="222">
        <v>14407.972827911053</v>
      </c>
      <c r="H60" s="222">
        <v>14873.432838694498</v>
      </c>
      <c r="I60" s="222">
        <v>15030.296886559998</v>
      </c>
      <c r="L60" s="222"/>
      <c r="N60" s="278"/>
    </row>
    <row r="61" spans="1:14" ht="15" customHeight="1">
      <c r="A61" s="221" t="s">
        <v>12</v>
      </c>
      <c r="B61" s="222">
        <v>2825.969841960252</v>
      </c>
      <c r="C61" s="222">
        <v>2672.6508658247344</v>
      </c>
      <c r="D61" s="222">
        <v>2709.7668408882464</v>
      </c>
      <c r="E61" s="222">
        <v>2732.962632184843</v>
      </c>
      <c r="F61" s="222">
        <v>2740.5385053246546</v>
      </c>
      <c r="G61" s="222">
        <v>2791.2003301781683</v>
      </c>
      <c r="H61" s="222">
        <v>2839.365202622632</v>
      </c>
      <c r="I61" s="222">
        <v>2980.01310305</v>
      </c>
      <c r="L61" s="222"/>
      <c r="N61" s="278"/>
    </row>
    <row r="62" spans="1:14" ht="15" customHeight="1">
      <c r="A62" s="223" t="str">
        <f>HLOOKUP(INDICE!$F$2,Nombres!$C$3:$D$636,112,FALSE)</f>
        <v>Crédito no dudoso en gestión (*)</v>
      </c>
      <c r="B62" s="224">
        <v>42880.121777755856</v>
      </c>
      <c r="C62" s="224">
        <v>43616.46457252312</v>
      </c>
      <c r="D62" s="224">
        <v>32767.761744826763</v>
      </c>
      <c r="E62" s="224">
        <v>33282.43956794846</v>
      </c>
      <c r="F62" s="224">
        <v>33693.91762589042</v>
      </c>
      <c r="G62" s="224">
        <v>34027.90140314452</v>
      </c>
      <c r="H62" s="224">
        <v>35249.658705469126</v>
      </c>
      <c r="I62" s="224">
        <v>35598.40822039999</v>
      </c>
      <c r="L62" s="223"/>
      <c r="N62" s="278"/>
    </row>
    <row r="63" spans="1:12" ht="15.75">
      <c r="A63" s="216"/>
      <c r="B63" s="225">
        <f>+SUM(B57:B61)-B62</f>
        <v>0</v>
      </c>
      <c r="C63" s="225">
        <f aca="true" t="shared" si="8" ref="C63:I63">+SUM(C57:C61)-C62</f>
        <v>0</v>
      </c>
      <c r="D63" s="225">
        <f t="shared" si="8"/>
        <v>0</v>
      </c>
      <c r="E63" s="225">
        <f t="shared" si="8"/>
        <v>0</v>
      </c>
      <c r="F63" s="225">
        <f t="shared" si="8"/>
        <v>0</v>
      </c>
      <c r="G63" s="225">
        <f t="shared" si="8"/>
        <v>0</v>
      </c>
      <c r="H63" s="225">
        <f t="shared" si="8"/>
        <v>0</v>
      </c>
      <c r="I63" s="225">
        <f t="shared" si="8"/>
        <v>0</v>
      </c>
      <c r="L63" s="226"/>
    </row>
    <row r="64" spans="1:12" ht="15.75">
      <c r="A64" s="216"/>
      <c r="B64" s="216"/>
      <c r="C64" s="216"/>
      <c r="D64" s="216"/>
      <c r="E64" s="216"/>
      <c r="F64" s="216"/>
      <c r="L64" s="216"/>
    </row>
    <row r="65" spans="1:12" ht="15.75">
      <c r="A65" s="234" t="str">
        <f>HLOOKUP(INDICE!$F$2,Nombres!$C$3:$D$636,71,FALSE)</f>
        <v>(*) No incluye las adquisiciones temporales de activos.</v>
      </c>
      <c r="B65" s="216"/>
      <c r="C65" s="216"/>
      <c r="D65" s="216"/>
      <c r="E65" s="216"/>
      <c r="F65" s="216"/>
      <c r="L65" s="216"/>
    </row>
    <row r="66" spans="1:12" ht="15.75">
      <c r="A66" s="216"/>
      <c r="B66" s="216"/>
      <c r="C66" s="216"/>
      <c r="D66" s="216"/>
      <c r="E66" s="216"/>
      <c r="F66" s="216"/>
      <c r="L66" s="216"/>
    </row>
    <row r="67" spans="1:12" ht="15.75">
      <c r="A67" s="216"/>
      <c r="B67" s="216"/>
      <c r="C67" s="216"/>
      <c r="D67" s="216"/>
      <c r="E67" s="216"/>
      <c r="F67" s="216"/>
      <c r="L67" s="216"/>
    </row>
    <row r="68" spans="1:12" ht="15.75">
      <c r="A68" s="216"/>
      <c r="B68" s="216"/>
      <c r="C68" s="216"/>
      <c r="D68" s="216"/>
      <c r="E68" s="216"/>
      <c r="F68" s="216"/>
      <c r="L68" s="216"/>
    </row>
    <row r="69" spans="1:12" ht="15.75">
      <c r="A69" s="216"/>
      <c r="B69" s="216"/>
      <c r="C69" s="216"/>
      <c r="D69" s="216"/>
      <c r="E69" s="216"/>
      <c r="F69" s="216"/>
      <c r="L69" s="216"/>
    </row>
    <row r="70" spans="1:12" ht="15.75">
      <c r="A70" s="216"/>
      <c r="B70" s="216"/>
      <c r="C70" s="216"/>
      <c r="D70" s="216"/>
      <c r="E70" s="216"/>
      <c r="F70" s="216"/>
      <c r="L70" s="216"/>
    </row>
    <row r="71" spans="1:12" ht="15.75">
      <c r="A71" s="216"/>
      <c r="B71" s="216"/>
      <c r="C71" s="216"/>
      <c r="D71" s="216"/>
      <c r="E71" s="216"/>
      <c r="F71" s="216"/>
      <c r="L71" s="216"/>
    </row>
    <row r="72" spans="1:12" ht="15.75">
      <c r="A72" s="216"/>
      <c r="B72" s="216"/>
      <c r="C72" s="216"/>
      <c r="D72" s="216"/>
      <c r="E72" s="216"/>
      <c r="F72" s="216"/>
      <c r="L72" s="216"/>
    </row>
    <row r="73" spans="1:12" ht="15.75">
      <c r="A73" s="216"/>
      <c r="B73" s="216"/>
      <c r="C73" s="216"/>
      <c r="D73" s="216"/>
      <c r="E73" s="216"/>
      <c r="F73" s="216"/>
      <c r="L73" s="216"/>
    </row>
    <row r="74" spans="1:12" ht="15.75">
      <c r="A74" s="216"/>
      <c r="B74" s="216"/>
      <c r="C74" s="216"/>
      <c r="D74" s="216"/>
      <c r="E74" s="216"/>
      <c r="F74" s="216"/>
      <c r="L74" s="216"/>
    </row>
    <row r="1000" ht="15">
      <c r="A1000" s="215" t="s">
        <v>399</v>
      </c>
    </row>
  </sheetData>
  <sheetProtection/>
  <mergeCells count="5">
    <mergeCell ref="B4:I4"/>
    <mergeCell ref="B17:I17"/>
    <mergeCell ref="B30:I30"/>
    <mergeCell ref="B43:I43"/>
    <mergeCell ref="B55:I55"/>
  </mergeCells>
  <conditionalFormatting sqref="B14:I14">
    <cfRule type="cellIs" priority="7" dxfId="116" operator="notBetween">
      <formula>0.5</formula>
      <formula>-0.5</formula>
    </cfRule>
  </conditionalFormatting>
  <conditionalFormatting sqref="B26:I26">
    <cfRule type="cellIs" priority="6" dxfId="116" operator="notBetween">
      <formula>0.5</formula>
      <formula>-0.5</formula>
    </cfRule>
  </conditionalFormatting>
  <conditionalFormatting sqref="B40:I40">
    <cfRule type="cellIs" priority="5" dxfId="116" operator="notBetween">
      <formula>0.5</formula>
      <formula>-0.5</formula>
    </cfRule>
  </conditionalFormatting>
  <conditionalFormatting sqref="C40:I40">
    <cfRule type="cellIs" priority="4" dxfId="116" operator="notBetween">
      <formula>0.5</formula>
      <formula>-0.5</formula>
    </cfRule>
  </conditionalFormatting>
  <conditionalFormatting sqref="B52">
    <cfRule type="cellIs" priority="3" dxfId="116" operator="notBetween">
      <formula>0.5</formula>
      <formula>-0.5</formula>
    </cfRule>
  </conditionalFormatting>
  <conditionalFormatting sqref="C52:I52">
    <cfRule type="cellIs" priority="2" dxfId="116" operator="notBetween">
      <formula>0.5</formula>
      <formula>-0.5</formula>
    </cfRule>
  </conditionalFormatting>
  <conditionalFormatting sqref="B63:I63">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L1000"/>
  <sheetViews>
    <sheetView showGridLines="0" zoomScalePageLayoutView="0" workbookViewId="0" topLeftCell="A1">
      <selection activeCell="A4" sqref="A4"/>
    </sheetView>
  </sheetViews>
  <sheetFormatPr defaultColWidth="11.421875" defaultRowHeight="15"/>
  <cols>
    <col min="1" max="1" width="35.7109375" style="215" customWidth="1"/>
    <col min="2" max="2" width="12.28125" style="215" customWidth="1"/>
    <col min="3" max="9" width="11.421875" style="215" customWidth="1"/>
    <col min="10" max="11" width="5.7109375" style="215" customWidth="1"/>
    <col min="12" max="12" width="19.57421875" style="215" customWidth="1"/>
    <col min="13" max="16384" width="11.421875" style="215" customWidth="1"/>
  </cols>
  <sheetData>
    <row r="1" spans="1:9" ht="18">
      <c r="A1" s="212" t="str">
        <f>HLOOKUP(INDICE!$F$2,Nombres!$C$3:$D$636,120,FALSE)</f>
        <v>Desglose de los recursos de clientes en gestión</v>
      </c>
      <c r="B1" s="213"/>
      <c r="C1" s="213"/>
      <c r="D1" s="213"/>
      <c r="E1" s="213"/>
      <c r="F1" s="213"/>
      <c r="G1" s="213"/>
      <c r="H1" s="213"/>
      <c r="I1" s="213"/>
    </row>
    <row r="2" spans="1:6" ht="15.75">
      <c r="A2" s="217" t="str">
        <f>HLOOKUP(INDICE!$F$2,Nombres!$C$3:$D$636,73,FALSE)</f>
        <v>(Millones de euros constantes)</v>
      </c>
      <c r="B2" s="216"/>
      <c r="C2" s="216"/>
      <c r="D2" s="216"/>
      <c r="E2" s="216"/>
      <c r="F2" s="216"/>
    </row>
    <row r="3" spans="1:12" ht="15.75" customHeight="1">
      <c r="A3" s="219"/>
      <c r="B3" s="302" t="str">
        <f>HLOOKUP(INDICE!$F$2,Nombres!$C$3:$D$636,7,FALSE)</f>
        <v>España</v>
      </c>
      <c r="C3" s="302"/>
      <c r="D3" s="302"/>
      <c r="E3" s="302"/>
      <c r="F3" s="302"/>
      <c r="G3" s="302"/>
      <c r="H3" s="302"/>
      <c r="I3" s="302"/>
      <c r="L3" s="235"/>
    </row>
    <row r="4" spans="1:9" ht="15.75">
      <c r="A4" s="220"/>
      <c r="B4" s="126">
        <v>43190</v>
      </c>
      <c r="C4" s="126">
        <v>43281</v>
      </c>
      <c r="D4" s="126">
        <v>43373</v>
      </c>
      <c r="E4" s="126">
        <v>43465</v>
      </c>
      <c r="F4" s="126">
        <v>43555</v>
      </c>
      <c r="G4" s="126">
        <v>43646</v>
      </c>
      <c r="H4" s="126">
        <v>43738</v>
      </c>
      <c r="I4" s="126">
        <v>43830</v>
      </c>
    </row>
    <row r="5" spans="1:12" ht="15">
      <c r="A5" s="221" t="str">
        <f>HLOOKUP(INDICE!$F$2,Nombres!$C$3:$D$636,114,FALSE)</f>
        <v>Depósitos a la vista + Disponibles con preaviso</v>
      </c>
      <c r="B5" s="222">
        <v>129304.42357609</v>
      </c>
      <c r="C5" s="222">
        <v>135525.10324582</v>
      </c>
      <c r="D5" s="222">
        <v>138587.37332897</v>
      </c>
      <c r="E5" s="222">
        <v>142912.01774883998</v>
      </c>
      <c r="F5" s="222">
        <v>146518.01405199998</v>
      </c>
      <c r="G5" s="222">
        <v>148043.27083500003</v>
      </c>
      <c r="H5" s="222">
        <v>148621.77462</v>
      </c>
      <c r="I5" s="222">
        <v>150916.61719900003</v>
      </c>
      <c r="L5" s="221"/>
    </row>
    <row r="6" spans="1:12" ht="15">
      <c r="A6" s="221" t="str">
        <f>HLOOKUP(INDICE!$F$2,Nombres!$C$3:$D$636,115,FALSE)</f>
        <v>Depósitos a plazo</v>
      </c>
      <c r="B6" s="222">
        <v>42990.94275679</v>
      </c>
      <c r="C6" s="222">
        <v>40187.772806789995</v>
      </c>
      <c r="D6" s="222">
        <v>38376.74606579</v>
      </c>
      <c r="E6" s="222">
        <v>40072.322983</v>
      </c>
      <c r="F6" s="222">
        <v>34765.118812999994</v>
      </c>
      <c r="G6" s="222">
        <v>32390.836124</v>
      </c>
      <c r="H6" s="222">
        <v>32031.019711</v>
      </c>
      <c r="I6" s="222">
        <v>31453.257606999996</v>
      </c>
      <c r="L6" s="221"/>
    </row>
    <row r="7" spans="1:12" ht="15">
      <c r="A7" s="221" t="str">
        <f>HLOOKUP(INDICE!$F$2,Nombres!$C$3:$D$636,116,FALSE)</f>
        <v>Recursos fuera de balance (*)</v>
      </c>
      <c r="B7" s="222">
        <v>63051.699436999996</v>
      </c>
      <c r="C7" s="222">
        <v>63877.72904699999</v>
      </c>
      <c r="D7" s="222">
        <v>64151.9993893</v>
      </c>
      <c r="E7" s="222">
        <v>62559.326802150004</v>
      </c>
      <c r="F7" s="222">
        <v>64225.05254432</v>
      </c>
      <c r="G7" s="222">
        <v>64370.19691501</v>
      </c>
      <c r="H7" s="222">
        <v>64728.44502035999</v>
      </c>
      <c r="I7" s="222">
        <v>66068.14777671</v>
      </c>
      <c r="L7" s="221"/>
    </row>
    <row r="8" spans="1:12" ht="15">
      <c r="A8" s="223" t="str">
        <f>HLOOKUP(INDICE!$F$2,Nombres!$C$3:$D$636,208,FALSE)</f>
        <v> Recursos de clientes en gestión (**)</v>
      </c>
      <c r="B8" s="223">
        <v>235347.06576987996</v>
      </c>
      <c r="C8" s="223">
        <v>239590.60509961005</v>
      </c>
      <c r="D8" s="223">
        <v>241116.11878405997</v>
      </c>
      <c r="E8" s="223">
        <v>245543.66753399</v>
      </c>
      <c r="F8" s="223">
        <v>245508.18540932002</v>
      </c>
      <c r="G8" s="267">
        <v>244804.30387401</v>
      </c>
      <c r="H8" s="267">
        <v>245381.23935136</v>
      </c>
      <c r="I8" s="267">
        <v>248438.02258271002</v>
      </c>
      <c r="L8" s="223"/>
    </row>
    <row r="9" spans="1:12" ht="15.75">
      <c r="A9" s="221" t="str">
        <f>HLOOKUP(INDICE!$F$2,Nombres!$C$3:$D$636,118,FALSE)</f>
        <v>Vista+Plazo</v>
      </c>
      <c r="B9" s="227">
        <f>+B5+B6</f>
        <v>172295.36633288</v>
      </c>
      <c r="C9" s="227">
        <f aca="true" t="shared" si="0" ref="C9:I9">+C5+C6</f>
        <v>175712.87605261</v>
      </c>
      <c r="D9" s="227">
        <f t="shared" si="0"/>
        <v>176964.11939476</v>
      </c>
      <c r="E9" s="227">
        <f t="shared" si="0"/>
        <v>182984.34073183997</v>
      </c>
      <c r="F9" s="227">
        <f t="shared" si="0"/>
        <v>181283.132865</v>
      </c>
      <c r="G9" s="268">
        <f t="shared" si="0"/>
        <v>180434.10695900003</v>
      </c>
      <c r="H9" s="268">
        <f t="shared" si="0"/>
        <v>180652.794331</v>
      </c>
      <c r="I9" s="268">
        <f t="shared" si="0"/>
        <v>182369.87480600004</v>
      </c>
      <c r="L9" s="216"/>
    </row>
    <row r="10" spans="1:9" ht="15.75">
      <c r="A10" s="216"/>
      <c r="B10" s="225">
        <f>+B5+B6+B7-B8</f>
        <v>0</v>
      </c>
      <c r="C10" s="225">
        <f aca="true" t="shared" si="1" ref="C10:I10">+C5+C6+C7-C8</f>
        <v>0</v>
      </c>
      <c r="D10" s="225">
        <f t="shared" si="1"/>
        <v>0</v>
      </c>
      <c r="E10" s="225">
        <f t="shared" si="1"/>
        <v>0</v>
      </c>
      <c r="F10" s="225">
        <f t="shared" si="1"/>
        <v>0</v>
      </c>
      <c r="G10" s="225">
        <f t="shared" si="1"/>
        <v>0</v>
      </c>
      <c r="H10" s="225">
        <f t="shared" si="1"/>
        <v>0</v>
      </c>
      <c r="I10" s="225">
        <f t="shared" si="1"/>
        <v>0</v>
      </c>
    </row>
    <row r="11" spans="1:9" ht="15.75">
      <c r="A11" s="216"/>
      <c r="B11" s="236"/>
      <c r="C11" s="227"/>
      <c r="D11" s="227"/>
      <c r="E11" s="227"/>
      <c r="F11" s="227"/>
      <c r="G11" s="227"/>
      <c r="H11" s="227"/>
      <c r="I11" s="227"/>
    </row>
    <row r="12" spans="1:12" ht="15.75">
      <c r="A12" s="219"/>
      <c r="B12" s="302" t="str">
        <f>HLOOKUP(INDICE!$F$2,Nombres!$C$3:$D$636,10,FALSE)</f>
        <v>EEUU</v>
      </c>
      <c r="C12" s="302"/>
      <c r="D12" s="302"/>
      <c r="E12" s="302"/>
      <c r="F12" s="302"/>
      <c r="G12" s="302"/>
      <c r="H12" s="302"/>
      <c r="I12" s="302"/>
      <c r="L12" s="235"/>
    </row>
    <row r="13" spans="1:9" ht="15.75">
      <c r="A13" s="220"/>
      <c r="B13" s="126">
        <f>+B$4</f>
        <v>43190</v>
      </c>
      <c r="C13" s="126">
        <f aca="true" t="shared" si="2" ref="C13:I13">+C$4</f>
        <v>43281</v>
      </c>
      <c r="D13" s="126">
        <f t="shared" si="2"/>
        <v>43373</v>
      </c>
      <c r="E13" s="126">
        <f t="shared" si="2"/>
        <v>43465</v>
      </c>
      <c r="F13" s="126">
        <f t="shared" si="2"/>
        <v>43555</v>
      </c>
      <c r="G13" s="126">
        <f t="shared" si="2"/>
        <v>43646</v>
      </c>
      <c r="H13" s="126">
        <f t="shared" si="2"/>
        <v>43738</v>
      </c>
      <c r="I13" s="126">
        <f t="shared" si="2"/>
        <v>43830</v>
      </c>
    </row>
    <row r="14" spans="1:12" ht="15">
      <c r="A14" s="221" t="str">
        <f>HLOOKUP(INDICE!$F$2,Nombres!$C$3:$D$636,114,FALSE)</f>
        <v>Depósitos a la vista + Disponibles con preaviso</v>
      </c>
      <c r="B14" s="222">
        <v>48273.84154506483</v>
      </c>
      <c r="C14" s="222">
        <v>47553.49534920177</v>
      </c>
      <c r="D14" s="222">
        <v>46899.45140584439</v>
      </c>
      <c r="E14" s="222">
        <v>47935.6245110054</v>
      </c>
      <c r="F14" s="222">
        <v>48416.0898675781</v>
      </c>
      <c r="G14" s="222">
        <v>47766.354434794324</v>
      </c>
      <c r="H14" s="222">
        <v>49974.1453929461</v>
      </c>
      <c r="I14" s="222">
        <v>53001.11786725</v>
      </c>
      <c r="L14" s="221"/>
    </row>
    <row r="15" spans="1:12" ht="15">
      <c r="A15" s="221" t="str">
        <f>HLOOKUP(INDICE!$F$2,Nombres!$C$3:$D$636,115,FALSE)</f>
        <v>Depósitos a plazo</v>
      </c>
      <c r="B15" s="222">
        <v>15911.120458219102</v>
      </c>
      <c r="C15" s="222">
        <v>15551.49466676705</v>
      </c>
      <c r="D15" s="222">
        <v>15868.374478771439</v>
      </c>
      <c r="E15" s="222">
        <v>17180.85314128024</v>
      </c>
      <c r="F15" s="222">
        <v>16752.86721034791</v>
      </c>
      <c r="G15" s="222">
        <v>16173.71725238537</v>
      </c>
      <c r="H15" s="222">
        <v>15330.356417528634</v>
      </c>
      <c r="I15" s="222">
        <v>14527.261119409997</v>
      </c>
      <c r="L15" s="221"/>
    </row>
    <row r="16" spans="1:12" ht="15">
      <c r="A16" s="221" t="str">
        <f>HLOOKUP(INDICE!$F$2,Nombres!$C$3:$D$636,116,FALSE)</f>
        <v>Recursos fuera de balance (*)</v>
      </c>
      <c r="B16" s="222" t="s">
        <v>400</v>
      </c>
      <c r="C16" s="222" t="s">
        <v>400</v>
      </c>
      <c r="D16" s="222" t="s">
        <v>400</v>
      </c>
      <c r="E16" s="222" t="s">
        <v>400</v>
      </c>
      <c r="F16" s="222" t="s">
        <v>400</v>
      </c>
      <c r="G16" s="222" t="s">
        <v>400</v>
      </c>
      <c r="H16" s="222" t="s">
        <v>400</v>
      </c>
      <c r="I16" s="222" t="s">
        <v>400</v>
      </c>
      <c r="L16" s="221"/>
    </row>
    <row r="17" spans="1:12" ht="15">
      <c r="A17" s="223" t="str">
        <f>HLOOKUP(INDICE!$F$2,Nombres!$C$3:$D$636,208,FALSE)</f>
        <v> Recursos de clientes en gestión (**)</v>
      </c>
      <c r="B17" s="223">
        <v>64184.96200328396</v>
      </c>
      <c r="C17" s="223">
        <v>63104.99001596881</v>
      </c>
      <c r="D17" s="223">
        <v>62767.82588461583</v>
      </c>
      <c r="E17" s="223">
        <v>65116.47765228564</v>
      </c>
      <c r="F17" s="223">
        <v>65168.95707792601</v>
      </c>
      <c r="G17" s="267">
        <v>63940.071687179676</v>
      </c>
      <c r="H17" s="267">
        <v>65304.50181047472</v>
      </c>
      <c r="I17" s="267">
        <v>67528.37898665998</v>
      </c>
      <c r="L17" s="223"/>
    </row>
    <row r="18" spans="1:12" ht="15.75">
      <c r="A18" s="221" t="str">
        <f>HLOOKUP(INDICE!$F$2,Nombres!$C$3:$D$636,118,FALSE)</f>
        <v>Vista+Plazo</v>
      </c>
      <c r="B18" s="227">
        <f>+B14+B15</f>
        <v>64184.96200328393</v>
      </c>
      <c r="C18" s="227">
        <f aca="true" t="shared" si="3" ref="C18:I18">+C14+C15</f>
        <v>63104.99001596882</v>
      </c>
      <c r="D18" s="227">
        <f t="shared" si="3"/>
        <v>62767.82588461583</v>
      </c>
      <c r="E18" s="227">
        <f t="shared" si="3"/>
        <v>65116.47765228564</v>
      </c>
      <c r="F18" s="227">
        <f t="shared" si="3"/>
        <v>65168.95707792601</v>
      </c>
      <c r="G18" s="268">
        <f t="shared" si="3"/>
        <v>63940.07168717969</v>
      </c>
      <c r="H18" s="268">
        <f t="shared" si="3"/>
        <v>65304.50181047473</v>
      </c>
      <c r="I18" s="268">
        <f t="shared" si="3"/>
        <v>67528.37898666</v>
      </c>
      <c r="L18" s="237"/>
    </row>
    <row r="19" spans="1:9" ht="15.75">
      <c r="A19" s="216"/>
      <c r="B19" s="225">
        <f>+B14+B15+B16-B17</f>
        <v>0</v>
      </c>
      <c r="C19" s="225">
        <f aca="true" t="shared" si="4" ref="C19:I19">+C14+C15+C16-C17</f>
        <v>0</v>
      </c>
      <c r="D19" s="225">
        <f t="shared" si="4"/>
        <v>0</v>
      </c>
      <c r="E19" s="225">
        <f t="shared" si="4"/>
        <v>0</v>
      </c>
      <c r="F19" s="225">
        <f t="shared" si="4"/>
        <v>0</v>
      </c>
      <c r="G19" s="225">
        <f t="shared" si="4"/>
        <v>0</v>
      </c>
      <c r="H19" s="225">
        <f t="shared" si="4"/>
        <v>0</v>
      </c>
      <c r="I19" s="225">
        <f t="shared" si="4"/>
        <v>0</v>
      </c>
    </row>
    <row r="20" spans="1:9" ht="15.75">
      <c r="A20" s="216"/>
      <c r="B20" s="226"/>
      <c r="C20" s="226"/>
      <c r="D20" s="226"/>
      <c r="E20" s="226"/>
      <c r="F20" s="226"/>
      <c r="G20" s="226"/>
      <c r="H20" s="226"/>
      <c r="I20" s="226"/>
    </row>
    <row r="21" spans="1:12" ht="15.75" customHeight="1">
      <c r="A21" s="219"/>
      <c r="B21" s="302" t="str">
        <f>HLOOKUP(INDICE!$F$2,Nombres!$C$3:$D$636,204,FALSE)</f>
        <v>Mexico (***)</v>
      </c>
      <c r="C21" s="302"/>
      <c r="D21" s="302"/>
      <c r="E21" s="302"/>
      <c r="F21" s="302"/>
      <c r="G21" s="302"/>
      <c r="H21" s="302"/>
      <c r="I21" s="302"/>
      <c r="L21" s="235"/>
    </row>
    <row r="22" spans="1:9" ht="15.75">
      <c r="A22" s="220"/>
      <c r="B22" s="126">
        <f>+B$4</f>
        <v>43190</v>
      </c>
      <c r="C22" s="126">
        <f aca="true" t="shared" si="5" ref="C22:I22">+C$4</f>
        <v>43281</v>
      </c>
      <c r="D22" s="126">
        <f t="shared" si="5"/>
        <v>43373</v>
      </c>
      <c r="E22" s="126">
        <f t="shared" si="5"/>
        <v>43465</v>
      </c>
      <c r="F22" s="126">
        <f t="shared" si="5"/>
        <v>43555</v>
      </c>
      <c r="G22" s="126">
        <f t="shared" si="5"/>
        <v>43646</v>
      </c>
      <c r="H22" s="126">
        <f t="shared" si="5"/>
        <v>43738</v>
      </c>
      <c r="I22" s="126">
        <f t="shared" si="5"/>
        <v>43830</v>
      </c>
    </row>
    <row r="23" spans="1:12" ht="15">
      <c r="A23" s="221" t="str">
        <f>HLOOKUP(INDICE!$F$2,Nombres!$C$3:$D$636,114,FALSE)</f>
        <v>Depósitos a la vista + Disponibles con preaviso</v>
      </c>
      <c r="B23" s="222">
        <v>37897.04191545663</v>
      </c>
      <c r="C23" s="222">
        <v>40358.30479205397</v>
      </c>
      <c r="D23" s="222">
        <v>38158.13419394268</v>
      </c>
      <c r="E23" s="222">
        <v>40588.58321596072</v>
      </c>
      <c r="F23" s="222">
        <v>39495.53654910881</v>
      </c>
      <c r="G23" s="222">
        <v>41529.880353086424</v>
      </c>
      <c r="H23" s="222">
        <v>39592.37944547974</v>
      </c>
      <c r="I23" s="222">
        <v>43335.56548929533</v>
      </c>
      <c r="J23" s="222"/>
      <c r="L23" s="221"/>
    </row>
    <row r="24" spans="1:12" ht="15">
      <c r="A24" s="221" t="str">
        <f>HLOOKUP(INDICE!$F$2,Nombres!$C$3:$D$636,115,FALSE)</f>
        <v>Depósitos a plazo</v>
      </c>
      <c r="B24" s="222">
        <v>9972.117049724055</v>
      </c>
      <c r="C24" s="222">
        <v>10406.651350434176</v>
      </c>
      <c r="D24" s="222">
        <v>10761.624271398148</v>
      </c>
      <c r="E24" s="222">
        <v>10467.572378120001</v>
      </c>
      <c r="F24" s="222">
        <v>10855.504027384432</v>
      </c>
      <c r="G24" s="222">
        <v>11823.496162102418</v>
      </c>
      <c r="H24" s="222">
        <v>12741.834393093177</v>
      </c>
      <c r="I24" s="222">
        <v>11150.873995335824</v>
      </c>
      <c r="J24" s="222"/>
      <c r="L24" s="221"/>
    </row>
    <row r="25" spans="1:12" ht="15">
      <c r="A25" s="221" t="str">
        <f>HLOOKUP(INDICE!$F$2,Nombres!$C$3:$D$636,116,FALSE)</f>
        <v>Recursos fuera de balance (*)</v>
      </c>
      <c r="B25" s="222">
        <v>21324.9295249376</v>
      </c>
      <c r="C25" s="222">
        <v>22515.417373788147</v>
      </c>
      <c r="D25" s="222">
        <v>22975.813998853453</v>
      </c>
      <c r="E25" s="222">
        <v>21954.75988184873</v>
      </c>
      <c r="F25" s="222">
        <v>23314.028245263235</v>
      </c>
      <c r="G25" s="222">
        <v>24154.80381067934</v>
      </c>
      <c r="H25" s="222">
        <v>24495.385679680265</v>
      </c>
      <c r="I25" s="222">
        <v>24526.251424213544</v>
      </c>
      <c r="J25" s="222"/>
      <c r="L25" s="221"/>
    </row>
    <row r="26" spans="1:12" ht="15">
      <c r="A26" s="223" t="str">
        <f>HLOOKUP(INDICE!$F$2,Nombres!$C$3:$D$636,208,FALSE)</f>
        <v> Recursos de clientes en gestión (**)</v>
      </c>
      <c r="B26" s="223">
        <v>69194.0884901183</v>
      </c>
      <c r="C26" s="223">
        <v>73280.37351627629</v>
      </c>
      <c r="D26" s="223">
        <v>71895.57246419428</v>
      </c>
      <c r="E26" s="223">
        <v>73010.91547592946</v>
      </c>
      <c r="F26" s="223">
        <v>73665.06882175647</v>
      </c>
      <c r="G26" s="223">
        <v>77508.18032586818</v>
      </c>
      <c r="H26" s="223">
        <v>76829.59951825319</v>
      </c>
      <c r="I26" s="223">
        <v>79012.6909088447</v>
      </c>
      <c r="J26" s="222"/>
      <c r="L26" s="221"/>
    </row>
    <row r="27" spans="1:12" ht="15.75">
      <c r="A27" s="221" t="str">
        <f>HLOOKUP(INDICE!$F$2,Nombres!$C$3:$D$636,118,FALSE)</f>
        <v>Vista+Plazo</v>
      </c>
      <c r="B27" s="227">
        <f>+B23+B24</f>
        <v>47869.158965180686</v>
      </c>
      <c r="C27" s="227">
        <f aca="true" t="shared" si="6" ref="C27:I27">+C23+C24</f>
        <v>50764.95614248815</v>
      </c>
      <c r="D27" s="227">
        <f t="shared" si="6"/>
        <v>48919.75846534083</v>
      </c>
      <c r="E27" s="227">
        <f t="shared" si="6"/>
        <v>51056.15559408072</v>
      </c>
      <c r="F27" s="227">
        <f t="shared" si="6"/>
        <v>50351.04057649324</v>
      </c>
      <c r="G27" s="268">
        <f t="shared" si="6"/>
        <v>53353.376515188844</v>
      </c>
      <c r="H27" s="268">
        <f t="shared" si="6"/>
        <v>52334.21383857292</v>
      </c>
      <c r="I27" s="268">
        <f t="shared" si="6"/>
        <v>54486.439484631155</v>
      </c>
      <c r="J27" s="223"/>
      <c r="L27" s="223"/>
    </row>
    <row r="28" spans="1:9" ht="15.75">
      <c r="A28" s="232" t="str">
        <f>HLOOKUP(INDICE!$F$2,Nombres!$C$3:$D$636,205,FALSE)</f>
        <v>Criterio Local Contable(***) </v>
      </c>
      <c r="B28" s="225">
        <f>+B23+B24+B25-B26</f>
        <v>0</v>
      </c>
      <c r="C28" s="225">
        <f aca="true" t="shared" si="7" ref="C28:I28">+C23+C24+C25-C26</f>
        <v>0</v>
      </c>
      <c r="D28" s="225">
        <f t="shared" si="7"/>
        <v>0</v>
      </c>
      <c r="E28" s="225">
        <f t="shared" si="7"/>
        <v>0</v>
      </c>
      <c r="F28" s="225">
        <f t="shared" si="7"/>
        <v>0</v>
      </c>
      <c r="G28" s="225">
        <f t="shared" si="7"/>
        <v>0</v>
      </c>
      <c r="H28" s="225">
        <f t="shared" si="7"/>
        <v>0</v>
      </c>
      <c r="I28" s="225">
        <f t="shared" si="7"/>
        <v>0</v>
      </c>
    </row>
    <row r="29" spans="1:12" ht="15.75">
      <c r="A29" s="216"/>
      <c r="B29" s="227"/>
      <c r="C29" s="227"/>
      <c r="D29" s="227"/>
      <c r="E29" s="227"/>
      <c r="F29" s="227"/>
      <c r="L29" s="235"/>
    </row>
    <row r="30" spans="1:12" ht="15.75" customHeight="1">
      <c r="A30" s="219"/>
      <c r="B30" s="302" t="str">
        <f>HLOOKUP(INDICE!$F$2,Nombres!$C$3:$D$636,12,FALSE)</f>
        <v>Turquía </v>
      </c>
      <c r="C30" s="302"/>
      <c r="D30" s="302"/>
      <c r="E30" s="302"/>
      <c r="F30" s="302"/>
      <c r="G30" s="302"/>
      <c r="H30" s="302"/>
      <c r="I30" s="302"/>
      <c r="L30" s="235"/>
    </row>
    <row r="31" spans="1:9" ht="15.75">
      <c r="A31" s="220"/>
      <c r="B31" s="126">
        <f>+B$4</f>
        <v>43190</v>
      </c>
      <c r="C31" s="126">
        <f aca="true" t="shared" si="8" ref="C31:I31">+C$4</f>
        <v>43281</v>
      </c>
      <c r="D31" s="126">
        <f t="shared" si="8"/>
        <v>43373</v>
      </c>
      <c r="E31" s="126">
        <f t="shared" si="8"/>
        <v>43465</v>
      </c>
      <c r="F31" s="126">
        <f t="shared" si="8"/>
        <v>43555</v>
      </c>
      <c r="G31" s="126">
        <f t="shared" si="8"/>
        <v>43646</v>
      </c>
      <c r="H31" s="126">
        <f t="shared" si="8"/>
        <v>43738</v>
      </c>
      <c r="I31" s="126">
        <f t="shared" si="8"/>
        <v>43830</v>
      </c>
    </row>
    <row r="32" spans="1:12" ht="15">
      <c r="A32" s="221" t="str">
        <f>HLOOKUP(INDICE!$F$2,Nombres!$C$3:$D$636,114,FALSE)</f>
        <v>Depósitos a la vista + Disponibles con preaviso</v>
      </c>
      <c r="B32" s="222">
        <v>9796.47594586311</v>
      </c>
      <c r="C32" s="222">
        <v>10979.193847287328</v>
      </c>
      <c r="D32" s="222">
        <v>13156.37638008633</v>
      </c>
      <c r="E32" s="222">
        <v>11357.16410100605</v>
      </c>
      <c r="F32" s="222">
        <v>13073.213314836548</v>
      </c>
      <c r="G32" s="222">
        <v>13802.753891840972</v>
      </c>
      <c r="H32" s="222">
        <v>14017.202923523058</v>
      </c>
      <c r="I32" s="222">
        <v>15737.068999999998</v>
      </c>
      <c r="L32" s="221"/>
    </row>
    <row r="33" spans="1:12" ht="15">
      <c r="A33" s="221" t="str">
        <f>HLOOKUP(INDICE!$F$2,Nombres!$C$3:$D$636,115,FALSE)</f>
        <v>Depósitos a plazo</v>
      </c>
      <c r="B33" s="222">
        <v>21814.751032036187</v>
      </c>
      <c r="C33" s="222">
        <v>22803.549462480074</v>
      </c>
      <c r="D33" s="222">
        <v>27310.633998110727</v>
      </c>
      <c r="E33" s="222">
        <v>24806.517763968073</v>
      </c>
      <c r="F33" s="222">
        <v>25406.517541960424</v>
      </c>
      <c r="G33" s="222">
        <v>24948.14368513034</v>
      </c>
      <c r="H33" s="222">
        <v>24295.639343489827</v>
      </c>
      <c r="I33" s="222">
        <v>25587.413000000004</v>
      </c>
      <c r="L33" s="221"/>
    </row>
    <row r="34" spans="1:12" ht="15">
      <c r="A34" s="221" t="str">
        <f>HLOOKUP(INDICE!$F$2,Nombres!$C$3:$D$636,116,FALSE)</f>
        <v>Recursos fuera de balance (*)</v>
      </c>
      <c r="B34" s="222">
        <v>2828.8094407921103</v>
      </c>
      <c r="C34" s="222">
        <v>2747.1191697315853</v>
      </c>
      <c r="D34" s="222">
        <v>2691.883277100278</v>
      </c>
      <c r="E34" s="222">
        <v>2623.2105336022187</v>
      </c>
      <c r="F34" s="222">
        <v>3198.5495568706806</v>
      </c>
      <c r="G34" s="222">
        <v>2929.9487915628024</v>
      </c>
      <c r="H34" s="222">
        <v>3183.3595309805137</v>
      </c>
      <c r="I34" s="222">
        <v>3905.909</v>
      </c>
      <c r="L34" s="221"/>
    </row>
    <row r="35" spans="1:12" ht="15">
      <c r="A35" s="223" t="str">
        <f>HLOOKUP(INDICE!$F$2,Nombres!$C$3:$D$636,208,FALSE)</f>
        <v> Recursos de clientes en gestión (**)</v>
      </c>
      <c r="B35" s="223">
        <v>34440.03641869141</v>
      </c>
      <c r="C35" s="223">
        <v>36529.862479498996</v>
      </c>
      <c r="D35" s="223">
        <v>43158.89365529733</v>
      </c>
      <c r="E35" s="223">
        <v>38786.89239857634</v>
      </c>
      <c r="F35" s="223">
        <v>41678.28041366765</v>
      </c>
      <c r="G35" s="267">
        <v>41680.84636853411</v>
      </c>
      <c r="H35" s="267">
        <v>41496.20179799339</v>
      </c>
      <c r="I35" s="267">
        <v>45230.391</v>
      </c>
      <c r="L35" s="223"/>
    </row>
    <row r="36" spans="1:9" ht="15.75">
      <c r="A36" s="221" t="str">
        <f>HLOOKUP(INDICE!$F$2,Nombres!$C$3:$D$636,118,FALSE)</f>
        <v>Vista+Plazo</v>
      </c>
      <c r="B36" s="227">
        <f>+B32+B33</f>
        <v>31611.2269778993</v>
      </c>
      <c r="C36" s="227">
        <f aca="true" t="shared" si="9" ref="C36:I36">+C32+C33</f>
        <v>33782.7433097674</v>
      </c>
      <c r="D36" s="227">
        <f t="shared" si="9"/>
        <v>40467.010378197054</v>
      </c>
      <c r="E36" s="227">
        <f t="shared" si="9"/>
        <v>36163.681864974125</v>
      </c>
      <c r="F36" s="227">
        <f t="shared" si="9"/>
        <v>38479.730856796974</v>
      </c>
      <c r="G36" s="268">
        <f t="shared" si="9"/>
        <v>38750.897576971314</v>
      </c>
      <c r="H36" s="268">
        <f t="shared" si="9"/>
        <v>38312.842267012886</v>
      </c>
      <c r="I36" s="268">
        <f t="shared" si="9"/>
        <v>41324.482</v>
      </c>
    </row>
    <row r="37" spans="1:9" ht="15.75">
      <c r="A37" s="216"/>
      <c r="B37" s="225">
        <f>+B32+B33+B34-B35</f>
        <v>0</v>
      </c>
      <c r="C37" s="225">
        <f aca="true" t="shared" si="10" ref="C37:I37">+C32+C33+C34-C35</f>
        <v>0</v>
      </c>
      <c r="D37" s="225">
        <f t="shared" si="10"/>
        <v>0</v>
      </c>
      <c r="E37" s="225">
        <f t="shared" si="10"/>
        <v>0</v>
      </c>
      <c r="F37" s="225">
        <f t="shared" si="10"/>
        <v>0</v>
      </c>
      <c r="G37" s="225">
        <f t="shared" si="10"/>
        <v>0</v>
      </c>
      <c r="H37" s="225">
        <f t="shared" si="10"/>
        <v>0</v>
      </c>
      <c r="I37" s="225">
        <f t="shared" si="10"/>
        <v>0</v>
      </c>
    </row>
    <row r="38" spans="1:9" ht="15">
      <c r="A38" s="223"/>
      <c r="B38" s="223"/>
      <c r="C38" s="223"/>
      <c r="D38" s="223"/>
      <c r="E38" s="223"/>
      <c r="F38" s="223"/>
      <c r="G38" s="223"/>
      <c r="H38" s="223"/>
      <c r="I38" s="223"/>
    </row>
    <row r="39" spans="1:12" ht="15.75" customHeight="1">
      <c r="A39" s="219"/>
      <c r="B39" s="302" t="str">
        <f>HLOOKUP(INDICE!$F$2,Nombres!$C$3:$D$636,13,FALSE)</f>
        <v>América del Sur </v>
      </c>
      <c r="C39" s="302"/>
      <c r="D39" s="302"/>
      <c r="E39" s="302"/>
      <c r="F39" s="302"/>
      <c r="G39" s="302"/>
      <c r="H39" s="302"/>
      <c r="I39" s="302"/>
      <c r="L39" s="235"/>
    </row>
    <row r="40" spans="1:9" ht="15.75">
      <c r="A40" s="220"/>
      <c r="B40" s="126">
        <f>+B$4</f>
        <v>43190</v>
      </c>
      <c r="C40" s="126">
        <f aca="true" t="shared" si="11" ref="C40:I40">+C$4</f>
        <v>43281</v>
      </c>
      <c r="D40" s="126">
        <f t="shared" si="11"/>
        <v>43373</v>
      </c>
      <c r="E40" s="126">
        <f t="shared" si="11"/>
        <v>43465</v>
      </c>
      <c r="F40" s="126">
        <f t="shared" si="11"/>
        <v>43555</v>
      </c>
      <c r="G40" s="126">
        <f t="shared" si="11"/>
        <v>43646</v>
      </c>
      <c r="H40" s="126">
        <f t="shared" si="11"/>
        <v>43738</v>
      </c>
      <c r="I40" s="126">
        <f t="shared" si="11"/>
        <v>43830</v>
      </c>
    </row>
    <row r="41" spans="1:12" ht="15">
      <c r="A41" s="221" t="s">
        <v>8</v>
      </c>
      <c r="B41" s="222">
        <v>3025.163776456633</v>
      </c>
      <c r="C41" s="222">
        <v>3437.563084796712</v>
      </c>
      <c r="D41" s="222">
        <v>4205.900484089937</v>
      </c>
      <c r="E41" s="222">
        <v>4354.956359083361</v>
      </c>
      <c r="F41" s="222">
        <v>4888.002842154614</v>
      </c>
      <c r="G41" s="222">
        <v>4987.487099351996</v>
      </c>
      <c r="H41" s="222">
        <v>4683.839073246122</v>
      </c>
      <c r="I41" s="222">
        <v>5010.09987472</v>
      </c>
      <c r="L41" s="221"/>
    </row>
    <row r="42" spans="1:12" ht="15">
      <c r="A42" s="221" t="s">
        <v>9</v>
      </c>
      <c r="B42" s="222">
        <v>9351.530020838882</v>
      </c>
      <c r="C42" s="222">
        <v>9786.767529159932</v>
      </c>
      <c r="D42" s="222">
        <v>12.807211985807811</v>
      </c>
      <c r="E42" s="222">
        <v>9.634863668015115</v>
      </c>
      <c r="F42" s="222">
        <v>9.83053353974432</v>
      </c>
      <c r="G42" s="222">
        <v>6.685150918064388</v>
      </c>
      <c r="H42" s="222">
        <v>8.616516879550286</v>
      </c>
      <c r="I42" s="222">
        <v>5.853999999999999</v>
      </c>
      <c r="L42" s="221"/>
    </row>
    <row r="43" spans="1:12" ht="15">
      <c r="A43" s="221" t="s">
        <v>10</v>
      </c>
      <c r="B43" s="222">
        <v>13299.361832072354</v>
      </c>
      <c r="C43" s="222">
        <v>13600.4967089288</v>
      </c>
      <c r="D43" s="222">
        <v>13959.715695698036</v>
      </c>
      <c r="E43" s="222">
        <v>14069.794340958273</v>
      </c>
      <c r="F43" s="222">
        <v>13874.426608608619</v>
      </c>
      <c r="G43" s="222">
        <v>13991.518844385551</v>
      </c>
      <c r="H43" s="222">
        <v>14373.473637020947</v>
      </c>
      <c r="I43" s="222">
        <v>14084.797530610002</v>
      </c>
      <c r="L43" s="221"/>
    </row>
    <row r="44" spans="1:12" ht="15">
      <c r="A44" s="221" t="s">
        <v>11</v>
      </c>
      <c r="B44" s="222">
        <v>14297.164488597793</v>
      </c>
      <c r="C44" s="222">
        <v>14110.099588819761</v>
      </c>
      <c r="D44" s="222">
        <v>15076.621489521849</v>
      </c>
      <c r="E44" s="222">
        <v>15060.602897564506</v>
      </c>
      <c r="F44" s="222">
        <v>16100.64270592702</v>
      </c>
      <c r="G44" s="222">
        <v>15576.452196352267</v>
      </c>
      <c r="H44" s="222">
        <v>16254.5630502521</v>
      </c>
      <c r="I44" s="222">
        <v>16463.39952723</v>
      </c>
      <c r="L44" s="221"/>
    </row>
    <row r="45" spans="1:12" ht="15">
      <c r="A45" s="221" t="s">
        <v>12</v>
      </c>
      <c r="B45" s="222">
        <v>12033.798225931205</v>
      </c>
      <c r="C45" s="222">
        <v>11765.532442460437</v>
      </c>
      <c r="D45" s="222">
        <v>12066.815762854734</v>
      </c>
      <c r="E45" s="222">
        <v>12198.884909811864</v>
      </c>
      <c r="F45" s="222">
        <v>12477.135148908708</v>
      </c>
      <c r="G45" s="222">
        <v>12905.524858444001</v>
      </c>
      <c r="H45" s="222">
        <v>13170.929242523296</v>
      </c>
      <c r="I45" s="222">
        <v>13423.68935384</v>
      </c>
      <c r="L45" s="221"/>
    </row>
    <row r="46" spans="1:12" ht="15">
      <c r="A46" s="223" t="str">
        <f>HLOOKUP(INDICE!$F$2,Nombres!$C$3:$D$636,208,FALSE)</f>
        <v> Recursos de clientes en gestión (**)</v>
      </c>
      <c r="B46" s="223">
        <f>+SUM(B41:B45)</f>
        <v>52007.01834389687</v>
      </c>
      <c r="C46" s="223">
        <f aca="true" t="shared" si="12" ref="C46:I46">+SUM(C41:C45)</f>
        <v>52700.459354165636</v>
      </c>
      <c r="D46" s="223">
        <f t="shared" si="12"/>
        <v>45321.860644150365</v>
      </c>
      <c r="E46" s="223">
        <f t="shared" si="12"/>
        <v>45693.873371086025</v>
      </c>
      <c r="F46" s="223">
        <f t="shared" si="12"/>
        <v>47350.037839138706</v>
      </c>
      <c r="G46" s="223">
        <f t="shared" si="12"/>
        <v>47467.668149451885</v>
      </c>
      <c r="H46" s="223">
        <f t="shared" si="12"/>
        <v>48491.42151992202</v>
      </c>
      <c r="I46" s="223">
        <f t="shared" si="12"/>
        <v>48987.84028640001</v>
      </c>
      <c r="L46" s="223"/>
    </row>
    <row r="47" spans="1:9" ht="15.75">
      <c r="A47" s="216"/>
      <c r="B47" s="225">
        <f>+B41+B42+B43+B44+B45-B46</f>
        <v>0</v>
      </c>
      <c r="C47" s="225">
        <f aca="true" t="shared" si="13" ref="C47:I47">+C41+C42+C43+C44+C45-C46</f>
        <v>0</v>
      </c>
      <c r="D47" s="225">
        <f t="shared" si="13"/>
        <v>0</v>
      </c>
      <c r="E47" s="225">
        <f t="shared" si="13"/>
        <v>0</v>
      </c>
      <c r="F47" s="225">
        <f t="shared" si="13"/>
        <v>0</v>
      </c>
      <c r="G47" s="225">
        <f t="shared" si="13"/>
        <v>0</v>
      </c>
      <c r="H47" s="225">
        <f t="shared" si="13"/>
        <v>0</v>
      </c>
      <c r="I47" s="225">
        <f t="shared" si="13"/>
        <v>0</v>
      </c>
    </row>
    <row r="50" ht="15">
      <c r="A50" s="234" t="str">
        <f>HLOOKUP(INDICE!$F$2,Nombres!$C$3:$D$636,206,FALSE)</f>
        <v>Incluye fondos de inversión, fondos de pensiones y otros recursos fuera de balance.(*)</v>
      </c>
    </row>
    <row r="51" ht="15">
      <c r="A51" s="234" t="str">
        <f>HLOOKUP(INDICE!$F$2,Nombres!$C$3:$D$636,207,FALSE)</f>
        <v>No incluye las cesiones temporales de activos.  (**)</v>
      </c>
    </row>
    <row r="1000" ht="15">
      <c r="A1000" s="215" t="s">
        <v>399</v>
      </c>
    </row>
  </sheetData>
  <sheetProtection/>
  <mergeCells count="5">
    <mergeCell ref="B3:I3"/>
    <mergeCell ref="B12:I12"/>
    <mergeCell ref="B21:I21"/>
    <mergeCell ref="B30:I30"/>
    <mergeCell ref="B39:I39"/>
  </mergeCells>
  <conditionalFormatting sqref="B10:I10">
    <cfRule type="cellIs" priority="5" dxfId="116" operator="notBetween">
      <formula>0.5</formula>
      <formula>-0.5</formula>
    </cfRule>
  </conditionalFormatting>
  <conditionalFormatting sqref="B19:I19">
    <cfRule type="cellIs" priority="4" dxfId="116" operator="notBetween">
      <formula>0.5</formula>
      <formula>-0.5</formula>
    </cfRule>
  </conditionalFormatting>
  <conditionalFormatting sqref="B28:I28">
    <cfRule type="cellIs" priority="3" dxfId="116" operator="notBetween">
      <formula>0.5</formula>
      <formula>-0.5</formula>
    </cfRule>
  </conditionalFormatting>
  <conditionalFormatting sqref="B37:I37">
    <cfRule type="cellIs" priority="2" dxfId="116" operator="notBetween">
      <formula>0.5</formula>
      <formula>-0.5</formula>
    </cfRule>
  </conditionalFormatting>
  <conditionalFormatting sqref="B47:I47">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J24" sqref="J24:J25"/>
    </sheetView>
  </sheetViews>
  <sheetFormatPr defaultColWidth="11.421875" defaultRowHeight="15"/>
  <cols>
    <col min="1" max="1" width="33.7109375" style="0" customWidth="1"/>
  </cols>
  <sheetData>
    <row r="1" spans="1:9" ht="18">
      <c r="A1" s="269" t="str">
        <f>HLOOKUP(INDICE!$F$2,Nombres!$C$3:$D$636,242,FALSE)</f>
        <v>Carteras Coap</v>
      </c>
      <c r="B1" s="213"/>
      <c r="C1" s="213"/>
      <c r="D1" s="213"/>
      <c r="E1" s="213"/>
      <c r="F1" s="213"/>
      <c r="G1" s="213"/>
      <c r="H1" s="213"/>
      <c r="I1" s="213"/>
    </row>
    <row r="2" spans="1:9" ht="15.75">
      <c r="A2" s="89" t="str">
        <f>HLOOKUP(INDICE!$F$2,Nombres!$C$3:$D$636,32,FALSE)</f>
        <v>(Millones de euros)</v>
      </c>
      <c r="B2" s="216"/>
      <c r="C2" s="216"/>
      <c r="D2" s="216"/>
      <c r="E2" s="216"/>
      <c r="F2" s="216"/>
      <c r="G2" s="215"/>
      <c r="H2" s="215"/>
      <c r="I2" s="215"/>
    </row>
    <row r="3" spans="1:9" ht="15.75">
      <c r="A3" s="218"/>
      <c r="B3" s="216"/>
      <c r="C3" s="216"/>
      <c r="D3" s="216"/>
      <c r="E3" s="216"/>
      <c r="F3" s="216"/>
      <c r="G3" s="215"/>
      <c r="H3" s="215"/>
      <c r="I3" s="215"/>
    </row>
    <row r="4" spans="1:9" ht="15.75" customHeight="1">
      <c r="A4" s="219"/>
      <c r="B4" s="303" t="str">
        <f>HLOOKUP(INDICE!$F$2,Nombres!$C$3:$D$636,239,FALSE)</f>
        <v>Total Cartera COAP</v>
      </c>
      <c r="C4" s="302"/>
      <c r="D4" s="302"/>
      <c r="E4" s="302"/>
      <c r="F4" s="302"/>
      <c r="G4" s="302"/>
      <c r="H4" s="302"/>
      <c r="I4" s="302"/>
    </row>
    <row r="5" spans="1:9" ht="15.75">
      <c r="A5" s="220"/>
      <c r="B5" s="126">
        <v>43190</v>
      </c>
      <c r="C5" s="126">
        <v>43281</v>
      </c>
      <c r="D5" s="126">
        <v>43373</v>
      </c>
      <c r="E5" s="126">
        <v>43465</v>
      </c>
      <c r="F5" s="126">
        <v>43555</v>
      </c>
      <c r="G5" s="126">
        <v>43646</v>
      </c>
      <c r="H5" s="126">
        <v>43738</v>
      </c>
      <c r="I5" s="126">
        <v>43830</v>
      </c>
    </row>
    <row r="6" spans="1:9" ht="15">
      <c r="A6" s="270" t="str">
        <f>HLOOKUP(INDICE!$F$2,Nombres!$C$3:$D$636,230,FALSE)</f>
        <v>Grupo BBVA</v>
      </c>
      <c r="B6" s="224">
        <v>53886</v>
      </c>
      <c r="C6" s="224">
        <v>56924</v>
      </c>
      <c r="D6" s="224">
        <v>55412</v>
      </c>
      <c r="E6" s="224">
        <v>49688</v>
      </c>
      <c r="F6" s="224">
        <v>52421</v>
      </c>
      <c r="G6" s="224">
        <v>50894</v>
      </c>
      <c r="H6" s="224">
        <v>51598</v>
      </c>
      <c r="I6" s="224">
        <v>50831.4</v>
      </c>
    </row>
    <row r="7" spans="1:9" ht="15">
      <c r="A7" s="271" t="str">
        <f>HLOOKUP(INDICE!$F$2,Nombres!$C$3:$D$636,231,FALSE)</f>
        <v>Balance Euro</v>
      </c>
      <c r="B7" s="222">
        <v>25890</v>
      </c>
      <c r="C7" s="222">
        <v>28399</v>
      </c>
      <c r="D7" s="222">
        <v>28481</v>
      </c>
      <c r="E7" s="222">
        <v>22569</v>
      </c>
      <c r="F7" s="222">
        <v>22992</v>
      </c>
      <c r="G7" s="222">
        <v>23044</v>
      </c>
      <c r="H7" s="222">
        <v>22637</v>
      </c>
      <c r="I7" s="222">
        <v>21901</v>
      </c>
    </row>
    <row r="8" spans="1:9" ht="15">
      <c r="A8" s="272" t="str">
        <f>HLOOKUP(INDICE!$F$2,Nombres!$C$3:$D$636,232,FALSE)</f>
        <v>España</v>
      </c>
      <c r="B8" s="222">
        <v>16995</v>
      </c>
      <c r="C8" s="222">
        <v>17340</v>
      </c>
      <c r="D8" s="222">
        <v>17154</v>
      </c>
      <c r="E8" s="222">
        <v>13756</v>
      </c>
      <c r="F8" s="222">
        <v>15201</v>
      </c>
      <c r="G8" s="222">
        <v>15416</v>
      </c>
      <c r="H8" s="222">
        <v>14920</v>
      </c>
      <c r="I8" s="222">
        <v>13122</v>
      </c>
    </row>
    <row r="9" spans="1:9" ht="15">
      <c r="A9" s="272" t="str">
        <f>HLOOKUP(INDICE!$F$2,Nombres!$C$3:$D$636,233,FALSE)</f>
        <v>Italia</v>
      </c>
      <c r="B9" s="222">
        <v>7144</v>
      </c>
      <c r="C9" s="222">
        <v>7620</v>
      </c>
      <c r="D9" s="222">
        <v>7579</v>
      </c>
      <c r="E9" s="222">
        <v>4587</v>
      </c>
      <c r="F9" s="222">
        <v>4581</v>
      </c>
      <c r="G9" s="222">
        <v>4577</v>
      </c>
      <c r="H9" s="222">
        <v>4572</v>
      </c>
      <c r="I9" s="222">
        <v>4067</v>
      </c>
    </row>
    <row r="10" spans="1:9" ht="15">
      <c r="A10" s="273" t="str">
        <f>HLOOKUP(INDICE!$F$2,Nombres!$C$3:$D$636,234,FALSE)</f>
        <v>Resto</v>
      </c>
      <c r="B10" s="274">
        <v>1751</v>
      </c>
      <c r="C10" s="274">
        <v>3439</v>
      </c>
      <c r="D10" s="274">
        <v>3748</v>
      </c>
      <c r="E10" s="274">
        <v>4226</v>
      </c>
      <c r="F10" s="274">
        <v>3210</v>
      </c>
      <c r="G10" s="274">
        <v>3051</v>
      </c>
      <c r="H10" s="274">
        <v>3145</v>
      </c>
      <c r="I10" s="274">
        <v>4712</v>
      </c>
    </row>
    <row r="11" spans="1:9" ht="15">
      <c r="A11" s="271" t="str">
        <f>HLOOKUP(INDICE!$F$2,Nombres!$C$3:$D$636,235,FALSE)</f>
        <v>USA</v>
      </c>
      <c r="B11" s="222">
        <v>10572</v>
      </c>
      <c r="C11" s="222">
        <v>11210</v>
      </c>
      <c r="D11" s="222">
        <v>11399</v>
      </c>
      <c r="E11" s="222">
        <v>11681</v>
      </c>
      <c r="F11" s="222">
        <v>11894</v>
      </c>
      <c r="G11" s="222">
        <v>11697</v>
      </c>
      <c r="H11" s="222">
        <v>12227</v>
      </c>
      <c r="I11" s="222">
        <v>11995</v>
      </c>
    </row>
    <row r="12" spans="1:9" ht="15">
      <c r="A12" s="271" t="str">
        <f>HLOOKUP(INDICE!$F$2,Nombres!$C$3:$D$636,236,FALSE)</f>
        <v>Turquia</v>
      </c>
      <c r="B12" s="222">
        <v>9251</v>
      </c>
      <c r="C12" s="222">
        <v>8630</v>
      </c>
      <c r="D12" s="222">
        <v>7262</v>
      </c>
      <c r="E12" s="222">
        <v>8295</v>
      </c>
      <c r="F12" s="222">
        <v>8206</v>
      </c>
      <c r="G12" s="222">
        <v>8149</v>
      </c>
      <c r="H12" s="222">
        <v>8557</v>
      </c>
      <c r="I12" s="222">
        <v>7939</v>
      </c>
    </row>
    <row r="13" spans="1:9" ht="15">
      <c r="A13" s="271" t="str">
        <f>HLOOKUP(INDICE!$F$2,Nombres!$C$3:$D$636,237,FALSE)</f>
        <v>Mexico</v>
      </c>
      <c r="B13" s="222">
        <v>4644</v>
      </c>
      <c r="C13" s="222">
        <v>5143</v>
      </c>
      <c r="D13" s="222">
        <v>5628</v>
      </c>
      <c r="E13" s="222">
        <v>4726</v>
      </c>
      <c r="F13" s="222">
        <v>6430</v>
      </c>
      <c r="G13" s="222">
        <v>4970</v>
      </c>
      <c r="H13" s="222">
        <v>4912</v>
      </c>
      <c r="I13" s="222">
        <v>6251</v>
      </c>
    </row>
    <row r="14" spans="1:9" ht="15">
      <c r="A14" s="271" t="str">
        <f>HLOOKUP(INDICE!$F$2,Nombres!$C$3:$D$636,238,FALSE)</f>
        <v>Amércia del Sur</v>
      </c>
      <c r="B14" s="222">
        <v>3529</v>
      </c>
      <c r="C14" s="222">
        <v>3542</v>
      </c>
      <c r="D14" s="222">
        <v>2642</v>
      </c>
      <c r="E14" s="222">
        <v>2417</v>
      </c>
      <c r="F14" s="222">
        <v>2899</v>
      </c>
      <c r="G14" s="222">
        <v>3034</v>
      </c>
      <c r="H14" s="222">
        <v>3265</v>
      </c>
      <c r="I14" s="222">
        <v>2745.4</v>
      </c>
    </row>
    <row r="15" spans="1:9" ht="15">
      <c r="A15" s="292"/>
      <c r="B15" s="275">
        <f aca="true" t="shared" si="0" ref="B15:I15">+B6-B8-B9-B10-B11-B12-B13-B14</f>
        <v>0</v>
      </c>
      <c r="C15" s="275">
        <f t="shared" si="0"/>
        <v>0</v>
      </c>
      <c r="D15" s="275">
        <f t="shared" si="0"/>
        <v>0</v>
      </c>
      <c r="E15" s="275">
        <f t="shared" si="0"/>
        <v>0</v>
      </c>
      <c r="F15" s="275">
        <f t="shared" si="0"/>
        <v>0</v>
      </c>
      <c r="G15" s="275">
        <f t="shared" si="0"/>
        <v>0</v>
      </c>
      <c r="H15" s="275">
        <f t="shared" si="0"/>
        <v>0</v>
      </c>
      <c r="I15" s="275">
        <f t="shared" si="0"/>
        <v>0</v>
      </c>
    </row>
    <row r="16" spans="1:9" ht="15">
      <c r="A16" s="292"/>
      <c r="B16" s="275"/>
      <c r="C16" s="275"/>
      <c r="D16" s="275"/>
      <c r="E16" s="275"/>
      <c r="F16" s="275"/>
      <c r="G16" s="275"/>
      <c r="H16" s="275"/>
      <c r="I16" s="275"/>
    </row>
    <row r="17" spans="1:9" ht="15">
      <c r="A17" s="292"/>
      <c r="B17" s="275"/>
      <c r="C17" s="275"/>
      <c r="D17" s="275"/>
      <c r="E17" s="275"/>
      <c r="F17" s="275"/>
      <c r="G17" s="275"/>
      <c r="H17" s="275"/>
      <c r="I17" s="275"/>
    </row>
    <row r="18" spans="1:9" ht="15.75" customHeight="1">
      <c r="A18" s="219"/>
      <c r="B18" s="303" t="str">
        <f>HLOOKUP(INDICE!$F$2,Nombres!$C$3:$D$636,240,FALSE)</f>
        <v>Cartera COAP a Coste Amortizado</v>
      </c>
      <c r="C18" s="302"/>
      <c r="D18" s="302"/>
      <c r="E18" s="302"/>
      <c r="F18" s="302"/>
      <c r="G18" s="302"/>
      <c r="H18" s="302"/>
      <c r="I18" s="302"/>
    </row>
    <row r="19" spans="1:9" ht="15.75">
      <c r="A19" s="220"/>
      <c r="B19" s="126">
        <f aca="true" t="shared" si="1" ref="B19:I19">+B$5</f>
        <v>43190</v>
      </c>
      <c r="C19" s="126">
        <f t="shared" si="1"/>
        <v>43281</v>
      </c>
      <c r="D19" s="126">
        <f t="shared" si="1"/>
        <v>43373</v>
      </c>
      <c r="E19" s="126">
        <f t="shared" si="1"/>
        <v>43465</v>
      </c>
      <c r="F19" s="126">
        <f t="shared" si="1"/>
        <v>43555</v>
      </c>
      <c r="G19" s="126">
        <f t="shared" si="1"/>
        <v>43646</v>
      </c>
      <c r="H19" s="126">
        <f t="shared" si="1"/>
        <v>43738</v>
      </c>
      <c r="I19" s="126">
        <f t="shared" si="1"/>
        <v>43830</v>
      </c>
    </row>
    <row r="20" spans="1:9" ht="15">
      <c r="A20" s="270" t="str">
        <f>HLOOKUP(INDICE!$F$2,Nombres!$C$3:$D$636,230,FALSE)</f>
        <v>Grupo BBVA</v>
      </c>
      <c r="B20" s="224">
        <v>16902.25</v>
      </c>
      <c r="C20" s="224">
        <v>17973.13</v>
      </c>
      <c r="D20" s="224">
        <v>17588.81</v>
      </c>
      <c r="E20" s="224">
        <v>17537.54</v>
      </c>
      <c r="F20" s="224">
        <v>21015.82</v>
      </c>
      <c r="G20" s="224">
        <v>21479</v>
      </c>
      <c r="H20" s="224">
        <v>23362</v>
      </c>
      <c r="I20" s="224">
        <v>23176</v>
      </c>
    </row>
    <row r="21" spans="1:9" ht="15">
      <c r="A21" s="271" t="str">
        <f>HLOOKUP(INDICE!$F$2,Nombres!$C$3:$D$636,231,FALSE)</f>
        <v>Balance Euro</v>
      </c>
      <c r="B21" s="222">
        <v>11378</v>
      </c>
      <c r="C21" s="222">
        <v>12303</v>
      </c>
      <c r="D21" s="222">
        <v>12059</v>
      </c>
      <c r="E21" s="222">
        <v>11002</v>
      </c>
      <c r="F21" s="222">
        <v>12432</v>
      </c>
      <c r="G21" s="222">
        <v>12599</v>
      </c>
      <c r="H21" s="222">
        <v>12737</v>
      </c>
      <c r="I21" s="222">
        <v>12485</v>
      </c>
    </row>
    <row r="22" spans="1:9" ht="15">
      <c r="A22" s="272" t="str">
        <f>HLOOKUP(INDICE!$F$2,Nombres!$C$3:$D$636,232,FALSE)</f>
        <v>España</v>
      </c>
      <c r="B22" s="222">
        <v>7458</v>
      </c>
      <c r="C22" s="222">
        <v>7902</v>
      </c>
      <c r="D22" s="222">
        <v>7730</v>
      </c>
      <c r="E22" s="222">
        <v>7700</v>
      </c>
      <c r="F22" s="222">
        <v>9149</v>
      </c>
      <c r="G22" s="222">
        <v>9368</v>
      </c>
      <c r="H22" s="222">
        <v>9524</v>
      </c>
      <c r="I22" s="222">
        <v>9346</v>
      </c>
    </row>
    <row r="23" spans="1:9" ht="15">
      <c r="A23" s="272" t="str">
        <f>HLOOKUP(INDICE!$F$2,Nombres!$C$3:$D$636,233,FALSE)</f>
        <v>Italia</v>
      </c>
      <c r="B23" s="222">
        <v>3517</v>
      </c>
      <c r="C23" s="222">
        <v>4003</v>
      </c>
      <c r="D23" s="222">
        <v>3996</v>
      </c>
      <c r="E23" s="222">
        <v>2989</v>
      </c>
      <c r="F23" s="222">
        <v>2985</v>
      </c>
      <c r="G23" s="222">
        <v>2981</v>
      </c>
      <c r="H23" s="222">
        <v>2977</v>
      </c>
      <c r="I23" s="222">
        <v>2973</v>
      </c>
    </row>
    <row r="24" spans="1:9" ht="15">
      <c r="A24" s="273" t="str">
        <f>HLOOKUP(INDICE!$F$2,Nombres!$C$3:$D$636,234,FALSE)</f>
        <v>Resto</v>
      </c>
      <c r="B24" s="222">
        <v>403</v>
      </c>
      <c r="C24" s="222">
        <v>398</v>
      </c>
      <c r="D24" s="222">
        <v>333</v>
      </c>
      <c r="E24" s="222">
        <v>313</v>
      </c>
      <c r="F24" s="222">
        <v>298</v>
      </c>
      <c r="G24" s="222">
        <v>250</v>
      </c>
      <c r="H24" s="222">
        <v>236</v>
      </c>
      <c r="I24" s="222">
        <v>166</v>
      </c>
    </row>
    <row r="25" spans="1:9" ht="15">
      <c r="A25" s="271" t="str">
        <f>HLOOKUP(INDICE!$F$2,Nombres!$C$3:$D$636,235,FALSE)</f>
        <v>USA</v>
      </c>
      <c r="B25" s="222">
        <v>876</v>
      </c>
      <c r="C25" s="222">
        <v>1273</v>
      </c>
      <c r="D25" s="222">
        <v>1494</v>
      </c>
      <c r="E25" s="222">
        <v>1920</v>
      </c>
      <c r="F25" s="222">
        <v>3498</v>
      </c>
      <c r="G25" s="222">
        <v>3758</v>
      </c>
      <c r="H25" s="222">
        <v>5234</v>
      </c>
      <c r="I25" s="222">
        <v>5540</v>
      </c>
    </row>
    <row r="26" spans="1:9" ht="15">
      <c r="A26" s="271" t="str">
        <f>HLOOKUP(INDICE!$F$2,Nombres!$C$3:$D$636,236,FALSE)</f>
        <v>Turquia</v>
      </c>
      <c r="B26" s="222">
        <v>4467</v>
      </c>
      <c r="C26" s="222">
        <v>4125</v>
      </c>
      <c r="D26" s="222">
        <v>3548</v>
      </c>
      <c r="E26" s="222">
        <v>4236</v>
      </c>
      <c r="F26" s="222">
        <v>4180</v>
      </c>
      <c r="G26" s="222">
        <v>4236</v>
      </c>
      <c r="H26" s="222">
        <v>4533</v>
      </c>
      <c r="I26" s="222">
        <v>4287</v>
      </c>
    </row>
    <row r="27" spans="1:9" ht="15">
      <c r="A27" s="271" t="str">
        <f>HLOOKUP(INDICE!$F$2,Nombres!$C$3:$D$636,237,FALSE)</f>
        <v>Mexico</v>
      </c>
      <c r="B27" s="222">
        <v>0</v>
      </c>
      <c r="C27" s="222">
        <v>87</v>
      </c>
      <c r="D27" s="222">
        <v>321</v>
      </c>
      <c r="E27" s="222">
        <v>311</v>
      </c>
      <c r="F27" s="222">
        <v>784</v>
      </c>
      <c r="G27" s="222">
        <v>779</v>
      </c>
      <c r="H27" s="222">
        <v>792</v>
      </c>
      <c r="I27" s="222">
        <v>801</v>
      </c>
    </row>
    <row r="28" spans="1:9" ht="15">
      <c r="A28" s="271" t="str">
        <f>HLOOKUP(INDICE!$F$2,Nombres!$C$3:$D$636,238,FALSE)</f>
        <v>Amércia del Sur</v>
      </c>
      <c r="B28" s="222">
        <v>181</v>
      </c>
      <c r="C28" s="222">
        <v>185</v>
      </c>
      <c r="D28" s="222">
        <v>166</v>
      </c>
      <c r="E28" s="222">
        <v>68</v>
      </c>
      <c r="F28" s="222">
        <v>122</v>
      </c>
      <c r="G28" s="222">
        <v>107</v>
      </c>
      <c r="H28" s="222">
        <v>66</v>
      </c>
      <c r="I28" s="222">
        <v>63</v>
      </c>
    </row>
    <row r="29" spans="1:9" ht="15">
      <c r="A29" s="292"/>
      <c r="B29" s="275">
        <f aca="true" t="shared" si="2" ref="B29:I29">+B20-B22-B23-B24-B25-B26-B27-B28</f>
        <v>0.25</v>
      </c>
      <c r="C29" s="275">
        <f t="shared" si="2"/>
        <v>0.13000000000101863</v>
      </c>
      <c r="D29" s="275">
        <f t="shared" si="2"/>
        <v>0.8100000000013097</v>
      </c>
      <c r="E29" s="275">
        <f t="shared" si="2"/>
        <v>0.5400000000008731</v>
      </c>
      <c r="F29" s="275">
        <f t="shared" si="2"/>
        <v>-0.18000000000029104</v>
      </c>
      <c r="G29" s="275">
        <f t="shared" si="2"/>
        <v>0</v>
      </c>
      <c r="H29" s="275">
        <f t="shared" si="2"/>
        <v>0</v>
      </c>
      <c r="I29" s="275">
        <f t="shared" si="2"/>
        <v>0</v>
      </c>
    </row>
    <row r="30" spans="1:9" ht="15.75">
      <c r="A30" s="292"/>
      <c r="B30" s="215"/>
      <c r="C30" s="215"/>
      <c r="D30" s="215"/>
      <c r="E30" s="215"/>
      <c r="F30" s="227"/>
      <c r="G30" s="227"/>
      <c r="H30" s="227"/>
      <c r="I30" s="227"/>
    </row>
    <row r="31" spans="1:9" ht="15.75">
      <c r="A31" s="216"/>
      <c r="B31" s="227"/>
      <c r="C31" s="227"/>
      <c r="D31" s="227"/>
      <c r="E31" s="227"/>
      <c r="F31" s="227"/>
      <c r="G31" s="215"/>
      <c r="H31" s="215"/>
      <c r="I31" s="215"/>
    </row>
    <row r="32" spans="1:9" ht="15.75" customHeight="1">
      <c r="A32" s="219"/>
      <c r="B32" s="303" t="str">
        <f>HLOOKUP(INDICE!$F$2,Nombres!$C$3:$D$636,241,FALSE)</f>
        <v>Cartera COAP a Valor Razonable</v>
      </c>
      <c r="C32" s="302"/>
      <c r="D32" s="302"/>
      <c r="E32" s="302"/>
      <c r="F32" s="302"/>
      <c r="G32" s="302"/>
      <c r="H32" s="302"/>
      <c r="I32" s="302"/>
    </row>
    <row r="33" spans="1:9" ht="15.75">
      <c r="A33" s="220"/>
      <c r="B33" s="126">
        <f aca="true" t="shared" si="3" ref="B33:I33">+B$5</f>
        <v>43190</v>
      </c>
      <c r="C33" s="126">
        <f t="shared" si="3"/>
        <v>43281</v>
      </c>
      <c r="D33" s="126">
        <f t="shared" si="3"/>
        <v>43373</v>
      </c>
      <c r="E33" s="126">
        <f t="shared" si="3"/>
        <v>43465</v>
      </c>
      <c r="F33" s="126">
        <f t="shared" si="3"/>
        <v>43555</v>
      </c>
      <c r="G33" s="126">
        <f t="shared" si="3"/>
        <v>43646</v>
      </c>
      <c r="H33" s="126">
        <f t="shared" si="3"/>
        <v>43738</v>
      </c>
      <c r="I33" s="126">
        <f t="shared" si="3"/>
        <v>43830</v>
      </c>
    </row>
    <row r="34" spans="1:9" ht="15">
      <c r="A34" s="270" t="str">
        <f>HLOOKUP(INDICE!$F$2,Nombres!$C$3:$D$636,230,FALSE)</f>
        <v>Grupo BBVA</v>
      </c>
      <c r="B34" s="224">
        <v>36983.75</v>
      </c>
      <c r="C34" s="224">
        <v>38950.87</v>
      </c>
      <c r="D34" s="224">
        <v>37823.19</v>
      </c>
      <c r="E34" s="224">
        <v>32150.25</v>
      </c>
      <c r="F34" s="224">
        <v>31405.18</v>
      </c>
      <c r="G34" s="224">
        <v>29415</v>
      </c>
      <c r="H34" s="224">
        <v>28235</v>
      </c>
      <c r="I34" s="224">
        <v>27655</v>
      </c>
    </row>
    <row r="35" spans="1:9" ht="15">
      <c r="A35" s="221" t="str">
        <f>HLOOKUP(INDICE!$F$2,Nombres!$C$3:$D$636,231,FALSE)</f>
        <v>Balance Euro</v>
      </c>
      <c r="B35" s="222">
        <v>14512</v>
      </c>
      <c r="C35" s="222">
        <v>16096</v>
      </c>
      <c r="D35" s="222">
        <v>16422</v>
      </c>
      <c r="E35" s="222">
        <v>11567</v>
      </c>
      <c r="F35" s="222">
        <v>10560</v>
      </c>
      <c r="G35" s="222">
        <v>10445</v>
      </c>
      <c r="H35" s="222">
        <v>9900</v>
      </c>
      <c r="I35" s="222">
        <v>9416</v>
      </c>
    </row>
    <row r="36" spans="1:9" ht="15">
      <c r="A36" s="273" t="str">
        <f>HLOOKUP(INDICE!$F$2,Nombres!$C$3:$D$636,232,FALSE)</f>
        <v>España</v>
      </c>
      <c r="B36" s="222">
        <v>9537</v>
      </c>
      <c r="C36" s="222">
        <v>9438</v>
      </c>
      <c r="D36" s="222">
        <v>9424</v>
      </c>
      <c r="E36" s="222">
        <v>6056</v>
      </c>
      <c r="F36" s="222">
        <v>6052</v>
      </c>
      <c r="G36" s="222">
        <v>6048</v>
      </c>
      <c r="H36" s="222">
        <v>5396</v>
      </c>
      <c r="I36" s="222">
        <v>3776</v>
      </c>
    </row>
    <row r="37" spans="1:9" ht="15">
      <c r="A37" s="273" t="str">
        <f>HLOOKUP(INDICE!$F$2,Nombres!$C$3:$D$636,233,FALSE)</f>
        <v>Italia</v>
      </c>
      <c r="B37" s="222">
        <v>3627</v>
      </c>
      <c r="C37" s="222">
        <v>3617</v>
      </c>
      <c r="D37" s="222">
        <v>3583</v>
      </c>
      <c r="E37" s="222">
        <v>1598</v>
      </c>
      <c r="F37" s="222">
        <v>1596</v>
      </c>
      <c r="G37" s="222">
        <v>1596</v>
      </c>
      <c r="H37" s="222">
        <v>1595</v>
      </c>
      <c r="I37" s="222">
        <v>1094</v>
      </c>
    </row>
    <row r="38" spans="1:9" ht="15">
      <c r="A38" s="273" t="str">
        <f>HLOOKUP(INDICE!$F$2,Nombres!$C$3:$D$636,234,FALSE)</f>
        <v>Resto</v>
      </c>
      <c r="B38" s="222">
        <v>1348</v>
      </c>
      <c r="C38" s="222">
        <v>3041</v>
      </c>
      <c r="D38" s="222">
        <v>3415</v>
      </c>
      <c r="E38" s="222">
        <v>3913</v>
      </c>
      <c r="F38" s="222">
        <v>2912</v>
      </c>
      <c r="G38" s="222">
        <v>2801</v>
      </c>
      <c r="H38" s="222">
        <v>2909</v>
      </c>
      <c r="I38" s="222">
        <v>4546</v>
      </c>
    </row>
    <row r="39" spans="1:9" ht="15">
      <c r="A39" s="221" t="str">
        <f>HLOOKUP(INDICE!$F$2,Nombres!$C$3:$D$636,235,FALSE)</f>
        <v>USA</v>
      </c>
      <c r="B39" s="222">
        <v>9696</v>
      </c>
      <c r="C39" s="222">
        <v>9937</v>
      </c>
      <c r="D39" s="222">
        <v>9905</v>
      </c>
      <c r="E39" s="222">
        <v>9761</v>
      </c>
      <c r="F39" s="222">
        <v>8396</v>
      </c>
      <c r="G39" s="222">
        <v>7939</v>
      </c>
      <c r="H39" s="222">
        <v>6993</v>
      </c>
      <c r="I39" s="222">
        <v>6455</v>
      </c>
    </row>
    <row r="40" spans="1:9" ht="15">
      <c r="A40" s="221" t="str">
        <f>HLOOKUP(INDICE!$F$2,Nombres!$C$3:$D$636,236,FALSE)</f>
        <v>Turquia</v>
      </c>
      <c r="B40" s="222">
        <v>4784</v>
      </c>
      <c r="C40" s="222">
        <v>4505</v>
      </c>
      <c r="D40" s="222">
        <v>3714</v>
      </c>
      <c r="E40" s="222">
        <v>4059</v>
      </c>
      <c r="F40" s="222">
        <v>4026</v>
      </c>
      <c r="G40" s="222">
        <v>3913</v>
      </c>
      <c r="H40" s="222">
        <v>4024</v>
      </c>
      <c r="I40" s="222">
        <v>3652</v>
      </c>
    </row>
    <row r="41" spans="1:9" ht="15">
      <c r="A41" s="221" t="str">
        <f>HLOOKUP(INDICE!$F$2,Nombres!$C$3:$D$636,237,FALSE)</f>
        <v>Mexico</v>
      </c>
      <c r="B41" s="222">
        <v>4644</v>
      </c>
      <c r="C41" s="222">
        <v>5056</v>
      </c>
      <c r="D41" s="222">
        <v>5307</v>
      </c>
      <c r="E41" s="222">
        <v>4415</v>
      </c>
      <c r="F41" s="222">
        <v>5646</v>
      </c>
      <c r="G41" s="222">
        <v>4191</v>
      </c>
      <c r="H41" s="222">
        <v>4119</v>
      </c>
      <c r="I41" s="222">
        <v>5450</v>
      </c>
    </row>
    <row r="42" spans="1:9" ht="15">
      <c r="A42" s="221" t="str">
        <f>HLOOKUP(INDICE!$F$2,Nombres!$C$3:$D$636,238,FALSE)</f>
        <v>Amércia del Sur</v>
      </c>
      <c r="B42" s="222">
        <v>3348</v>
      </c>
      <c r="C42" s="222">
        <v>3357</v>
      </c>
      <c r="D42" s="222">
        <v>2476</v>
      </c>
      <c r="E42" s="222">
        <v>2349</v>
      </c>
      <c r="F42" s="222">
        <v>2777</v>
      </c>
      <c r="G42" s="222">
        <v>2927</v>
      </c>
      <c r="H42" s="222">
        <v>3199</v>
      </c>
      <c r="I42" s="222">
        <v>2682</v>
      </c>
    </row>
    <row r="43" spans="2:9" ht="15">
      <c r="B43" s="275">
        <f aca="true" t="shared" si="4" ref="B43:I43">+B34-B36-B37-B38-B39-B40-B41-B42</f>
        <v>-0.25</v>
      </c>
      <c r="C43" s="275">
        <f t="shared" si="4"/>
        <v>-0.12999999999738066</v>
      </c>
      <c r="D43" s="275">
        <f t="shared" si="4"/>
        <v>-0.8099999999976717</v>
      </c>
      <c r="E43" s="275">
        <f t="shared" si="4"/>
        <v>-0.75</v>
      </c>
      <c r="F43" s="275">
        <f t="shared" si="4"/>
        <v>0.18000000000029104</v>
      </c>
      <c r="G43" s="275">
        <f t="shared" si="4"/>
        <v>0</v>
      </c>
      <c r="H43" s="275">
        <f t="shared" si="4"/>
        <v>0</v>
      </c>
      <c r="I43" s="275">
        <f t="shared" si="4"/>
        <v>0</v>
      </c>
    </row>
    <row r="1000" ht="15">
      <c r="A1000" s="215" t="s">
        <v>399</v>
      </c>
    </row>
  </sheetData>
  <sheetProtection/>
  <mergeCells count="3">
    <mergeCell ref="B4:I4"/>
    <mergeCell ref="B18:I18"/>
    <mergeCell ref="B32:I32"/>
  </mergeCells>
  <conditionalFormatting sqref="B15:I17">
    <cfRule type="cellIs" priority="3" dxfId="116" operator="notEqual">
      <formula>0</formula>
    </cfRule>
  </conditionalFormatting>
  <conditionalFormatting sqref="B29:I29">
    <cfRule type="cellIs" priority="2" dxfId="116" operator="notBetween">
      <formula>1</formula>
      <formula>-1</formula>
    </cfRule>
  </conditionalFormatting>
  <conditionalFormatting sqref="B43:I43">
    <cfRule type="cellIs" priority="1" dxfId="116" operator="notBetween">
      <formula>1</formula>
      <formula>-1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1000"/>
  <sheetViews>
    <sheetView showGridLines="0" zoomScale="80" zoomScaleNormal="80" zoomScalePageLayoutView="0" workbookViewId="0" topLeftCell="A16">
      <selection activeCell="A34" sqref="A34"/>
    </sheetView>
  </sheetViews>
  <sheetFormatPr defaultColWidth="11.421875" defaultRowHeight="15"/>
  <cols>
    <col min="1" max="1" width="88.57421875" style="31" customWidth="1"/>
    <col min="2" max="4" width="11.421875" style="31" customWidth="1"/>
    <col min="5" max="5" width="10.421875" style="31" customWidth="1"/>
    <col min="6" max="6" width="11.421875" style="31" customWidth="1"/>
    <col min="7" max="7" width="11.8515625" style="31" bestFit="1" customWidth="1"/>
    <col min="8" max="9" width="11.57421875" style="31" bestFit="1" customWidth="1"/>
    <col min="10" max="16384" width="11.421875" style="31" customWidth="1"/>
  </cols>
  <sheetData>
    <row r="1" spans="1:9" ht="18">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7">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4287.422153</v>
      </c>
      <c r="C8" s="41">
        <v>4302.38155715</v>
      </c>
      <c r="D8" s="41">
        <v>4309.4902948399995</v>
      </c>
      <c r="E8" s="42">
        <v>4691.88200004</v>
      </c>
      <c r="F8" s="41">
        <v>4420.427999990001</v>
      </c>
      <c r="G8" s="52">
        <v>4566.3269999799995</v>
      </c>
      <c r="H8" s="52">
        <v>4488.12799996</v>
      </c>
      <c r="I8" s="52">
        <v>4726.919000050001</v>
      </c>
    </row>
    <row r="9" spans="1:9" ht="15">
      <c r="A9" s="43" t="str">
        <f>HLOOKUP(INDICE!$F$2,Nombres!$C$3:$D$636,34,FALSE)</f>
        <v>Comisiones netas</v>
      </c>
      <c r="B9" s="44">
        <v>1236.26700248</v>
      </c>
      <c r="C9" s="44">
        <v>1243.7485599000001</v>
      </c>
      <c r="D9" s="44">
        <v>1173.33043761</v>
      </c>
      <c r="E9" s="45">
        <v>1225.76500002</v>
      </c>
      <c r="F9" s="44">
        <v>1213.99800003</v>
      </c>
      <c r="G9" s="44">
        <v>1255.8010000200002</v>
      </c>
      <c r="H9" s="44">
        <v>1272.97800094</v>
      </c>
      <c r="I9" s="44">
        <v>1290.09199998</v>
      </c>
    </row>
    <row r="10" spans="1:9" ht="15">
      <c r="A10" s="43" t="str">
        <f>HLOOKUP(INDICE!$F$2,Nombres!$C$3:$D$636,35,FALSE)</f>
        <v>Resultados de operaciones financieras</v>
      </c>
      <c r="B10" s="44">
        <v>410.11677274000004</v>
      </c>
      <c r="C10" s="44">
        <v>285.45319947999997</v>
      </c>
      <c r="D10" s="44">
        <v>211.75902775</v>
      </c>
      <c r="E10" s="45">
        <v>315.84200000000016</v>
      </c>
      <c r="F10" s="44">
        <v>426.1780000399999</v>
      </c>
      <c r="G10" s="44">
        <v>116.03799997</v>
      </c>
      <c r="H10" s="44">
        <v>351.23399699999993</v>
      </c>
      <c r="I10" s="44">
        <v>490.024</v>
      </c>
    </row>
    <row r="11" spans="1:9" ht="15">
      <c r="A11" s="43" t="str">
        <f>HLOOKUP(INDICE!$F$2,Nombres!$C$3:$D$636,96,FALSE)</f>
        <v>Ingresos por dividendos</v>
      </c>
      <c r="B11" s="44">
        <v>11.561848180000027</v>
      </c>
      <c r="C11" s="44">
        <v>71.62975590999997</v>
      </c>
      <c r="D11" s="44">
        <v>11.52539591000019</v>
      </c>
      <c r="E11" s="45">
        <v>62.340999999999624</v>
      </c>
      <c r="F11" s="44">
        <v>10.28400000000002</v>
      </c>
      <c r="G11" s="44">
        <v>92.24199998999993</v>
      </c>
      <c r="H11" s="44">
        <v>1.3880000000002057</v>
      </c>
      <c r="I11" s="44">
        <v>58.51300000000013</v>
      </c>
    </row>
    <row r="12" spans="1:9" ht="15">
      <c r="A12" s="43" t="str">
        <f>HLOOKUP(INDICE!$F$2,Nombres!$C$3:$D$636,97,FALSE)</f>
        <v>Part. gananc/pdas inversiones en dependientes, neg conjunt y asoc</v>
      </c>
      <c r="B12" s="44">
        <v>7.894504189999999</v>
      </c>
      <c r="C12" s="44">
        <v>5.04038583</v>
      </c>
      <c r="D12" s="44">
        <v>-1.6138900200000004</v>
      </c>
      <c r="E12" s="45">
        <v>-18.819000000000003</v>
      </c>
      <c r="F12" s="44">
        <v>-4.149</v>
      </c>
      <c r="G12" s="44">
        <v>-15.067</v>
      </c>
      <c r="H12" s="44">
        <v>-6.136999999999996</v>
      </c>
      <c r="I12" s="44">
        <v>-16.655</v>
      </c>
    </row>
    <row r="13" spans="1:9" ht="15">
      <c r="A13" s="43" t="str">
        <f>HLOOKUP(INDICE!$F$2,Nombres!$C$3:$D$636,98,FALSE)</f>
        <v>Otros productos/cargas de explotación</v>
      </c>
      <c r="B13" s="44">
        <v>72.34721659</v>
      </c>
      <c r="C13" s="44">
        <v>-70.39526781</v>
      </c>
      <c r="D13" s="44">
        <v>28.171051200000058</v>
      </c>
      <c r="E13" s="45">
        <v>-126.04899999000003</v>
      </c>
      <c r="F13" s="44">
        <v>1.862000009999992</v>
      </c>
      <c r="G13" s="44">
        <v>-95.11899996999995</v>
      </c>
      <c r="H13" s="44">
        <v>27.21699996000006</v>
      </c>
      <c r="I13" s="44">
        <v>-130.98099998</v>
      </c>
    </row>
    <row r="14" spans="1:9" ht="15">
      <c r="A14" s="41" t="str">
        <f>HLOOKUP(INDICE!$F$2,Nombres!$C$3:$D$636,37,FALSE)</f>
        <v>Margen bruto</v>
      </c>
      <c r="B14" s="41">
        <f>+SUM(B8:B13)</f>
        <v>6025.60949718</v>
      </c>
      <c r="C14" s="41">
        <f aca="true" t="shared" si="0" ref="C14:I14">+SUM(C8:C13)</f>
        <v>5837.85819046</v>
      </c>
      <c r="D14" s="41">
        <f t="shared" si="0"/>
        <v>5732.66231729</v>
      </c>
      <c r="E14" s="42">
        <f t="shared" si="0"/>
        <v>6150.96200007</v>
      </c>
      <c r="F14" s="41">
        <f t="shared" si="0"/>
        <v>6068.60100007</v>
      </c>
      <c r="G14" s="52">
        <f t="shared" si="0"/>
        <v>5920.22199999</v>
      </c>
      <c r="H14" s="52">
        <f t="shared" si="0"/>
        <v>6134.807997860001</v>
      </c>
      <c r="I14" s="52">
        <f t="shared" si="0"/>
        <v>6417.912000050002</v>
      </c>
    </row>
    <row r="15" spans="1:9" ht="15">
      <c r="A15" s="43" t="str">
        <f>HLOOKUP(INDICE!$F$2,Nombres!$C$3:$D$636,38,FALSE)</f>
        <v>Gastos de explotación</v>
      </c>
      <c r="B15" s="44">
        <v>-2975.1916225200002</v>
      </c>
      <c r="C15" s="44">
        <v>-2921.1472619499996</v>
      </c>
      <c r="D15" s="44">
        <v>-2824.9381155</v>
      </c>
      <c r="E15" s="45">
        <v>-2980.86700009</v>
      </c>
      <c r="F15" s="44">
        <v>-2921.7309999</v>
      </c>
      <c r="G15" s="44">
        <v>-2952.43700013</v>
      </c>
      <c r="H15" s="44">
        <v>-2945.60500104</v>
      </c>
      <c r="I15" s="44">
        <v>-3082.45899999</v>
      </c>
    </row>
    <row r="16" spans="1:9" ht="15">
      <c r="A16" s="43" t="str">
        <f>HLOOKUP(INDICE!$F$2,Nombres!$C$3:$D$636,39,FALSE)</f>
        <v>  Gastos de administración</v>
      </c>
      <c r="B16" s="44">
        <v>-2671.08788329</v>
      </c>
      <c r="C16" s="44">
        <v>-2626.3738188899997</v>
      </c>
      <c r="D16" s="44">
        <v>-2520.53729778</v>
      </c>
      <c r="E16" s="45">
        <v>-2676.29200011</v>
      </c>
      <c r="F16" s="44">
        <v>-2529.76799991</v>
      </c>
      <c r="G16" s="44">
        <v>-2553.9880000900002</v>
      </c>
      <c r="H16" s="44">
        <v>-2543.04100105</v>
      </c>
      <c r="I16" s="44">
        <v>-2676.1409999999996</v>
      </c>
    </row>
    <row r="17" spans="1:9" ht="15">
      <c r="A17" s="46" t="str">
        <f>HLOOKUP(INDICE!$F$2,Nombres!$C$3:$D$636,40,FALSE)</f>
        <v>  Gastos de personal</v>
      </c>
      <c r="B17" s="44">
        <v>-1565.2904623</v>
      </c>
      <c r="C17" s="44">
        <v>-1539.17713589</v>
      </c>
      <c r="D17" s="44">
        <v>-1458.9144018</v>
      </c>
      <c r="E17" s="45">
        <v>-1556.94300003</v>
      </c>
      <c r="F17" s="44">
        <v>-1552.57500002</v>
      </c>
      <c r="G17" s="44">
        <v>-1578.3360000300002</v>
      </c>
      <c r="H17" s="44">
        <v>-1572.27499993</v>
      </c>
      <c r="I17" s="44">
        <v>-1637.2500000199998</v>
      </c>
    </row>
    <row r="18" spans="1:9" ht="15">
      <c r="A18" s="46" t="str">
        <f>HLOOKUP(INDICE!$F$2,Nombres!$C$3:$D$636,41,FALSE)</f>
        <v>  Otros gastos de administración</v>
      </c>
      <c r="B18" s="44">
        <v>-1105.79742099</v>
      </c>
      <c r="C18" s="44">
        <v>-1087.196683</v>
      </c>
      <c r="D18" s="44">
        <v>-1061.62289598</v>
      </c>
      <c r="E18" s="45">
        <v>-1119.3490000800002</v>
      </c>
      <c r="F18" s="44">
        <v>-977.1929998899998</v>
      </c>
      <c r="G18" s="44">
        <v>-975.6520000599999</v>
      </c>
      <c r="H18" s="44">
        <v>-970.76600112</v>
      </c>
      <c r="I18" s="44">
        <v>-1038.8909999799998</v>
      </c>
    </row>
    <row r="19" spans="1:9" ht="15">
      <c r="A19" s="43" t="str">
        <f>HLOOKUP(INDICE!$F$2,Nombres!$C$3:$D$636,42,FALSE)</f>
        <v>  Amortización</v>
      </c>
      <c r="B19" s="44">
        <v>-304.10373923</v>
      </c>
      <c r="C19" s="44">
        <v>-294.77344306</v>
      </c>
      <c r="D19" s="44">
        <v>-304.40081772</v>
      </c>
      <c r="E19" s="45">
        <v>-304.5749999799999</v>
      </c>
      <c r="F19" s="44">
        <v>-391.96299998999996</v>
      </c>
      <c r="G19" s="44">
        <v>-398.44900004</v>
      </c>
      <c r="H19" s="44">
        <v>-402.56399998999996</v>
      </c>
      <c r="I19" s="44">
        <v>-406.3179999900001</v>
      </c>
    </row>
    <row r="20" spans="1:9" ht="15">
      <c r="A20" s="41" t="str">
        <f>HLOOKUP(INDICE!$F$2,Nombres!$C$3:$D$636,43,FALSE)</f>
        <v>Margen neto</v>
      </c>
      <c r="B20" s="41">
        <f>+B14+B15</f>
        <v>3050.41787466</v>
      </c>
      <c r="C20" s="41">
        <f aca="true" t="shared" si="1" ref="C20:I20">+C14+C15</f>
        <v>2916.71092851</v>
      </c>
      <c r="D20" s="41">
        <f t="shared" si="1"/>
        <v>2907.72420179</v>
      </c>
      <c r="E20" s="42">
        <f t="shared" si="1"/>
        <v>3170.0949999799996</v>
      </c>
      <c r="F20" s="41">
        <f t="shared" si="1"/>
        <v>3146.87000017</v>
      </c>
      <c r="G20" s="52">
        <f t="shared" si="1"/>
        <v>2967.78499986</v>
      </c>
      <c r="H20" s="52">
        <f t="shared" si="1"/>
        <v>3189.202996820001</v>
      </c>
      <c r="I20" s="52">
        <f t="shared" si="1"/>
        <v>3335.4530000600016</v>
      </c>
    </row>
    <row r="21" spans="1:9" ht="15">
      <c r="A21" s="43" t="str">
        <f>HLOOKUP(INDICE!$F$2,Nombres!$C$3:$D$636,44,FALSE)</f>
        <v>Deterioro de activos financieros no valorados a valor razonable con cambios en resultados</v>
      </c>
      <c r="B21" s="44">
        <v>-822.7675121899999</v>
      </c>
      <c r="C21" s="44">
        <v>-783.23477929</v>
      </c>
      <c r="D21" s="44">
        <v>-1022.6647084900001</v>
      </c>
      <c r="E21" s="45">
        <v>-1352.53500006</v>
      </c>
      <c r="F21" s="44">
        <v>-1023.2300000600001</v>
      </c>
      <c r="G21" s="44">
        <v>-753.49599992</v>
      </c>
      <c r="H21" s="44">
        <v>-1186.94000001</v>
      </c>
      <c r="I21" s="44">
        <v>-1187.2110000000002</v>
      </c>
    </row>
    <row r="22" spans="1:9" ht="15">
      <c r="A22" s="43" t="str">
        <f>HLOOKUP(INDICE!$F$2,Nombres!$C$3:$D$636,247,FALSE)</f>
        <v>Provisiones o reversión de provisiones</v>
      </c>
      <c r="B22" s="44">
        <v>-99.19968652999997</v>
      </c>
      <c r="C22" s="44">
        <v>-84.61494834000001</v>
      </c>
      <c r="D22" s="44">
        <v>-122.82836515000007</v>
      </c>
      <c r="E22" s="45">
        <v>-66.35299992999995</v>
      </c>
      <c r="F22" s="44">
        <v>-143.97699998000002</v>
      </c>
      <c r="G22" s="44">
        <v>-116.52999999000001</v>
      </c>
      <c r="H22" s="44">
        <v>-112.66099901000001</v>
      </c>
      <c r="I22" s="44">
        <v>-243.39500001</v>
      </c>
    </row>
    <row r="23" spans="1:9" ht="15">
      <c r="A23" s="43" t="str">
        <f>HLOOKUP(INDICE!$F$2,Nombres!$C$3:$D$636,248,FALSE)</f>
        <v>Otros resultados</v>
      </c>
      <c r="B23" s="44">
        <v>41.49775653</v>
      </c>
      <c r="C23" s="44">
        <v>66.82769159</v>
      </c>
      <c r="D23" s="44">
        <v>830.5305518800001</v>
      </c>
      <c r="E23" s="45">
        <v>-183.35799998</v>
      </c>
      <c r="F23" s="44">
        <v>-22.423</v>
      </c>
      <c r="G23" s="44">
        <v>-2.668000009999955</v>
      </c>
      <c r="H23" s="44">
        <v>-3.895000979999997</v>
      </c>
      <c r="I23" s="44">
        <v>-1444.3940000100001</v>
      </c>
    </row>
    <row r="24" spans="1:9" ht="15">
      <c r="A24" s="41" t="str">
        <f>HLOOKUP(INDICE!$F$2,Nombres!$C$3:$D$636,46,FALSE)</f>
        <v>Resultado antes de impuestos</v>
      </c>
      <c r="B24" s="52">
        <f aca="true" t="shared" si="2" ref="B24:I24">+B20+B21+B22+B23</f>
        <v>2169.94843247</v>
      </c>
      <c r="C24" s="52">
        <f t="shared" si="2"/>
        <v>2115.68889247</v>
      </c>
      <c r="D24" s="52">
        <f t="shared" si="2"/>
        <v>2592.7616800299998</v>
      </c>
      <c r="E24" s="42">
        <f t="shared" si="2"/>
        <v>1567.8490000099998</v>
      </c>
      <c r="F24" s="52">
        <f t="shared" si="2"/>
        <v>1957.24000013</v>
      </c>
      <c r="G24" s="52">
        <f t="shared" si="2"/>
        <v>2095.09099994</v>
      </c>
      <c r="H24" s="52">
        <f t="shared" si="2"/>
        <v>1885.7069968200008</v>
      </c>
      <c r="I24" s="52">
        <f t="shared" si="2"/>
        <v>460.45300004000137</v>
      </c>
    </row>
    <row r="25" spans="1:9" ht="15">
      <c r="A25" s="43" t="str">
        <f>HLOOKUP(INDICE!$F$2,Nombres!$C$3:$D$636,47,FALSE)</f>
        <v>Impuesto sobre beneficios</v>
      </c>
      <c r="B25" s="44">
        <v>-599.463654652857</v>
      </c>
      <c r="C25" s="44">
        <v>-584.7619565142858</v>
      </c>
      <c r="D25" s="44">
        <v>-623.9946560871426</v>
      </c>
      <c r="E25" s="45">
        <v>-410.7033771398572</v>
      </c>
      <c r="F25" s="44">
        <v>-541.0104508542856</v>
      </c>
      <c r="G25" s="44">
        <v>-594.9175491657143</v>
      </c>
      <c r="H25" s="44">
        <v>-487.53199999000003</v>
      </c>
      <c r="I25" s="44">
        <v>-429.61999905000005</v>
      </c>
    </row>
    <row r="26" spans="1:9" ht="15">
      <c r="A26" s="41" t="str">
        <f>HLOOKUP(INDICE!$F$2,Nombres!$C$3:$D$636,48,FALSE)</f>
        <v>Resultado del ejercicio</v>
      </c>
      <c r="B26" s="52">
        <f>+B24+B25</f>
        <v>1570.4847778171431</v>
      </c>
      <c r="C26" s="52">
        <f aca="true" t="shared" si="3" ref="C26:I26">+C24+C25</f>
        <v>1530.9269359557143</v>
      </c>
      <c r="D26" s="52">
        <f t="shared" si="3"/>
        <v>1968.7670239428571</v>
      </c>
      <c r="E26" s="42">
        <f t="shared" si="3"/>
        <v>1157.1456228701427</v>
      </c>
      <c r="F26" s="52">
        <f t="shared" si="3"/>
        <v>1416.2295492757144</v>
      </c>
      <c r="G26" s="52">
        <f t="shared" si="3"/>
        <v>1500.1734507742858</v>
      </c>
      <c r="H26" s="52">
        <f t="shared" si="3"/>
        <v>1398.1749968300007</v>
      </c>
      <c r="I26" s="52">
        <f t="shared" si="3"/>
        <v>30.833000990001324</v>
      </c>
    </row>
    <row r="27" spans="1:9" ht="15">
      <c r="A27" s="43" t="str">
        <f>HLOOKUP(INDICE!$F$2,Nombres!$C$3:$D$636,49,FALSE)</f>
        <v>Minoritarios</v>
      </c>
      <c r="B27" s="44">
        <v>-262.46146333</v>
      </c>
      <c r="C27" s="44">
        <v>-265.22821189</v>
      </c>
      <c r="D27" s="44">
        <v>-153.91332477999998</v>
      </c>
      <c r="E27" s="45">
        <v>-145.36799997999998</v>
      </c>
      <c r="F27" s="44">
        <v>-234.01900000999998</v>
      </c>
      <c r="G27" s="44">
        <v>-240.50699998</v>
      </c>
      <c r="H27" s="44">
        <v>-173.22900003000004</v>
      </c>
      <c r="I27" s="44">
        <v>-185.59799997999994</v>
      </c>
    </row>
    <row r="28" spans="1:9" ht="15">
      <c r="A28" s="47" t="str">
        <f>HLOOKUP(INDICE!$F$2,Nombres!$C$3:$D$636,50,FALSE)</f>
        <v>Resultado atribuido</v>
      </c>
      <c r="B28" s="47">
        <f>+B26+B27</f>
        <v>1308.0233144871431</v>
      </c>
      <c r="C28" s="47">
        <f aca="true" t="shared" si="4" ref="C28:I28">+C26+C27</f>
        <v>1265.6987240657143</v>
      </c>
      <c r="D28" s="47">
        <f t="shared" si="4"/>
        <v>1814.853699162857</v>
      </c>
      <c r="E28" s="47">
        <f t="shared" si="4"/>
        <v>1011.7776228901428</v>
      </c>
      <c r="F28" s="47">
        <f t="shared" si="4"/>
        <v>1182.2105492657145</v>
      </c>
      <c r="G28" s="53">
        <f t="shared" si="4"/>
        <v>1259.6664507942858</v>
      </c>
      <c r="H28" s="53">
        <f t="shared" si="4"/>
        <v>1224.9459968000008</v>
      </c>
      <c r="I28" s="53">
        <f t="shared" si="4"/>
        <v>-154.76499898999862</v>
      </c>
    </row>
    <row r="29" spans="1:9" ht="15">
      <c r="A29" s="48"/>
      <c r="B29" s="48"/>
      <c r="C29" s="48"/>
      <c r="D29" s="48"/>
      <c r="E29" s="48"/>
      <c r="F29" s="48"/>
      <c r="G29" s="281"/>
      <c r="H29" s="281"/>
      <c r="I29" s="281"/>
    </row>
    <row r="30" spans="1:9" ht="15">
      <c r="A30" s="47" t="str">
        <f>HLOOKUP(INDICE!$F$2,Nombres!$C$3:$D$636,249,FALSE)</f>
        <v>Resultado atribuido sin el deterioro del fondo de comercio de Estados Unidos y sin BBVA Chile (*)</v>
      </c>
      <c r="B30" s="47">
        <v>1278.9524149971435</v>
      </c>
      <c r="C30" s="47">
        <v>1230.7114252257145</v>
      </c>
      <c r="D30" s="47">
        <v>1181.5486991628568</v>
      </c>
      <c r="E30" s="47">
        <v>1011.7776228901432</v>
      </c>
      <c r="F30" s="47">
        <v>1182.2105492657145</v>
      </c>
      <c r="G30" s="47">
        <v>1259.6664507942853</v>
      </c>
      <c r="H30" s="47">
        <v>1224.9459968000008</v>
      </c>
      <c r="I30" s="47">
        <v>1163.1469883100015</v>
      </c>
    </row>
    <row r="31" spans="2:9" ht="15">
      <c r="B31" s="48">
        <v>0</v>
      </c>
      <c r="C31" s="48">
        <v>0</v>
      </c>
      <c r="D31" s="48">
        <v>0</v>
      </c>
      <c r="E31" s="48">
        <v>0</v>
      </c>
      <c r="F31" s="48">
        <v>0</v>
      </c>
      <c r="G31" s="48">
        <v>0</v>
      </c>
      <c r="H31" s="48">
        <v>0</v>
      </c>
      <c r="I31" s="48">
        <v>0</v>
      </c>
    </row>
    <row r="32" spans="1:9" ht="15">
      <c r="A32" s="43"/>
      <c r="C32" s="48">
        <v>0</v>
      </c>
      <c r="D32" s="48">
        <v>0</v>
      </c>
      <c r="E32" s="48">
        <v>0</v>
      </c>
      <c r="F32" s="48">
        <v>0</v>
      </c>
      <c r="G32" s="48">
        <v>0</v>
      </c>
      <c r="H32" s="48">
        <v>0</v>
      </c>
      <c r="I32" s="48">
        <v>0</v>
      </c>
    </row>
    <row r="33" spans="1:9" ht="47.25" customHeight="1">
      <c r="A33" s="294" t="str">
        <f>HLOOKUP(INDICE!$F$2,Nombres!$C$3:$D$636,253,FALSE)</f>
        <v>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v>
      </c>
      <c r="B33" s="294"/>
      <c r="C33" s="294"/>
      <c r="D33" s="294"/>
      <c r="E33" s="294"/>
      <c r="F33" s="294"/>
      <c r="G33" s="294"/>
      <c r="H33" s="294"/>
      <c r="I33" s="294"/>
    </row>
    <row r="34" spans="1:9" ht="12.75" customHeight="1">
      <c r="A34" s="49" t="str">
        <f>HLOOKUP(INDICE!$F$2,Nombres!$C$3:$D$636,251,FALSE)</f>
        <v>(*) Resultados generados por BBVA Chile hasta su venta el 6 de julio del 2018 y las plusvalías de la operación</v>
      </c>
      <c r="B34" s="280"/>
      <c r="C34" s="280"/>
      <c r="D34" s="280"/>
      <c r="E34" s="280"/>
      <c r="F34" s="280"/>
      <c r="G34" s="280"/>
      <c r="H34" s="280"/>
      <c r="I34" s="280"/>
    </row>
    <row r="35" spans="2:9" ht="15">
      <c r="B35" s="50"/>
      <c r="C35" s="50"/>
      <c r="D35" s="50"/>
      <c r="E35" s="50"/>
      <c r="F35" s="50"/>
      <c r="G35" s="50"/>
      <c r="H35" s="50"/>
      <c r="I35" s="50"/>
    </row>
    <row r="36" spans="1:9" ht="15">
      <c r="A36" s="43"/>
      <c r="B36" s="51"/>
      <c r="C36" s="51"/>
      <c r="D36" s="51"/>
      <c r="E36" s="51"/>
      <c r="F36" s="51"/>
      <c r="G36" s="51"/>
      <c r="H36" s="51"/>
      <c r="I36" s="51"/>
    </row>
    <row r="37" spans="2:9" ht="15">
      <c r="B37" s="282"/>
      <c r="C37" s="282"/>
      <c r="D37" s="282"/>
      <c r="E37" s="282"/>
      <c r="F37" s="282"/>
      <c r="G37" s="282"/>
      <c r="H37" s="282"/>
      <c r="I37" s="282"/>
    </row>
    <row r="39" spans="1:9" ht="18">
      <c r="A39" s="33" t="str">
        <f>HLOOKUP(INDICE!$F$2,Nombres!$C$3:$D$636,31,FALSE)</f>
        <v>Cuenta de resultados  </v>
      </c>
      <c r="B39" s="34"/>
      <c r="C39" s="34"/>
      <c r="D39" s="34"/>
      <c r="E39" s="34"/>
      <c r="F39" s="34"/>
      <c r="G39" s="34"/>
      <c r="H39" s="34"/>
      <c r="I39" s="34"/>
    </row>
    <row r="40" spans="1:9" ht="15">
      <c r="A40" s="35" t="str">
        <f>HLOOKUP(INDICE!$F$2,Nombres!$C$3:$D$636,73,FALSE)</f>
        <v>(Millones de euros constantes)</v>
      </c>
      <c r="B40" s="30"/>
      <c r="C40" s="36"/>
      <c r="D40" s="36"/>
      <c r="E40" s="36"/>
      <c r="F40" s="30"/>
      <c r="G40" s="30"/>
      <c r="H40" s="30"/>
      <c r="I40" s="30"/>
    </row>
    <row r="41" spans="1:9" ht="15">
      <c r="A41" s="37"/>
      <c r="B41" s="30"/>
      <c r="C41" s="36"/>
      <c r="D41" s="36"/>
      <c r="E41" s="36"/>
      <c r="F41" s="30"/>
      <c r="G41" s="30"/>
      <c r="H41" s="30"/>
      <c r="I41" s="30"/>
    </row>
    <row r="42" spans="1:9" ht="15.75">
      <c r="A42" s="38"/>
      <c r="B42" s="295">
        <f>+España!B6</f>
        <v>2018</v>
      </c>
      <c r="C42" s="295"/>
      <c r="D42" s="295"/>
      <c r="E42" s="296"/>
      <c r="F42" s="297">
        <f>+España!F6</f>
        <v>2019</v>
      </c>
      <c r="G42" s="295"/>
      <c r="H42" s="295"/>
      <c r="I42" s="295"/>
    </row>
    <row r="43" spans="1:9" ht="15.75">
      <c r="A43" s="38"/>
      <c r="B43" s="39" t="str">
        <f>+España!B7</f>
        <v>1er Trim.</v>
      </c>
      <c r="C43" s="39" t="str">
        <f>+España!C7</f>
        <v>2º Trim.</v>
      </c>
      <c r="D43" s="39" t="str">
        <f>+España!D7</f>
        <v>3er Trim.</v>
      </c>
      <c r="E43" s="40" t="str">
        <f>+España!E7</f>
        <v>4º Trim.</v>
      </c>
      <c r="F43" s="39" t="str">
        <f>+España!F7</f>
        <v>1er Trim.</v>
      </c>
      <c r="G43" s="39" t="str">
        <f>+España!G7</f>
        <v>2º Trim.</v>
      </c>
      <c r="H43" s="39" t="str">
        <f>+España!H7</f>
        <v>3er Trim.</v>
      </c>
      <c r="I43" s="39" t="str">
        <f>+España!I7</f>
        <v>4º Trim.</v>
      </c>
    </row>
    <row r="44" spans="1:9" ht="15">
      <c r="A44" s="41" t="str">
        <f>HLOOKUP(INDICE!$F$2,Nombres!$C$3:$D$636,33,FALSE)</f>
        <v>Margen de intereses</v>
      </c>
      <c r="B44" s="41">
        <v>4110.73945881477</v>
      </c>
      <c r="C44" s="41">
        <v>4235.045009242931</v>
      </c>
      <c r="D44" s="41">
        <v>4439.635998081926</v>
      </c>
      <c r="E44" s="42">
        <v>4670.281753491141</v>
      </c>
      <c r="F44" s="41">
        <v>4354.124993393688</v>
      </c>
      <c r="G44" s="52">
        <v>4511.297801030251</v>
      </c>
      <c r="H44" s="52">
        <v>4567.954086907682</v>
      </c>
      <c r="I44" s="52">
        <v>4768.425118648379</v>
      </c>
    </row>
    <row r="45" spans="1:9" ht="15">
      <c r="A45" s="43" t="str">
        <f>HLOOKUP(INDICE!$F$2,Nombres!$C$3:$D$636,34,FALSE)</f>
        <v>Comisiones netas</v>
      </c>
      <c r="B45" s="44">
        <v>1190.366936246661</v>
      </c>
      <c r="C45" s="44">
        <v>1236.9540837843265</v>
      </c>
      <c r="D45" s="44">
        <v>1208.3278983107386</v>
      </c>
      <c r="E45" s="45">
        <v>1224.4785483929813</v>
      </c>
      <c r="F45" s="44">
        <v>1202.9476488792895</v>
      </c>
      <c r="G45" s="44">
        <v>1249.351900712287</v>
      </c>
      <c r="H45" s="44">
        <v>1285.7519215931613</v>
      </c>
      <c r="I45" s="44">
        <v>1294.817529785262</v>
      </c>
    </row>
    <row r="46" spans="1:9" ht="15">
      <c r="A46" s="43" t="str">
        <f>HLOOKUP(INDICE!$F$2,Nombres!$C$3:$D$636,35,FALSE)</f>
        <v>Resultados de operaciones financieras</v>
      </c>
      <c r="B46" s="44">
        <v>387.55080123171024</v>
      </c>
      <c r="C46" s="44">
        <v>286.0282721270065</v>
      </c>
      <c r="D46" s="44">
        <v>217.0163412399985</v>
      </c>
      <c r="E46" s="45">
        <v>308.176912005265</v>
      </c>
      <c r="F46" s="44">
        <v>391.1105959423414</v>
      </c>
      <c r="G46" s="44">
        <v>107.45692928967094</v>
      </c>
      <c r="H46" s="44">
        <v>381.8088939150101</v>
      </c>
      <c r="I46" s="44">
        <v>503.0975778629775</v>
      </c>
    </row>
    <row r="47" spans="1:9" ht="15">
      <c r="A47" s="43" t="str">
        <f>HLOOKUP(INDICE!$F$2,Nombres!$C$3:$D$636,96,FALSE)</f>
        <v>Ingresos por dividendos</v>
      </c>
      <c r="B47" s="44">
        <v>11.592426278532052</v>
      </c>
      <c r="C47" s="44">
        <v>70.81403820241766</v>
      </c>
      <c r="D47" s="44">
        <v>12.18419995267498</v>
      </c>
      <c r="E47" s="45">
        <v>62.35743398932526</v>
      </c>
      <c r="F47" s="44">
        <v>10.169952280769639</v>
      </c>
      <c r="G47" s="44">
        <v>87.44892433392208</v>
      </c>
      <c r="H47" s="44">
        <v>5.161066761059707</v>
      </c>
      <c r="I47" s="44">
        <v>59.647056614248854</v>
      </c>
    </row>
    <row r="48" spans="1:9" ht="15">
      <c r="A48" s="43" t="str">
        <f>HLOOKUP(INDICE!$F$2,Nombres!$C$3:$D$636,97,FALSE)</f>
        <v>Part. gananc/pdas inversiones en dependientes, neg conjunt y asoc</v>
      </c>
      <c r="B48" s="44">
        <v>6.268046883466492</v>
      </c>
      <c r="C48" s="44">
        <v>3.9296590419050084</v>
      </c>
      <c r="D48" s="44">
        <v>-0.39762045222747644</v>
      </c>
      <c r="E48" s="45">
        <v>-15.32150320826665</v>
      </c>
      <c r="F48" s="44">
        <v>-3.663183063444201</v>
      </c>
      <c r="G48" s="44">
        <v>-14.781656056869311</v>
      </c>
      <c r="H48" s="44">
        <v>-6.762347885860202</v>
      </c>
      <c r="I48" s="44">
        <v>-16.800812993826284</v>
      </c>
    </row>
    <row r="49" spans="1:9" ht="15">
      <c r="A49" s="43" t="str">
        <f>HLOOKUP(INDICE!$F$2,Nombres!$C$3:$D$636,98,FALSE)</f>
        <v>Otros productos/cargas de explotación</v>
      </c>
      <c r="B49" s="44">
        <v>61.719308648798716</v>
      </c>
      <c r="C49" s="44">
        <v>-72.5306886077876</v>
      </c>
      <c r="D49" s="44">
        <v>34.807303439706075</v>
      </c>
      <c r="E49" s="45">
        <v>-130.34551813714756</v>
      </c>
      <c r="F49" s="44">
        <v>8.774943598193726</v>
      </c>
      <c r="G49" s="44">
        <v>-87.7269597232017</v>
      </c>
      <c r="H49" s="44">
        <v>17.964323770783523</v>
      </c>
      <c r="I49" s="44">
        <v>-136.03330762577565</v>
      </c>
    </row>
    <row r="50" spans="1:9" ht="15">
      <c r="A50" s="41" t="str">
        <f>HLOOKUP(INDICE!$F$2,Nombres!$C$3:$D$636,37,FALSE)</f>
        <v>Margen bruto</v>
      </c>
      <c r="B50" s="41">
        <f>+SUM(B44:B49)</f>
        <v>5768.236978103939</v>
      </c>
      <c r="C50" s="41">
        <f aca="true" t="shared" si="5" ref="C50:I50">+SUM(C44:C49)</f>
        <v>5760.2403737908</v>
      </c>
      <c r="D50" s="41">
        <f t="shared" si="5"/>
        <v>5911.574120572816</v>
      </c>
      <c r="E50" s="42">
        <f t="shared" si="5"/>
        <v>6119.627626533298</v>
      </c>
      <c r="F50" s="41">
        <f t="shared" si="5"/>
        <v>5963.464951030838</v>
      </c>
      <c r="G50" s="52">
        <f t="shared" si="5"/>
        <v>5853.046939586061</v>
      </c>
      <c r="H50" s="52">
        <f t="shared" si="5"/>
        <v>6251.877945061836</v>
      </c>
      <c r="I50" s="52">
        <f t="shared" si="5"/>
        <v>6473.153162291265</v>
      </c>
    </row>
    <row r="51" spans="1:9" ht="15">
      <c r="A51" s="43" t="str">
        <f>HLOOKUP(INDICE!$F$2,Nombres!$C$3:$D$636,38,FALSE)</f>
        <v>Gastos de explotación</v>
      </c>
      <c r="B51" s="44">
        <v>-2865.2753195603946</v>
      </c>
      <c r="C51" s="44">
        <v>-2900.6777518886693</v>
      </c>
      <c r="D51" s="44">
        <v>-2916.9972142278375</v>
      </c>
      <c r="E51" s="45">
        <v>-2960.7717225884303</v>
      </c>
      <c r="F51" s="44">
        <v>-2893.4897534749234</v>
      </c>
      <c r="G51" s="44">
        <v>-2931.461012360611</v>
      </c>
      <c r="H51" s="44">
        <v>-2978.15960965055</v>
      </c>
      <c r="I51" s="44">
        <v>-3099.1216255739155</v>
      </c>
    </row>
    <row r="52" spans="1:9" ht="15">
      <c r="A52" s="43" t="str">
        <f>HLOOKUP(INDICE!$F$2,Nombres!$C$3:$D$636,39,FALSE)</f>
        <v>  Gastos de administración</v>
      </c>
      <c r="B52" s="44">
        <v>-2567.4991986386767</v>
      </c>
      <c r="C52" s="44">
        <v>-2606.635788692247</v>
      </c>
      <c r="D52" s="44">
        <v>-2604.5312165392766</v>
      </c>
      <c r="E52" s="45">
        <v>-2654.694243705121</v>
      </c>
      <c r="F52" s="44">
        <v>-2503.554189626276</v>
      </c>
      <c r="G52" s="44">
        <v>-2533.564624343084</v>
      </c>
      <c r="H52" s="44">
        <v>-2573.5736860118905</v>
      </c>
      <c r="I52" s="44">
        <v>-2692.245501068749</v>
      </c>
    </row>
    <row r="53" spans="1:9" ht="15">
      <c r="A53" s="46" t="str">
        <f>HLOOKUP(INDICE!$F$2,Nombres!$C$3:$D$636,40,FALSE)</f>
        <v>  Gastos de personal</v>
      </c>
      <c r="B53" s="44">
        <v>-1508.179897259542</v>
      </c>
      <c r="C53" s="44">
        <v>-1524.7209547524935</v>
      </c>
      <c r="D53" s="44">
        <v>-1505.559134793656</v>
      </c>
      <c r="E53" s="45">
        <v>-1545.0055267065027</v>
      </c>
      <c r="F53" s="44">
        <v>-1535.6116216426399</v>
      </c>
      <c r="G53" s="44">
        <v>-1566.0140085573612</v>
      </c>
      <c r="H53" s="44">
        <v>-1591.5657532834543</v>
      </c>
      <c r="I53" s="44">
        <v>-1647.2446165165443</v>
      </c>
    </row>
    <row r="54" spans="1:9" ht="15">
      <c r="A54" s="46" t="str">
        <f>HLOOKUP(INDICE!$F$2,Nombres!$C$3:$D$636,41,FALSE)</f>
        <v>  Otros gastos de administración</v>
      </c>
      <c r="B54" s="44">
        <v>-1059.3193013791347</v>
      </c>
      <c r="C54" s="44">
        <v>-1081.9148339397534</v>
      </c>
      <c r="D54" s="44">
        <v>-1098.9720817456202</v>
      </c>
      <c r="E54" s="45">
        <v>-1109.6887169986185</v>
      </c>
      <c r="F54" s="44">
        <v>-967.9425679836364</v>
      </c>
      <c r="G54" s="44">
        <v>-967.5506157857228</v>
      </c>
      <c r="H54" s="44">
        <v>-982.0079327284359</v>
      </c>
      <c r="I54" s="44">
        <v>-1045.0008845522048</v>
      </c>
    </row>
    <row r="55" spans="1:9" ht="15">
      <c r="A55" s="43" t="str">
        <f>HLOOKUP(INDICE!$F$2,Nombres!$C$3:$D$636,42,FALSE)</f>
        <v>  Amortización</v>
      </c>
      <c r="B55" s="44">
        <v>-297.77612092171756</v>
      </c>
      <c r="C55" s="44">
        <v>-294.04196319642267</v>
      </c>
      <c r="D55" s="44">
        <v>-312.465997688561</v>
      </c>
      <c r="E55" s="45">
        <v>-306.0774788833093</v>
      </c>
      <c r="F55" s="44">
        <v>-389.93556384864735</v>
      </c>
      <c r="G55" s="44">
        <v>-397.89638801752733</v>
      </c>
      <c r="H55" s="44">
        <v>-404.58592363865944</v>
      </c>
      <c r="I55" s="44">
        <v>-406.87612450516593</v>
      </c>
    </row>
    <row r="56" spans="1:9" ht="15">
      <c r="A56" s="41" t="str">
        <f>HLOOKUP(INDICE!$F$2,Nombres!$C$3:$D$636,43,FALSE)</f>
        <v>Margen neto</v>
      </c>
      <c r="B56" s="41">
        <f>+B50+B51</f>
        <v>2902.961658543544</v>
      </c>
      <c r="C56" s="41">
        <f aca="true" t="shared" si="6" ref="C56:I56">+C50+C51</f>
        <v>2859.5626219021306</v>
      </c>
      <c r="D56" s="41">
        <f t="shared" si="6"/>
        <v>2994.576906344979</v>
      </c>
      <c r="E56" s="42">
        <f t="shared" si="6"/>
        <v>3158.855903944868</v>
      </c>
      <c r="F56" s="41">
        <f t="shared" si="6"/>
        <v>3069.9751975559147</v>
      </c>
      <c r="G56" s="52">
        <f t="shared" si="6"/>
        <v>2921.5859272254497</v>
      </c>
      <c r="H56" s="52">
        <f t="shared" si="6"/>
        <v>3273.718335411286</v>
      </c>
      <c r="I56" s="52">
        <f t="shared" si="6"/>
        <v>3374.03153671735</v>
      </c>
    </row>
    <row r="57" spans="1:9" ht="15">
      <c r="A57" s="43" t="str">
        <f>HLOOKUP(INDICE!$F$2,Nombres!$C$3:$D$636,44,FALSE)</f>
        <v>Deterioro de activos financieros no valorados a valor razonable con cambios en resultados</v>
      </c>
      <c r="B57" s="44">
        <v>-800.5713992811427</v>
      </c>
      <c r="C57" s="44">
        <v>-768.5936576460734</v>
      </c>
      <c r="D57" s="44">
        <v>-1017.716871936075</v>
      </c>
      <c r="E57" s="45">
        <v>-1328.0303675385533</v>
      </c>
      <c r="F57" s="44">
        <v>-1013.893739368189</v>
      </c>
      <c r="G57" s="44">
        <v>-749.611133233259</v>
      </c>
      <c r="H57" s="44">
        <v>-1190.3459593090577</v>
      </c>
      <c r="I57" s="44">
        <v>-1197.0261680794945</v>
      </c>
    </row>
    <row r="58" spans="1:9" ht="15">
      <c r="A58" s="43" t="str">
        <f>HLOOKUP(INDICE!$F$2,Nombres!$C$3:$D$636,247,FALSE)</f>
        <v>Provisiones o reversión de provisiones</v>
      </c>
      <c r="B58" s="44">
        <v>-92.99085899051502</v>
      </c>
      <c r="C58" s="44">
        <v>-83.89964877419442</v>
      </c>
      <c r="D58" s="44">
        <v>-122.47388643668344</v>
      </c>
      <c r="E58" s="45">
        <v>-70.57654289717078</v>
      </c>
      <c r="F58" s="44">
        <v>-142.58497781330135</v>
      </c>
      <c r="G58" s="44">
        <v>-113.60136272703593</v>
      </c>
      <c r="H58" s="44">
        <v>-115.04473709307717</v>
      </c>
      <c r="I58" s="44">
        <v>-245.33192135658555</v>
      </c>
    </row>
    <row r="59" spans="1:9" ht="15">
      <c r="A59" s="43" t="str">
        <f>HLOOKUP(INDICE!$F$2,Nombres!$C$3:$D$636,248,FALSE)</f>
        <v>Otros resultados</v>
      </c>
      <c r="B59" s="44">
        <v>35.022734070564496</v>
      </c>
      <c r="C59" s="44">
        <v>71.12670296060789</v>
      </c>
      <c r="D59" s="44">
        <v>831.6799840349312</v>
      </c>
      <c r="E59" s="45">
        <v>-173.7051358165067</v>
      </c>
      <c r="F59" s="44">
        <v>-22.387015957934803</v>
      </c>
      <c r="G59" s="44">
        <v>-2.5934526161772533</v>
      </c>
      <c r="H59" s="44">
        <v>-3.902458873052094</v>
      </c>
      <c r="I59" s="44">
        <v>-1444.497073552836</v>
      </c>
    </row>
    <row r="60" spans="1:9" ht="15">
      <c r="A60" s="41" t="str">
        <f>HLOOKUP(INDICE!$F$2,Nombres!$C$3:$D$636,46,FALSE)</f>
        <v>Resultado antes de impuestos</v>
      </c>
      <c r="B60" s="41">
        <f aca="true" t="shared" si="7" ref="B60:I60">+B56+B57+B58+B59</f>
        <v>2044.422134342451</v>
      </c>
      <c r="C60" s="41">
        <f t="shared" si="7"/>
        <v>2078.1960184424706</v>
      </c>
      <c r="D60" s="41">
        <f t="shared" si="7"/>
        <v>2686.0661320071517</v>
      </c>
      <c r="E60" s="42">
        <f t="shared" si="7"/>
        <v>1586.543857692637</v>
      </c>
      <c r="F60" s="41">
        <f t="shared" si="7"/>
        <v>1891.1094644164896</v>
      </c>
      <c r="G60" s="41">
        <f t="shared" si="7"/>
        <v>2055.7799786489777</v>
      </c>
      <c r="H60" s="41">
        <f t="shared" si="7"/>
        <v>1964.425180136099</v>
      </c>
      <c r="I60" s="41">
        <f t="shared" si="7"/>
        <v>487.17637372843365</v>
      </c>
    </row>
    <row r="61" spans="1:9" ht="15">
      <c r="A61" s="43" t="str">
        <f>HLOOKUP(INDICE!$F$2,Nombres!$C$3:$D$636,47,FALSE)</f>
        <v>Impuesto sobre beneficios</v>
      </c>
      <c r="B61" s="44">
        <v>-570.2054338178959</v>
      </c>
      <c r="C61" s="44">
        <v>-573.6616221191731</v>
      </c>
      <c r="D61" s="44">
        <v>-659.1941452895643</v>
      </c>
      <c r="E61" s="45">
        <v>-414.52278455535617</v>
      </c>
      <c r="F61" s="44">
        <v>-523.3410978744812</v>
      </c>
      <c r="G61" s="44">
        <v>-583.6449482839388</v>
      </c>
      <c r="H61" s="44">
        <v>-508.1771335261904</v>
      </c>
      <c r="I61" s="44">
        <v>-437.91681937538954</v>
      </c>
    </row>
    <row r="62" spans="1:9" ht="15">
      <c r="A62" s="41" t="str">
        <f>HLOOKUP(INDICE!$F$2,Nombres!$C$3:$D$636,48,FALSE)</f>
        <v>Resultado del ejercicio</v>
      </c>
      <c r="B62" s="41">
        <f aca="true" t="shared" si="8" ref="B62:I62">+B60+B61</f>
        <v>1474.216700524555</v>
      </c>
      <c r="C62" s="41">
        <f t="shared" si="8"/>
        <v>1504.5343963232976</v>
      </c>
      <c r="D62" s="41">
        <f t="shared" si="8"/>
        <v>2026.8719867175873</v>
      </c>
      <c r="E62" s="42">
        <f t="shared" si="8"/>
        <v>1172.0210731372808</v>
      </c>
      <c r="F62" s="41">
        <f t="shared" si="8"/>
        <v>1367.7683665420084</v>
      </c>
      <c r="G62" s="41">
        <f t="shared" si="8"/>
        <v>1472.1350303650388</v>
      </c>
      <c r="H62" s="41">
        <f t="shared" si="8"/>
        <v>1456.2480466099087</v>
      </c>
      <c r="I62" s="41">
        <f t="shared" si="8"/>
        <v>49.25955435304411</v>
      </c>
    </row>
    <row r="63" spans="1:9" ht="15">
      <c r="A63" s="43" t="str">
        <f>HLOOKUP(INDICE!$F$2,Nombres!$C$3:$D$636,49,FALSE)</f>
        <v>Minoritarios</v>
      </c>
      <c r="B63" s="44">
        <v>-196.1185480653159</v>
      </c>
      <c r="C63" s="44">
        <v>-229.96561203125086</v>
      </c>
      <c r="D63" s="44">
        <v>-173.8900171439489</v>
      </c>
      <c r="E63" s="45">
        <v>-146.63149944192457</v>
      </c>
      <c r="F63" s="44">
        <v>-214.05561929592193</v>
      </c>
      <c r="G63" s="44">
        <v>-235.19793260826162</v>
      </c>
      <c r="H63" s="44">
        <v>-190.79912059644536</v>
      </c>
      <c r="I63" s="44">
        <v>-193.30032749937104</v>
      </c>
    </row>
    <row r="64" spans="1:9" ht="15">
      <c r="A64" s="47" t="str">
        <f>HLOOKUP(INDICE!$F$2,Nombres!$C$3:$D$636,250,FALSE)</f>
        <v>Resultado Atribuido (*)</v>
      </c>
      <c r="B64" s="47">
        <f>+B62+B63</f>
        <v>1278.0981524592391</v>
      </c>
      <c r="C64" s="47">
        <f aca="true" t="shared" si="9" ref="C64:I64">+C62+C63</f>
        <v>1274.5687842920468</v>
      </c>
      <c r="D64" s="47">
        <f t="shared" si="9"/>
        <v>1852.9819695736385</v>
      </c>
      <c r="E64" s="47">
        <f t="shared" si="9"/>
        <v>1025.3895736953564</v>
      </c>
      <c r="F64" s="47">
        <f t="shared" si="9"/>
        <v>1153.7127472460866</v>
      </c>
      <c r="G64" s="53">
        <f t="shared" si="9"/>
        <v>1236.9370977567771</v>
      </c>
      <c r="H64" s="53">
        <f t="shared" si="9"/>
        <v>1265.4489260134633</v>
      </c>
      <c r="I64" s="53">
        <f t="shared" si="9"/>
        <v>-144.04077314632693</v>
      </c>
    </row>
    <row r="65" spans="1:9" ht="15">
      <c r="A65" s="48"/>
      <c r="B65" s="48"/>
      <c r="C65" s="48"/>
      <c r="D65" s="48"/>
      <c r="E65" s="48"/>
      <c r="F65" s="48"/>
      <c r="G65" s="281"/>
      <c r="H65" s="281"/>
      <c r="I65" s="281"/>
    </row>
    <row r="66" spans="1:9" ht="15">
      <c r="A66" s="47" t="str">
        <f>HLOOKUP(INDICE!$F$2,Nombres!$C$3:$D$636,249,FALSE)</f>
        <v>Resultado atribuido sin el deterioro del fondo de comercio de Estados Unidos y sin BBVA Chile (*)</v>
      </c>
      <c r="B66" s="47">
        <v>1250.747543114068</v>
      </c>
      <c r="C66" s="47">
        <v>1240.4367895524206</v>
      </c>
      <c r="D66" s="47">
        <v>1219.7379984967101</v>
      </c>
      <c r="E66" s="47">
        <v>1025.3899584676712</v>
      </c>
      <c r="F66" s="47">
        <v>1153.7127472460866</v>
      </c>
      <c r="G66" s="47">
        <v>1236.9370977567771</v>
      </c>
      <c r="H66" s="47">
        <v>1265.4489260134633</v>
      </c>
      <c r="I66" s="47">
        <v>1173.8712141536732</v>
      </c>
    </row>
    <row r="67" spans="2:9" ht="15">
      <c r="B67" s="48">
        <v>0</v>
      </c>
      <c r="C67" s="48">
        <v>0</v>
      </c>
      <c r="D67" s="48">
        <v>0</v>
      </c>
      <c r="E67" s="48">
        <v>0</v>
      </c>
      <c r="F67" s="48">
        <v>0</v>
      </c>
      <c r="G67" s="48">
        <v>0</v>
      </c>
      <c r="H67" s="48">
        <v>0</v>
      </c>
      <c r="I67" s="48">
        <v>-9.947598300641403E-13</v>
      </c>
    </row>
    <row r="68" ht="15">
      <c r="A68" s="43"/>
    </row>
    <row r="69" spans="1:9" ht="47.25" customHeight="1">
      <c r="A69" s="294" t="str">
        <f>HLOOKUP(INDICE!$F$2,Nombres!$C$3:$D$636,253,FALSE)</f>
        <v>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v>
      </c>
      <c r="B69" s="294"/>
      <c r="C69" s="294"/>
      <c r="D69" s="294"/>
      <c r="E69" s="294"/>
      <c r="F69" s="294"/>
      <c r="G69" s="294"/>
      <c r="H69" s="294"/>
      <c r="I69" s="294"/>
    </row>
    <row r="70" spans="1:9" ht="15" customHeight="1">
      <c r="A70" s="49" t="str">
        <f>HLOOKUP(INDICE!$F$2,Nombres!$C$3:$D$636,251,FALSE)</f>
        <v>(*) Resultados generados por BBVA Chile hasta su venta el 6 de julio del 2018 y las plusvalías de la operación</v>
      </c>
      <c r="B70" s="280"/>
      <c r="C70" s="280"/>
      <c r="D70" s="280"/>
      <c r="E70" s="280"/>
      <c r="F70" s="280"/>
      <c r="G70" s="280"/>
      <c r="H70" s="280"/>
      <c r="I70" s="280"/>
    </row>
    <row r="71" spans="2:9" ht="15">
      <c r="B71" s="50"/>
      <c r="C71" s="50"/>
      <c r="D71" s="50"/>
      <c r="E71" s="50"/>
      <c r="F71" s="50"/>
      <c r="G71" s="50"/>
      <c r="H71" s="50"/>
      <c r="I71" s="50"/>
    </row>
    <row r="72" spans="1:9" ht="15">
      <c r="A72" s="43"/>
      <c r="B72" s="51">
        <v>0</v>
      </c>
      <c r="C72" s="51">
        <v>0</v>
      </c>
      <c r="D72" s="51">
        <v>0</v>
      </c>
      <c r="E72" s="282"/>
      <c r="F72" s="51">
        <v>0</v>
      </c>
      <c r="G72" s="250">
        <v>0</v>
      </c>
      <c r="H72" s="250">
        <v>0</v>
      </c>
      <c r="I72" s="250">
        <v>-8.810729923425242E-13</v>
      </c>
    </row>
    <row r="73" spans="1:9" ht="15">
      <c r="A73"/>
      <c r="B73" s="51">
        <v>0</v>
      </c>
      <c r="C73" s="51">
        <v>0</v>
      </c>
      <c r="D73" s="51">
        <v>0</v>
      </c>
      <c r="E73" s="51">
        <v>0</v>
      </c>
      <c r="F73" s="51">
        <v>0</v>
      </c>
      <c r="G73" s="51">
        <v>0</v>
      </c>
      <c r="H73" s="51">
        <v>0</v>
      </c>
      <c r="I73" s="51">
        <v>-9.947598300641403E-13</v>
      </c>
    </row>
    <row r="1000" ht="15">
      <c r="A1000" s="31" t="s">
        <v>399</v>
      </c>
    </row>
  </sheetData>
  <sheetProtection/>
  <mergeCells count="6">
    <mergeCell ref="A69:I69"/>
    <mergeCell ref="B6:E6"/>
    <mergeCell ref="F6:I6"/>
    <mergeCell ref="A33:I33"/>
    <mergeCell ref="B42:E42"/>
    <mergeCell ref="F42:I42"/>
  </mergeCells>
  <conditionalFormatting sqref="B36:I36">
    <cfRule type="cellIs" priority="31" dxfId="16" operator="notBetween">
      <formula>0.4</formula>
      <formula>-0.4</formula>
    </cfRule>
  </conditionalFormatting>
  <conditionalFormatting sqref="B37:I37">
    <cfRule type="cellIs" priority="30" dxfId="16" operator="notBetween">
      <formula>0.4</formula>
      <formula>-0.4</formula>
    </cfRule>
  </conditionalFormatting>
  <conditionalFormatting sqref="B67:I67">
    <cfRule type="cellIs" priority="26" dxfId="116" operator="notBetween">
      <formula>0.5</formula>
      <formula>-0.5</formula>
    </cfRule>
  </conditionalFormatting>
  <conditionalFormatting sqref="D67">
    <cfRule type="cellIs" priority="24" dxfId="116" operator="notBetween">
      <formula>0.5</formula>
      <formula>-0.5</formula>
    </cfRule>
  </conditionalFormatting>
  <conditionalFormatting sqref="F67">
    <cfRule type="cellIs" priority="22" dxfId="116" operator="notBetween">
      <formula>0.5</formula>
      <formula>-0.5</formula>
    </cfRule>
  </conditionalFormatting>
  <conditionalFormatting sqref="H67">
    <cfRule type="cellIs" priority="20" dxfId="116" operator="notBetween">
      <formula>0.5</formula>
      <formula>-0.5</formula>
    </cfRule>
  </conditionalFormatting>
  <conditionalFormatting sqref="E31">
    <cfRule type="cellIs" priority="13" dxfId="116" operator="notBetween">
      <formula>0.5</formula>
      <formula>-0.5</formula>
    </cfRule>
  </conditionalFormatting>
  <conditionalFormatting sqref="C31">
    <cfRule type="cellIs" priority="11" dxfId="116" operator="notBetween">
      <formula>0.5</formula>
      <formula>-0.5</formula>
    </cfRule>
  </conditionalFormatting>
  <conditionalFormatting sqref="H31">
    <cfRule type="cellIs" priority="16" dxfId="116" operator="notBetween">
      <formula>0.5</formula>
      <formula>-0.5</formula>
    </cfRule>
  </conditionalFormatting>
  <conditionalFormatting sqref="I31">
    <cfRule type="cellIs" priority="29" dxfId="116" operator="notBetween">
      <formula>0.5</formula>
      <formula>-0.5</formula>
    </cfRule>
  </conditionalFormatting>
  <conditionalFormatting sqref="B72:G72">
    <cfRule type="cellIs" priority="28" dxfId="16" operator="notBetween">
      <formula>0.4</formula>
      <formula>-0.4</formula>
    </cfRule>
  </conditionalFormatting>
  <conditionalFormatting sqref="B73:G73">
    <cfRule type="cellIs" priority="27" dxfId="16" operator="notBetween">
      <formula>0.4</formula>
      <formula>-0.4</formula>
    </cfRule>
  </conditionalFormatting>
  <conditionalFormatting sqref="I67">
    <cfRule type="cellIs" priority="19" dxfId="116" operator="notBetween">
      <formula>0.5</formula>
      <formula>-0.5</formula>
    </cfRule>
  </conditionalFormatting>
  <conditionalFormatting sqref="C67">
    <cfRule type="cellIs" priority="25" dxfId="116" operator="notBetween">
      <formula>0.5</formula>
      <formula>-0.5</formula>
    </cfRule>
  </conditionalFormatting>
  <conditionalFormatting sqref="E67">
    <cfRule type="cellIs" priority="23" dxfId="116" operator="notBetween">
      <formula>0.5</formula>
      <formula>-0.5</formula>
    </cfRule>
  </conditionalFormatting>
  <conditionalFormatting sqref="G67">
    <cfRule type="cellIs" priority="21" dxfId="116" operator="notBetween">
      <formula>0.5</formula>
      <formula>-0.5</formula>
    </cfRule>
  </conditionalFormatting>
  <conditionalFormatting sqref="G31">
    <cfRule type="cellIs" priority="15" dxfId="116" operator="notBetween">
      <formula>0.5</formula>
      <formula>-0.5</formula>
    </cfRule>
  </conditionalFormatting>
  <conditionalFormatting sqref="H72">
    <cfRule type="cellIs" priority="18" dxfId="16" operator="notBetween">
      <formula>0.4</formula>
      <formula>-0.4</formula>
    </cfRule>
  </conditionalFormatting>
  <conditionalFormatting sqref="I72">
    <cfRule type="cellIs" priority="17" dxfId="16" operator="notBetween">
      <formula>0.4</formula>
      <formula>-0.4</formula>
    </cfRule>
  </conditionalFormatting>
  <conditionalFormatting sqref="F31">
    <cfRule type="cellIs" priority="14" dxfId="116" operator="notBetween">
      <formula>0.5</formula>
      <formula>-0.5</formula>
    </cfRule>
  </conditionalFormatting>
  <conditionalFormatting sqref="D31">
    <cfRule type="cellIs" priority="12" dxfId="116" operator="notBetween">
      <formula>0.5</formula>
      <formula>-0.5</formula>
    </cfRule>
  </conditionalFormatting>
  <conditionalFormatting sqref="D32">
    <cfRule type="cellIs" priority="8" dxfId="116" operator="notBetween">
      <formula>0.5</formula>
      <formula>-0.5</formula>
    </cfRule>
  </conditionalFormatting>
  <conditionalFormatting sqref="H32">
    <cfRule type="cellIs" priority="4" dxfId="116" operator="notBetween">
      <formula>0.5</formula>
      <formula>-0.5</formula>
    </cfRule>
  </conditionalFormatting>
  <conditionalFormatting sqref="B31:I31">
    <cfRule type="cellIs" priority="10" dxfId="116" operator="notBetween">
      <formula>0.5</formula>
      <formula>-0.5</formula>
    </cfRule>
  </conditionalFormatting>
  <conditionalFormatting sqref="F32">
    <cfRule type="cellIs" priority="6" dxfId="116" operator="notBetween">
      <formula>0.5</formula>
      <formula>-0.5</formula>
    </cfRule>
  </conditionalFormatting>
  <conditionalFormatting sqref="C32">
    <cfRule type="cellIs" priority="9" dxfId="116" operator="notBetween">
      <formula>0.5</formula>
      <formula>-0.5</formula>
    </cfRule>
  </conditionalFormatting>
  <conditionalFormatting sqref="E32">
    <cfRule type="cellIs" priority="7" dxfId="116" operator="notBetween">
      <formula>0.5</formula>
      <formula>-0.5</formula>
    </cfRule>
  </conditionalFormatting>
  <conditionalFormatting sqref="G32">
    <cfRule type="cellIs" priority="5" dxfId="116" operator="notBetween">
      <formula>0.5</formula>
      <formula>-0.5</formula>
    </cfRule>
  </conditionalFormatting>
  <conditionalFormatting sqref="I32">
    <cfRule type="cellIs" priority="3" dxfId="116" operator="notBetween">
      <formula>0.5</formula>
      <formula>-0.5</formula>
    </cfRule>
  </conditionalFormatting>
  <conditionalFormatting sqref="H73">
    <cfRule type="cellIs" priority="2" dxfId="16" operator="notBetween">
      <formula>0.4</formula>
      <formula>-0.4</formula>
    </cfRule>
  </conditionalFormatting>
  <conditionalFormatting sqref="I73">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6" sqref="A6"/>
    </sheetView>
  </sheetViews>
  <sheetFormatPr defaultColWidth="11.421875" defaultRowHeight="15"/>
  <cols>
    <col min="1" max="1" width="62.00390625" style="31" customWidth="1"/>
    <col min="2" max="4" width="11.421875" style="31" customWidth="1"/>
    <col min="5" max="5" width="10.421875" style="31" customWidth="1"/>
    <col min="6" max="16384" width="11.421875" style="31" customWidth="1"/>
  </cols>
  <sheetData>
    <row r="1" spans="1:9" ht="18">
      <c r="A1" s="29" t="str">
        <f>HLOOKUP(INDICE!$F$2,Nombres!$C$3:$D$636,223,FALSE)</f>
        <v>Grupo BBVA. Cuentas de resultados proforma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7">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4176.606153000001</v>
      </c>
      <c r="C8" s="41">
        <v>4188.58255715</v>
      </c>
      <c r="D8" s="41">
        <v>4312.48229484</v>
      </c>
      <c r="E8" s="42">
        <v>4693.87900004</v>
      </c>
      <c r="F8" s="41">
        <v>4420.427999990001</v>
      </c>
      <c r="G8" s="52">
        <v>4566.3269999799995</v>
      </c>
      <c r="H8" s="52">
        <v>4488.12799996</v>
      </c>
      <c r="I8" s="52">
        <v>4726.919000050001</v>
      </c>
    </row>
    <row r="9" spans="1:9" ht="15">
      <c r="A9" s="43" t="str">
        <f>HLOOKUP(INDICE!$F$2,Nombres!$C$3:$D$636,34,FALSE)</f>
        <v>Comisiones netas</v>
      </c>
      <c r="B9" s="44">
        <v>1220.93767071</v>
      </c>
      <c r="C9" s="44">
        <v>1225.38731735</v>
      </c>
      <c r="D9" s="44">
        <v>1173.78578178</v>
      </c>
      <c r="E9" s="45">
        <v>1226.0434410199998</v>
      </c>
      <c r="F9" s="44">
        <v>1213.99800003</v>
      </c>
      <c r="G9" s="44">
        <v>1255.8010000200002</v>
      </c>
      <c r="H9" s="44">
        <v>1272.97800094</v>
      </c>
      <c r="I9" s="44">
        <v>1290.09199998</v>
      </c>
    </row>
    <row r="10" spans="1:9" ht="15">
      <c r="A10" s="43" t="str">
        <f>HLOOKUP(INDICE!$F$2,Nombres!$C$3:$D$636,35,FALSE)</f>
        <v>Resultados de operaciones financieras</v>
      </c>
      <c r="B10" s="44">
        <v>391.92856572000005</v>
      </c>
      <c r="C10" s="44">
        <v>266.58821086</v>
      </c>
      <c r="D10" s="44">
        <v>212.27109574999997</v>
      </c>
      <c r="E10" s="45">
        <v>316.1839830000001</v>
      </c>
      <c r="F10" s="44">
        <v>426.1780000399999</v>
      </c>
      <c r="G10" s="44">
        <v>116.03799997</v>
      </c>
      <c r="H10" s="44">
        <v>351.23399699999993</v>
      </c>
      <c r="I10" s="44">
        <v>490.024</v>
      </c>
    </row>
    <row r="11" spans="1:9" ht="15">
      <c r="A11" s="43" t="str">
        <f>HLOOKUP(INDICE!$F$2,Nombres!$C$3:$D$636,96,FALSE)</f>
        <v>Ingresos por dividendos</v>
      </c>
      <c r="B11" s="44">
        <v>11.492848180000028</v>
      </c>
      <c r="C11" s="44">
        <v>71.55175590999997</v>
      </c>
      <c r="D11" s="44">
        <v>11.52639591000019</v>
      </c>
      <c r="E11" s="45">
        <v>62.34199999999962</v>
      </c>
      <c r="F11" s="44">
        <v>10.28400000000002</v>
      </c>
      <c r="G11" s="44">
        <v>92.24199998999993</v>
      </c>
      <c r="H11" s="44">
        <v>1.3880000000002057</v>
      </c>
      <c r="I11" s="44">
        <v>58.51300000000013</v>
      </c>
    </row>
    <row r="12" spans="1:9" ht="15">
      <c r="A12" s="43" t="str">
        <f>HLOOKUP(INDICE!$F$2,Nombres!$C$3:$D$636,97,FALSE)</f>
        <v>Part. gananc/pdas inversiones en dependientes, neg conjunt y asoc</v>
      </c>
      <c r="B12" s="44">
        <v>7.89450419</v>
      </c>
      <c r="C12" s="44">
        <v>5.04038583</v>
      </c>
      <c r="D12" s="44">
        <v>-1.6138900200000004</v>
      </c>
      <c r="E12" s="45">
        <v>-18.819000000000003</v>
      </c>
      <c r="F12" s="44">
        <v>-4.149</v>
      </c>
      <c r="G12" s="44">
        <v>-15.067</v>
      </c>
      <c r="H12" s="44">
        <v>-6.136999999999996</v>
      </c>
      <c r="I12" s="44">
        <v>-16.655</v>
      </c>
    </row>
    <row r="13" spans="1:9" ht="15">
      <c r="A13" s="43" t="str">
        <f>HLOOKUP(INDICE!$F$2,Nombres!$C$3:$D$636,98,FALSE)</f>
        <v>Otros productos/cargas de explotación</v>
      </c>
      <c r="B13" s="44">
        <v>67.93321659</v>
      </c>
      <c r="C13" s="44">
        <v>-74.38926781</v>
      </c>
      <c r="D13" s="44">
        <v>28.341051200000052</v>
      </c>
      <c r="E13" s="45">
        <v>-125.93199999000004</v>
      </c>
      <c r="F13" s="44">
        <v>1.9210000099999922</v>
      </c>
      <c r="G13" s="44">
        <v>-95.17799996999997</v>
      </c>
      <c r="H13" s="44">
        <v>27.21699996000006</v>
      </c>
      <c r="I13" s="44">
        <v>-130.98099998</v>
      </c>
    </row>
    <row r="14" spans="1:9" ht="15">
      <c r="A14" s="41" t="str">
        <f>HLOOKUP(INDICE!$F$2,Nombres!$C$3:$D$636,37,FALSE)</f>
        <v>Margen bruto</v>
      </c>
      <c r="B14" s="41">
        <f>+SUM(B8:B13)</f>
        <v>5876.7929583899995</v>
      </c>
      <c r="C14" s="41">
        <f aca="true" t="shared" si="0" ref="C14:I14">+SUM(C8:C13)</f>
        <v>5682.76095929</v>
      </c>
      <c r="D14" s="41">
        <f t="shared" si="0"/>
        <v>5736.7927294599995</v>
      </c>
      <c r="E14" s="42">
        <f t="shared" si="0"/>
        <v>6153.697424069999</v>
      </c>
      <c r="F14" s="41">
        <f t="shared" si="0"/>
        <v>6068.66000007</v>
      </c>
      <c r="G14" s="52">
        <f t="shared" si="0"/>
        <v>5920.16299999</v>
      </c>
      <c r="H14" s="52">
        <f t="shared" si="0"/>
        <v>6134.807997860001</v>
      </c>
      <c r="I14" s="52">
        <f t="shared" si="0"/>
        <v>6417.912000050002</v>
      </c>
    </row>
    <row r="15" spans="1:9" ht="15">
      <c r="A15" s="43" t="str">
        <f>HLOOKUP(INDICE!$F$2,Nombres!$C$3:$D$636,38,FALSE)</f>
        <v>Gastos de explotación</v>
      </c>
      <c r="B15" s="44">
        <v>-2902.31623323</v>
      </c>
      <c r="C15" s="44">
        <v>-2842.1338720699996</v>
      </c>
      <c r="D15" s="44">
        <v>-2827.0201155</v>
      </c>
      <c r="E15" s="45">
        <v>-2982.24300009</v>
      </c>
      <c r="F15" s="44">
        <v>-2921.7899998999997</v>
      </c>
      <c r="G15" s="44">
        <v>-2952.37800013</v>
      </c>
      <c r="H15" s="44">
        <v>-2945.60500104</v>
      </c>
      <c r="I15" s="44">
        <v>-3082.45899999</v>
      </c>
    </row>
    <row r="16" spans="1:9" ht="15">
      <c r="A16" s="43" t="str">
        <f>HLOOKUP(INDICE!$F$2,Nombres!$C$3:$D$636,39,FALSE)</f>
        <v>  Gastos de administración</v>
      </c>
      <c r="B16" s="44">
        <v>-2601.841494</v>
      </c>
      <c r="C16" s="44">
        <v>-2552.5634290099997</v>
      </c>
      <c r="D16" s="44">
        <v>-2522.5032977799997</v>
      </c>
      <c r="E16" s="45">
        <v>-2677.59100011</v>
      </c>
      <c r="F16" s="44">
        <v>-2529.8269999100003</v>
      </c>
      <c r="G16" s="44">
        <v>-2553.92900009</v>
      </c>
      <c r="H16" s="44">
        <v>-2543.04100105</v>
      </c>
      <c r="I16" s="44">
        <v>-2676.1409999999996</v>
      </c>
    </row>
    <row r="17" spans="1:9" ht="15">
      <c r="A17" s="46" t="str">
        <f>HLOOKUP(INDICE!$F$2,Nombres!$C$3:$D$636,40,FALSE)</f>
        <v>  Gastos de personal</v>
      </c>
      <c r="B17" s="44">
        <v>-1527.2774623</v>
      </c>
      <c r="C17" s="44">
        <v>-1492.92813589</v>
      </c>
      <c r="D17" s="44">
        <v>-1460.0334017999999</v>
      </c>
      <c r="E17" s="45">
        <v>-1557.69400003</v>
      </c>
      <c r="F17" s="44">
        <v>-1552.57500002</v>
      </c>
      <c r="G17" s="44">
        <v>-1578.3360000300002</v>
      </c>
      <c r="H17" s="44">
        <v>-1572.27499993</v>
      </c>
      <c r="I17" s="44">
        <v>-1637.2500000199998</v>
      </c>
    </row>
    <row r="18" spans="1:9" ht="15">
      <c r="A18" s="46" t="str">
        <f>HLOOKUP(INDICE!$F$2,Nombres!$C$3:$D$636,41,FALSE)</f>
        <v>  Otros gastos de administración</v>
      </c>
      <c r="B18" s="44">
        <v>-1074.5640317</v>
      </c>
      <c r="C18" s="44">
        <v>-1059.63529312</v>
      </c>
      <c r="D18" s="44">
        <v>-1062.4698959799998</v>
      </c>
      <c r="E18" s="45">
        <v>-1119.89700008</v>
      </c>
      <c r="F18" s="44">
        <v>-977.25199989</v>
      </c>
      <c r="G18" s="44">
        <v>-975.5930000599999</v>
      </c>
      <c r="H18" s="44">
        <v>-970.76600112</v>
      </c>
      <c r="I18" s="44">
        <v>-1038.8909999799998</v>
      </c>
    </row>
    <row r="19" spans="1:9" ht="15">
      <c r="A19" s="43" t="str">
        <f>HLOOKUP(INDICE!$F$2,Nombres!$C$3:$D$636,42,FALSE)</f>
        <v>  Amortización</v>
      </c>
      <c r="B19" s="44">
        <v>-300.47473923</v>
      </c>
      <c r="C19" s="44">
        <v>-289.57044306</v>
      </c>
      <c r="D19" s="44">
        <v>-304.51681771999995</v>
      </c>
      <c r="E19" s="45">
        <v>-304.65199997999997</v>
      </c>
      <c r="F19" s="44">
        <v>-391.96299998999996</v>
      </c>
      <c r="G19" s="44">
        <v>-398.44900004</v>
      </c>
      <c r="H19" s="44">
        <v>-402.56399998999996</v>
      </c>
      <c r="I19" s="44">
        <v>-406.3179999900001</v>
      </c>
    </row>
    <row r="20" spans="1:9" ht="15">
      <c r="A20" s="41" t="str">
        <f>HLOOKUP(INDICE!$F$2,Nombres!$C$3:$D$636,43,FALSE)</f>
        <v>Margen neto</v>
      </c>
      <c r="B20" s="41">
        <f>+B14+B15</f>
        <v>2974.4767251599997</v>
      </c>
      <c r="C20" s="41">
        <f aca="true" t="shared" si="1" ref="C20:I20">+C14+C15</f>
        <v>2840.6270872200002</v>
      </c>
      <c r="D20" s="41">
        <f t="shared" si="1"/>
        <v>2909.7726139599995</v>
      </c>
      <c r="E20" s="42">
        <f t="shared" si="1"/>
        <v>3171.4544239799993</v>
      </c>
      <c r="F20" s="41">
        <f t="shared" si="1"/>
        <v>3146.8700001700004</v>
      </c>
      <c r="G20" s="52">
        <f t="shared" si="1"/>
        <v>2967.7849998599995</v>
      </c>
      <c r="H20" s="52">
        <f t="shared" si="1"/>
        <v>3189.202996820001</v>
      </c>
      <c r="I20" s="52">
        <f t="shared" si="1"/>
        <v>3335.4530000600016</v>
      </c>
    </row>
    <row r="21" spans="1:9" ht="15">
      <c r="A21" s="43" t="str">
        <f>HLOOKUP(INDICE!$F$2,Nombres!$C$3:$D$636,44,FALSE)</f>
        <v>Deterioro de activos financieros no valorados a valor razonable con cambios en resultados</v>
      </c>
      <c r="B21" s="44">
        <v>-796.5965121900001</v>
      </c>
      <c r="C21" s="44">
        <v>-769.63177929</v>
      </c>
      <c r="D21" s="44">
        <v>-1023.19670849</v>
      </c>
      <c r="E21" s="45">
        <v>-1352.88600006</v>
      </c>
      <c r="F21" s="44">
        <v>-1023.2300000600001</v>
      </c>
      <c r="G21" s="44">
        <v>-753.49599992</v>
      </c>
      <c r="H21" s="44">
        <v>-1186.94000001</v>
      </c>
      <c r="I21" s="44">
        <v>-1187.2110000000002</v>
      </c>
    </row>
    <row r="22" spans="1:9" ht="15">
      <c r="A22" s="43" t="str">
        <f>HLOOKUP(INDICE!$F$2,Nombres!$C$3:$D$636,247,FALSE)</f>
        <v>Provisiones o reversión de provisiones</v>
      </c>
      <c r="B22" s="44">
        <v>-100.85368652999996</v>
      </c>
      <c r="C22" s="44">
        <v>-84.35823634000002</v>
      </c>
      <c r="D22" s="44">
        <v>-122.99736515000006</v>
      </c>
      <c r="E22" s="45">
        <v>-66.46799992999993</v>
      </c>
      <c r="F22" s="44">
        <v>-143.97699998000002</v>
      </c>
      <c r="G22" s="44">
        <v>-116.52999999000001</v>
      </c>
      <c r="H22" s="44">
        <v>-112.66099901000001</v>
      </c>
      <c r="I22" s="44">
        <v>-243.39500001</v>
      </c>
    </row>
    <row r="23" spans="1:9" ht="15">
      <c r="A23" s="43" t="str">
        <f>HLOOKUP(INDICE!$F$2,Nombres!$C$3:$D$636,248,FALSE)</f>
        <v>Otros resultados</v>
      </c>
      <c r="B23" s="44">
        <v>40.64375653</v>
      </c>
      <c r="C23" s="44">
        <v>66.34921111000006</v>
      </c>
      <c r="D23" s="44">
        <v>-36.41143565999987</v>
      </c>
      <c r="E23" s="45">
        <v>-183.85653196000004</v>
      </c>
      <c r="F23" s="44">
        <v>-22.423</v>
      </c>
      <c r="G23" s="44">
        <v>-2.668000009999955</v>
      </c>
      <c r="H23" s="44">
        <v>-3.895000979999997</v>
      </c>
      <c r="I23" s="44">
        <v>-126.48201271000015</v>
      </c>
    </row>
    <row r="24" spans="1:9" ht="15">
      <c r="A24" s="41" t="str">
        <f>HLOOKUP(INDICE!$F$2,Nombres!$C$3:$D$636,46,FALSE)</f>
        <v>Resultado antes de impuestos</v>
      </c>
      <c r="B24" s="41">
        <f aca="true" t="shared" si="2" ref="B24:I24">+B20+B21+B22+B23</f>
        <v>2117.67028297</v>
      </c>
      <c r="C24" s="41">
        <f t="shared" si="2"/>
        <v>2052.9862827</v>
      </c>
      <c r="D24" s="41">
        <f t="shared" si="2"/>
        <v>1727.1671046599995</v>
      </c>
      <c r="E24" s="42">
        <f t="shared" si="2"/>
        <v>1568.2438920299994</v>
      </c>
      <c r="F24" s="41">
        <f t="shared" si="2"/>
        <v>1957.24000013</v>
      </c>
      <c r="G24" s="41">
        <f t="shared" si="2"/>
        <v>2095.0909999399996</v>
      </c>
      <c r="H24" s="41">
        <f t="shared" si="2"/>
        <v>1885.7069968200008</v>
      </c>
      <c r="I24" s="41">
        <f t="shared" si="2"/>
        <v>1778.3649873400013</v>
      </c>
    </row>
    <row r="25" spans="1:9" ht="15">
      <c r="A25" s="43" t="str">
        <f>HLOOKUP(INDICE!$F$2,Nombres!$C$3:$D$636,47,FALSE)</f>
        <v>Impuesto sobre beneficios</v>
      </c>
      <c r="B25" s="44">
        <v>-588.473704192857</v>
      </c>
      <c r="C25" s="44">
        <v>-574.5437746242858</v>
      </c>
      <c r="D25" s="44">
        <v>-391.3300467171427</v>
      </c>
      <c r="E25" s="45">
        <v>-410.8614151598572</v>
      </c>
      <c r="F25" s="44">
        <v>-541.0104508542856</v>
      </c>
      <c r="G25" s="44">
        <v>-594.9175491657143</v>
      </c>
      <c r="H25" s="44">
        <v>-487.53199999000003</v>
      </c>
      <c r="I25" s="44">
        <v>-429.61999905000005</v>
      </c>
    </row>
    <row r="26" spans="1:9" ht="15">
      <c r="A26" s="41" t="str">
        <f>HLOOKUP(INDICE!$F$2,Nombres!$C$3:$D$636,48,FALSE)</f>
        <v>Resultado del ejercicio</v>
      </c>
      <c r="B26" s="41">
        <f>+B24+B25</f>
        <v>1529.1965787771428</v>
      </c>
      <c r="C26" s="41">
        <f aca="true" t="shared" si="3" ref="C26:I26">+C24+C25</f>
        <v>1478.4425080757144</v>
      </c>
      <c r="D26" s="41">
        <f t="shared" si="3"/>
        <v>1335.8370579428567</v>
      </c>
      <c r="E26" s="42">
        <f t="shared" si="3"/>
        <v>1157.3824768701422</v>
      </c>
      <c r="F26" s="41">
        <f t="shared" si="3"/>
        <v>1416.2295492757144</v>
      </c>
      <c r="G26" s="41">
        <f t="shared" si="3"/>
        <v>1500.1734507742854</v>
      </c>
      <c r="H26" s="41">
        <f t="shared" si="3"/>
        <v>1398.1749968300007</v>
      </c>
      <c r="I26" s="41">
        <f t="shared" si="3"/>
        <v>1348.7449882900014</v>
      </c>
    </row>
    <row r="27" spans="1:9" ht="15">
      <c r="A27" s="43" t="str">
        <f>HLOOKUP(INDICE!$F$2,Nombres!$C$3:$D$636,49,FALSE)</f>
        <v>Minoritarios</v>
      </c>
      <c r="B27" s="44">
        <v>-250.24416378</v>
      </c>
      <c r="C27" s="44">
        <v>-247.73108285</v>
      </c>
      <c r="D27" s="44">
        <v>-154.28835877999998</v>
      </c>
      <c r="E27" s="45">
        <v>-145.60485398</v>
      </c>
      <c r="F27" s="44">
        <v>-234.01900000999998</v>
      </c>
      <c r="G27" s="44">
        <v>-240.50699998</v>
      </c>
      <c r="H27" s="44">
        <v>-173.22900003000004</v>
      </c>
      <c r="I27" s="44">
        <v>-185.59799997999994</v>
      </c>
    </row>
    <row r="28" spans="1:9" ht="15">
      <c r="A28" s="47" t="str">
        <f>HLOOKUP(INDICE!$F$2,Nombres!$C$3:$D$636,250,FALSE)</f>
        <v>Resultado Atribuido (*)</v>
      </c>
      <c r="B28" s="47">
        <v>1278.9524149971435</v>
      </c>
      <c r="C28" s="47">
        <v>1230.7114252257145</v>
      </c>
      <c r="D28" s="47">
        <v>1181.5486991628568</v>
      </c>
      <c r="E28" s="47">
        <v>1011.7776228901432</v>
      </c>
      <c r="F28" s="47">
        <f>+F26+F27</f>
        <v>1182.2105492657145</v>
      </c>
      <c r="G28" s="53">
        <f>+G26+G27</f>
        <v>1259.6664507942853</v>
      </c>
      <c r="H28" s="53">
        <f>+H26+H27</f>
        <v>1224.9459968000008</v>
      </c>
      <c r="I28" s="53">
        <f>+I26+I27</f>
        <v>1163.1469883100015</v>
      </c>
    </row>
    <row r="29" spans="2:9" ht="15">
      <c r="B29" s="48">
        <v>0</v>
      </c>
      <c r="C29" s="48">
        <v>1.2915195200000653</v>
      </c>
      <c r="D29" s="48">
        <v>-0.7689875399998982</v>
      </c>
      <c r="E29" s="48">
        <v>-0.7375319800000852</v>
      </c>
      <c r="F29" s="48">
        <v>0</v>
      </c>
      <c r="G29" s="48">
        <v>0</v>
      </c>
      <c r="H29" s="48">
        <v>0</v>
      </c>
      <c r="I29" s="48">
        <v>0</v>
      </c>
    </row>
    <row r="30" spans="1:9" ht="15" customHeight="1">
      <c r="A30" s="294" t="str">
        <f>HLOOKUP(INDICE!$F$2,Nombres!$C$3:$D$636,252,FALSE)</f>
        <v>(*)No incluye Resultados generados por BBVA Chile hasta su venta el 6 de julio del 2018 ni las plusvalías de la operación, tampoco el deterioro del fondo de comercio de Estados Unidos.</v>
      </c>
      <c r="B30" s="294"/>
      <c r="C30" s="294"/>
      <c r="D30" s="294"/>
      <c r="E30" s="294"/>
      <c r="F30" s="294"/>
      <c r="G30" s="294"/>
      <c r="H30" s="294"/>
      <c r="I30" s="294"/>
    </row>
    <row r="31" spans="1:9" ht="47.25" customHeight="1">
      <c r="A31" s="294" t="str">
        <f>HLOOKUP(INDICE!$F$2,Nombres!$C$3:$D$636,253,FALSE)</f>
        <v>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v>
      </c>
      <c r="B31" s="294"/>
      <c r="C31" s="294"/>
      <c r="D31" s="294"/>
      <c r="E31" s="294"/>
      <c r="F31" s="294"/>
      <c r="G31" s="294"/>
      <c r="H31" s="294"/>
      <c r="I31" s="294"/>
    </row>
    <row r="32" spans="1:9" ht="15">
      <c r="A32" s="49"/>
      <c r="B32" s="283"/>
      <c r="C32" s="283"/>
      <c r="D32" s="283"/>
      <c r="E32" s="283"/>
      <c r="F32" s="50"/>
      <c r="G32" s="50"/>
      <c r="H32" s="50"/>
      <c r="I32" s="50"/>
    </row>
    <row r="33" spans="1:9" ht="15">
      <c r="A33" s="43"/>
      <c r="F33" s="51"/>
      <c r="G33" s="51"/>
      <c r="H33" s="51"/>
      <c r="I33" s="51"/>
    </row>
    <row r="34" spans="2:9" ht="15">
      <c r="B34" s="284"/>
      <c r="C34" s="284"/>
      <c r="D34" s="284"/>
      <c r="E34" s="284"/>
      <c r="F34" s="51"/>
      <c r="G34" s="51"/>
      <c r="H34" s="51"/>
      <c r="I34" s="51"/>
    </row>
    <row r="37" spans="1:9" ht="18">
      <c r="A37" s="33" t="str">
        <f>HLOOKUP(INDICE!$F$2,Nombres!$C$3:$D$636,31,FALSE)</f>
        <v>Cuenta de resultados  </v>
      </c>
      <c r="B37" s="34"/>
      <c r="C37" s="34"/>
      <c r="D37" s="34"/>
      <c r="E37" s="34"/>
      <c r="F37" s="34"/>
      <c r="G37" s="34"/>
      <c r="H37" s="34"/>
      <c r="I37" s="34"/>
    </row>
    <row r="38" spans="1:9" ht="15">
      <c r="A38" s="35" t="str">
        <f>HLOOKUP(INDICE!$F$2,Nombres!$C$3:$D$636,73,FALSE)</f>
        <v>(Millones de euros constantes)</v>
      </c>
      <c r="B38" s="30"/>
      <c r="C38" s="36"/>
      <c r="D38" s="36"/>
      <c r="E38" s="36"/>
      <c r="F38" s="30"/>
      <c r="G38" s="30"/>
      <c r="H38" s="30"/>
      <c r="I38" s="30"/>
    </row>
    <row r="39" spans="1:9" ht="15">
      <c r="A39" s="37"/>
      <c r="B39" s="30"/>
      <c r="C39" s="36"/>
      <c r="D39" s="36"/>
      <c r="E39" s="36"/>
      <c r="F39" s="30"/>
      <c r="G39" s="30"/>
      <c r="H39" s="30"/>
      <c r="I39" s="30"/>
    </row>
    <row r="40" spans="1:9" ht="15.75">
      <c r="A40" s="38"/>
      <c r="B40" s="295">
        <f>+B6</f>
        <v>2018</v>
      </c>
      <c r="C40" s="295"/>
      <c r="D40" s="295"/>
      <c r="E40" s="296"/>
      <c r="F40" s="297">
        <f>+F6</f>
        <v>2019</v>
      </c>
      <c r="G40" s="295"/>
      <c r="H40" s="295"/>
      <c r="I40" s="295"/>
    </row>
    <row r="41" spans="1:9" ht="15.75">
      <c r="A41" s="38"/>
      <c r="B41" s="39" t="str">
        <f>+B7</f>
        <v>1er Trim.</v>
      </c>
      <c r="C41" s="39" t="str">
        <f>+C7</f>
        <v>2º Trim.</v>
      </c>
      <c r="D41" s="39" t="str">
        <f>+D7</f>
        <v>3er Trim.</v>
      </c>
      <c r="E41" s="40" t="str">
        <f>+E7</f>
        <v>4º Trim.</v>
      </c>
      <c r="F41" s="39" t="str">
        <f>+F7</f>
        <v>1er Trim.</v>
      </c>
      <c r="G41" s="39" t="str">
        <f>+G7</f>
        <v>2º Trim.</v>
      </c>
      <c r="H41" s="39" t="str">
        <f>+H7</f>
        <v>3er Trim.</v>
      </c>
      <c r="I41" s="39" t="str">
        <f>+I7</f>
        <v>4º Trim.</v>
      </c>
    </row>
    <row r="42" spans="1:9" ht="15">
      <c r="A42" s="41" t="str">
        <f>HLOOKUP(INDICE!$F$2,Nombres!$C$3:$D$636,33,FALSE)</f>
        <v>Margen de intereses</v>
      </c>
      <c r="B42" s="41">
        <v>4006.4810705857726</v>
      </c>
      <c r="C42" s="41">
        <v>4127.980142057039</v>
      </c>
      <c r="D42" s="41">
        <v>4439.635378394188</v>
      </c>
      <c r="E42" s="42">
        <v>4670.283576095066</v>
      </c>
      <c r="F42" s="52">
        <v>4354.124993393688</v>
      </c>
      <c r="G42" s="52">
        <v>4511.297801030251</v>
      </c>
      <c r="H42" s="52">
        <v>4567.954086907682</v>
      </c>
      <c r="I42" s="52">
        <v>4768.425118648379</v>
      </c>
    </row>
    <row r="43" spans="1:9" ht="15">
      <c r="A43" s="43" t="str">
        <f>HLOOKUP(INDICE!$F$2,Nombres!$C$3:$D$636,34,FALSE)</f>
        <v>Comisiones netas</v>
      </c>
      <c r="B43" s="44">
        <v>1175.944728054994</v>
      </c>
      <c r="C43" s="44">
        <v>1219.6793801842628</v>
      </c>
      <c r="D43" s="44">
        <v>1208.3340666993674</v>
      </c>
      <c r="E43" s="45">
        <v>1224.4585821034925</v>
      </c>
      <c r="F43" s="44">
        <v>1202.9476488792895</v>
      </c>
      <c r="G43" s="44">
        <v>1249.351900712287</v>
      </c>
      <c r="H43" s="44">
        <v>1285.7519215931613</v>
      </c>
      <c r="I43" s="44">
        <v>1294.817529785262</v>
      </c>
    </row>
    <row r="44" spans="1:9" ht="15">
      <c r="A44" s="43" t="str">
        <f>HLOOKUP(INDICE!$F$2,Nombres!$C$3:$D$636,35,FALSE)</f>
        <v>Resultados de operaciones financieras</v>
      </c>
      <c r="B44" s="44">
        <v>370.4388936670937</v>
      </c>
      <c r="C44" s="44">
        <v>268.279631971437</v>
      </c>
      <c r="D44" s="44">
        <v>217.03387765944157</v>
      </c>
      <c r="E44" s="45">
        <v>308.1894499375443</v>
      </c>
      <c r="F44" s="44">
        <v>391.1105959423414</v>
      </c>
      <c r="G44" s="44">
        <v>107.45692928967094</v>
      </c>
      <c r="H44" s="44">
        <v>381.8088939150101</v>
      </c>
      <c r="I44" s="44">
        <v>503.0975778629775</v>
      </c>
    </row>
    <row r="45" spans="1:9" ht="15">
      <c r="A45" s="43" t="str">
        <f>HLOOKUP(INDICE!$F$2,Nombres!$C$3:$D$636,96,FALSE)</f>
        <v>Ingresos por dividendos</v>
      </c>
      <c r="B45" s="44">
        <v>11.52750940021303</v>
      </c>
      <c r="C45" s="44">
        <v>70.74065390518747</v>
      </c>
      <c r="D45" s="44">
        <v>12.183285948549784</v>
      </c>
      <c r="E45" s="45">
        <v>62.357131545347144</v>
      </c>
      <c r="F45" s="44">
        <v>10.169952280769639</v>
      </c>
      <c r="G45" s="44">
        <v>87.44892433392208</v>
      </c>
      <c r="H45" s="44">
        <v>5.161066761059707</v>
      </c>
      <c r="I45" s="44">
        <v>59.647056614248854</v>
      </c>
    </row>
    <row r="46" spans="1:9" ht="15">
      <c r="A46" s="43" t="str">
        <f>HLOOKUP(INDICE!$F$2,Nombres!$C$3:$D$636,97,FALSE)</f>
        <v>Part. gananc/pdas inversiones en dependientes, neg conjunt y asoc</v>
      </c>
      <c r="B46" s="44">
        <v>6.268046883466493</v>
      </c>
      <c r="C46" s="44">
        <v>3.92965904190501</v>
      </c>
      <c r="D46" s="44">
        <v>-0.397620452227478</v>
      </c>
      <c r="E46" s="45">
        <v>-15.32150320826665</v>
      </c>
      <c r="F46" s="44">
        <v>-3.663183063444201</v>
      </c>
      <c r="G46" s="44">
        <v>-14.781656056869311</v>
      </c>
      <c r="H46" s="44">
        <v>-6.762347885860202</v>
      </c>
      <c r="I46" s="44">
        <v>-16.800812993826284</v>
      </c>
    </row>
    <row r="47" spans="1:9" ht="15">
      <c r="A47" s="43" t="str">
        <f>HLOOKUP(INDICE!$F$2,Nombres!$C$3:$D$636,98,FALSE)</f>
        <v>Otros productos/cargas de explotación</v>
      </c>
      <c r="B47" s="44">
        <v>57.56651008502818</v>
      </c>
      <c r="C47" s="44">
        <v>-76.2883409557032</v>
      </c>
      <c r="D47" s="44">
        <v>34.86258551469456</v>
      </c>
      <c r="E47" s="45">
        <v>-130.30429841549983</v>
      </c>
      <c r="F47" s="44">
        <v>8.831784656215586</v>
      </c>
      <c r="G47" s="44">
        <v>-87.78380078122356</v>
      </c>
      <c r="H47" s="44">
        <v>17.964323770783523</v>
      </c>
      <c r="I47" s="44">
        <v>-136.03330762577565</v>
      </c>
    </row>
    <row r="48" spans="1:9" ht="15">
      <c r="A48" s="41" t="str">
        <f>HLOOKUP(INDICE!$F$2,Nombres!$C$3:$D$636,37,FALSE)</f>
        <v>Margen bruto</v>
      </c>
      <c r="B48" s="41">
        <f>+SUM(B42:B47)</f>
        <v>5628.226758676568</v>
      </c>
      <c r="C48" s="41">
        <f aca="true" t="shared" si="4" ref="C48:I48">+SUM(C42:C47)</f>
        <v>5614.321126204128</v>
      </c>
      <c r="D48" s="41">
        <f t="shared" si="4"/>
        <v>5911.651573764013</v>
      </c>
      <c r="E48" s="42">
        <f t="shared" si="4"/>
        <v>6119.662938057683</v>
      </c>
      <c r="F48" s="52">
        <f t="shared" si="4"/>
        <v>5963.52179208886</v>
      </c>
      <c r="G48" s="52">
        <f t="shared" si="4"/>
        <v>5852.990098528039</v>
      </c>
      <c r="H48" s="52">
        <f t="shared" si="4"/>
        <v>6251.877945061836</v>
      </c>
      <c r="I48" s="52">
        <f t="shared" si="4"/>
        <v>6473.153162291265</v>
      </c>
    </row>
    <row r="49" spans="1:9" ht="15">
      <c r="A49" s="43" t="str">
        <f>HLOOKUP(INDICE!$F$2,Nombres!$C$3:$D$636,38,FALSE)</f>
        <v>Gastos de explotación</v>
      </c>
      <c r="B49" s="44">
        <v>-2796.712380734447</v>
      </c>
      <c r="C49" s="44">
        <v>-2826.3400328102134</v>
      </c>
      <c r="D49" s="44">
        <v>-2917.052819539107</v>
      </c>
      <c r="E49" s="45">
        <v>-2960.7980883767864</v>
      </c>
      <c r="F49" s="44">
        <v>-2893.546594532945</v>
      </c>
      <c r="G49" s="44">
        <v>-2931.4041713025895</v>
      </c>
      <c r="H49" s="44">
        <v>-2978.15960965055</v>
      </c>
      <c r="I49" s="44">
        <v>-3099.1216255739155</v>
      </c>
    </row>
    <row r="50" spans="1:9" ht="15">
      <c r="A50" s="43" t="str">
        <f>HLOOKUP(INDICE!$F$2,Nombres!$C$3:$D$636,39,FALSE)</f>
        <v>  Gastos de administración</v>
      </c>
      <c r="B50" s="44">
        <v>-2502.3505112825806</v>
      </c>
      <c r="C50" s="44">
        <v>-2537.1931785687743</v>
      </c>
      <c r="D50" s="44">
        <v>-2604.5884169465485</v>
      </c>
      <c r="E50" s="45">
        <v>-2654.7220177708073</v>
      </c>
      <c r="F50" s="44">
        <v>-2503.6110306842984</v>
      </c>
      <c r="G50" s="44">
        <v>-2533.507783285062</v>
      </c>
      <c r="H50" s="44">
        <v>-2573.5736860118905</v>
      </c>
      <c r="I50" s="44">
        <v>-2692.245501068749</v>
      </c>
    </row>
    <row r="51" spans="1:9" ht="15">
      <c r="A51" s="46" t="str">
        <f>HLOOKUP(INDICE!$F$2,Nombres!$C$3:$D$636,40,FALSE)</f>
        <v>  Gastos de personal</v>
      </c>
      <c r="B51" s="44">
        <v>-1472.416342251701</v>
      </c>
      <c r="C51" s="44">
        <v>-1481.2087706166021</v>
      </c>
      <c r="D51" s="44">
        <v>-1505.5556432273183</v>
      </c>
      <c r="E51" s="45">
        <v>-1545.0079570856774</v>
      </c>
      <c r="F51" s="44">
        <v>-1535.6116216426399</v>
      </c>
      <c r="G51" s="44">
        <v>-1566.0140085573612</v>
      </c>
      <c r="H51" s="44">
        <v>-1591.5657532834543</v>
      </c>
      <c r="I51" s="44">
        <v>-1647.2446165165443</v>
      </c>
    </row>
    <row r="52" spans="1:9" ht="15">
      <c r="A52" s="46" t="str">
        <f>HLOOKUP(INDICE!$F$2,Nombres!$C$3:$D$636,41,FALSE)</f>
        <v>  Otros gastos de administración</v>
      </c>
      <c r="B52" s="44">
        <v>-1029.9341690308797</v>
      </c>
      <c r="C52" s="44">
        <v>-1055.9844079521722</v>
      </c>
      <c r="D52" s="44">
        <v>-1099.0327737192301</v>
      </c>
      <c r="E52" s="45">
        <v>-1109.7140606851294</v>
      </c>
      <c r="F52" s="44">
        <v>-967.9994090416583</v>
      </c>
      <c r="G52" s="44">
        <v>-967.4937747277008</v>
      </c>
      <c r="H52" s="44">
        <v>-982.0079327284359</v>
      </c>
      <c r="I52" s="44">
        <v>-1045.0008845522048</v>
      </c>
    </row>
    <row r="53" spans="1:9" ht="15">
      <c r="A53" s="43" t="str">
        <f>HLOOKUP(INDICE!$F$2,Nombres!$C$3:$D$636,42,FALSE)</f>
        <v>  Amortización</v>
      </c>
      <c r="B53" s="44">
        <v>-294.36186945186637</v>
      </c>
      <c r="C53" s="44">
        <v>-289.146854241439</v>
      </c>
      <c r="D53" s="44">
        <v>-312.4644025925587</v>
      </c>
      <c r="E53" s="45">
        <v>-306.0760706059792</v>
      </c>
      <c r="F53" s="44">
        <v>-389.93556384864735</v>
      </c>
      <c r="G53" s="44">
        <v>-397.89638801752733</v>
      </c>
      <c r="H53" s="44">
        <v>-404.58592363865944</v>
      </c>
      <c r="I53" s="44">
        <v>-406.87612450516593</v>
      </c>
    </row>
    <row r="54" spans="1:9" ht="15">
      <c r="A54" s="41" t="str">
        <f>HLOOKUP(INDICE!$F$2,Nombres!$C$3:$D$636,43,FALSE)</f>
        <v>Margen neto</v>
      </c>
      <c r="B54" s="41">
        <f>+B48+B49</f>
        <v>2831.5143779421214</v>
      </c>
      <c r="C54" s="41">
        <f aca="true" t="shared" si="5" ref="C54:I54">+C48+C49</f>
        <v>2787.9810933939143</v>
      </c>
      <c r="D54" s="41">
        <f t="shared" si="5"/>
        <v>2994.598754224906</v>
      </c>
      <c r="E54" s="42">
        <f t="shared" si="5"/>
        <v>3158.864849680897</v>
      </c>
      <c r="F54" s="52">
        <f t="shared" si="5"/>
        <v>3069.9751975559147</v>
      </c>
      <c r="G54" s="52">
        <f t="shared" si="5"/>
        <v>2921.5859272254497</v>
      </c>
      <c r="H54" s="52">
        <f t="shared" si="5"/>
        <v>3273.718335411286</v>
      </c>
      <c r="I54" s="52">
        <f t="shared" si="5"/>
        <v>3374.03153671735</v>
      </c>
    </row>
    <row r="55" spans="1:9" ht="15">
      <c r="A55" s="43" t="str">
        <f>HLOOKUP(INDICE!$F$2,Nombres!$C$3:$D$636,44,FALSE)</f>
        <v>Deterioro de activos financieros no valorados a valor razonable con cambios en resultados</v>
      </c>
      <c r="B55" s="44">
        <v>-775.9490859117637</v>
      </c>
      <c r="C55" s="44">
        <v>-755.7956243739914</v>
      </c>
      <c r="D55" s="44">
        <v>-1017.7188481612106</v>
      </c>
      <c r="E55" s="45">
        <v>-1328.0281869102528</v>
      </c>
      <c r="F55" s="44">
        <v>-1013.893739368189</v>
      </c>
      <c r="G55" s="44">
        <v>-749.611133233259</v>
      </c>
      <c r="H55" s="44">
        <v>-1190.3459593090577</v>
      </c>
      <c r="I55" s="44">
        <v>-1197.0261680794945</v>
      </c>
    </row>
    <row r="56" spans="1:9" ht="15">
      <c r="A56" s="43" t="str">
        <f>HLOOKUP(INDICE!$F$2,Nombres!$C$3:$D$636,247,FALSE)</f>
        <v>Provisiones o reversión de provisiones</v>
      </c>
      <c r="B56" s="44">
        <v>-94.54698242152463</v>
      </c>
      <c r="C56" s="44">
        <v>-83.6581278804693</v>
      </c>
      <c r="D56" s="44">
        <v>-122.65278434694609</v>
      </c>
      <c r="E56" s="45">
        <v>-70.70076180435137</v>
      </c>
      <c r="F56" s="44">
        <v>-142.58497781330135</v>
      </c>
      <c r="G56" s="44">
        <v>-113.60136272703593</v>
      </c>
      <c r="H56" s="44">
        <v>-115.04473709307717</v>
      </c>
      <c r="I56" s="44">
        <v>-245.33192135658555</v>
      </c>
    </row>
    <row r="57" spans="1:9" ht="15">
      <c r="A57" s="43" t="str">
        <f>HLOOKUP(INDICE!$F$2,Nombres!$C$3:$D$636,248,FALSE)</f>
        <v>Otros resultados</v>
      </c>
      <c r="B57" s="44">
        <v>34.219270098326156</v>
      </c>
      <c r="C57" s="44">
        <v>69.46144390807643</v>
      </c>
      <c r="D57" s="44">
        <v>-34.36993208657813</v>
      </c>
      <c r="E57" s="45">
        <v>-173.6474775136235</v>
      </c>
      <c r="F57" s="44">
        <v>-22.387015957934803</v>
      </c>
      <c r="G57" s="44">
        <v>-2.5934526161772533</v>
      </c>
      <c r="H57" s="44">
        <v>-3.902458873052094</v>
      </c>
      <c r="I57" s="44">
        <v>-126.58508625283592</v>
      </c>
    </row>
    <row r="58" spans="1:9" ht="15">
      <c r="A58" s="41" t="str">
        <f>HLOOKUP(INDICE!$F$2,Nombres!$C$3:$D$636,46,FALSE)</f>
        <v>Resultado antes de impuestos</v>
      </c>
      <c r="B58" s="41">
        <f aca="true" t="shared" si="6" ref="B58:I58">+B54+B55+B56+B57</f>
        <v>1995.2375797071593</v>
      </c>
      <c r="C58" s="41">
        <f t="shared" si="6"/>
        <v>2017.9887850475302</v>
      </c>
      <c r="D58" s="41">
        <f t="shared" si="6"/>
        <v>1819.857189630171</v>
      </c>
      <c r="E58" s="42">
        <f t="shared" si="6"/>
        <v>1586.4884234526694</v>
      </c>
      <c r="F58" s="41">
        <f t="shared" si="6"/>
        <v>1891.1094644164896</v>
      </c>
      <c r="G58" s="41">
        <f t="shared" si="6"/>
        <v>2055.7799786489777</v>
      </c>
      <c r="H58" s="41">
        <f t="shared" si="6"/>
        <v>1964.425180136099</v>
      </c>
      <c r="I58" s="41">
        <f t="shared" si="6"/>
        <v>1805.0883610284336</v>
      </c>
    </row>
    <row r="59" spans="1:9" ht="15">
      <c r="A59" s="43" t="str">
        <f>HLOOKUP(INDICE!$F$2,Nombres!$C$3:$D$636,47,FALSE)</f>
        <v>Impuesto sobre beneficios</v>
      </c>
      <c r="B59" s="44">
        <v>-559.8658211114624</v>
      </c>
      <c r="C59" s="44">
        <v>-564.0481080554807</v>
      </c>
      <c r="D59" s="44">
        <v>-426.24906948122697</v>
      </c>
      <c r="E59" s="45">
        <v>-414.4932011889342</v>
      </c>
      <c r="F59" s="44">
        <v>-523.3410978744812</v>
      </c>
      <c r="G59" s="44">
        <v>-583.6449482839388</v>
      </c>
      <c r="H59" s="44">
        <v>-508.1771335261904</v>
      </c>
      <c r="I59" s="44">
        <v>-437.91681937538954</v>
      </c>
    </row>
    <row r="60" spans="1:9" ht="15">
      <c r="A60" s="41" t="str">
        <f>HLOOKUP(INDICE!$F$2,Nombres!$C$3:$D$636,48,FALSE)</f>
        <v>Resultado del ejercicio</v>
      </c>
      <c r="B60" s="41">
        <f>+B58+B59</f>
        <v>1435.371758595697</v>
      </c>
      <c r="C60" s="41">
        <f aca="true" t="shared" si="7" ref="C60:I60">+C58+C59</f>
        <v>1453.9406769920495</v>
      </c>
      <c r="D60" s="41">
        <f t="shared" si="7"/>
        <v>1393.608120148944</v>
      </c>
      <c r="E60" s="42">
        <f t="shared" si="7"/>
        <v>1171.9952222637353</v>
      </c>
      <c r="F60" s="41">
        <f t="shared" si="7"/>
        <v>1367.7683665420084</v>
      </c>
      <c r="G60" s="41">
        <f t="shared" si="7"/>
        <v>1472.1350303650388</v>
      </c>
      <c r="H60" s="41">
        <f t="shared" si="7"/>
        <v>1456.2480466099087</v>
      </c>
      <c r="I60" s="41">
        <f t="shared" si="7"/>
        <v>1367.1715416530442</v>
      </c>
    </row>
    <row r="61" spans="1:9" ht="15">
      <c r="A61" s="43" t="str">
        <f>HLOOKUP(INDICE!$F$2,Nombres!$C$3:$D$636,49,FALSE)</f>
        <v>Minoritarios</v>
      </c>
      <c r="B61" s="44">
        <v>-184.62421548162888</v>
      </c>
      <c r="C61" s="44">
        <v>-213.50388743962878</v>
      </c>
      <c r="D61" s="44">
        <v>-173.8701216522339</v>
      </c>
      <c r="E61" s="45">
        <v>-146.60526379606404</v>
      </c>
      <c r="F61" s="44">
        <v>-214.05561929592193</v>
      </c>
      <c r="G61" s="44">
        <v>-235.19793260826162</v>
      </c>
      <c r="H61" s="44">
        <v>-190.79912059644536</v>
      </c>
      <c r="I61" s="44">
        <v>-193.30032749937104</v>
      </c>
    </row>
    <row r="62" spans="1:9" ht="15">
      <c r="A62" s="47" t="str">
        <f>HLOOKUP(INDICE!$F$2,Nombres!$C$3:$D$636,250,FALSE)</f>
        <v>Resultado Atribuido (*)</v>
      </c>
      <c r="B62" s="47">
        <f>+B60+B61</f>
        <v>1250.747543114068</v>
      </c>
      <c r="C62" s="47">
        <f aca="true" t="shared" si="8" ref="C62:I62">+C60+C61</f>
        <v>1240.4367895524206</v>
      </c>
      <c r="D62" s="47">
        <f t="shared" si="8"/>
        <v>1219.7379984967101</v>
      </c>
      <c r="E62" s="47">
        <f t="shared" si="8"/>
        <v>1025.3899584676712</v>
      </c>
      <c r="F62" s="53">
        <f t="shared" si="8"/>
        <v>1153.7127472460866</v>
      </c>
      <c r="G62" s="53">
        <f t="shared" si="8"/>
        <v>1236.9370977567771</v>
      </c>
      <c r="H62" s="53">
        <f t="shared" si="8"/>
        <v>1265.4489260134633</v>
      </c>
      <c r="I62" s="53">
        <f t="shared" si="8"/>
        <v>1173.8712141536732</v>
      </c>
    </row>
    <row r="63" spans="2:9" ht="15">
      <c r="B63" s="285">
        <v>0</v>
      </c>
      <c r="C63" s="285">
        <v>0</v>
      </c>
      <c r="D63" s="285">
        <v>0.15799999999990177</v>
      </c>
      <c r="E63" s="285">
        <v>-0.1580000000005839</v>
      </c>
      <c r="F63" s="48">
        <v>0</v>
      </c>
      <c r="G63" s="48">
        <v>0</v>
      </c>
      <c r="H63" s="48">
        <v>0</v>
      </c>
      <c r="I63" s="48">
        <v>0</v>
      </c>
    </row>
    <row r="64" spans="1:9" ht="15" customHeight="1">
      <c r="A64" s="294" t="str">
        <f>HLOOKUP(INDICE!$F$2,Nombres!$C$3:$D$636,252,FALSE)</f>
        <v>(*)No incluye Resultados generados por BBVA Chile hasta su venta el 6 de julio del 2018 ni las plusvalías de la operación, tampoco el deterioro del fondo de comercio de Estados Unidos.</v>
      </c>
      <c r="B64" s="294"/>
      <c r="C64" s="294"/>
      <c r="D64" s="294"/>
      <c r="E64" s="294"/>
      <c r="F64" s="294"/>
      <c r="G64" s="294"/>
      <c r="H64" s="294"/>
      <c r="I64" s="294"/>
    </row>
    <row r="65" spans="1:9" ht="58.5" customHeight="1">
      <c r="A65" s="294" t="str">
        <f>HLOOKUP(INDICE!$F$2,Nombres!$C$3:$D$636,253,FALSE)</f>
        <v>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v>
      </c>
      <c r="B65" s="294"/>
      <c r="C65" s="294"/>
      <c r="D65" s="294"/>
      <c r="E65" s="294"/>
      <c r="F65" s="294"/>
      <c r="G65" s="294"/>
      <c r="H65" s="294"/>
      <c r="I65" s="294"/>
    </row>
    <row r="66" ht="15">
      <c r="E66" s="286"/>
    </row>
    <row r="998" ht="15">
      <c r="A998"/>
    </row>
    <row r="1000" ht="15">
      <c r="A1000" s="31" t="s">
        <v>399</v>
      </c>
    </row>
  </sheetData>
  <sheetProtection/>
  <mergeCells count="8">
    <mergeCell ref="B40:E40"/>
    <mergeCell ref="F40:I40"/>
    <mergeCell ref="A64:I64"/>
    <mergeCell ref="A65:I65"/>
    <mergeCell ref="B6:E6"/>
    <mergeCell ref="F6:I6"/>
    <mergeCell ref="A30:I30"/>
    <mergeCell ref="A31:I31"/>
  </mergeCells>
  <conditionalFormatting sqref="B29:I29">
    <cfRule type="cellIs" priority="19" dxfId="116" operator="notBetween">
      <formula>0.5</formula>
      <formula>-0.5</formula>
    </cfRule>
  </conditionalFormatting>
  <conditionalFormatting sqref="C29">
    <cfRule type="cellIs" priority="18" dxfId="116" operator="notBetween">
      <formula>0.5</formula>
      <formula>-0.5</formula>
    </cfRule>
  </conditionalFormatting>
  <conditionalFormatting sqref="D29">
    <cfRule type="cellIs" priority="17" dxfId="116" operator="notBetween">
      <formula>0.5</formula>
      <formula>-0.5</formula>
    </cfRule>
  </conditionalFormatting>
  <conditionalFormatting sqref="E29">
    <cfRule type="cellIs" priority="16" dxfId="117" operator="notBetween">
      <formula>0.5</formula>
      <formula>-0.5</formula>
    </cfRule>
  </conditionalFormatting>
  <conditionalFormatting sqref="F29">
    <cfRule type="cellIs" priority="15" dxfId="116" operator="notBetween">
      <formula>0.5</formula>
      <formula>-0.5</formula>
    </cfRule>
  </conditionalFormatting>
  <conditionalFormatting sqref="G29">
    <cfRule type="cellIs" priority="14" dxfId="116" operator="notBetween">
      <formula>0.5</formula>
      <formula>-0.5</formula>
    </cfRule>
  </conditionalFormatting>
  <conditionalFormatting sqref="H29">
    <cfRule type="cellIs" priority="13" dxfId="116" operator="notBetween">
      <formula>0.5</formula>
      <formula>-0.5</formula>
    </cfRule>
  </conditionalFormatting>
  <conditionalFormatting sqref="I29">
    <cfRule type="cellIs" priority="12" dxfId="116" operator="notBetween">
      <formula>0.5</formula>
      <formula>-0.5</formula>
    </cfRule>
  </conditionalFormatting>
  <conditionalFormatting sqref="B63:I63">
    <cfRule type="cellIs" priority="11" dxfId="116" operator="notBetween">
      <formula>0.5</formula>
      <formula>-0.5</formula>
    </cfRule>
  </conditionalFormatting>
  <conditionalFormatting sqref="C63">
    <cfRule type="cellIs" priority="10" dxfId="116" operator="notBetween">
      <formula>0.5</formula>
      <formula>-0.5</formula>
    </cfRule>
  </conditionalFormatting>
  <conditionalFormatting sqref="D63">
    <cfRule type="cellIs" priority="9" dxfId="116" operator="notBetween">
      <formula>0.5</formula>
      <formula>-0.5</formula>
    </cfRule>
  </conditionalFormatting>
  <conditionalFormatting sqref="E63">
    <cfRule type="cellIs" priority="8" dxfId="116" operator="notBetween">
      <formula>0.5</formula>
      <formula>-0.5</formula>
    </cfRule>
  </conditionalFormatting>
  <conditionalFormatting sqref="F63">
    <cfRule type="cellIs" priority="7" dxfId="116" operator="notBetween">
      <formula>0.5</formula>
      <formula>-0.5</formula>
    </cfRule>
  </conditionalFormatting>
  <conditionalFormatting sqref="G63">
    <cfRule type="cellIs" priority="6" dxfId="116" operator="notBetween">
      <formula>0.5</formula>
      <formula>-0.5</formula>
    </cfRule>
  </conditionalFormatting>
  <conditionalFormatting sqref="H63">
    <cfRule type="cellIs" priority="5" dxfId="116" operator="notBetween">
      <formula>0.5</formula>
      <formula>-0.5</formula>
    </cfRule>
  </conditionalFormatting>
  <conditionalFormatting sqref="I63">
    <cfRule type="cellIs" priority="4" dxfId="116" operator="notBetween">
      <formula>0.5</formula>
      <formula>-0.5</formula>
    </cfRule>
  </conditionalFormatting>
  <conditionalFormatting sqref="D29">
    <cfRule type="cellIs" priority="3" dxfId="117" operator="notBetween">
      <formula>0.5</formula>
      <formula>-0.5</formula>
    </cfRule>
  </conditionalFormatting>
  <conditionalFormatting sqref="C29">
    <cfRule type="cellIs" priority="2" dxfId="117" operator="notBetween">
      <formula>0.5</formula>
      <formula>-0.5</formula>
    </cfRule>
  </conditionalFormatting>
  <conditionalFormatting sqref="B29">
    <cfRule type="cellIs" priority="1" dxfId="117" operator="notBetween">
      <formula>0.5</formula>
      <formula>-0.5</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2" sqref="A2"/>
    </sheetView>
  </sheetViews>
  <sheetFormatPr defaultColWidth="11.421875" defaultRowHeight="15"/>
  <cols>
    <col min="1" max="1" width="86.421875" style="31" customWidth="1"/>
    <col min="2" max="2" width="10.421875" style="31" customWidth="1"/>
    <col min="3" max="18" width="11.421875" style="31" customWidth="1"/>
  </cols>
  <sheetData>
    <row r="1" spans="1:9" ht="18">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Balances</v>
      </c>
      <c r="B3" s="34"/>
      <c r="C3" s="34"/>
      <c r="D3" s="34"/>
      <c r="E3" s="34"/>
      <c r="F3" s="34"/>
      <c r="G3" s="34"/>
      <c r="H3" s="34"/>
      <c r="I3" s="34"/>
    </row>
    <row r="4" spans="1:9" ht="15">
      <c r="A4" s="35" t="str">
        <f>HLOOKUP(INDICE!$F$2,Nombres!$C$3:$D$636,32,FALSE)</f>
        <v>(Millones de euros)</v>
      </c>
      <c r="B4" s="30"/>
      <c r="C4" s="54"/>
      <c r="D4" s="54"/>
      <c r="E4" s="54"/>
      <c r="F4" s="30"/>
      <c r="G4" s="60"/>
      <c r="H4" s="60"/>
      <c r="I4" s="60"/>
    </row>
    <row r="5" spans="1:9" ht="15.75">
      <c r="A5" s="30"/>
      <c r="B5" s="55">
        <v>43190</v>
      </c>
      <c r="C5" s="55">
        <v>43281</v>
      </c>
      <c r="D5" s="55">
        <v>43373</v>
      </c>
      <c r="E5" s="55">
        <v>43465</v>
      </c>
      <c r="F5" s="55">
        <v>43555</v>
      </c>
      <c r="G5" s="55">
        <v>43646</v>
      </c>
      <c r="H5" s="55">
        <v>43738</v>
      </c>
      <c r="I5" s="55">
        <v>43830</v>
      </c>
    </row>
    <row r="6" spans="1:18" ht="15">
      <c r="A6" s="43" t="str">
        <f>HLOOKUP(INDICE!$F$2,Nombres!$C$3:$D$636,52,FALSE)</f>
        <v>Efectivo, saldos en efectivo en bancos centrales y otros depósitos a la vista</v>
      </c>
      <c r="B6" s="44">
        <v>43166.921</v>
      </c>
      <c r="C6" s="44">
        <v>37278.749</v>
      </c>
      <c r="D6" s="44">
        <v>44800.406</v>
      </c>
      <c r="E6" s="44">
        <v>58196.245</v>
      </c>
      <c r="F6" s="44">
        <v>50059.414</v>
      </c>
      <c r="G6" s="44">
        <v>44565.329</v>
      </c>
      <c r="H6" s="44">
        <v>40931.844</v>
      </c>
      <c r="I6" s="44">
        <v>44303.13</v>
      </c>
      <c r="J6" s="56"/>
      <c r="K6" s="56"/>
      <c r="O6" s="56"/>
      <c r="P6" s="56"/>
      <c r="Q6" s="56"/>
      <c r="R6" s="56"/>
    </row>
    <row r="7" spans="1:18" ht="15">
      <c r="A7" s="43" t="str">
        <f>HLOOKUP(INDICE!$F$2,Nombres!$C$3:$D$636,131,FALSE)</f>
        <v>Activos financieros mantenidos para negociar</v>
      </c>
      <c r="B7" s="44">
        <v>94745.036</v>
      </c>
      <c r="C7" s="44">
        <v>91018.102</v>
      </c>
      <c r="D7" s="44">
        <v>90405.488</v>
      </c>
      <c r="E7" s="44">
        <v>90116.779</v>
      </c>
      <c r="F7" s="44">
        <v>92365.973</v>
      </c>
      <c r="G7" s="44">
        <v>105368.653</v>
      </c>
      <c r="H7" s="44">
        <v>110874.073</v>
      </c>
      <c r="I7" s="44">
        <v>102688.13</v>
      </c>
      <c r="J7" s="56"/>
      <c r="K7" s="56"/>
      <c r="O7" s="56"/>
      <c r="P7" s="56"/>
      <c r="Q7" s="56"/>
      <c r="R7" s="56"/>
    </row>
    <row r="8" spans="1:18" ht="15">
      <c r="A8" s="43" t="str">
        <f>HLOOKUP(INDICE!$F$2,Nombres!$C$3:$D$636,132,FALSE)</f>
        <v>Activos financieros no destinados a negociación valorados obligatoriamente a valor razonable con cambios en resultados</v>
      </c>
      <c r="B8" s="44">
        <v>4359.714</v>
      </c>
      <c r="C8" s="44">
        <v>4376.854</v>
      </c>
      <c r="D8" s="44">
        <v>4691.838</v>
      </c>
      <c r="E8" s="44">
        <v>5135.342</v>
      </c>
      <c r="F8" s="44">
        <v>5534.6</v>
      </c>
      <c r="G8" s="44">
        <v>4918.365</v>
      </c>
      <c r="H8" s="44">
        <v>5209.409</v>
      </c>
      <c r="I8" s="44">
        <v>5557.146</v>
      </c>
      <c r="J8" s="56"/>
      <c r="K8" s="56"/>
      <c r="O8" s="56"/>
      <c r="P8" s="56"/>
      <c r="Q8" s="56"/>
      <c r="R8" s="56"/>
    </row>
    <row r="9" spans="1:18" ht="15">
      <c r="A9" s="43" t="str">
        <f>HLOOKUP(INDICE!$F$2,Nombres!$C$3:$D$636,133,FALSE)</f>
        <v>Activos financieros designados a valor razonable con cambios en resultados</v>
      </c>
      <c r="B9" s="44">
        <v>1330.234</v>
      </c>
      <c r="C9" s="44">
        <v>1486.789</v>
      </c>
      <c r="D9" s="44">
        <v>1301.567</v>
      </c>
      <c r="E9" s="44">
        <v>1313.436</v>
      </c>
      <c r="F9" s="44">
        <v>1310.735</v>
      </c>
      <c r="G9" s="44">
        <v>1403.443</v>
      </c>
      <c r="H9" s="44">
        <v>1399.754</v>
      </c>
      <c r="I9" s="44">
        <v>1214.003</v>
      </c>
      <c r="J9" s="56"/>
      <c r="K9" s="56"/>
      <c r="O9" s="56"/>
      <c r="P9" s="56"/>
      <c r="Q9" s="56"/>
      <c r="R9" s="56"/>
    </row>
    <row r="10" spans="1:18" ht="15">
      <c r="A10" s="43" t="str">
        <f>HLOOKUP(INDICE!$F$2,Nombres!$C$3:$D$636,134,FALSE)</f>
        <v>Activos financieros designados a valor razonable con cambios en otro resultado global acumulado</v>
      </c>
      <c r="B10" s="44">
        <v>59211.983</v>
      </c>
      <c r="C10" s="44">
        <v>63212</v>
      </c>
      <c r="D10" s="44">
        <v>61602.325</v>
      </c>
      <c r="E10" s="44">
        <v>56337.461</v>
      </c>
      <c r="F10" s="44">
        <v>60204.406</v>
      </c>
      <c r="G10" s="44">
        <v>63363.562</v>
      </c>
      <c r="H10" s="44">
        <v>63275.056</v>
      </c>
      <c r="I10" s="44">
        <v>61183.325</v>
      </c>
      <c r="J10" s="56"/>
      <c r="K10" s="56"/>
      <c r="O10" s="56"/>
      <c r="P10" s="56"/>
      <c r="Q10" s="56"/>
      <c r="R10" s="56"/>
    </row>
    <row r="11" spans="1:18" ht="15">
      <c r="A11" s="43" t="str">
        <f>HLOOKUP(INDICE!$F$2,Nombres!$C$3:$D$636,135,FALSE)</f>
        <v>Activos financieros a coste amortizado</v>
      </c>
      <c r="B11" s="44">
        <v>417646.24</v>
      </c>
      <c r="C11" s="44">
        <v>426349.11000000004</v>
      </c>
      <c r="D11" s="44">
        <v>417893.41299999994</v>
      </c>
      <c r="E11" s="44">
        <v>419659.687</v>
      </c>
      <c r="F11" s="44">
        <v>433008.152</v>
      </c>
      <c r="G11" s="44">
        <v>430929.827</v>
      </c>
      <c r="H11" s="44">
        <v>437792.202</v>
      </c>
      <c r="I11" s="44">
        <v>439161.747</v>
      </c>
      <c r="J11" s="56"/>
      <c r="K11" s="56"/>
      <c r="O11" s="56"/>
      <c r="P11" s="56"/>
      <c r="Q11" s="56"/>
      <c r="R11" s="56"/>
    </row>
    <row r="12" spans="1:18" ht="15">
      <c r="A12" s="57" t="str">
        <f>HLOOKUP(INDICE!$F$2,Nombres!$C$3:$D$636,136,FALSE)</f>
        <v>. Préstamos y anticipos en bancos centrales  y entidades de crédito</v>
      </c>
      <c r="B12" s="58">
        <v>17751.155</v>
      </c>
      <c r="C12" s="58">
        <v>17091.901</v>
      </c>
      <c r="D12" s="58">
        <v>15354.774</v>
      </c>
      <c r="E12" s="58">
        <v>13103.275000000001</v>
      </c>
      <c r="F12" s="58">
        <v>15787.366</v>
      </c>
      <c r="G12" s="58">
        <v>16421.04</v>
      </c>
      <c r="H12" s="58">
        <v>19654.828</v>
      </c>
      <c r="I12" s="58">
        <v>17923.999</v>
      </c>
      <c r="J12" s="56"/>
      <c r="K12" s="56"/>
      <c r="O12" s="56"/>
      <c r="P12" s="56"/>
      <c r="Q12" s="56"/>
      <c r="R12" s="56"/>
    </row>
    <row r="13" spans="1:18" ht="15">
      <c r="A13" s="57" t="str">
        <f>HLOOKUP(INDICE!$F$2,Nombres!$C$3:$D$636,137,FALSE)</f>
        <v>. Préstamos y anticipos a la clientela</v>
      </c>
      <c r="B13" s="58">
        <v>367986.017</v>
      </c>
      <c r="C13" s="58">
        <v>377174.965</v>
      </c>
      <c r="D13" s="58">
        <v>370496.321</v>
      </c>
      <c r="E13" s="58">
        <v>374026.535</v>
      </c>
      <c r="F13" s="58">
        <v>380799.483</v>
      </c>
      <c r="G13" s="58">
        <v>377155.065</v>
      </c>
      <c r="H13" s="58">
        <v>378774.729</v>
      </c>
      <c r="I13" s="58">
        <v>382360.251</v>
      </c>
      <c r="J13" s="56"/>
      <c r="K13" s="56"/>
      <c r="O13" s="56"/>
      <c r="P13" s="56"/>
      <c r="Q13" s="56"/>
      <c r="R13" s="56"/>
    </row>
    <row r="14" spans="1:18" ht="15">
      <c r="A14" s="57" t="str">
        <f>HLOOKUP(INDICE!$F$2,Nombres!$C$3:$D$636,138,FALSE)</f>
        <v>. Valores representativos de deuda</v>
      </c>
      <c r="B14" s="58">
        <v>31909.068</v>
      </c>
      <c r="C14" s="58">
        <v>32082.244</v>
      </c>
      <c r="D14" s="58">
        <v>32042.318</v>
      </c>
      <c r="E14" s="58">
        <v>32529.877</v>
      </c>
      <c r="F14" s="58">
        <v>36421.303</v>
      </c>
      <c r="G14" s="58">
        <v>37353.722</v>
      </c>
      <c r="H14" s="58">
        <v>39362.645</v>
      </c>
      <c r="I14" s="58">
        <v>38877.497</v>
      </c>
      <c r="J14" s="56"/>
      <c r="K14" s="56"/>
      <c r="O14" s="56"/>
      <c r="P14" s="56"/>
      <c r="Q14" s="56"/>
      <c r="R14" s="56"/>
    </row>
    <row r="15" spans="1:18" ht="15" customHeight="1" hidden="1">
      <c r="A15" s="43" t="str">
        <f>HLOOKUP(INDICE!$F$2,Nombres!$C$3:$D$636,139,FALSE)</f>
        <v>Inversiones mantenidas hasta el vencimiento</v>
      </c>
      <c r="B15" s="59"/>
      <c r="C15" s="59"/>
      <c r="D15" s="59"/>
      <c r="E15" s="59"/>
      <c r="F15" s="59"/>
      <c r="G15" s="59"/>
      <c r="H15" s="59"/>
      <c r="I15" s="59"/>
      <c r="J15" s="56"/>
      <c r="K15" s="56"/>
      <c r="O15" s="56"/>
      <c r="P15" s="56"/>
      <c r="Q15" s="56"/>
      <c r="R15" s="56"/>
    </row>
    <row r="16" spans="1:18" ht="15">
      <c r="A16" s="43" t="str">
        <f>HLOOKUP(INDICE!$F$2,Nombres!$C$3:$D$636,140,FALSE)</f>
        <v>Inversiones en negocios conjuntos y asociadas</v>
      </c>
      <c r="B16" s="44">
        <v>1395.316</v>
      </c>
      <c r="C16" s="44">
        <v>1470.244</v>
      </c>
      <c r="D16" s="44">
        <v>972.026</v>
      </c>
      <c r="E16" s="44">
        <v>1577.843</v>
      </c>
      <c r="F16" s="44">
        <v>1587.294</v>
      </c>
      <c r="G16" s="44">
        <v>1637.59</v>
      </c>
      <c r="H16" s="44">
        <v>1550.09</v>
      </c>
      <c r="I16" s="44">
        <v>1488.289</v>
      </c>
      <c r="J16" s="56"/>
      <c r="K16" s="56"/>
      <c r="O16" s="56"/>
      <c r="P16" s="56"/>
      <c r="Q16" s="56"/>
      <c r="R16" s="56"/>
    </row>
    <row r="17" spans="1:18" ht="15">
      <c r="A17" s="43" t="str">
        <f>HLOOKUP(INDICE!$F$2,Nombres!$C$3:$D$636,56,FALSE)</f>
        <v>Activos tangibles</v>
      </c>
      <c r="B17" s="44">
        <v>7237.567</v>
      </c>
      <c r="C17" s="44">
        <v>6987.118</v>
      </c>
      <c r="D17" s="44">
        <v>6688.351</v>
      </c>
      <c r="E17" s="44">
        <v>7228.939</v>
      </c>
      <c r="F17" s="44">
        <v>10408.086</v>
      </c>
      <c r="G17" s="44">
        <v>10302.12</v>
      </c>
      <c r="H17" s="44">
        <v>10208.176</v>
      </c>
      <c r="I17" s="44">
        <v>10068.353</v>
      </c>
      <c r="J17" s="56"/>
      <c r="K17" s="56"/>
      <c r="O17" s="56"/>
      <c r="P17" s="56"/>
      <c r="Q17" s="56"/>
      <c r="R17" s="56"/>
    </row>
    <row r="18" spans="1:18" ht="15">
      <c r="A18" s="43" t="str">
        <f>HLOOKUP(INDICE!$F$2,Nombres!$C$3:$D$636,141,FALSE)</f>
        <v>Activos Intangibles</v>
      </c>
      <c r="B18" s="44">
        <v>8202.681</v>
      </c>
      <c r="C18" s="44">
        <v>8376.545</v>
      </c>
      <c r="D18" s="44">
        <v>8212.756</v>
      </c>
      <c r="E18" s="44">
        <v>8313.605</v>
      </c>
      <c r="F18" s="44">
        <v>8383.167</v>
      </c>
      <c r="G18" s="44">
        <v>8261.538</v>
      </c>
      <c r="H18" s="44">
        <v>8507.546</v>
      </c>
      <c r="I18" s="44">
        <v>6965.543</v>
      </c>
      <c r="J18" s="56"/>
      <c r="K18" s="56"/>
      <c r="O18" s="56"/>
      <c r="P18" s="56"/>
      <c r="Q18" s="56"/>
      <c r="R18" s="56"/>
    </row>
    <row r="19" spans="1:18" ht="15">
      <c r="A19" s="43" t="str">
        <f>HLOOKUP(INDICE!$F$2,Nombres!$C$3:$D$636,57,FALSE)</f>
        <v>Otros activos</v>
      </c>
      <c r="B19" s="60">
        <v>48392.447</v>
      </c>
      <c r="C19" s="60">
        <v>49294.894</v>
      </c>
      <c r="D19" s="60">
        <v>32416.677000000007</v>
      </c>
      <c r="E19" s="60">
        <v>28809.462000000003</v>
      </c>
      <c r="F19" s="60">
        <v>28338.245</v>
      </c>
      <c r="G19" s="60">
        <v>26875.551</v>
      </c>
      <c r="H19" s="60">
        <v>29268.607</v>
      </c>
      <c r="I19" s="60">
        <v>26060.046</v>
      </c>
      <c r="J19" s="56"/>
      <c r="K19" s="56"/>
      <c r="O19" s="56"/>
      <c r="P19" s="56"/>
      <c r="Q19" s="56"/>
      <c r="R19" s="56"/>
    </row>
    <row r="20" spans="1:18" ht="15">
      <c r="A20" s="47" t="str">
        <f>HLOOKUP(INDICE!$F$2,Nombres!$C$3:$D$636,58,FALSE)</f>
        <v>Total activo / pasivo</v>
      </c>
      <c r="B20" s="47">
        <f aca="true" t="shared" si="0" ref="B20:I20">+SUM(B6:B11,B16:B19)</f>
        <v>685688.1390000001</v>
      </c>
      <c r="C20" s="47">
        <f t="shared" si="0"/>
        <v>689850.405</v>
      </c>
      <c r="D20" s="47">
        <f t="shared" si="0"/>
        <v>668984.8470000001</v>
      </c>
      <c r="E20" s="47">
        <f t="shared" si="0"/>
        <v>676688.799</v>
      </c>
      <c r="F20" s="47">
        <f t="shared" si="0"/>
        <v>691200.072</v>
      </c>
      <c r="G20" s="47">
        <f t="shared" si="0"/>
        <v>697625.9779999999</v>
      </c>
      <c r="H20" s="47">
        <f t="shared" si="0"/>
        <v>709016.7569999999</v>
      </c>
      <c r="I20" s="47">
        <f t="shared" si="0"/>
        <v>698689.7119999998</v>
      </c>
      <c r="J20" s="56"/>
      <c r="K20" s="56"/>
      <c r="O20" s="56"/>
      <c r="P20" s="56"/>
      <c r="Q20" s="56"/>
      <c r="R20" s="56"/>
    </row>
    <row r="21" spans="1:18" ht="15">
      <c r="A21" s="43" t="str">
        <f>HLOOKUP(INDICE!$F$2,Nombres!$C$3:$D$636,59,FALSE)</f>
        <v>Pasivos financieros mantenidos para negociar y designados a valor razonable con cambios en resultados</v>
      </c>
      <c r="B21" s="60">
        <v>86766.928</v>
      </c>
      <c r="C21" s="60">
        <v>83666.751</v>
      </c>
      <c r="D21" s="60">
        <v>81810.171</v>
      </c>
      <c r="E21" s="60">
        <v>80774.053</v>
      </c>
      <c r="F21" s="60">
        <v>80818.396</v>
      </c>
      <c r="G21" s="60">
        <v>91357.992</v>
      </c>
      <c r="H21" s="60">
        <v>92406.662</v>
      </c>
      <c r="I21" s="60">
        <v>89633.151</v>
      </c>
      <c r="O21" s="56"/>
      <c r="P21" s="56"/>
      <c r="Q21" s="56"/>
      <c r="R21" s="56"/>
    </row>
    <row r="22" spans="1:18" ht="15">
      <c r="A22" s="43" t="str">
        <f>HLOOKUP(INDICE!$F$2,Nombres!$C$3:$D$636,142,FALSE)</f>
        <v>Pasivos financieros designados a valor razonable con cambios en resultados</v>
      </c>
      <c r="B22" s="60">
        <v>6075.296</v>
      </c>
      <c r="C22" s="60">
        <v>6221.035</v>
      </c>
      <c r="D22" s="60">
        <v>6781.692</v>
      </c>
      <c r="E22" s="60">
        <v>6993.275</v>
      </c>
      <c r="F22" s="60">
        <v>7846.073</v>
      </c>
      <c r="G22" s="60">
        <v>8921.888</v>
      </c>
      <c r="H22" s="60">
        <v>9582.953</v>
      </c>
      <c r="I22" s="60">
        <v>10010.264</v>
      </c>
      <c r="J22" s="61"/>
      <c r="K22" s="61"/>
      <c r="L22" s="61"/>
      <c r="M22" s="61"/>
      <c r="N22" s="61"/>
      <c r="O22" s="56"/>
      <c r="P22" s="56"/>
      <c r="Q22" s="56"/>
      <c r="R22" s="56"/>
    </row>
    <row r="23" spans="1:18" ht="15">
      <c r="A23" s="43" t="str">
        <f>HLOOKUP(INDICE!$F$2,Nombres!$C$3:$D$636,143,FALSE)</f>
        <v>Pasivos financieros a coste amortizado</v>
      </c>
      <c r="B23" s="60">
        <v>497297.913</v>
      </c>
      <c r="C23" s="60">
        <v>503072.666</v>
      </c>
      <c r="D23" s="60">
        <v>501439</v>
      </c>
      <c r="E23" s="60">
        <v>509184.762</v>
      </c>
      <c r="F23" s="60">
        <v>520463.703</v>
      </c>
      <c r="G23" s="60">
        <v>513937.299</v>
      </c>
      <c r="H23" s="60">
        <v>518214.871</v>
      </c>
      <c r="I23" s="60">
        <v>516640.754</v>
      </c>
      <c r="J23" s="61"/>
      <c r="K23" s="61"/>
      <c r="L23" s="61"/>
      <c r="M23" s="61"/>
      <c r="N23" s="61"/>
      <c r="O23" s="56"/>
      <c r="P23" s="56"/>
      <c r="Q23" s="56"/>
      <c r="R23" s="56"/>
    </row>
    <row r="24" spans="1:18" ht="15">
      <c r="A24" s="57" t="str">
        <f>HLOOKUP(INDICE!$F$2,Nombres!$C$3:$D$636,60,FALSE)</f>
        <v>Depósitos de bancos centrales y entidades de crédito</v>
      </c>
      <c r="B24" s="62">
        <v>63031.063</v>
      </c>
      <c r="C24" s="62">
        <v>62041.066</v>
      </c>
      <c r="D24" s="62">
        <v>62339.413</v>
      </c>
      <c r="E24" s="62">
        <v>59258.978</v>
      </c>
      <c r="F24" s="62">
        <v>64427.4</v>
      </c>
      <c r="G24" s="62">
        <v>61457.22</v>
      </c>
      <c r="H24" s="62">
        <v>60554.248999999996</v>
      </c>
      <c r="I24" s="62">
        <v>54700.186</v>
      </c>
      <c r="O24" s="56"/>
      <c r="P24" s="56"/>
      <c r="Q24" s="56"/>
      <c r="R24" s="56"/>
    </row>
    <row r="25" spans="1:18" ht="15">
      <c r="A25" s="57" t="str">
        <f>HLOOKUP(INDICE!$F$2,Nombres!$C$3:$D$636,61,FALSE)</f>
        <v>Depósitos de la clientela</v>
      </c>
      <c r="B25" s="62">
        <v>360213.016</v>
      </c>
      <c r="C25" s="62">
        <v>367312.182</v>
      </c>
      <c r="D25" s="62">
        <v>365687.371</v>
      </c>
      <c r="E25" s="62">
        <v>375970.15</v>
      </c>
      <c r="F25" s="62">
        <v>378527.14</v>
      </c>
      <c r="G25" s="62">
        <v>375103.744</v>
      </c>
      <c r="H25" s="62">
        <v>379333.197</v>
      </c>
      <c r="I25" s="62">
        <v>384219.294</v>
      </c>
      <c r="O25" s="56"/>
      <c r="P25" s="56"/>
      <c r="Q25" s="56"/>
      <c r="R25" s="56"/>
    </row>
    <row r="26" spans="1:18" ht="15">
      <c r="A26" s="57" t="str">
        <f>HLOOKUP(INDICE!$F$2,Nombres!$C$3:$D$636,62,FALSE)</f>
        <v>Valores representativos de deuda emitidos</v>
      </c>
      <c r="B26" s="62">
        <v>60866.197</v>
      </c>
      <c r="C26" s="62">
        <v>62349.39</v>
      </c>
      <c r="D26" s="62">
        <v>62021.882</v>
      </c>
      <c r="E26" s="62">
        <v>61111.818</v>
      </c>
      <c r="F26" s="62">
        <v>62364.987</v>
      </c>
      <c r="G26" s="62">
        <v>62684.511</v>
      </c>
      <c r="H26" s="62">
        <v>63324.052</v>
      </c>
      <c r="I26" s="62">
        <v>63963.242</v>
      </c>
      <c r="O26" s="56"/>
      <c r="P26" s="56"/>
      <c r="Q26" s="56"/>
      <c r="R26" s="56"/>
    </row>
    <row r="27" spans="1:18" ht="15">
      <c r="A27" s="57" t="str">
        <f>HLOOKUP(INDICE!$F$2,Nombres!$C$3:$D$636,144,FALSE)</f>
        <v>. Otros pasivos financieros</v>
      </c>
      <c r="B27" s="62">
        <v>13187.637</v>
      </c>
      <c r="C27" s="62">
        <v>11370.028</v>
      </c>
      <c r="D27" s="62">
        <v>11390.334</v>
      </c>
      <c r="E27" s="62">
        <v>12843.816</v>
      </c>
      <c r="F27" s="62">
        <v>15144.176</v>
      </c>
      <c r="G27" s="62">
        <v>14691.824</v>
      </c>
      <c r="H27" s="62">
        <v>15003.373</v>
      </c>
      <c r="I27" s="62">
        <v>13758.032</v>
      </c>
      <c r="O27" s="56"/>
      <c r="P27" s="56"/>
      <c r="Q27" s="56"/>
      <c r="R27" s="56"/>
    </row>
    <row r="28" spans="1:18" ht="15">
      <c r="A28" s="43" t="str">
        <f>HLOOKUP(INDICE!$F$2,Nombres!$C$3:$D$636,145,FALSE)</f>
        <v>Pasivos amparados por contratos de seguros o reaseguro</v>
      </c>
      <c r="B28" s="60">
        <v>9624.206</v>
      </c>
      <c r="C28" s="60">
        <v>9500.309</v>
      </c>
      <c r="D28" s="60">
        <v>9994.464</v>
      </c>
      <c r="E28" s="60">
        <v>9833.737</v>
      </c>
      <c r="F28" s="60">
        <v>10577.421</v>
      </c>
      <c r="G28" s="60">
        <v>10634.106</v>
      </c>
      <c r="H28" s="60">
        <v>10834.307</v>
      </c>
      <c r="I28" s="60">
        <v>10606.073</v>
      </c>
      <c r="O28" s="56"/>
      <c r="P28" s="56"/>
      <c r="Q28" s="56"/>
      <c r="R28" s="56"/>
    </row>
    <row r="29" spans="1:18" ht="15">
      <c r="A29" s="43" t="str">
        <f>HLOOKUP(INDICE!$F$2,Nombres!$C$3:$D$636,63,FALSE)</f>
        <v>Otros pasivos</v>
      </c>
      <c r="B29" s="60">
        <v>33881.013</v>
      </c>
      <c r="C29" s="60">
        <v>35111.812</v>
      </c>
      <c r="D29" s="60">
        <v>17862.373</v>
      </c>
      <c r="E29" s="60">
        <v>17028.628999999997</v>
      </c>
      <c r="F29" s="60">
        <v>17947.56</v>
      </c>
      <c r="G29" s="60">
        <v>18084.932</v>
      </c>
      <c r="H29" s="60">
        <v>20949.182</v>
      </c>
      <c r="I29" s="60">
        <v>16874.645</v>
      </c>
      <c r="O29" s="56"/>
      <c r="P29" s="56"/>
      <c r="Q29" s="56"/>
      <c r="R29" s="56"/>
    </row>
    <row r="30" spans="1:18" ht="15">
      <c r="A30" s="41" t="str">
        <f>HLOOKUP(INDICE!$F$2,Nombres!$C$3:$D$636,146,FALSE)</f>
        <v>Total pasivo</v>
      </c>
      <c r="B30" s="63">
        <f aca="true" t="shared" si="1" ref="B30:I30">+SUM(B21:B23,B28:B29)</f>
        <v>633645.356</v>
      </c>
      <c r="C30" s="63">
        <f t="shared" si="1"/>
        <v>637572.5730000001</v>
      </c>
      <c r="D30" s="63">
        <f t="shared" si="1"/>
        <v>617887.7000000001</v>
      </c>
      <c r="E30" s="63">
        <f t="shared" si="1"/>
        <v>623814.4559999999</v>
      </c>
      <c r="F30" s="63">
        <f t="shared" si="1"/>
        <v>637653.153</v>
      </c>
      <c r="G30" s="63">
        <f t="shared" si="1"/>
        <v>642936.2170000001</v>
      </c>
      <c r="H30" s="63">
        <f t="shared" si="1"/>
        <v>651987.9750000001</v>
      </c>
      <c r="I30" s="63">
        <f t="shared" si="1"/>
        <v>643764.887</v>
      </c>
      <c r="O30" s="56"/>
      <c r="P30" s="56"/>
      <c r="Q30" s="56"/>
      <c r="R30" s="56"/>
    </row>
    <row r="31" spans="1:18" ht="15">
      <c r="A31" s="41"/>
      <c r="B31" s="63"/>
      <c r="C31" s="63"/>
      <c r="D31" s="63"/>
      <c r="E31" s="63"/>
      <c r="F31" s="63"/>
      <c r="G31" s="63"/>
      <c r="H31" s="63"/>
      <c r="I31" s="63"/>
      <c r="O31" s="56"/>
      <c r="P31" s="56"/>
      <c r="Q31" s="56"/>
      <c r="R31" s="56"/>
    </row>
    <row r="32" spans="1:18" ht="15">
      <c r="A32" s="43" t="str">
        <f>HLOOKUP(INDICE!$F$2,Nombres!$C$3:$D$636,147,FALSE)</f>
        <v>Intereses minoritarios</v>
      </c>
      <c r="B32" s="60">
        <v>6664.976</v>
      </c>
      <c r="C32" s="60">
        <v>6399.69</v>
      </c>
      <c r="D32" s="60">
        <v>5100.428</v>
      </c>
      <c r="E32" s="60">
        <v>5763.955</v>
      </c>
      <c r="F32" s="60">
        <v>5717.824</v>
      </c>
      <c r="G32" s="60">
        <v>5838.968</v>
      </c>
      <c r="H32" s="60">
        <v>6299.18</v>
      </c>
      <c r="I32" s="60">
        <v>6201.005</v>
      </c>
      <c r="O32" s="56"/>
      <c r="P32" s="56"/>
      <c r="Q32" s="56"/>
      <c r="R32" s="56"/>
    </row>
    <row r="33" spans="1:18" ht="15">
      <c r="A33" s="43" t="str">
        <f>HLOOKUP(INDICE!$F$2,Nombres!$C$3:$D$636,148,FALSE)</f>
        <v>Otro resultado global acumulado</v>
      </c>
      <c r="B33" s="60">
        <v>-6195.297</v>
      </c>
      <c r="C33" s="60">
        <v>-6612.096</v>
      </c>
      <c r="D33" s="60">
        <v>-7358.425</v>
      </c>
      <c r="E33" s="60">
        <v>-7215.466</v>
      </c>
      <c r="F33" s="60">
        <v>-6655.646</v>
      </c>
      <c r="G33" s="60">
        <v>-6922.778</v>
      </c>
      <c r="H33" s="60">
        <v>-6113.97</v>
      </c>
      <c r="I33" s="60">
        <v>-7234.517</v>
      </c>
      <c r="O33" s="56"/>
      <c r="P33" s="56"/>
      <c r="Q33" s="56"/>
      <c r="R33" s="56"/>
    </row>
    <row r="34" spans="1:18" ht="15">
      <c r="A34" s="43" t="str">
        <f>HLOOKUP(INDICE!$F$2,Nombres!$C$3:$D$636,149,FALSE)</f>
        <v>Fondos propios</v>
      </c>
      <c r="B34" s="60">
        <v>51573.10399999999</v>
      </c>
      <c r="C34" s="60">
        <v>52490.237</v>
      </c>
      <c r="D34" s="60">
        <v>53355.14399999999</v>
      </c>
      <c r="E34" s="60">
        <v>54325.85399999999</v>
      </c>
      <c r="F34" s="60">
        <v>54484.740999999995</v>
      </c>
      <c r="G34" s="60">
        <v>55773.570999999996</v>
      </c>
      <c r="H34" s="60">
        <v>56843.57199999999</v>
      </c>
      <c r="I34" s="60">
        <v>55958.33699999999</v>
      </c>
      <c r="O34" s="56"/>
      <c r="P34" s="56"/>
      <c r="Q34" s="56"/>
      <c r="R34" s="56"/>
    </row>
    <row r="35" spans="1:18" ht="15">
      <c r="A35" s="41" t="str">
        <f>HLOOKUP(INDICE!$F$2,Nombres!$C$3:$D$636,150,FALSE)</f>
        <v>Patrimonio neto</v>
      </c>
      <c r="B35" s="63">
        <f aca="true" t="shared" si="2" ref="B35:I35">+B32+B33+B34</f>
        <v>52042.782999999996</v>
      </c>
      <c r="C35" s="63">
        <f t="shared" si="2"/>
        <v>52277.831</v>
      </c>
      <c r="D35" s="63">
        <f t="shared" si="2"/>
        <v>51097.14699999999</v>
      </c>
      <c r="E35" s="63">
        <f t="shared" si="2"/>
        <v>52874.34299999999</v>
      </c>
      <c r="F35" s="63">
        <f t="shared" si="2"/>
        <v>53546.918999999994</v>
      </c>
      <c r="G35" s="63">
        <f t="shared" si="2"/>
        <v>54689.761</v>
      </c>
      <c r="H35" s="63">
        <f t="shared" si="2"/>
        <v>57028.78199999999</v>
      </c>
      <c r="I35" s="63">
        <f t="shared" si="2"/>
        <v>54924.82499999999</v>
      </c>
      <c r="O35" s="56"/>
      <c r="P35" s="56"/>
      <c r="Q35" s="56"/>
      <c r="R35" s="56"/>
    </row>
    <row r="36" spans="1:18" ht="15">
      <c r="A36" s="43"/>
      <c r="B36" s="60"/>
      <c r="C36" s="60"/>
      <c r="D36" s="60"/>
      <c r="E36" s="60"/>
      <c r="F36" s="60"/>
      <c r="G36" s="60"/>
      <c r="H36" s="60"/>
      <c r="I36" s="60"/>
      <c r="O36" s="56"/>
      <c r="P36" s="56"/>
      <c r="Q36" s="56"/>
      <c r="R36" s="56"/>
    </row>
    <row r="37" spans="1:18" ht="15">
      <c r="A37" s="47" t="str">
        <f>HLOOKUP(INDICE!$F$2,Nombres!$C$3:$D$636,151,FALSE)</f>
        <v>Total patrimonio neto y pasivo</v>
      </c>
      <c r="B37" s="47">
        <v>685688.139</v>
      </c>
      <c r="C37" s="47">
        <v>689850.405</v>
      </c>
      <c r="D37" s="47">
        <v>668984.847</v>
      </c>
      <c r="E37" s="47">
        <v>676688.799</v>
      </c>
      <c r="F37" s="47">
        <v>691200.072</v>
      </c>
      <c r="G37" s="47">
        <v>697625.978</v>
      </c>
      <c r="H37" s="47">
        <v>709016.757</v>
      </c>
      <c r="I37" s="47">
        <v>698689.712</v>
      </c>
      <c r="O37" s="56"/>
      <c r="P37" s="56"/>
      <c r="Q37" s="56"/>
      <c r="R37" s="56"/>
    </row>
    <row r="38" spans="1:9" ht="15">
      <c r="A38" s="43"/>
      <c r="B38" s="64">
        <f aca="true" t="shared" si="3" ref="B38:I38">+B37-B20</f>
        <v>0</v>
      </c>
      <c r="C38" s="64">
        <f t="shared" si="3"/>
        <v>0</v>
      </c>
      <c r="D38" s="64">
        <f t="shared" si="3"/>
        <v>0</v>
      </c>
      <c r="E38" s="64">
        <f t="shared" si="3"/>
        <v>0</v>
      </c>
      <c r="F38" s="64">
        <f t="shared" si="3"/>
        <v>0</v>
      </c>
      <c r="G38" s="64">
        <f t="shared" si="3"/>
        <v>0</v>
      </c>
      <c r="H38" s="64">
        <f t="shared" si="3"/>
        <v>0</v>
      </c>
      <c r="I38" s="64">
        <f t="shared" si="3"/>
        <v>0</v>
      </c>
    </row>
    <row r="39" spans="1:9" ht="15">
      <c r="A39" s="43"/>
      <c r="B39" s="64">
        <f>+B6+B7+B8+B9+B10+B11+B16+B17+B18+B19-B20</f>
        <v>0</v>
      </c>
      <c r="C39" s="64">
        <f aca="true" t="shared" si="4" ref="C39:H39">+C6+C7+C8+C9+C10+C11+C16+C17+C18+C19-C20</f>
        <v>0</v>
      </c>
      <c r="D39" s="64">
        <f t="shared" si="4"/>
        <v>0</v>
      </c>
      <c r="E39" s="64">
        <f t="shared" si="4"/>
        <v>0</v>
      </c>
      <c r="F39" s="64">
        <f t="shared" si="4"/>
        <v>0</v>
      </c>
      <c r="G39" s="64">
        <f t="shared" si="4"/>
        <v>0</v>
      </c>
      <c r="H39" s="64">
        <f t="shared" si="4"/>
        <v>0</v>
      </c>
      <c r="I39" s="64" t="s">
        <v>421</v>
      </c>
    </row>
    <row r="40" spans="1:9" ht="66.75" customHeight="1">
      <c r="A40" s="294" t="str">
        <f>HLOOKUP(INDICE!$F$2,Nombres!$C$3:$D$636,219,FALSE)</f>
        <v>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v>
      </c>
      <c r="B40" s="294"/>
      <c r="C40" s="294"/>
      <c r="D40" s="294"/>
      <c r="E40" s="294"/>
      <c r="F40" s="294"/>
      <c r="G40" s="294"/>
      <c r="H40" s="294"/>
      <c r="I40" s="294"/>
    </row>
    <row r="41" spans="1:9" ht="15">
      <c r="A41" s="65"/>
      <c r="B41" s="60"/>
      <c r="C41" s="60"/>
      <c r="D41" s="60"/>
      <c r="E41" s="60"/>
      <c r="F41" s="60"/>
      <c r="G41" s="60"/>
      <c r="H41" s="60"/>
      <c r="I41" s="60"/>
    </row>
    <row r="42" spans="1:9" ht="15">
      <c r="A42" s="43"/>
      <c r="B42" s="60"/>
      <c r="C42" s="60"/>
      <c r="D42" s="60"/>
      <c r="E42" s="60"/>
      <c r="F42" s="60"/>
      <c r="G42" s="60"/>
      <c r="H42" s="60"/>
      <c r="I42" s="60"/>
    </row>
    <row r="43" spans="1:9" ht="15">
      <c r="A43" s="65"/>
      <c r="B43" s="30"/>
      <c r="C43" s="30"/>
      <c r="D43" s="30"/>
      <c r="E43" s="30"/>
      <c r="F43" s="30"/>
      <c r="G43" s="30"/>
      <c r="H43" s="30"/>
      <c r="I43" s="30"/>
    </row>
    <row r="1000" ht="15">
      <c r="A1000" s="31" t="s">
        <v>399</v>
      </c>
    </row>
  </sheetData>
  <sheetProtection/>
  <mergeCells count="1">
    <mergeCell ref="A40:I40"/>
  </mergeCells>
  <conditionalFormatting sqref="B39">
    <cfRule type="cellIs" priority="10" dxfId="116" operator="notBetween">
      <formula>0.5</formula>
      <formula>-0.5</formula>
    </cfRule>
  </conditionalFormatting>
  <conditionalFormatting sqref="C39:I39">
    <cfRule type="cellIs" priority="9" dxfId="116" operator="notBetween">
      <formula>0.5</formula>
      <formula>-0.5</formula>
    </cfRule>
  </conditionalFormatting>
  <conditionalFormatting sqref="I38">
    <cfRule type="cellIs" priority="8" dxfId="56" operator="notBetween">
      <formula>0.001</formula>
      <formula>-0.001</formula>
    </cfRule>
  </conditionalFormatting>
  <conditionalFormatting sqref="H38">
    <cfRule type="cellIs" priority="7" dxfId="56" operator="notBetween">
      <formula>0.001</formula>
      <formula>-0.001</formula>
    </cfRule>
  </conditionalFormatting>
  <conditionalFormatting sqref="G38">
    <cfRule type="cellIs" priority="6" dxfId="56" operator="notBetween">
      <formula>0.001</formula>
      <formula>-0.001</formula>
    </cfRule>
  </conditionalFormatting>
  <conditionalFormatting sqref="F38">
    <cfRule type="cellIs" priority="5" dxfId="56" operator="notBetween">
      <formula>0.001</formula>
      <formula>-0.001</formula>
    </cfRule>
  </conditionalFormatting>
  <conditionalFormatting sqref="E38">
    <cfRule type="cellIs" priority="4" dxfId="56" operator="notBetween">
      <formula>0.001</formula>
      <formula>-0.001</formula>
    </cfRule>
  </conditionalFormatting>
  <conditionalFormatting sqref="D38">
    <cfRule type="cellIs" priority="3" dxfId="56" operator="notBetween">
      <formula>0.001</formula>
      <formula>-0.001</formula>
    </cfRule>
  </conditionalFormatting>
  <conditionalFormatting sqref="C38">
    <cfRule type="cellIs" priority="2" dxfId="56" operator="notBetween">
      <formula>0.001</formula>
      <formula>-0.001</formula>
    </cfRule>
  </conditionalFormatting>
  <conditionalFormatting sqref="B38">
    <cfRule type="cellIs" priority="1" dxfId="56" operator="notBetween">
      <formula>0.001</formula>
      <formula>-0.001</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17" sqref="A17"/>
    </sheetView>
  </sheetViews>
  <sheetFormatPr defaultColWidth="11.421875" defaultRowHeight="15"/>
  <cols>
    <col min="1" max="1" width="62.00390625" style="31" customWidth="1"/>
    <col min="2" max="16384" width="11.421875" style="31" customWidth="1"/>
  </cols>
  <sheetData>
    <row r="1" spans="1:9" ht="18">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v>2018</v>
      </c>
      <c r="C6" s="295"/>
      <c r="D6" s="295"/>
      <c r="E6" s="296"/>
      <c r="F6" s="295">
        <v>2019</v>
      </c>
      <c r="G6" s="295"/>
      <c r="H6" s="295"/>
      <c r="I6" s="295"/>
    </row>
    <row r="7" spans="1:9"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5">
      <c r="A8" s="41" t="str">
        <f>HLOOKUP(INDICE!$F$2,Nombres!$C$3:$D$636,33,FALSE)</f>
        <v>Margen de intereses</v>
      </c>
      <c r="B8" s="41">
        <v>926.63351644</v>
      </c>
      <c r="C8" s="41">
        <v>925.6096647400001</v>
      </c>
      <c r="D8" s="41">
        <v>922.6414027799999</v>
      </c>
      <c r="E8" s="42">
        <v>922.8853618400001</v>
      </c>
      <c r="F8" s="52">
        <v>881.65156544</v>
      </c>
      <c r="G8" s="52">
        <v>926.4662719999999</v>
      </c>
      <c r="H8" s="52">
        <v>912.7835062500003</v>
      </c>
      <c r="I8" s="52">
        <v>924.5746715499998</v>
      </c>
    </row>
    <row r="9" spans="1:9" ht="15">
      <c r="A9" s="43" t="str">
        <f>HLOOKUP(INDICE!$F$2,Nombres!$C$3:$D$636,34,FALSE)</f>
        <v>Comisiones netas</v>
      </c>
      <c r="B9" s="44">
        <v>412.19292475</v>
      </c>
      <c r="C9" s="44">
        <v>438.57151659000004</v>
      </c>
      <c r="D9" s="44">
        <v>420.03600721</v>
      </c>
      <c r="E9" s="45">
        <v>411.14310949000003</v>
      </c>
      <c r="F9" s="44">
        <v>413.50124959999994</v>
      </c>
      <c r="G9" s="44">
        <v>432.07565062</v>
      </c>
      <c r="H9" s="44">
        <v>441.80131272000006</v>
      </c>
      <c r="I9" s="44">
        <v>463.79161874999994</v>
      </c>
    </row>
    <row r="10" spans="1:9" ht="15">
      <c r="A10" s="43" t="str">
        <f>HLOOKUP(INDICE!$F$2,Nombres!$C$3:$D$636,35,FALSE)</f>
        <v>Resultados de operaciones financieras</v>
      </c>
      <c r="B10" s="44">
        <v>167.17392911000002</v>
      </c>
      <c r="C10" s="44">
        <v>115.28701519999998</v>
      </c>
      <c r="D10" s="44">
        <v>41.08931909000002</v>
      </c>
      <c r="E10" s="45">
        <v>205.46684206000003</v>
      </c>
      <c r="F10" s="44">
        <v>108.31173537</v>
      </c>
      <c r="G10" s="44">
        <v>-16.365980700000012</v>
      </c>
      <c r="H10" s="44">
        <v>29.512422309999984</v>
      </c>
      <c r="I10" s="44">
        <v>117.39237896000006</v>
      </c>
    </row>
    <row r="11" spans="1:9" ht="15">
      <c r="A11" s="43" t="str">
        <f>HLOOKUP(INDICE!$F$2,Nombres!$C$3:$D$636,36,FALSE)</f>
        <v>Otros ingresos y cargas de explotación</v>
      </c>
      <c r="B11" s="44">
        <v>82.38932764</v>
      </c>
      <c r="C11" s="44">
        <v>-44.68886217999999</v>
      </c>
      <c r="D11" s="44">
        <v>86.76686396999999</v>
      </c>
      <c r="E11" s="45">
        <v>-64.96840194999996</v>
      </c>
      <c r="F11" s="44">
        <v>93.93126723</v>
      </c>
      <c r="G11" s="44">
        <v>-21.643782539999975</v>
      </c>
      <c r="H11" s="44">
        <v>105.07230922000001</v>
      </c>
      <c r="I11" s="44">
        <v>-79.04590840000002</v>
      </c>
    </row>
    <row r="12" spans="1:9" ht="15">
      <c r="A12" s="41" t="str">
        <f>HLOOKUP(INDICE!$F$2,Nombres!$C$3:$D$636,37,FALSE)</f>
        <v>Margen bruto</v>
      </c>
      <c r="B12" s="41">
        <f>+SUM(B8:B11)</f>
        <v>1588.38969794</v>
      </c>
      <c r="C12" s="41">
        <f aca="true" t="shared" si="0" ref="C12:I12">+SUM(C8:C11)</f>
        <v>1434.7793343500002</v>
      </c>
      <c r="D12" s="41">
        <f t="shared" si="0"/>
        <v>1470.53359305</v>
      </c>
      <c r="E12" s="42">
        <f t="shared" si="0"/>
        <v>1474.5269114400003</v>
      </c>
      <c r="F12" s="52">
        <f t="shared" si="0"/>
        <v>1497.39581764</v>
      </c>
      <c r="G12" s="52">
        <f t="shared" si="0"/>
        <v>1320.53215938</v>
      </c>
      <c r="H12" s="52">
        <f t="shared" si="0"/>
        <v>1489.1695505000005</v>
      </c>
      <c r="I12" s="52">
        <f t="shared" si="0"/>
        <v>1426.71276086</v>
      </c>
    </row>
    <row r="13" spans="1:9" ht="15">
      <c r="A13" s="43" t="str">
        <f>HLOOKUP(INDICE!$F$2,Nombres!$C$3:$D$636,38,FALSE)</f>
        <v>Gastos de explotación</v>
      </c>
      <c r="B13" s="44">
        <v>-844.2884815500001</v>
      </c>
      <c r="C13" s="44">
        <v>-842.7313230899999</v>
      </c>
      <c r="D13" s="44">
        <v>-830.56065154</v>
      </c>
      <c r="E13" s="45">
        <v>-816.9333500799999</v>
      </c>
      <c r="F13" s="44">
        <v>-814.45459924</v>
      </c>
      <c r="G13" s="44">
        <v>-813.65689041</v>
      </c>
      <c r="H13" s="44">
        <v>-813.01581409</v>
      </c>
      <c r="I13" s="44">
        <v>-812.3243653</v>
      </c>
    </row>
    <row r="14" spans="1:9" ht="15">
      <c r="A14" s="43" t="str">
        <f>HLOOKUP(INDICE!$F$2,Nombres!$C$3:$D$636,39,FALSE)</f>
        <v>  Gastos de administración</v>
      </c>
      <c r="B14" s="44">
        <v>-767.5513142799999</v>
      </c>
      <c r="C14" s="44">
        <v>-766.9945335899998</v>
      </c>
      <c r="D14" s="44">
        <v>-752.85446742</v>
      </c>
      <c r="E14" s="45">
        <v>-739.5250868699999</v>
      </c>
      <c r="F14" s="44">
        <v>-694.9742854100001</v>
      </c>
      <c r="G14" s="44">
        <v>-694.5112599199999</v>
      </c>
      <c r="H14" s="44">
        <v>-692.3112926</v>
      </c>
      <c r="I14" s="44">
        <v>-695.65744681</v>
      </c>
    </row>
    <row r="15" spans="1:9" ht="15">
      <c r="A15" s="46" t="str">
        <f>HLOOKUP(INDICE!$F$2,Nombres!$C$3:$D$636,40,FALSE)</f>
        <v>  Gastos de personal</v>
      </c>
      <c r="B15" s="44">
        <v>-480.24802853</v>
      </c>
      <c r="C15" s="44">
        <v>-470.04355919</v>
      </c>
      <c r="D15" s="44">
        <v>-466.0806605900001</v>
      </c>
      <c r="E15" s="45">
        <v>-464.01193723999995</v>
      </c>
      <c r="F15" s="44">
        <v>-472.41235122</v>
      </c>
      <c r="G15" s="44">
        <v>-469.98839588000004</v>
      </c>
      <c r="H15" s="44">
        <v>-471.21584100000007</v>
      </c>
      <c r="I15" s="44">
        <v>-469.2118199999999</v>
      </c>
    </row>
    <row r="16" spans="1:9" ht="15">
      <c r="A16" s="46" t="str">
        <f>HLOOKUP(INDICE!$F$2,Nombres!$C$3:$D$636,41,FALSE)</f>
        <v>  Otros gastos de administración</v>
      </c>
      <c r="B16" s="44">
        <v>-287.30328575000004</v>
      </c>
      <c r="C16" s="44">
        <v>-296.95097439999995</v>
      </c>
      <c r="D16" s="44">
        <v>-286.77380683</v>
      </c>
      <c r="E16" s="45">
        <v>-275.51314962999993</v>
      </c>
      <c r="F16" s="44">
        <v>-222.56193419</v>
      </c>
      <c r="G16" s="44">
        <v>-224.52286403999994</v>
      </c>
      <c r="H16" s="44">
        <v>-221.09545160000002</v>
      </c>
      <c r="I16" s="44">
        <v>-226.44562680999994</v>
      </c>
    </row>
    <row r="17" spans="1:9" ht="15">
      <c r="A17" s="43" t="str">
        <f>HLOOKUP(INDICE!$F$2,Nombres!$C$3:$D$636,42,FALSE)</f>
        <v>  Amortización</v>
      </c>
      <c r="B17" s="44">
        <v>-76.73716727</v>
      </c>
      <c r="C17" s="44">
        <v>-75.7367895</v>
      </c>
      <c r="D17" s="44">
        <v>-77.70618411999999</v>
      </c>
      <c r="E17" s="45">
        <v>-77.40826320999999</v>
      </c>
      <c r="F17" s="44">
        <v>-119.48031383000001</v>
      </c>
      <c r="G17" s="44">
        <v>-119.14563049</v>
      </c>
      <c r="H17" s="44">
        <v>-120.70452148999999</v>
      </c>
      <c r="I17" s="44">
        <v>-116.66691849</v>
      </c>
    </row>
    <row r="18" spans="1:9" ht="15">
      <c r="A18" s="41" t="str">
        <f>HLOOKUP(INDICE!$F$2,Nombres!$C$3:$D$636,43,FALSE)</f>
        <v>Margen neto</v>
      </c>
      <c r="B18" s="41">
        <f>+B12+B13</f>
        <v>744.1012163899998</v>
      </c>
      <c r="C18" s="41">
        <f aca="true" t="shared" si="1" ref="C18:I18">+C12+C13</f>
        <v>592.0480112600003</v>
      </c>
      <c r="D18" s="41">
        <f t="shared" si="1"/>
        <v>639.97294151</v>
      </c>
      <c r="E18" s="42">
        <f t="shared" si="1"/>
        <v>657.5935613600004</v>
      </c>
      <c r="F18" s="52">
        <f t="shared" si="1"/>
        <v>682.9412183999999</v>
      </c>
      <c r="G18" s="52">
        <f t="shared" si="1"/>
        <v>506.87526897</v>
      </c>
      <c r="H18" s="52">
        <f t="shared" si="1"/>
        <v>676.1537364100004</v>
      </c>
      <c r="I18" s="52">
        <f t="shared" si="1"/>
        <v>614.3883955599999</v>
      </c>
    </row>
    <row r="19" spans="1:9" ht="15">
      <c r="A19" s="43" t="str">
        <f>HLOOKUP(INDICE!$F$2,Nombres!$C$3:$D$636,44,FALSE)</f>
        <v>Deterioro de activos financieros no valorados a valor razonable con cambios en resultados</v>
      </c>
      <c r="B19" s="44">
        <v>-125.19731832000005</v>
      </c>
      <c r="C19" s="44">
        <v>-87.90511296</v>
      </c>
      <c r="D19" s="44">
        <v>-73.84436397000003</v>
      </c>
      <c r="E19" s="45">
        <v>-96.51613950999992</v>
      </c>
      <c r="F19" s="44">
        <v>-77.78637065999996</v>
      </c>
      <c r="G19" s="44">
        <v>102.41911926000006</v>
      </c>
      <c r="H19" s="44">
        <v>-130.7489063700001</v>
      </c>
      <c r="I19" s="44">
        <v>-110.08906522999993</v>
      </c>
    </row>
    <row r="20" spans="1:9" ht="15">
      <c r="A20" s="43" t="str">
        <f>HLOOKUP(INDICE!$F$2,Nombres!$C$3:$D$636,45,FALSE)</f>
        <v>Provisiones o reversión de provisiones y otros resultados</v>
      </c>
      <c r="B20" s="44">
        <v>-41.758642800000004</v>
      </c>
      <c r="C20" s="44">
        <v>-24.818403460000003</v>
      </c>
      <c r="D20" s="44">
        <v>-141.67215249999998</v>
      </c>
      <c r="E20" s="45">
        <v>-201.99762528000002</v>
      </c>
      <c r="F20" s="44">
        <v>-123.075217</v>
      </c>
      <c r="G20" s="44">
        <v>-64.57879977</v>
      </c>
      <c r="H20" s="44">
        <v>-83.12279788</v>
      </c>
      <c r="I20" s="44">
        <v>-115.44846252999999</v>
      </c>
    </row>
    <row r="21" spans="1:9" ht="15">
      <c r="A21" s="41" t="str">
        <f>HLOOKUP(INDICE!$F$2,Nombres!$C$3:$D$636,46,FALSE)</f>
        <v>Resultado antes de impuestos</v>
      </c>
      <c r="B21" s="41">
        <f>+B18+B19+B20</f>
        <v>577.1452552699998</v>
      </c>
      <c r="C21" s="41">
        <f aca="true" t="shared" si="2" ref="C21:I21">+C18+C19+C20</f>
        <v>479.3244948400003</v>
      </c>
      <c r="D21" s="41">
        <f t="shared" si="2"/>
        <v>424.45642504000006</v>
      </c>
      <c r="E21" s="42">
        <f t="shared" si="2"/>
        <v>359.0797965700005</v>
      </c>
      <c r="F21" s="52">
        <f t="shared" si="2"/>
        <v>482.0796307399999</v>
      </c>
      <c r="G21" s="52">
        <f t="shared" si="2"/>
        <v>544.71558846</v>
      </c>
      <c r="H21" s="52">
        <f t="shared" si="2"/>
        <v>462.2820321600003</v>
      </c>
      <c r="I21" s="52">
        <f t="shared" si="2"/>
        <v>388.8508678</v>
      </c>
    </row>
    <row r="22" spans="1:9" ht="15">
      <c r="A22" s="43" t="str">
        <f>HLOOKUP(INDICE!$F$2,Nombres!$C$3:$D$636,47,FALSE)</f>
        <v>Impuesto sobre beneficios</v>
      </c>
      <c r="B22" s="44">
        <v>-172.36980698</v>
      </c>
      <c r="C22" s="44">
        <v>-136.16504708</v>
      </c>
      <c r="D22" s="44">
        <v>-78.41172021</v>
      </c>
      <c r="E22" s="45">
        <v>-49.88550066999996</v>
      </c>
      <c r="F22" s="44">
        <v>-136.69692153</v>
      </c>
      <c r="G22" s="44">
        <v>-154.91750891000004</v>
      </c>
      <c r="H22" s="44">
        <v>-131.27065599</v>
      </c>
      <c r="I22" s="44">
        <v>-66.17837118000001</v>
      </c>
    </row>
    <row r="23" spans="1:9" ht="15">
      <c r="A23" s="41" t="str">
        <f>HLOOKUP(INDICE!$F$2,Nombres!$C$3:$D$636,48,FALSE)</f>
        <v>Resultado del ejercicio</v>
      </c>
      <c r="B23" s="41">
        <f>+B21+B22</f>
        <v>404.77544828999976</v>
      </c>
      <c r="C23" s="41">
        <f aca="true" t="shared" si="3" ref="C23:I23">+C21+C22</f>
        <v>343.15944776000026</v>
      </c>
      <c r="D23" s="41">
        <f t="shared" si="3"/>
        <v>346.04470483000006</v>
      </c>
      <c r="E23" s="42">
        <f t="shared" si="3"/>
        <v>309.19429590000055</v>
      </c>
      <c r="F23" s="52">
        <f t="shared" si="3"/>
        <v>345.3827092099999</v>
      </c>
      <c r="G23" s="52">
        <f t="shared" si="3"/>
        <v>389.79807955</v>
      </c>
      <c r="H23" s="52">
        <f t="shared" si="3"/>
        <v>331.0113761700003</v>
      </c>
      <c r="I23" s="52">
        <f t="shared" si="3"/>
        <v>322.67249662</v>
      </c>
    </row>
    <row r="24" spans="1:9" ht="15">
      <c r="A24" s="43" t="str">
        <f>HLOOKUP(INDICE!$F$2,Nombres!$C$3:$D$636,49,FALSE)</f>
        <v>Minoritarios</v>
      </c>
      <c r="B24" s="44">
        <v>-0.8722644700000002</v>
      </c>
      <c r="C24" s="44">
        <v>-0.75138779</v>
      </c>
      <c r="D24" s="44">
        <v>-0.7327031800000001</v>
      </c>
      <c r="E24" s="45">
        <v>-0.6796715399999999</v>
      </c>
      <c r="F24" s="44">
        <v>-0.8074134</v>
      </c>
      <c r="G24" s="44">
        <v>-0.5400536</v>
      </c>
      <c r="H24" s="44">
        <v>-0.51821124</v>
      </c>
      <c r="I24" s="44">
        <v>-0.68372019</v>
      </c>
    </row>
    <row r="25" spans="1:9" ht="15">
      <c r="A25" s="47" t="str">
        <f>HLOOKUP(INDICE!$F$2,Nombres!$C$3:$D$636,50,FALSE)</f>
        <v>Resultado atribuido</v>
      </c>
      <c r="B25" s="47">
        <f>+B23+B24</f>
        <v>403.90318381999975</v>
      </c>
      <c r="C25" s="47">
        <f aca="true" t="shared" si="4" ref="C25:I25">+C23+C24</f>
        <v>342.40805997000024</v>
      </c>
      <c r="D25" s="47">
        <f t="shared" si="4"/>
        <v>345.31200165000007</v>
      </c>
      <c r="E25" s="47">
        <f t="shared" si="4"/>
        <v>308.51462436000054</v>
      </c>
      <c r="F25" s="53">
        <f t="shared" si="4"/>
        <v>344.57529580999994</v>
      </c>
      <c r="G25" s="53">
        <f t="shared" si="4"/>
        <v>389.25802595</v>
      </c>
      <c r="H25" s="53">
        <f t="shared" si="4"/>
        <v>330.49316493000026</v>
      </c>
      <c r="I25" s="53">
        <f t="shared" si="4"/>
        <v>321.98877643000003</v>
      </c>
    </row>
    <row r="26" spans="1:9" ht="15">
      <c r="A26" s="65"/>
      <c r="B26" s="66">
        <v>0</v>
      </c>
      <c r="C26" s="66">
        <v>0</v>
      </c>
      <c r="D26" s="66">
        <v>0</v>
      </c>
      <c r="E26" s="66">
        <v>0</v>
      </c>
      <c r="F26" s="67">
        <v>0</v>
      </c>
      <c r="G26" s="67">
        <v>0</v>
      </c>
      <c r="H26" s="67">
        <v>0</v>
      </c>
      <c r="I26" s="67">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4"/>
      <c r="D29" s="54"/>
      <c r="E29" s="54"/>
      <c r="F29" s="30"/>
      <c r="G29" s="60"/>
      <c r="H29" s="60"/>
      <c r="I29" s="60"/>
    </row>
    <row r="30" spans="1:9" ht="15.75">
      <c r="A30" s="30"/>
      <c r="B30" s="55">
        <v>43190</v>
      </c>
      <c r="C30" s="55">
        <v>43281</v>
      </c>
      <c r="D30" s="55">
        <v>43373</v>
      </c>
      <c r="E30" s="55">
        <v>43465</v>
      </c>
      <c r="F30" s="55">
        <v>43555</v>
      </c>
      <c r="G30" s="55">
        <v>43646</v>
      </c>
      <c r="H30" s="55">
        <v>43738</v>
      </c>
      <c r="I30" s="55">
        <v>43830</v>
      </c>
    </row>
    <row r="31" spans="1:11" ht="15">
      <c r="A31" s="43" t="str">
        <f>HLOOKUP(INDICE!$F$2,Nombres!$C$3:$D$636,52,FALSE)</f>
        <v>Efectivo, saldos en efectivo en bancos centrales y otros depósitos a la vista</v>
      </c>
      <c r="B31" s="44">
        <v>20005.742121</v>
      </c>
      <c r="C31" s="44">
        <v>15219.12972</v>
      </c>
      <c r="D31" s="44">
        <v>19696.132853</v>
      </c>
      <c r="E31" s="45">
        <v>28544.740211000004</v>
      </c>
      <c r="F31" s="44">
        <v>18874.748505000003</v>
      </c>
      <c r="G31" s="44">
        <v>12156.758994</v>
      </c>
      <c r="H31" s="44">
        <v>12718.766377999998</v>
      </c>
      <c r="I31" s="44">
        <v>15902.506018000004</v>
      </c>
      <c r="K31" s="56"/>
    </row>
    <row r="32" spans="1:11" ht="15">
      <c r="A32" s="43" t="str">
        <f>HLOOKUP(INDICE!$F$2,Nombres!$C$3:$D$636,53,FALSE)</f>
        <v>Activos financieros a valor razonable</v>
      </c>
      <c r="B32" s="60">
        <v>111647.10578284998</v>
      </c>
      <c r="C32" s="60">
        <v>111956.86970243999</v>
      </c>
      <c r="D32" s="60">
        <v>110213.84737602</v>
      </c>
      <c r="E32" s="68">
        <v>107320.45938387</v>
      </c>
      <c r="F32" s="44">
        <v>113734.82814217001</v>
      </c>
      <c r="G32" s="44">
        <v>127397.49831697001</v>
      </c>
      <c r="H32" s="44">
        <v>132382.95473774</v>
      </c>
      <c r="I32" s="44">
        <v>122843.60569624</v>
      </c>
      <c r="K32" s="56"/>
    </row>
    <row r="33" spans="1:11" ht="15">
      <c r="A33" s="43" t="str">
        <f>HLOOKUP(INDICE!$F$2,Nombres!$C$3:$D$636,54,FALSE)</f>
        <v>Activos financieros a coste amortizado</v>
      </c>
      <c r="B33" s="44">
        <v>196584.65776554003</v>
      </c>
      <c r="C33" s="44">
        <v>199232.6693992</v>
      </c>
      <c r="D33" s="44">
        <v>195996.79077291998</v>
      </c>
      <c r="E33" s="45">
        <v>195467.28558031</v>
      </c>
      <c r="F33" s="44">
        <v>199111.01585209998</v>
      </c>
      <c r="G33" s="44">
        <v>200008.31583766</v>
      </c>
      <c r="H33" s="44">
        <v>196380.37626308002</v>
      </c>
      <c r="I33" s="44">
        <v>195268.86144609997</v>
      </c>
      <c r="K33" s="56"/>
    </row>
    <row r="34" spans="1:11" ht="15">
      <c r="A34" s="43" t="str">
        <f>HLOOKUP(INDICE!$F$2,Nombres!$C$3:$D$636,55,FALSE)</f>
        <v>    de los que préstamos y anticipos a la clientela</v>
      </c>
      <c r="B34" s="44">
        <v>168910.84287254</v>
      </c>
      <c r="C34" s="44">
        <v>171194.33980320004</v>
      </c>
      <c r="D34" s="44">
        <v>168599.63753892</v>
      </c>
      <c r="E34" s="45">
        <v>170438.31274131</v>
      </c>
      <c r="F34" s="44">
        <v>170892.57044409995</v>
      </c>
      <c r="G34" s="44">
        <v>171080.63557965998</v>
      </c>
      <c r="H34" s="44">
        <v>166217.02424008003</v>
      </c>
      <c r="I34" s="44">
        <v>167341.17501309994</v>
      </c>
      <c r="K34" s="56"/>
    </row>
    <row r="35" spans="1:11" ht="15">
      <c r="A35" s="43" t="str">
        <f>HLOOKUP(INDICE!$F$2,Nombres!$C$3:$D$636,121,FALSE)</f>
        <v>Posiciones inter-áreas activo</v>
      </c>
      <c r="B35" s="44">
        <v>10940.926070920075</v>
      </c>
      <c r="C35" s="44">
        <v>12750.433886679879</v>
      </c>
      <c r="D35" s="44">
        <v>11957.881095599965</v>
      </c>
      <c r="E35" s="45">
        <v>14025.73067397991</v>
      </c>
      <c r="F35" s="44">
        <v>13172.992764050025</v>
      </c>
      <c r="G35" s="44">
        <v>18793.60983855999</v>
      </c>
      <c r="H35" s="44">
        <v>19144.90094375983</v>
      </c>
      <c r="I35" s="44">
        <v>21621.32270834985</v>
      </c>
      <c r="K35" s="56"/>
    </row>
    <row r="36" spans="1:11" ht="15">
      <c r="A36" s="43" t="str">
        <f>HLOOKUP(INDICE!$F$2,Nombres!$C$3:$D$636,56,FALSE)</f>
        <v>Activos tangibles</v>
      </c>
      <c r="B36" s="60">
        <v>976.3945970000001</v>
      </c>
      <c r="C36" s="60">
        <v>956.0154299999999</v>
      </c>
      <c r="D36" s="60">
        <v>956.711065</v>
      </c>
      <c r="E36" s="68">
        <v>1293.500859</v>
      </c>
      <c r="F36" s="44">
        <v>3529.9923849999996</v>
      </c>
      <c r="G36" s="44">
        <v>3483.7767670000003</v>
      </c>
      <c r="H36" s="44">
        <v>3405.283309</v>
      </c>
      <c r="I36" s="44">
        <v>3301.641948</v>
      </c>
      <c r="K36" s="56"/>
    </row>
    <row r="37" spans="1:11" ht="15">
      <c r="A37" s="43" t="str">
        <f>HLOOKUP(INDICE!$F$2,Nombres!$C$3:$D$636,57,FALSE)</f>
        <v>Otros activos</v>
      </c>
      <c r="B37" s="60">
        <f aca="true" t="shared" si="5" ref="B37:I37">+B38-B36-B33-B32-B31-B35</f>
        <v>12150.081964249974</v>
      </c>
      <c r="C37" s="60">
        <f t="shared" si="5"/>
        <v>12238.925803610033</v>
      </c>
      <c r="D37" s="60">
        <f t="shared" si="5"/>
        <v>13175.708608670018</v>
      </c>
      <c r="E37" s="68">
        <f t="shared" si="5"/>
        <v>8249.449880670065</v>
      </c>
      <c r="F37" s="44">
        <f t="shared" si="5"/>
        <v>8128.587748209997</v>
      </c>
      <c r="G37" s="44">
        <f t="shared" si="5"/>
        <v>7142.265793430011</v>
      </c>
      <c r="H37" s="44">
        <f t="shared" si="5"/>
        <v>8129.237612430181</v>
      </c>
      <c r="I37" s="44">
        <f t="shared" si="5"/>
        <v>6435.924258630035</v>
      </c>
      <c r="K37" s="56"/>
    </row>
    <row r="38" spans="1:11" ht="15">
      <c r="A38" s="47" t="str">
        <f>HLOOKUP(INDICE!$F$2,Nombres!$C$3:$D$636,58,FALSE)</f>
        <v>Total activo / pasivo</v>
      </c>
      <c r="B38" s="47">
        <v>352304.90830156003</v>
      </c>
      <c r="C38" s="47">
        <v>352354.04394192994</v>
      </c>
      <c r="D38" s="47">
        <v>351997.07177120994</v>
      </c>
      <c r="E38" s="47">
        <v>354901.16658883</v>
      </c>
      <c r="F38" s="53">
        <v>356552.16539653</v>
      </c>
      <c r="G38" s="53">
        <v>368982.22554762</v>
      </c>
      <c r="H38" s="53">
        <v>372161.51924401004</v>
      </c>
      <c r="I38" s="53">
        <v>365373.86207531986</v>
      </c>
      <c r="K38" s="56"/>
    </row>
    <row r="39" spans="1:11" ht="15">
      <c r="A39" s="43" t="str">
        <f>HLOOKUP(INDICE!$F$2,Nombres!$C$3:$D$636,59,FALSE)</f>
        <v>Pasivos financieros mantenidos para negociar y designados a valor razonable con cambios en resultados</v>
      </c>
      <c r="B39" s="60">
        <v>75786.171321</v>
      </c>
      <c r="C39" s="60">
        <v>74427.453368</v>
      </c>
      <c r="D39" s="60">
        <v>72847.586181</v>
      </c>
      <c r="E39" s="68">
        <v>71032.935299</v>
      </c>
      <c r="F39" s="44">
        <v>70282.84723399999</v>
      </c>
      <c r="G39" s="44">
        <v>80487.004936</v>
      </c>
      <c r="H39" s="44">
        <v>80834.96399599999</v>
      </c>
      <c r="I39" s="44">
        <v>78684.22251999998</v>
      </c>
      <c r="K39" s="56"/>
    </row>
    <row r="40" spans="1:11" ht="15">
      <c r="A40" s="43" t="str">
        <f>HLOOKUP(INDICE!$F$2,Nombres!$C$3:$D$636,60,FALSE)</f>
        <v>Depósitos de bancos centrales y entidades de crédito</v>
      </c>
      <c r="B40" s="60">
        <v>45481.16953822</v>
      </c>
      <c r="C40" s="60">
        <v>44283.456700860006</v>
      </c>
      <c r="D40" s="60">
        <v>44227.65900059</v>
      </c>
      <c r="E40" s="68">
        <v>45913.77283505</v>
      </c>
      <c r="F40" s="44">
        <v>46697.03511944</v>
      </c>
      <c r="G40" s="44">
        <v>47279.68376749</v>
      </c>
      <c r="H40" s="44">
        <v>46720.28543611</v>
      </c>
      <c r="I40" s="44">
        <v>41092.15459711</v>
      </c>
      <c r="K40" s="56"/>
    </row>
    <row r="41" spans="1:11" ht="15.75" customHeight="1">
      <c r="A41" s="43" t="str">
        <f>HLOOKUP(INDICE!$F$2,Nombres!$C$3:$D$636,61,FALSE)</f>
        <v>Depósitos de la clientela</v>
      </c>
      <c r="B41" s="60">
        <v>172308.47167087998</v>
      </c>
      <c r="C41" s="60">
        <v>175836.59513461002</v>
      </c>
      <c r="D41" s="60">
        <v>177086.67691076</v>
      </c>
      <c r="E41" s="68">
        <v>183413.53161484003</v>
      </c>
      <c r="F41" s="44">
        <v>181723.359656</v>
      </c>
      <c r="G41" s="44">
        <v>180434.10624000002</v>
      </c>
      <c r="H41" s="44">
        <v>180652.79433099998</v>
      </c>
      <c r="I41" s="44">
        <v>182369.87480599998</v>
      </c>
      <c r="K41" s="56"/>
    </row>
    <row r="42" spans="1:11" ht="15">
      <c r="A42" s="43" t="str">
        <f>HLOOKUP(INDICE!$F$2,Nombres!$C$3:$D$636,62,FALSE)</f>
        <v>Valores representativos de deuda emitidos</v>
      </c>
      <c r="B42" s="44">
        <v>33648.540785510006</v>
      </c>
      <c r="C42" s="44">
        <v>34272.42588416</v>
      </c>
      <c r="D42" s="44">
        <v>33242.50789390999</v>
      </c>
      <c r="E42" s="45">
        <v>31352.1923353</v>
      </c>
      <c r="F42" s="44">
        <v>31490.247971430003</v>
      </c>
      <c r="G42" s="44">
        <v>32860.65302199</v>
      </c>
      <c r="H42" s="44">
        <v>33562.46343916</v>
      </c>
      <c r="I42" s="44">
        <v>35523.03449856999</v>
      </c>
      <c r="K42" s="56"/>
    </row>
    <row r="43" spans="1:11" ht="15">
      <c r="A43" s="43" t="str">
        <f>HLOOKUP(INDICE!$F$2,Nombres!$C$3:$D$636,122,FALSE)</f>
        <v>Posiciones inter-áreas pasivo</v>
      </c>
      <c r="B43" s="44">
        <v>0</v>
      </c>
      <c r="C43" s="44">
        <v>0</v>
      </c>
      <c r="D43" s="44">
        <v>0</v>
      </c>
      <c r="E43" s="45">
        <v>0</v>
      </c>
      <c r="F43" s="44">
        <v>0</v>
      </c>
      <c r="G43" s="44">
        <v>0</v>
      </c>
      <c r="H43" s="44">
        <v>0</v>
      </c>
      <c r="I43" s="44">
        <v>0</v>
      </c>
      <c r="K43" s="56"/>
    </row>
    <row r="44" spans="1:11" ht="15">
      <c r="A44" s="43" t="str">
        <f>HLOOKUP(INDICE!$F$2,Nombres!$C$3:$D$636,63,FALSE)</f>
        <v>Otros pasivos</v>
      </c>
      <c r="B44" s="44">
        <f>+B38-B39-B40-B41-B42-B45-B43</f>
        <v>13478.142285950033</v>
      </c>
      <c r="C44" s="44">
        <f aca="true" t="shared" si="6" ref="C44:I44">+C38-C39-C40-C41-C42-C45-C43</f>
        <v>13651.647014299928</v>
      </c>
      <c r="D44" s="44">
        <f t="shared" si="6"/>
        <v>14926.632639569956</v>
      </c>
      <c r="E44" s="45">
        <f t="shared" si="6"/>
        <v>14518.502745839962</v>
      </c>
      <c r="F44" s="44">
        <f t="shared" si="6"/>
        <v>17756.200645660036</v>
      </c>
      <c r="G44" s="44">
        <f t="shared" si="6"/>
        <v>19098.573282139972</v>
      </c>
      <c r="H44" s="44">
        <f t="shared" si="6"/>
        <v>21508.287686340063</v>
      </c>
      <c r="I44" s="44">
        <f t="shared" si="6"/>
        <v>18484.33720001994</v>
      </c>
      <c r="K44" s="56"/>
    </row>
    <row r="45" spans="1:11" ht="15">
      <c r="A45" s="43" t="str">
        <f>HLOOKUP(INDICE!$F$2,Nombres!$C$3:$D$636,64,FALSE)</f>
        <v>Dotación de capital económico</v>
      </c>
      <c r="B45" s="44">
        <v>11602.412699999999</v>
      </c>
      <c r="C45" s="44">
        <v>9882.46584</v>
      </c>
      <c r="D45" s="44">
        <v>9666.00914538</v>
      </c>
      <c r="E45" s="45">
        <v>8670.231758799999</v>
      </c>
      <c r="F45" s="44">
        <v>8602.474769999999</v>
      </c>
      <c r="G45" s="44">
        <v>8822.2043</v>
      </c>
      <c r="H45" s="44">
        <v>8882.724355399998</v>
      </c>
      <c r="I45" s="44">
        <v>9220.23845362</v>
      </c>
      <c r="K45" s="56"/>
    </row>
    <row r="46" spans="1:9" ht="15">
      <c r="A46" s="65"/>
      <c r="B46" s="60"/>
      <c r="C46" s="60"/>
      <c r="D46" s="60"/>
      <c r="E46" s="60"/>
      <c r="F46" s="60"/>
      <c r="G46" s="60"/>
      <c r="H46" s="60"/>
      <c r="I46" s="60"/>
    </row>
    <row r="47" spans="1:9" ht="15">
      <c r="A47" s="43"/>
      <c r="B47" s="60"/>
      <c r="C47" s="60"/>
      <c r="D47" s="60"/>
      <c r="E47" s="60"/>
      <c r="F47" s="60"/>
      <c r="G47" s="60"/>
      <c r="H47" s="60"/>
      <c r="I47" s="60"/>
    </row>
    <row r="48" spans="1:9" ht="18">
      <c r="A48" s="69" t="str">
        <f>HLOOKUP(INDICE!$F$2,Nombres!$C$3:$D$636,65,FALSE)</f>
        <v>Indicadores relevantes y de gestión</v>
      </c>
      <c r="B48" s="70"/>
      <c r="C48" s="70"/>
      <c r="D48" s="70"/>
      <c r="E48" s="70"/>
      <c r="F48" s="70"/>
      <c r="G48" s="70"/>
      <c r="H48" s="70"/>
      <c r="I48" s="70"/>
    </row>
    <row r="49" spans="1:9" ht="15">
      <c r="A49" s="35" t="str">
        <f>HLOOKUP(INDICE!$F$2,Nombres!$C$3:$D$636,32,FALSE)</f>
        <v>(Millones de euros)</v>
      </c>
      <c r="B49" s="30"/>
      <c r="C49" s="30"/>
      <c r="D49" s="30"/>
      <c r="E49" s="30"/>
      <c r="F49" s="30"/>
      <c r="G49" s="60"/>
      <c r="H49" s="60"/>
      <c r="I49" s="60"/>
    </row>
    <row r="50" spans="1:9" ht="15.75">
      <c r="A50" s="30"/>
      <c r="B50" s="55">
        <f aca="true" t="shared" si="7" ref="B50:I50">+B$30</f>
        <v>43190</v>
      </c>
      <c r="C50" s="55">
        <f t="shared" si="7"/>
        <v>43281</v>
      </c>
      <c r="D50" s="55">
        <f t="shared" si="7"/>
        <v>43373</v>
      </c>
      <c r="E50" s="71">
        <f t="shared" si="7"/>
        <v>43465</v>
      </c>
      <c r="F50" s="55">
        <f t="shared" si="7"/>
        <v>43555</v>
      </c>
      <c r="G50" s="55">
        <f t="shared" si="7"/>
        <v>43646</v>
      </c>
      <c r="H50" s="55">
        <f t="shared" si="7"/>
        <v>43738</v>
      </c>
      <c r="I50" s="55">
        <f t="shared" si="7"/>
        <v>43830</v>
      </c>
    </row>
    <row r="51" spans="1:9" ht="15">
      <c r="A51" s="43" t="str">
        <f>HLOOKUP(INDICE!$F$2,Nombres!$C$3:$D$636,66,FALSE)</f>
        <v>Préstamos y anticipos a la clientela bruto (*)</v>
      </c>
      <c r="B51" s="44">
        <v>176353.83539800002</v>
      </c>
      <c r="C51" s="44">
        <v>178345.044157</v>
      </c>
      <c r="D51" s="44">
        <v>174729.468155</v>
      </c>
      <c r="E51" s="45">
        <v>176016.61492200004</v>
      </c>
      <c r="F51" s="44">
        <v>176148.06087644</v>
      </c>
      <c r="G51" s="44">
        <v>176210.73220848996</v>
      </c>
      <c r="H51" s="44">
        <v>171265.42190411</v>
      </c>
      <c r="I51" s="44">
        <v>172341.89054510996</v>
      </c>
    </row>
    <row r="52" spans="1:9" ht="15">
      <c r="A52" s="43" t="str">
        <f>HLOOKUP(INDICE!$F$2,Nombres!$C$3:$D$636,67,FALSE)</f>
        <v>Depósitos de clientes en gestión (**)</v>
      </c>
      <c r="B52" s="44">
        <v>172295.36633288</v>
      </c>
      <c r="C52" s="44">
        <v>175712.87605261002</v>
      </c>
      <c r="D52" s="44">
        <v>176964.11939476006</v>
      </c>
      <c r="E52" s="45">
        <v>182984.34073184003</v>
      </c>
      <c r="F52" s="44">
        <v>181283.132865</v>
      </c>
      <c r="G52" s="44">
        <v>180434.106959</v>
      </c>
      <c r="H52" s="44">
        <v>180652.79433099998</v>
      </c>
      <c r="I52" s="44">
        <v>182369.87480599998</v>
      </c>
    </row>
    <row r="53" spans="1:9" ht="15">
      <c r="A53" s="43" t="str">
        <f>HLOOKUP(INDICE!$F$2,Nombres!$C$3:$D$636,68,FALSE)</f>
        <v>Fondos de inversión</v>
      </c>
      <c r="B53" s="44">
        <v>39210.366807</v>
      </c>
      <c r="C53" s="44">
        <v>40087.368772999995</v>
      </c>
      <c r="D53" s="44">
        <v>40382.64453830001</v>
      </c>
      <c r="E53" s="45">
        <v>39250.23684609999</v>
      </c>
      <c r="F53" s="44">
        <v>40417.414025009995</v>
      </c>
      <c r="G53" s="44">
        <v>40351.9092087</v>
      </c>
      <c r="H53" s="44">
        <v>40518.802457239995</v>
      </c>
      <c r="I53" s="44">
        <v>41389.658117880004</v>
      </c>
    </row>
    <row r="54" spans="1:9" ht="15">
      <c r="A54" s="43" t="str">
        <f>HLOOKUP(INDICE!$F$2,Nombres!$C$3:$D$636,69,FALSE)</f>
        <v>Fondos de pensiones</v>
      </c>
      <c r="B54" s="44">
        <v>23808.787791000002</v>
      </c>
      <c r="C54" s="44">
        <v>23757.977336</v>
      </c>
      <c r="D54" s="44">
        <v>23731.989638</v>
      </c>
      <c r="E54" s="45">
        <v>23273.91234805</v>
      </c>
      <c r="F54" s="44">
        <v>23770.324875309998</v>
      </c>
      <c r="G54" s="44">
        <v>23983.14042231</v>
      </c>
      <c r="H54" s="44">
        <v>24209.64256312</v>
      </c>
      <c r="I54" s="44">
        <v>24678.489658830003</v>
      </c>
    </row>
    <row r="55" spans="1:9" ht="15">
      <c r="A55" s="43" t="str">
        <f>HLOOKUP(INDICE!$F$2,Nombres!$C$3:$D$636,70,FALSE)</f>
        <v>Otros recursos fuera de balance</v>
      </c>
      <c r="B55" s="44">
        <v>32.544838999999996</v>
      </c>
      <c r="C55" s="44">
        <v>32.382937999999996</v>
      </c>
      <c r="D55" s="44">
        <v>37.365213</v>
      </c>
      <c r="E55" s="45">
        <v>35.177608</v>
      </c>
      <c r="F55" s="44">
        <v>37.313644</v>
      </c>
      <c r="G55" s="44">
        <v>35.147284</v>
      </c>
      <c r="H55" s="44" t="s">
        <v>400</v>
      </c>
      <c r="I55" s="44" t="s">
        <v>400</v>
      </c>
    </row>
    <row r="56" spans="1:9" ht="15">
      <c r="A56" s="65" t="str">
        <f>HLOOKUP(INDICE!$F$2,Nombres!$C$3:$D$636,71,FALSE)</f>
        <v>(*) No incluye las adquisiciones temporales de activos.</v>
      </c>
      <c r="B56" s="60"/>
      <c r="C56" s="60"/>
      <c r="D56" s="60"/>
      <c r="E56" s="60"/>
      <c r="F56" s="60"/>
      <c r="G56" s="60"/>
      <c r="H56" s="60"/>
      <c r="I56" s="60"/>
    </row>
    <row r="57" spans="1:9" ht="15">
      <c r="A57" s="65" t="str">
        <f>HLOOKUP(INDICE!$F$2,Nombres!$C$3:$D$636,72,FALSE)</f>
        <v>(**) No incluye las cesiones temporales de activos.</v>
      </c>
      <c r="B57" s="30"/>
      <c r="C57" s="30"/>
      <c r="D57" s="30"/>
      <c r="E57" s="30"/>
      <c r="F57" s="30"/>
      <c r="G57" s="30"/>
      <c r="H57" s="30"/>
      <c r="I57" s="30"/>
    </row>
    <row r="58" spans="1:9" ht="15">
      <c r="A58" s="65"/>
      <c r="B58" s="30"/>
      <c r="C58" s="30"/>
      <c r="D58" s="30"/>
      <c r="E58" s="30"/>
      <c r="F58" s="30"/>
      <c r="G58" s="30"/>
      <c r="H58" s="30"/>
      <c r="I58" s="30"/>
    </row>
    <row r="1000" ht="15">
      <c r="A1000" s="31" t="s">
        <v>399</v>
      </c>
    </row>
  </sheetData>
  <sheetProtection/>
  <mergeCells count="2">
    <mergeCell ref="B6:E6"/>
    <mergeCell ref="F6:I6"/>
  </mergeCells>
  <conditionalFormatting sqref="B26:I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A6" sqref="A6"/>
    </sheetView>
  </sheetViews>
  <sheetFormatPr defaultColWidth="11.421875" defaultRowHeight="15"/>
  <cols>
    <col min="1" max="1" width="62.00390625" style="31" customWidth="1"/>
    <col min="2" max="16384" width="11.421875" style="31" customWidth="1"/>
  </cols>
  <sheetData>
    <row r="1" spans="1:9" ht="18">
      <c r="A1" s="29" t="str">
        <f>HLOOKUP(INDICE!$F$2,Nombres!$C$3:$D$636,10,FALSE)</f>
        <v>EEUU</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524.17569315</v>
      </c>
      <c r="C8" s="41">
        <v>557.3933674299999</v>
      </c>
      <c r="D8" s="41">
        <v>583.36088268</v>
      </c>
      <c r="E8" s="42">
        <v>610.6794377499999</v>
      </c>
      <c r="F8" s="52">
        <v>615.1973128899999</v>
      </c>
      <c r="G8" s="52">
        <v>602.27943125</v>
      </c>
      <c r="H8" s="52">
        <v>595.2909658199999</v>
      </c>
      <c r="I8" s="52">
        <v>582.0685217800001</v>
      </c>
    </row>
    <row r="9" spans="1:9" ht="15">
      <c r="A9" s="43" t="str">
        <f>HLOOKUP(INDICE!$F$2,Nombres!$C$3:$D$636,34,FALSE)</f>
        <v>Comisiones netas</v>
      </c>
      <c r="B9" s="44">
        <v>147.71453252999999</v>
      </c>
      <c r="C9" s="44">
        <v>154.20529593</v>
      </c>
      <c r="D9" s="44">
        <v>146.53507097</v>
      </c>
      <c r="E9" s="45">
        <v>147.49434357999996</v>
      </c>
      <c r="F9" s="44">
        <v>150.79594061999998</v>
      </c>
      <c r="G9" s="44">
        <v>168.71948865000002</v>
      </c>
      <c r="H9" s="44">
        <v>169.25378866</v>
      </c>
      <c r="I9" s="44">
        <v>155.38474496000003</v>
      </c>
    </row>
    <row r="10" spans="1:9" ht="15">
      <c r="A10" s="43" t="str">
        <f>HLOOKUP(INDICE!$F$2,Nombres!$C$3:$D$636,35,FALSE)</f>
        <v>Resultados de operaciones financieras</v>
      </c>
      <c r="B10" s="44">
        <v>24.277979239999997</v>
      </c>
      <c r="C10" s="44">
        <v>24.65794235</v>
      </c>
      <c r="D10" s="44">
        <v>20.382880549999996</v>
      </c>
      <c r="E10" s="45">
        <v>39.3755455</v>
      </c>
      <c r="F10" s="44">
        <v>40.609470869999996</v>
      </c>
      <c r="G10" s="44">
        <v>38.54972442</v>
      </c>
      <c r="H10" s="44">
        <v>59.364840130000005</v>
      </c>
      <c r="I10" s="44">
        <v>34.03696678</v>
      </c>
    </row>
    <row r="11" spans="1:9" ht="15">
      <c r="A11" s="43" t="str">
        <f>HLOOKUP(INDICE!$F$2,Nombres!$C$3:$D$636,36,FALSE)</f>
        <v>Otros ingresos y cargas de explotación</v>
      </c>
      <c r="B11" s="44">
        <v>2.5316769999999993</v>
      </c>
      <c r="C11" s="44">
        <v>1.7655839999999983</v>
      </c>
      <c r="D11" s="44">
        <v>-4.501758999999995</v>
      </c>
      <c r="E11" s="45">
        <v>9.1681</v>
      </c>
      <c r="F11" s="44">
        <v>-2.7278229999999994</v>
      </c>
      <c r="G11" s="44">
        <v>1.327381999999998</v>
      </c>
      <c r="H11" s="44">
        <v>3.5764660000000017</v>
      </c>
      <c r="I11" s="44">
        <v>9.632556</v>
      </c>
    </row>
    <row r="12" spans="1:9" ht="15">
      <c r="A12" s="41" t="str">
        <f>HLOOKUP(INDICE!$F$2,Nombres!$C$3:$D$636,37,FALSE)</f>
        <v>Margen bruto</v>
      </c>
      <c r="B12" s="41">
        <f>+SUM(B8:B11)</f>
        <v>698.6998819199999</v>
      </c>
      <c r="C12" s="41">
        <f aca="true" t="shared" si="0" ref="C12:I12">+SUM(C8:C11)</f>
        <v>738.0221897099999</v>
      </c>
      <c r="D12" s="41">
        <f t="shared" si="0"/>
        <v>745.7770752</v>
      </c>
      <c r="E12" s="42">
        <f t="shared" si="0"/>
        <v>806.7174268299999</v>
      </c>
      <c r="F12" s="52">
        <f t="shared" si="0"/>
        <v>803.87490138</v>
      </c>
      <c r="G12" s="52">
        <f t="shared" si="0"/>
        <v>810.8760263199999</v>
      </c>
      <c r="H12" s="52">
        <f t="shared" si="0"/>
        <v>827.4860606099999</v>
      </c>
      <c r="I12" s="52">
        <f t="shared" si="0"/>
        <v>781.1227895200002</v>
      </c>
    </row>
    <row r="13" spans="1:9" ht="15">
      <c r="A13" s="43" t="str">
        <f>HLOOKUP(INDICE!$F$2,Nombres!$C$3:$D$636,38,FALSE)</f>
        <v>Gastos de explotación</v>
      </c>
      <c r="B13" s="44">
        <v>-434.4470262599999</v>
      </c>
      <c r="C13" s="44">
        <v>-458.34772046999996</v>
      </c>
      <c r="D13" s="44">
        <v>-478.9261721600001</v>
      </c>
      <c r="E13" s="45">
        <v>-488.87795885</v>
      </c>
      <c r="F13" s="44">
        <v>-472.80969741</v>
      </c>
      <c r="G13" s="44">
        <v>-486.60016633</v>
      </c>
      <c r="H13" s="44">
        <v>-494.25534431</v>
      </c>
      <c r="I13" s="44">
        <v>-512.74892447</v>
      </c>
    </row>
    <row r="14" spans="1:9" ht="15">
      <c r="A14" s="43" t="str">
        <f>HLOOKUP(INDICE!$F$2,Nombres!$C$3:$D$636,39,FALSE)</f>
        <v>  Gastos de administración</v>
      </c>
      <c r="B14" s="44">
        <v>-392.2108172599999</v>
      </c>
      <c r="C14" s="44">
        <v>-414.69672447</v>
      </c>
      <c r="D14" s="44">
        <v>-433.31316816000003</v>
      </c>
      <c r="E14" s="45">
        <v>-442.4759018499999</v>
      </c>
      <c r="F14" s="44">
        <v>-417.42253041</v>
      </c>
      <c r="G14" s="44">
        <v>-431.81317733000003</v>
      </c>
      <c r="H14" s="44">
        <v>-439.51497831</v>
      </c>
      <c r="I14" s="44">
        <v>-458.57823846999986</v>
      </c>
    </row>
    <row r="15" spans="1:9" ht="15">
      <c r="A15" s="46" t="str">
        <f>HLOOKUP(INDICE!$F$2,Nombres!$C$3:$D$636,40,FALSE)</f>
        <v>  Gastos de personal</v>
      </c>
      <c r="B15" s="44">
        <v>-251.64323792</v>
      </c>
      <c r="C15" s="44">
        <v>-261.74396528</v>
      </c>
      <c r="D15" s="44">
        <v>-270.68375029</v>
      </c>
      <c r="E15" s="45">
        <v>-266.65654783</v>
      </c>
      <c r="F15" s="44">
        <v>-277.72449278</v>
      </c>
      <c r="G15" s="44">
        <v>-276.52617104</v>
      </c>
      <c r="H15" s="44">
        <v>-285.242517</v>
      </c>
      <c r="I15" s="44">
        <v>-286.6381108</v>
      </c>
    </row>
    <row r="16" spans="1:9" ht="15">
      <c r="A16" s="46" t="str">
        <f>HLOOKUP(INDICE!$F$2,Nombres!$C$3:$D$636,41,FALSE)</f>
        <v>  Otros gastos de administración</v>
      </c>
      <c r="B16" s="44">
        <v>-140.56757933999998</v>
      </c>
      <c r="C16" s="44">
        <v>-152.95275919</v>
      </c>
      <c r="D16" s="44">
        <v>-162.62941787000003</v>
      </c>
      <c r="E16" s="45">
        <v>-175.81935402000002</v>
      </c>
      <c r="F16" s="44">
        <v>-139.69803762999996</v>
      </c>
      <c r="G16" s="44">
        <v>-155.28700628999997</v>
      </c>
      <c r="H16" s="44">
        <v>-154.27246131000004</v>
      </c>
      <c r="I16" s="44">
        <v>-171.94012766999995</v>
      </c>
    </row>
    <row r="17" spans="1:9" ht="15">
      <c r="A17" s="43" t="str">
        <f>HLOOKUP(INDICE!$F$2,Nombres!$C$3:$D$636,42,FALSE)</f>
        <v>  Amortización</v>
      </c>
      <c r="B17" s="44">
        <v>-42.236208999999995</v>
      </c>
      <c r="C17" s="44">
        <v>-43.650996</v>
      </c>
      <c r="D17" s="44">
        <v>-45.613004000000004</v>
      </c>
      <c r="E17" s="45">
        <v>-46.402057</v>
      </c>
      <c r="F17" s="44">
        <v>-55.38716699999999</v>
      </c>
      <c r="G17" s="44">
        <v>-54.786989000000005</v>
      </c>
      <c r="H17" s="44">
        <v>-54.740366</v>
      </c>
      <c r="I17" s="44">
        <v>-54.170686</v>
      </c>
    </row>
    <row r="18" spans="1:9" ht="15">
      <c r="A18" s="41" t="str">
        <f>HLOOKUP(INDICE!$F$2,Nombres!$C$3:$D$636,43,FALSE)</f>
        <v>Margen neto</v>
      </c>
      <c r="B18" s="41">
        <f>+B12+B13</f>
        <v>264.25285566</v>
      </c>
      <c r="C18" s="41">
        <f aca="true" t="shared" si="1" ref="C18:I18">+C12+C13</f>
        <v>279.67446923999995</v>
      </c>
      <c r="D18" s="41">
        <f t="shared" si="1"/>
        <v>266.85090303999993</v>
      </c>
      <c r="E18" s="42">
        <f t="shared" si="1"/>
        <v>317.8394679799999</v>
      </c>
      <c r="F18" s="52">
        <f t="shared" si="1"/>
        <v>331.06520396999997</v>
      </c>
      <c r="G18" s="52">
        <f t="shared" si="1"/>
        <v>324.27585998999996</v>
      </c>
      <c r="H18" s="52">
        <f t="shared" si="1"/>
        <v>333.23071629999987</v>
      </c>
      <c r="I18" s="52">
        <f t="shared" si="1"/>
        <v>268.3738650500002</v>
      </c>
    </row>
    <row r="19" spans="1:9" ht="15">
      <c r="A19" s="43" t="str">
        <f>HLOOKUP(INDICE!$F$2,Nombres!$C$3:$D$636,44,FALSE)</f>
        <v>Deterioro de activos financieros no valorados a valor razonable con cambios en resultados</v>
      </c>
      <c r="B19" s="44">
        <v>-20.29801300000001</v>
      </c>
      <c r="C19" s="44">
        <v>-42.50583008999999</v>
      </c>
      <c r="D19" s="44">
        <v>-74.91903600000005</v>
      </c>
      <c r="E19" s="45">
        <v>-86.916118</v>
      </c>
      <c r="F19" s="44">
        <v>-161.50649299999998</v>
      </c>
      <c r="G19" s="44">
        <v>-124.77478</v>
      </c>
      <c r="H19" s="44">
        <v>-119.42335299999996</v>
      </c>
      <c r="I19" s="44">
        <v>-144.408506</v>
      </c>
    </row>
    <row r="20" spans="1:9" ht="15">
      <c r="A20" s="43" t="str">
        <f>HLOOKUP(INDICE!$F$2,Nombres!$C$3:$D$636,45,FALSE)</f>
        <v>Provisiones o reversión de provisiones y otros resultados</v>
      </c>
      <c r="B20" s="44">
        <v>7.9424909999999995</v>
      </c>
      <c r="C20" s="44">
        <v>3.7300674899999984</v>
      </c>
      <c r="D20" s="44">
        <v>1.836105</v>
      </c>
      <c r="E20" s="45">
        <v>2.664009000000002</v>
      </c>
      <c r="F20" s="44">
        <v>-9.781892</v>
      </c>
      <c r="G20" s="44">
        <v>4.021742999999999</v>
      </c>
      <c r="H20" s="44">
        <v>10.582921</v>
      </c>
      <c r="I20" s="44">
        <v>-7.113379000000028</v>
      </c>
    </row>
    <row r="21" spans="1:9" ht="15">
      <c r="A21" s="41" t="str">
        <f>HLOOKUP(INDICE!$F$2,Nombres!$C$3:$D$636,46,FALSE)</f>
        <v>Resultado antes de impuestos</v>
      </c>
      <c r="B21" s="41">
        <f>+B18+B19+B20</f>
        <v>251.89733366</v>
      </c>
      <c r="C21" s="41">
        <f aca="true" t="shared" si="2" ref="C21:I21">+C18+C19+C20</f>
        <v>240.89870663999997</v>
      </c>
      <c r="D21" s="41">
        <f t="shared" si="2"/>
        <v>193.76797203999988</v>
      </c>
      <c r="E21" s="42">
        <f t="shared" si="2"/>
        <v>233.5873589799999</v>
      </c>
      <c r="F21" s="52">
        <f t="shared" si="2"/>
        <v>159.77681897</v>
      </c>
      <c r="G21" s="52">
        <f t="shared" si="2"/>
        <v>203.52282298999992</v>
      </c>
      <c r="H21" s="52">
        <f t="shared" si="2"/>
        <v>224.3902842999999</v>
      </c>
      <c r="I21" s="52">
        <f t="shared" si="2"/>
        <v>116.85198005000017</v>
      </c>
    </row>
    <row r="22" spans="1:9" ht="15">
      <c r="A22" s="43" t="str">
        <f>HLOOKUP(INDICE!$F$2,Nombres!$C$3:$D$636,47,FALSE)</f>
        <v>Impuesto sobre beneficios</v>
      </c>
      <c r="B22" s="44">
        <v>-56.315293450000006</v>
      </c>
      <c r="C22" s="44">
        <v>-51.75085195</v>
      </c>
      <c r="D22" s="44">
        <v>-36.94007723</v>
      </c>
      <c r="E22" s="45">
        <v>-39.542066829999996</v>
      </c>
      <c r="F22" s="44">
        <v>-32.33071703</v>
      </c>
      <c r="G22" s="44">
        <v>-34.269060780000004</v>
      </c>
      <c r="H22" s="44">
        <v>-43.280891800000006</v>
      </c>
      <c r="I22" s="44">
        <v>-5.095555559999994</v>
      </c>
    </row>
    <row r="23" spans="1:9" ht="15">
      <c r="A23" s="41" t="str">
        <f>HLOOKUP(INDICE!$F$2,Nombres!$C$3:$D$636,48,FALSE)</f>
        <v>Resultado del ejercicio</v>
      </c>
      <c r="B23" s="41">
        <f>+B21+B22</f>
        <v>195.58204020999997</v>
      </c>
      <c r="C23" s="41">
        <f aca="true" t="shared" si="3" ref="C23:I23">+C21+C22</f>
        <v>189.14785468999997</v>
      </c>
      <c r="D23" s="41">
        <f t="shared" si="3"/>
        <v>156.82789480999986</v>
      </c>
      <c r="E23" s="42">
        <f t="shared" si="3"/>
        <v>194.0452921499999</v>
      </c>
      <c r="F23" s="52">
        <f t="shared" si="3"/>
        <v>127.44610193999999</v>
      </c>
      <c r="G23" s="52">
        <f t="shared" si="3"/>
        <v>169.25376220999993</v>
      </c>
      <c r="H23" s="52">
        <f t="shared" si="3"/>
        <v>181.1093924999999</v>
      </c>
      <c r="I23" s="52">
        <f t="shared" si="3"/>
        <v>111.75642449000017</v>
      </c>
    </row>
    <row r="24" spans="1:9" ht="15">
      <c r="A24" s="43" t="str">
        <f>HLOOKUP(INDICE!$F$2,Nombres!$C$3:$D$636,49,FALSE)</f>
        <v>Minoritarios</v>
      </c>
      <c r="B24" s="44" t="s">
        <v>400</v>
      </c>
      <c r="C24" s="44" t="s">
        <v>400</v>
      </c>
      <c r="D24" s="44" t="s">
        <v>400</v>
      </c>
      <c r="E24" s="45" t="s">
        <v>400</v>
      </c>
      <c r="F24" s="44" t="s">
        <v>400</v>
      </c>
      <c r="G24" s="44" t="s">
        <v>400</v>
      </c>
      <c r="H24" s="44" t="s">
        <v>400</v>
      </c>
      <c r="I24" s="44" t="s">
        <v>400</v>
      </c>
    </row>
    <row r="25" spans="1:9" ht="15">
      <c r="A25" s="47" t="str">
        <f>HLOOKUP(INDICE!$F$2,Nombres!$C$3:$D$636,50,FALSE)</f>
        <v>Resultado atribuido</v>
      </c>
      <c r="B25" s="47">
        <f>+B23+B24</f>
        <v>195.58204020999997</v>
      </c>
      <c r="C25" s="47">
        <f aca="true" t="shared" si="4" ref="C25:I25">+C23+C24</f>
        <v>189.14785468999997</v>
      </c>
      <c r="D25" s="47">
        <f t="shared" si="4"/>
        <v>156.82789480999986</v>
      </c>
      <c r="E25" s="47">
        <f t="shared" si="4"/>
        <v>194.0452921499999</v>
      </c>
      <c r="F25" s="53">
        <f t="shared" si="4"/>
        <v>127.44610193999999</v>
      </c>
      <c r="G25" s="53">
        <f t="shared" si="4"/>
        <v>169.25376220999993</v>
      </c>
      <c r="H25" s="53">
        <f t="shared" si="4"/>
        <v>181.1093924999999</v>
      </c>
      <c r="I25" s="53">
        <f t="shared" si="4"/>
        <v>111.75642449000017</v>
      </c>
    </row>
    <row r="26" spans="1:9" ht="15">
      <c r="A26" s="65"/>
      <c r="B26" s="66">
        <v>0</v>
      </c>
      <c r="C26" s="66">
        <v>0</v>
      </c>
      <c r="D26" s="66">
        <v>0</v>
      </c>
      <c r="E26" s="66">
        <v>0</v>
      </c>
      <c r="F26" s="66">
        <v>0</v>
      </c>
      <c r="G26" s="66">
        <v>0</v>
      </c>
      <c r="H26" s="66">
        <v>0</v>
      </c>
      <c r="I26" s="66">
        <v>0</v>
      </c>
    </row>
    <row r="27" spans="1:9" ht="15">
      <c r="A27" s="41"/>
      <c r="B27" s="41"/>
      <c r="C27" s="41"/>
      <c r="D27" s="41"/>
      <c r="E27" s="41"/>
      <c r="F27" s="52"/>
      <c r="G27" s="52"/>
      <c r="H27" s="52"/>
      <c r="I27" s="52"/>
    </row>
    <row r="28" spans="1:9" ht="18">
      <c r="A28" s="33" t="str">
        <f>HLOOKUP(INDICE!$F$2,Nombres!$C$3:$D$636,51,FALSE)</f>
        <v>Balances</v>
      </c>
      <c r="B28" s="34"/>
      <c r="C28" s="34"/>
      <c r="D28" s="34"/>
      <c r="E28" s="34"/>
      <c r="F28" s="72"/>
      <c r="G28" s="72"/>
      <c r="H28" s="72"/>
      <c r="I28" s="72"/>
    </row>
    <row r="29" spans="1:9" ht="15">
      <c r="A29" s="35" t="str">
        <f>HLOOKUP(INDICE!$F$2,Nombres!$C$3:$D$636,32,FALSE)</f>
        <v>(Millones de euros)</v>
      </c>
      <c r="B29" s="30"/>
      <c r="C29" s="54"/>
      <c r="D29" s="54"/>
      <c r="E29" s="54"/>
      <c r="F29" s="73"/>
      <c r="G29" s="44"/>
      <c r="H29" s="44"/>
      <c r="I29" s="44"/>
    </row>
    <row r="30" spans="1:9" ht="15.75">
      <c r="A30" s="30"/>
      <c r="B30" s="55">
        <f>+España!B30</f>
        <v>43190</v>
      </c>
      <c r="C30" s="55">
        <f>+España!C30</f>
        <v>43281</v>
      </c>
      <c r="D30" s="55">
        <f>+España!D30</f>
        <v>43373</v>
      </c>
      <c r="E30" s="71">
        <f>+España!E30</f>
        <v>43465</v>
      </c>
      <c r="F30" s="55">
        <f>+España!F30</f>
        <v>43555</v>
      </c>
      <c r="G30" s="55">
        <f>+España!G30</f>
        <v>43646</v>
      </c>
      <c r="H30" s="55">
        <f>+España!H30</f>
        <v>43738</v>
      </c>
      <c r="I30" s="55">
        <f>+España!I30</f>
        <v>43830</v>
      </c>
    </row>
    <row r="31" spans="1:9" ht="15">
      <c r="A31" s="43" t="str">
        <f>HLOOKUP(INDICE!$F$2,Nombres!$C$3:$D$636,52,FALSE)</f>
        <v>Efectivo, saldos en efectivo en bancos centrales y otros depósitos a la vista</v>
      </c>
      <c r="B31" s="44">
        <v>4913.104815</v>
      </c>
      <c r="C31" s="44">
        <v>4654.754126</v>
      </c>
      <c r="D31" s="44">
        <v>4388.51383</v>
      </c>
      <c r="E31" s="45">
        <v>4835.109563</v>
      </c>
      <c r="F31" s="44">
        <v>6549.723644000001</v>
      </c>
      <c r="G31" s="44">
        <v>7503.85475</v>
      </c>
      <c r="H31" s="44">
        <v>7665.81225</v>
      </c>
      <c r="I31" s="44">
        <v>8293.366074000001</v>
      </c>
    </row>
    <row r="32" spans="1:9" ht="15">
      <c r="A32" s="43" t="str">
        <f>HLOOKUP(INDICE!$F$2,Nombres!$C$3:$D$636,53,FALSE)</f>
        <v>Activos financieros a valor razonable</v>
      </c>
      <c r="B32" s="60">
        <v>10011.799548999998</v>
      </c>
      <c r="C32" s="60">
        <v>10633.217852000002</v>
      </c>
      <c r="D32" s="60">
        <v>10524.627112000002</v>
      </c>
      <c r="E32" s="68">
        <v>10480.547508</v>
      </c>
      <c r="F32" s="44">
        <v>9329.626928</v>
      </c>
      <c r="G32" s="44">
        <v>10282.643888999999</v>
      </c>
      <c r="H32" s="44">
        <v>8345.792112</v>
      </c>
      <c r="I32" s="44">
        <v>7659.274197000001</v>
      </c>
    </row>
    <row r="33" spans="1:9" ht="15">
      <c r="A33" s="43" t="str">
        <f>HLOOKUP(INDICE!$F$2,Nombres!$C$3:$D$636,54,FALSE)</f>
        <v>Activos financieros a coste amortizado</v>
      </c>
      <c r="B33" s="44">
        <v>54464.39963</v>
      </c>
      <c r="C33" s="44">
        <v>58969.112847</v>
      </c>
      <c r="D33" s="44">
        <v>60939.669386</v>
      </c>
      <c r="E33" s="45">
        <v>63539.366491999994</v>
      </c>
      <c r="F33" s="44">
        <v>65628.63080500001</v>
      </c>
      <c r="G33" s="44">
        <v>64839.438896</v>
      </c>
      <c r="H33" s="44">
        <v>69342.737065</v>
      </c>
      <c r="I33" s="44">
        <v>69509.681632</v>
      </c>
    </row>
    <row r="34" spans="1:9" ht="15">
      <c r="A34" s="43" t="str">
        <f>HLOOKUP(INDICE!$F$2,Nombres!$C$3:$D$636,55,FALSE)</f>
        <v>    de los que préstamos y anticipos a la clientela</v>
      </c>
      <c r="B34" s="44">
        <v>52721.293034</v>
      </c>
      <c r="C34" s="44">
        <v>56974.51684</v>
      </c>
      <c r="D34" s="44">
        <v>58608.31174999999</v>
      </c>
      <c r="E34" s="45">
        <v>60808.291326</v>
      </c>
      <c r="F34" s="44">
        <v>61403.01856900001</v>
      </c>
      <c r="G34" s="44">
        <v>60130.06433</v>
      </c>
      <c r="H34" s="44">
        <v>63209.64667999999</v>
      </c>
      <c r="I34" s="44">
        <v>63161.730019999995</v>
      </c>
    </row>
    <row r="35" spans="1:9" ht="15">
      <c r="A35" s="43"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60">
        <v>633.4098689999998</v>
      </c>
      <c r="C36" s="60">
        <v>661.273016</v>
      </c>
      <c r="D36" s="60">
        <v>662.127447</v>
      </c>
      <c r="E36" s="68">
        <v>668.4869769999999</v>
      </c>
      <c r="F36" s="44">
        <v>952.3401060000001</v>
      </c>
      <c r="G36" s="44">
        <v>925.1526389999999</v>
      </c>
      <c r="H36" s="44">
        <v>951.461749</v>
      </c>
      <c r="I36" s="44">
        <v>914.09118</v>
      </c>
    </row>
    <row r="37" spans="1:9" ht="15">
      <c r="A37" s="43" t="str">
        <f>HLOOKUP(INDICE!$F$2,Nombres!$C$3:$D$636,57,FALSE)</f>
        <v>Otros activos</v>
      </c>
      <c r="B37" s="60">
        <f>+B38-B36-B33-B32-B31-B35</f>
        <v>2275.7886150000168</v>
      </c>
      <c r="C37" s="60">
        <f aca="true" t="shared" si="5" ref="C37:I37">+C38-C36-C33-C32-C31-C35</f>
        <v>2252.3469690000056</v>
      </c>
      <c r="D37" s="60">
        <f t="shared" si="5"/>
        <v>2383.3288110000176</v>
      </c>
      <c r="E37" s="68">
        <f t="shared" si="5"/>
        <v>2533.8103340000107</v>
      </c>
      <c r="F37" s="44">
        <f t="shared" si="5"/>
        <v>2699.633473999983</v>
      </c>
      <c r="G37" s="44">
        <f t="shared" si="5"/>
        <v>2677.520636999985</v>
      </c>
      <c r="H37" s="44">
        <f t="shared" si="5"/>
        <v>2424.5560969999924</v>
      </c>
      <c r="I37" s="44">
        <f t="shared" si="5"/>
        <v>2152.5926629999976</v>
      </c>
    </row>
    <row r="38" spans="1:9" ht="15">
      <c r="A38" s="47" t="str">
        <f>HLOOKUP(INDICE!$F$2,Nombres!$C$3:$D$636,58,FALSE)</f>
        <v>Total activo / pasivo</v>
      </c>
      <c r="B38" s="47">
        <v>72298.50247800001</v>
      </c>
      <c r="C38" s="47">
        <v>77170.70481000001</v>
      </c>
      <c r="D38" s="47">
        <v>78898.26658600003</v>
      </c>
      <c r="E38" s="74">
        <v>82057.320874</v>
      </c>
      <c r="F38" s="47">
        <v>85159.954957</v>
      </c>
      <c r="G38" s="53">
        <v>86228.61081099999</v>
      </c>
      <c r="H38" s="53">
        <v>88730.35927299998</v>
      </c>
      <c r="I38" s="53">
        <v>88529.00574600001</v>
      </c>
    </row>
    <row r="39" spans="1:9" ht="15">
      <c r="A39" s="43" t="str">
        <f>HLOOKUP(INDICE!$F$2,Nombres!$C$3:$D$636,59,FALSE)</f>
        <v>Pasivos financieros mantenidos para negociar y designados a valor razonable con cambios en resultados</v>
      </c>
      <c r="B39" s="60">
        <v>171.94</v>
      </c>
      <c r="C39" s="60">
        <v>388.898129</v>
      </c>
      <c r="D39" s="60">
        <v>305.44399999999996</v>
      </c>
      <c r="E39" s="68">
        <v>234.32691499999999</v>
      </c>
      <c r="F39" s="44">
        <v>304.623727</v>
      </c>
      <c r="G39" s="44">
        <v>1475.1058730000002</v>
      </c>
      <c r="H39" s="44">
        <v>248.74800000000002</v>
      </c>
      <c r="I39" s="44">
        <v>281.721384</v>
      </c>
    </row>
    <row r="40" spans="1:9" ht="15">
      <c r="A40" s="43" t="str">
        <f>HLOOKUP(INDICE!$F$2,Nombres!$C$3:$D$636,60,FALSE)</f>
        <v>Depósitos de bancos centrales y entidades de crédito</v>
      </c>
      <c r="B40" s="60">
        <v>3064.27894</v>
      </c>
      <c r="C40" s="60">
        <v>3119.2975829999996</v>
      </c>
      <c r="D40" s="60">
        <v>4477.098157</v>
      </c>
      <c r="E40" s="68">
        <v>3370.15899</v>
      </c>
      <c r="F40" s="44">
        <v>4709.882608</v>
      </c>
      <c r="G40" s="44">
        <v>4568.347727</v>
      </c>
      <c r="H40" s="44">
        <v>4049.365527</v>
      </c>
      <c r="I40" s="44">
        <v>4081.3740210000005</v>
      </c>
    </row>
    <row r="41" spans="1:9" ht="15.75" customHeight="1">
      <c r="A41" s="43" t="str">
        <f>HLOOKUP(INDICE!$F$2,Nombres!$C$3:$D$636,61,FALSE)</f>
        <v>Depósitos de la clientela</v>
      </c>
      <c r="B41" s="60">
        <v>58431.00176300001</v>
      </c>
      <c r="C41" s="60">
        <v>60704.154181</v>
      </c>
      <c r="D41" s="60">
        <v>60916.716243</v>
      </c>
      <c r="E41" s="68">
        <v>63890.973014</v>
      </c>
      <c r="F41" s="44">
        <v>65165.462725000005</v>
      </c>
      <c r="G41" s="44">
        <v>63122.07449200001</v>
      </c>
      <c r="H41" s="44">
        <v>67375.940979</v>
      </c>
      <c r="I41" s="44">
        <v>67525.35144900001</v>
      </c>
    </row>
    <row r="42" spans="1:9" ht="15">
      <c r="A42" s="43" t="str">
        <f>HLOOKUP(INDICE!$F$2,Nombres!$C$3:$D$636,62,FALSE)</f>
        <v>Valores representativos de deuda emitidos</v>
      </c>
      <c r="B42" s="44">
        <v>1940.2749455900002</v>
      </c>
      <c r="C42" s="44">
        <v>3227.3647300200005</v>
      </c>
      <c r="D42" s="44">
        <v>3227.4259941699997</v>
      </c>
      <c r="E42" s="45">
        <v>3599.14559916</v>
      </c>
      <c r="F42" s="44">
        <v>3364.03909384</v>
      </c>
      <c r="G42" s="44">
        <v>3382.2038005699997</v>
      </c>
      <c r="H42" s="44">
        <v>3710.3406013599997</v>
      </c>
      <c r="I42" s="44">
        <v>3550.51214168</v>
      </c>
    </row>
    <row r="43" spans="1:9" ht="15">
      <c r="A43" s="43" t="str">
        <f>HLOOKUP(INDICE!$F$2,Nombres!$C$3:$D$636,122,FALSE)</f>
        <v>Posiciones inter-áreas pasivo</v>
      </c>
      <c r="B43" s="44">
        <v>531.4308391200029</v>
      </c>
      <c r="C43" s="44">
        <v>1271.4756564900163</v>
      </c>
      <c r="D43" s="44">
        <v>1207.4505175400263</v>
      </c>
      <c r="E43" s="45">
        <v>1926.4618945900002</v>
      </c>
      <c r="F43" s="44">
        <v>1736.5482047700061</v>
      </c>
      <c r="G43" s="44">
        <v>3757.2192490299785</v>
      </c>
      <c r="H43" s="44">
        <v>3023.7998563499714</v>
      </c>
      <c r="I43" s="44">
        <v>3415.9935413000057</v>
      </c>
    </row>
    <row r="44" spans="1:9" ht="15">
      <c r="A44" s="43" t="str">
        <f>HLOOKUP(INDICE!$F$2,Nombres!$C$3:$D$636,63,FALSE)</f>
        <v>Otros pasivos</v>
      </c>
      <c r="B44" s="44">
        <f>+B38-B39-B40-B41-B42-B45-B43</f>
        <v>5243.486610289994</v>
      </c>
      <c r="C44" s="44">
        <f aca="true" t="shared" si="6" ref="C44:I44">+C38-C39-C40-C41-C42-C45-C43</f>
        <v>5227.253010489992</v>
      </c>
      <c r="D44" s="44">
        <f t="shared" si="6"/>
        <v>5334.1320433099945</v>
      </c>
      <c r="E44" s="45">
        <f t="shared" si="6"/>
        <v>5653.531376630002</v>
      </c>
      <c r="F44" s="44">
        <f t="shared" si="6"/>
        <v>6197.809958389984</v>
      </c>
      <c r="G44" s="44">
        <f t="shared" si="6"/>
        <v>6231.893479400012</v>
      </c>
      <c r="H44" s="44">
        <f t="shared" si="6"/>
        <v>6654.258413639995</v>
      </c>
      <c r="I44" s="44">
        <f t="shared" si="6"/>
        <v>5830.790012919997</v>
      </c>
    </row>
    <row r="45" spans="1:9" ht="15">
      <c r="A45" s="43" t="str">
        <f>HLOOKUP(INDICE!$F$2,Nombres!$C$3:$D$636,64,FALSE)</f>
        <v>Dotación de capital económico</v>
      </c>
      <c r="B45" s="44">
        <v>2916.089379999998</v>
      </c>
      <c r="C45" s="44">
        <v>3232.2615200000014</v>
      </c>
      <c r="D45" s="44">
        <v>3429.99963098</v>
      </c>
      <c r="E45" s="45">
        <v>3382.723084619998</v>
      </c>
      <c r="F45" s="44">
        <v>3681.5886400000018</v>
      </c>
      <c r="G45" s="44">
        <v>3691.7661900000007</v>
      </c>
      <c r="H45" s="44">
        <v>3667.9058956499994</v>
      </c>
      <c r="I45" s="44">
        <v>3843.263196099999</v>
      </c>
    </row>
    <row r="46" spans="1:9" ht="15">
      <c r="A46" s="65"/>
      <c r="B46" s="60"/>
      <c r="C46" s="60"/>
      <c r="D46" s="60"/>
      <c r="E46" s="60"/>
      <c r="F46" s="44"/>
      <c r="G46" s="44"/>
      <c r="H46" s="44"/>
      <c r="I46" s="44"/>
    </row>
    <row r="47" spans="1:9" ht="15">
      <c r="A47" s="43"/>
      <c r="B47" s="60"/>
      <c r="C47" s="60"/>
      <c r="D47" s="60"/>
      <c r="E47" s="60"/>
      <c r="F47" s="44"/>
      <c r="G47" s="44"/>
      <c r="H47" s="44"/>
      <c r="I47" s="44"/>
    </row>
    <row r="48" spans="1:9" ht="18">
      <c r="A48" s="69" t="str">
        <f>HLOOKUP(INDICE!$F$2,Nombres!$C$3:$D$636,65,FALSE)</f>
        <v>Indicadores relevantes y de gestión</v>
      </c>
      <c r="B48" s="70"/>
      <c r="C48" s="70"/>
      <c r="D48" s="70"/>
      <c r="E48" s="70"/>
      <c r="F48" s="75"/>
      <c r="G48" s="75"/>
      <c r="H48" s="75"/>
      <c r="I48" s="75"/>
    </row>
    <row r="49" spans="1:9" ht="15">
      <c r="A49" s="35" t="str">
        <f>HLOOKUP(INDICE!$F$2,Nombres!$C$3:$D$636,32,FALSE)</f>
        <v>(Millones de euros)</v>
      </c>
      <c r="B49" s="30"/>
      <c r="C49" s="30"/>
      <c r="D49" s="30"/>
      <c r="E49" s="30"/>
      <c r="F49" s="73"/>
      <c r="G49" s="44"/>
      <c r="H49" s="44"/>
      <c r="I49" s="44"/>
    </row>
    <row r="50" spans="1:9" ht="15.75">
      <c r="A50" s="30"/>
      <c r="B50" s="55">
        <f aca="true" t="shared" si="7" ref="B50:I50">+B$30</f>
        <v>43190</v>
      </c>
      <c r="C50" s="55">
        <f t="shared" si="7"/>
        <v>43281</v>
      </c>
      <c r="D50" s="55">
        <f t="shared" si="7"/>
        <v>43373</v>
      </c>
      <c r="E50" s="71">
        <f t="shared" si="7"/>
        <v>43465</v>
      </c>
      <c r="F50" s="55">
        <f t="shared" si="7"/>
        <v>43555</v>
      </c>
      <c r="G50" s="55">
        <f t="shared" si="7"/>
        <v>43646</v>
      </c>
      <c r="H50" s="55">
        <f t="shared" si="7"/>
        <v>43738</v>
      </c>
      <c r="I50" s="55">
        <f t="shared" si="7"/>
        <v>43830</v>
      </c>
    </row>
    <row r="51" spans="1:9" ht="15">
      <c r="A51" s="43" t="str">
        <f>HLOOKUP(INDICE!$F$2,Nombres!$C$3:$D$636,66,FALSE)</f>
        <v>Préstamos y anticipos a la clientela bruto (*)</v>
      </c>
      <c r="B51" s="44">
        <v>53437.597556839995</v>
      </c>
      <c r="C51" s="44">
        <v>57443.549734270004</v>
      </c>
      <c r="D51" s="44">
        <v>59326.59801140999</v>
      </c>
      <c r="E51" s="45">
        <v>61516.28929277999</v>
      </c>
      <c r="F51" s="44">
        <v>62194.491205410006</v>
      </c>
      <c r="G51" s="44">
        <v>60903.64142094</v>
      </c>
      <c r="H51" s="44">
        <v>63969.84582371</v>
      </c>
      <c r="I51" s="44">
        <v>63917.220948949995</v>
      </c>
    </row>
    <row r="52" spans="1:9" ht="15">
      <c r="A52" s="43" t="str">
        <f>HLOOKUP(INDICE!$F$2,Nombres!$C$3:$D$636,67,FALSE)</f>
        <v>Depósitos de clientes en gestión (**)</v>
      </c>
      <c r="B52" s="44">
        <v>58522.31785136</v>
      </c>
      <c r="C52" s="44">
        <v>60809.86481057</v>
      </c>
      <c r="D52" s="44">
        <v>60913.40259127999</v>
      </c>
      <c r="E52" s="45">
        <v>63888.04688835</v>
      </c>
      <c r="F52" s="44">
        <v>65163.15654774</v>
      </c>
      <c r="G52" s="44">
        <v>63119.75090808001</v>
      </c>
      <c r="H52" s="44">
        <v>67373.56720903</v>
      </c>
      <c r="I52" s="44">
        <v>67528.37898665998</v>
      </c>
    </row>
    <row r="53" spans="1:9" ht="15">
      <c r="A53" s="43" t="str">
        <f>HLOOKUP(INDICE!$F$2,Nombres!$C$3:$D$636,68,FALSE)</f>
        <v>Fondos de inversión</v>
      </c>
      <c r="B53" s="44" t="s">
        <v>400</v>
      </c>
      <c r="C53" s="44" t="s">
        <v>400</v>
      </c>
      <c r="D53" s="44" t="s">
        <v>400</v>
      </c>
      <c r="E53" s="45" t="s">
        <v>400</v>
      </c>
      <c r="F53" s="44" t="s">
        <v>400</v>
      </c>
      <c r="G53" s="44" t="s">
        <v>400</v>
      </c>
      <c r="H53" s="44" t="s">
        <v>400</v>
      </c>
      <c r="I53" s="44" t="s">
        <v>400</v>
      </c>
    </row>
    <row r="54" spans="1:9" ht="15">
      <c r="A54" s="43" t="str">
        <f>HLOOKUP(INDICE!$F$2,Nombres!$C$3:$D$636,69,FALSE)</f>
        <v>Fondos de pensiones</v>
      </c>
      <c r="B54" s="44" t="s">
        <v>400</v>
      </c>
      <c r="C54" s="44" t="s">
        <v>400</v>
      </c>
      <c r="D54" s="44" t="s">
        <v>400</v>
      </c>
      <c r="E54" s="45" t="s">
        <v>400</v>
      </c>
      <c r="F54" s="44" t="s">
        <v>400</v>
      </c>
      <c r="G54" s="44" t="s">
        <v>400</v>
      </c>
      <c r="H54" s="44" t="s">
        <v>400</v>
      </c>
      <c r="I54" s="44" t="s">
        <v>400</v>
      </c>
    </row>
    <row r="55" spans="1:9" ht="15">
      <c r="A55" s="43" t="str">
        <f>HLOOKUP(INDICE!$F$2,Nombres!$C$3:$D$636,70,FALSE)</f>
        <v>Otros recursos fuera de balance</v>
      </c>
      <c r="B55" s="44" t="s">
        <v>400</v>
      </c>
      <c r="C55" s="44" t="s">
        <v>400</v>
      </c>
      <c r="D55" s="44" t="s">
        <v>400</v>
      </c>
      <c r="E55" s="45" t="s">
        <v>400</v>
      </c>
      <c r="F55" s="44" t="s">
        <v>400</v>
      </c>
      <c r="G55" s="44" t="s">
        <v>400</v>
      </c>
      <c r="H55" s="44" t="s">
        <v>400</v>
      </c>
      <c r="I55" s="44" t="s">
        <v>400</v>
      </c>
    </row>
    <row r="56" spans="1:9" ht="15">
      <c r="A56" s="65" t="str">
        <f>HLOOKUP(INDICE!$F$2,Nombres!$C$3:$D$636,71,FALSE)</f>
        <v>(*) No incluye las adquisiciones temporales de activos.</v>
      </c>
      <c r="B56" s="60"/>
      <c r="C56" s="60"/>
      <c r="D56" s="60"/>
      <c r="E56" s="60"/>
      <c r="F56" s="60"/>
      <c r="G56" s="60"/>
      <c r="H56" s="60"/>
      <c r="I56" s="60"/>
    </row>
    <row r="57" spans="1:9" ht="15">
      <c r="A57" s="65" t="str">
        <f>HLOOKUP(INDICE!$F$2,Nombres!$C$3:$D$636,72,FALSE)</f>
        <v>(**) No incluye las cesiones temporales de activos.</v>
      </c>
      <c r="B57" s="30"/>
      <c r="C57" s="30"/>
      <c r="D57" s="30"/>
      <c r="E57" s="30"/>
      <c r="F57" s="30"/>
      <c r="G57" s="30"/>
      <c r="H57" s="30"/>
      <c r="I57" s="30"/>
    </row>
    <row r="58" spans="1:9" ht="15">
      <c r="A58" s="65"/>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5">
        <f>+B$6</f>
        <v>2018</v>
      </c>
      <c r="C62" s="295"/>
      <c r="D62" s="295"/>
      <c r="E62" s="296"/>
      <c r="F62" s="295">
        <f>+F$6</f>
        <v>2019</v>
      </c>
      <c r="G62" s="295"/>
      <c r="H62" s="295"/>
      <c r="I62" s="295"/>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575.5567007187327</v>
      </c>
      <c r="C64" s="41">
        <v>592.9088891498942</v>
      </c>
      <c r="D64" s="41">
        <v>606.6026184813003</v>
      </c>
      <c r="E64" s="42">
        <v>623.8978112948581</v>
      </c>
      <c r="F64" s="52">
        <v>623.973799169949</v>
      </c>
      <c r="G64" s="52">
        <v>604.8047988586311</v>
      </c>
      <c r="H64" s="52">
        <v>589.1992754781035</v>
      </c>
      <c r="I64" s="52">
        <v>576.8583582333165</v>
      </c>
    </row>
    <row r="65" spans="1:9" ht="15">
      <c r="A65" s="43" t="str">
        <f>HLOOKUP(INDICE!$F$2,Nombres!$C$3:$D$636,34,FALSE)</f>
        <v>Comisiones netas</v>
      </c>
      <c r="B65" s="44">
        <v>162.1874813697407</v>
      </c>
      <c r="C65" s="44">
        <v>163.52699165274163</v>
      </c>
      <c r="D65" s="44">
        <v>151.90845632163897</v>
      </c>
      <c r="E65" s="45">
        <v>150.01183683732415</v>
      </c>
      <c r="F65" s="44">
        <v>152.91260102685698</v>
      </c>
      <c r="G65" s="44">
        <v>169.58518034740078</v>
      </c>
      <c r="H65" s="44">
        <v>167.46208044701174</v>
      </c>
      <c r="I65" s="44">
        <v>154.19410106873056</v>
      </c>
    </row>
    <row r="66" spans="1:9" ht="15">
      <c r="A66" s="43" t="str">
        <f>HLOOKUP(INDICE!$F$2,Nombres!$C$3:$D$636,35,FALSE)</f>
        <v>Resultados de operaciones financieras</v>
      </c>
      <c r="B66" s="44">
        <v>26.649979913412952</v>
      </c>
      <c r="C66" s="44">
        <v>25.770369783883325</v>
      </c>
      <c r="D66" s="44">
        <v>21.05938665367337</v>
      </c>
      <c r="E66" s="45">
        <v>40.351646504759444</v>
      </c>
      <c r="F66" s="44">
        <v>41.083707513515066</v>
      </c>
      <c r="G66" s="44">
        <v>38.879366582543796</v>
      </c>
      <c r="H66" s="44">
        <v>58.15358311380882</v>
      </c>
      <c r="I66" s="44">
        <v>34.444344990132315</v>
      </c>
    </row>
    <row r="67" spans="1:9" ht="15">
      <c r="A67" s="43" t="str">
        <f>HLOOKUP(INDICE!$F$2,Nombres!$C$3:$D$636,36,FALSE)</f>
        <v>Otros ingresos y cargas de explotación</v>
      </c>
      <c r="B67" s="44">
        <v>2.7775773196325595</v>
      </c>
      <c r="C67" s="44">
        <v>1.7001906393786252</v>
      </c>
      <c r="D67" s="44">
        <v>-4.920821609913443</v>
      </c>
      <c r="E67" s="45">
        <v>9.573143399478742</v>
      </c>
      <c r="F67" s="44">
        <v>-2.7973693800910673</v>
      </c>
      <c r="G67" s="44">
        <v>1.39969511938362</v>
      </c>
      <c r="H67" s="44">
        <v>3.3602967824201633</v>
      </c>
      <c r="I67" s="44">
        <v>9.845958478287285</v>
      </c>
    </row>
    <row r="68" spans="1:9" ht="15">
      <c r="A68" s="41" t="str">
        <f>HLOOKUP(INDICE!$F$2,Nombres!$C$3:$D$636,37,FALSE)</f>
        <v>Margen bruto</v>
      </c>
      <c r="B68" s="41">
        <f>+SUM(B64:B67)</f>
        <v>767.1717393215189</v>
      </c>
      <c r="C68" s="41">
        <f aca="true" t="shared" si="9" ref="C68:I68">+SUM(C64:C67)</f>
        <v>783.9064412258979</v>
      </c>
      <c r="D68" s="41">
        <f t="shared" si="9"/>
        <v>774.6496398466992</v>
      </c>
      <c r="E68" s="42">
        <f t="shared" si="9"/>
        <v>823.8344380364205</v>
      </c>
      <c r="F68" s="52">
        <f t="shared" si="9"/>
        <v>815.1727383302299</v>
      </c>
      <c r="G68" s="52">
        <f t="shared" si="9"/>
        <v>814.6690409079592</v>
      </c>
      <c r="H68" s="52">
        <f t="shared" si="9"/>
        <v>818.1752358213442</v>
      </c>
      <c r="I68" s="52">
        <f t="shared" si="9"/>
        <v>775.3427627704666</v>
      </c>
    </row>
    <row r="69" spans="1:9" ht="15">
      <c r="A69" s="43" t="str">
        <f>HLOOKUP(INDICE!$F$2,Nombres!$C$3:$D$636,38,FALSE)</f>
        <v>Gastos de explotación</v>
      </c>
      <c r="B69" s="44">
        <v>-477.02948764936866</v>
      </c>
      <c r="C69" s="44">
        <v>-487.30178233268856</v>
      </c>
      <c r="D69" s="44">
        <v>-497.78389768813173</v>
      </c>
      <c r="E69" s="45">
        <v>-498.8769634183476</v>
      </c>
      <c r="F69" s="44">
        <v>-479.5118626802924</v>
      </c>
      <c r="G69" s="44">
        <v>-488.824764644927</v>
      </c>
      <c r="H69" s="44">
        <v>-489.1739675755211</v>
      </c>
      <c r="I69" s="44">
        <v>-508.9035376192593</v>
      </c>
    </row>
    <row r="70" spans="1:9" ht="15">
      <c r="A70" s="43" t="str">
        <f>HLOOKUP(INDICE!$F$2,Nombres!$C$3:$D$636,39,FALSE)</f>
        <v>  Gastos de administración</v>
      </c>
      <c r="B70" s="44">
        <v>-430.6524379749893</v>
      </c>
      <c r="C70" s="44">
        <v>-440.83730007575355</v>
      </c>
      <c r="D70" s="44">
        <v>-450.364050288112</v>
      </c>
      <c r="E70" s="45">
        <v>-451.5125805396174</v>
      </c>
      <c r="F70" s="44">
        <v>-423.3323302705262</v>
      </c>
      <c r="G70" s="44">
        <v>-433.8094603135782</v>
      </c>
      <c r="H70" s="44">
        <v>-434.9474604900098</v>
      </c>
      <c r="I70" s="44">
        <v>-455.23967344588584</v>
      </c>
    </row>
    <row r="71" spans="1:9" ht="15">
      <c r="A71" s="46" t="str">
        <f>HLOOKUP(INDICE!$F$2,Nombres!$C$3:$D$636,40,FALSE)</f>
        <v>  Gastos de personal</v>
      </c>
      <c r="B71" s="44">
        <v>-276.30763730000825</v>
      </c>
      <c r="C71" s="44">
        <v>-278.1699421135727</v>
      </c>
      <c r="D71" s="44">
        <v>-281.218829488531</v>
      </c>
      <c r="E71" s="45">
        <v>-271.6546504362</v>
      </c>
      <c r="F71" s="44">
        <v>-281.6513498839479</v>
      </c>
      <c r="G71" s="44">
        <v>-277.7607096236397</v>
      </c>
      <c r="H71" s="44">
        <v>-282.25514139632975</v>
      </c>
      <c r="I71" s="44">
        <v>-284.4640907160827</v>
      </c>
    </row>
    <row r="72" spans="1:9" ht="15">
      <c r="A72" s="46" t="str">
        <f>HLOOKUP(INDICE!$F$2,Nombres!$C$3:$D$636,41,FALSE)</f>
        <v>  Otros gastos de administración</v>
      </c>
      <c r="B72" s="44">
        <v>-154.34480067498117</v>
      </c>
      <c r="C72" s="44">
        <v>-162.66735796218097</v>
      </c>
      <c r="D72" s="44">
        <v>-169.145220799581</v>
      </c>
      <c r="E72" s="45">
        <v>-179.85793010341746</v>
      </c>
      <c r="F72" s="44">
        <v>-141.68098038657828</v>
      </c>
      <c r="G72" s="44">
        <v>-156.04875068993852</v>
      </c>
      <c r="H72" s="44">
        <v>-152.69231909368</v>
      </c>
      <c r="I72" s="44">
        <v>-170.77558272980315</v>
      </c>
    </row>
    <row r="73" spans="1:9" ht="15">
      <c r="A73" s="43" t="str">
        <f>HLOOKUP(INDICE!$F$2,Nombres!$C$3:$D$636,42,FALSE)</f>
        <v>  Amortización</v>
      </c>
      <c r="B73" s="44">
        <v>-46.37704967437929</v>
      </c>
      <c r="C73" s="44">
        <v>-46.46448225693493</v>
      </c>
      <c r="D73" s="44">
        <v>-47.41984740001965</v>
      </c>
      <c r="E73" s="45">
        <v>-47.36438287873017</v>
      </c>
      <c r="F73" s="44">
        <v>-56.17953240976618</v>
      </c>
      <c r="G73" s="44">
        <v>-55.01530433134885</v>
      </c>
      <c r="H73" s="44">
        <v>-54.22650708551137</v>
      </c>
      <c r="I73" s="44">
        <v>-53.66386417337358</v>
      </c>
    </row>
    <row r="74" spans="1:9" ht="15">
      <c r="A74" s="41" t="str">
        <f>HLOOKUP(INDICE!$F$2,Nombres!$C$3:$D$636,43,FALSE)</f>
        <v>Margen neto</v>
      </c>
      <c r="B74" s="41">
        <f>+B68+B69</f>
        <v>290.1422516721502</v>
      </c>
      <c r="C74" s="41">
        <f aca="true" t="shared" si="10" ref="C74:I74">+C68+C69</f>
        <v>296.6046588932093</v>
      </c>
      <c r="D74" s="41">
        <f t="shared" si="10"/>
        <v>276.86574215856746</v>
      </c>
      <c r="E74" s="42">
        <f t="shared" si="10"/>
        <v>324.95747461807287</v>
      </c>
      <c r="F74" s="52">
        <f t="shared" si="10"/>
        <v>335.6608756499375</v>
      </c>
      <c r="G74" s="52">
        <f t="shared" si="10"/>
        <v>325.84427626303227</v>
      </c>
      <c r="H74" s="52">
        <f t="shared" si="10"/>
        <v>329.00126824582316</v>
      </c>
      <c r="I74" s="52">
        <f t="shared" si="10"/>
        <v>266.4392251512073</v>
      </c>
    </row>
    <row r="75" spans="1:9" ht="15">
      <c r="A75" s="43" t="str">
        <f>HLOOKUP(INDICE!$F$2,Nombres!$C$3:$D$636,44,FALSE)</f>
        <v>Deterioro de activos financieros no valorados a valor razonable con cambios en resultados</v>
      </c>
      <c r="B75" s="44">
        <v>-22.28731514641877</v>
      </c>
      <c r="C75" s="44">
        <v>-45.603839378126125</v>
      </c>
      <c r="D75" s="44">
        <v>-79.07396566164607</v>
      </c>
      <c r="E75" s="45">
        <v>-89.8856942852499</v>
      </c>
      <c r="F75" s="44">
        <v>-163.90725650885946</v>
      </c>
      <c r="G75" s="44">
        <v>-125.00368326931607</v>
      </c>
      <c r="H75" s="44">
        <v>-118.29916601415698</v>
      </c>
      <c r="I75" s="44">
        <v>-142.9030262076675</v>
      </c>
    </row>
    <row r="76" spans="1:9" ht="15">
      <c r="A76" s="43" t="str">
        <f>HLOOKUP(INDICE!$F$2,Nombres!$C$3:$D$636,45,FALSE)</f>
        <v>Provisiones o reversión de provisiones y otros resultados</v>
      </c>
      <c r="B76" s="44">
        <v>8.719441964535115</v>
      </c>
      <c r="C76" s="44">
        <v>3.920369535373255</v>
      </c>
      <c r="D76" s="44">
        <v>1.7608854151974773</v>
      </c>
      <c r="E76" s="45">
        <v>2.790706487951956</v>
      </c>
      <c r="F76" s="44">
        <v>-9.917196870035365</v>
      </c>
      <c r="G76" s="44">
        <v>4.117639500995483</v>
      </c>
      <c r="H76" s="44">
        <v>10.398142754513536</v>
      </c>
      <c r="I76" s="44">
        <v>-6.889192385473639</v>
      </c>
    </row>
    <row r="77" spans="1:9" ht="15">
      <c r="A77" s="41" t="str">
        <f>HLOOKUP(INDICE!$F$2,Nombres!$C$3:$D$636,46,FALSE)</f>
        <v>Resultado antes de impuestos</v>
      </c>
      <c r="B77" s="41">
        <f>+B74+B75+B76</f>
        <v>276.57437849026655</v>
      </c>
      <c r="C77" s="41">
        <f aca="true" t="shared" si="11" ref="C77:I77">+C74+C75+C76</f>
        <v>254.92118905045646</v>
      </c>
      <c r="D77" s="41">
        <f t="shared" si="11"/>
        <v>199.55266191211885</v>
      </c>
      <c r="E77" s="42">
        <f t="shared" si="11"/>
        <v>237.86248682077493</v>
      </c>
      <c r="F77" s="52">
        <f t="shared" si="11"/>
        <v>161.8364222710427</v>
      </c>
      <c r="G77" s="52">
        <f t="shared" si="11"/>
        <v>204.9582324947117</v>
      </c>
      <c r="H77" s="52">
        <f t="shared" si="11"/>
        <v>221.10024498617972</v>
      </c>
      <c r="I77" s="52">
        <f t="shared" si="11"/>
        <v>116.6470065580662</v>
      </c>
    </row>
    <row r="78" spans="1:9" ht="15">
      <c r="A78" s="43" t="str">
        <f>HLOOKUP(INDICE!$F$2,Nombres!$C$3:$D$636,47,FALSE)</f>
        <v>Impuesto sobre beneficios</v>
      </c>
      <c r="B78" s="44">
        <v>-61.83277967562012</v>
      </c>
      <c r="C78" s="44">
        <v>-54.72481293678331</v>
      </c>
      <c r="D78" s="44">
        <v>-37.86866068867052</v>
      </c>
      <c r="E78" s="45">
        <v>-39.89819990839467</v>
      </c>
      <c r="F78" s="44">
        <v>-32.73972409657642</v>
      </c>
      <c r="G78" s="44">
        <v>-34.51214741553082</v>
      </c>
      <c r="H78" s="44">
        <v>-42.482701578926005</v>
      </c>
      <c r="I78" s="44">
        <v>-5.241652078966762</v>
      </c>
    </row>
    <row r="79" spans="1:9" ht="15">
      <c r="A79" s="41" t="str">
        <f>HLOOKUP(INDICE!$F$2,Nombres!$C$3:$D$636,48,FALSE)</f>
        <v>Resultado del ejercicio</v>
      </c>
      <c r="B79" s="41">
        <f>+B77+B78</f>
        <v>214.74159881464644</v>
      </c>
      <c r="C79" s="41">
        <f aca="true" t="shared" si="12" ref="C79:I79">+C77+C78</f>
        <v>200.19637611367315</v>
      </c>
      <c r="D79" s="41">
        <f t="shared" si="12"/>
        <v>161.68400122344832</v>
      </c>
      <c r="E79" s="42">
        <f t="shared" si="12"/>
        <v>197.96428691238026</v>
      </c>
      <c r="F79" s="52">
        <f t="shared" si="12"/>
        <v>129.09669817446627</v>
      </c>
      <c r="G79" s="52">
        <f t="shared" si="12"/>
        <v>170.44608507918088</v>
      </c>
      <c r="H79" s="52">
        <f t="shared" si="12"/>
        <v>178.61754340725372</v>
      </c>
      <c r="I79" s="52">
        <f t="shared" si="12"/>
        <v>111.40535447909943</v>
      </c>
    </row>
    <row r="80" spans="1:9" ht="15">
      <c r="A80" s="43" t="str">
        <f>HLOOKUP(INDICE!$F$2,Nombres!$C$3:$D$636,49,FALSE)</f>
        <v>Minoritarios</v>
      </c>
      <c r="B80" s="44" t="s">
        <v>400</v>
      </c>
      <c r="C80" s="44" t="s">
        <v>400</v>
      </c>
      <c r="D80" s="44" t="s">
        <v>400</v>
      </c>
      <c r="E80" s="45" t="s">
        <v>400</v>
      </c>
      <c r="F80" s="44" t="s">
        <v>400</v>
      </c>
      <c r="G80" s="44" t="s">
        <v>400</v>
      </c>
      <c r="H80" s="44" t="s">
        <v>400</v>
      </c>
      <c r="I80" s="44" t="s">
        <v>400</v>
      </c>
    </row>
    <row r="81" spans="1:9" ht="15">
      <c r="A81" s="47" t="str">
        <f>HLOOKUP(INDICE!$F$2,Nombres!$C$3:$D$636,50,FALSE)</f>
        <v>Resultado atribuido</v>
      </c>
      <c r="B81" s="47">
        <f>+B79+B80</f>
        <v>214.74159881464644</v>
      </c>
      <c r="C81" s="47">
        <f aca="true" t="shared" si="13" ref="C81:I81">+C79+C80</f>
        <v>200.19637611367315</v>
      </c>
      <c r="D81" s="47">
        <f t="shared" si="13"/>
        <v>161.68400122344832</v>
      </c>
      <c r="E81" s="47">
        <f t="shared" si="13"/>
        <v>197.96428691238026</v>
      </c>
      <c r="F81" s="53">
        <f t="shared" si="13"/>
        <v>129.09669817446627</v>
      </c>
      <c r="G81" s="53">
        <f t="shared" si="13"/>
        <v>170.44608507918088</v>
      </c>
      <c r="H81" s="53">
        <f t="shared" si="13"/>
        <v>178.61754340725372</v>
      </c>
      <c r="I81" s="53">
        <f t="shared" si="13"/>
        <v>111.40535447909943</v>
      </c>
    </row>
    <row r="82" spans="1:9" ht="15">
      <c r="A82" s="65"/>
      <c r="B82" s="66">
        <v>0</v>
      </c>
      <c r="C82" s="66">
        <v>0</v>
      </c>
      <c r="D82" s="66">
        <v>0</v>
      </c>
      <c r="E82" s="66">
        <v>0</v>
      </c>
      <c r="F82" s="66">
        <v>0</v>
      </c>
      <c r="G82" s="66">
        <v>0</v>
      </c>
      <c r="H82" s="66">
        <v>2.2737367544323206E-13</v>
      </c>
      <c r="I82" s="66">
        <v>0</v>
      </c>
    </row>
    <row r="83" spans="1:9" ht="15">
      <c r="A83" s="41"/>
      <c r="B83" s="41"/>
      <c r="C83" s="41"/>
      <c r="D83" s="41"/>
      <c r="E83" s="41"/>
      <c r="F83" s="52"/>
      <c r="G83" s="52"/>
      <c r="H83" s="52"/>
      <c r="I83" s="52"/>
    </row>
    <row r="84" spans="1:9" ht="18">
      <c r="A84" s="33" t="str">
        <f>HLOOKUP(INDICE!$F$2,Nombres!$C$3:$D$636,51,FALSE)</f>
        <v>Balances</v>
      </c>
      <c r="B84" s="34"/>
      <c r="C84" s="34"/>
      <c r="D84" s="34"/>
      <c r="E84" s="34"/>
      <c r="F84" s="72"/>
      <c r="G84" s="72"/>
      <c r="H84" s="72"/>
      <c r="I84" s="72"/>
    </row>
    <row r="85" spans="1:9" ht="15">
      <c r="A85" s="35" t="str">
        <f>HLOOKUP(INDICE!$F$2,Nombres!$C$3:$D$636,73,FALSE)</f>
        <v>(Millones de euros constantes)</v>
      </c>
      <c r="B85" s="30"/>
      <c r="C85" s="54"/>
      <c r="D85" s="54"/>
      <c r="E85" s="54"/>
      <c r="F85" s="73"/>
      <c r="G85" s="44"/>
      <c r="H85" s="44"/>
      <c r="I85" s="44"/>
    </row>
    <row r="86" spans="1:9" ht="15.75">
      <c r="A86" s="30"/>
      <c r="B86" s="55">
        <f aca="true" t="shared" si="14" ref="B86:I86">+B$30</f>
        <v>43190</v>
      </c>
      <c r="C86" s="55">
        <f t="shared" si="14"/>
        <v>43281</v>
      </c>
      <c r="D86" s="55">
        <f t="shared" si="14"/>
        <v>43373</v>
      </c>
      <c r="E86" s="71">
        <f t="shared" si="14"/>
        <v>43465</v>
      </c>
      <c r="F86" s="55">
        <f t="shared" si="14"/>
        <v>43555</v>
      </c>
      <c r="G86" s="55">
        <f t="shared" si="14"/>
        <v>43646</v>
      </c>
      <c r="H86" s="55">
        <f t="shared" si="14"/>
        <v>43738</v>
      </c>
      <c r="I86" s="55">
        <f t="shared" si="14"/>
        <v>43830</v>
      </c>
    </row>
    <row r="87" spans="1:9" ht="15">
      <c r="A87" s="43" t="str">
        <f>HLOOKUP(INDICE!$F$2,Nombres!$C$3:$D$636,52,FALSE)</f>
        <v>Efectivo, saldos en efectivo en bancos centrales y otros depósitos a la vista</v>
      </c>
      <c r="B87" s="44">
        <v>5388.498908568061</v>
      </c>
      <c r="C87" s="44">
        <v>4830.436863542606</v>
      </c>
      <c r="D87" s="44">
        <v>4522.1159918113235</v>
      </c>
      <c r="E87" s="45">
        <v>4928.078398697366</v>
      </c>
      <c r="F87" s="44">
        <v>6550.306670847068</v>
      </c>
      <c r="G87" s="44">
        <v>7601.376807457657</v>
      </c>
      <c r="H87" s="44">
        <v>7430.392521828471</v>
      </c>
      <c r="I87" s="44">
        <v>8293.366074000001</v>
      </c>
    </row>
    <row r="88" spans="1:9" ht="15">
      <c r="A88" s="43" t="str">
        <f>HLOOKUP(INDICE!$F$2,Nombres!$C$3:$D$636,53,FALSE)</f>
        <v>Activos financieros a valor razonable</v>
      </c>
      <c r="B88" s="60">
        <v>10980.54549495474</v>
      </c>
      <c r="C88" s="60">
        <v>11034.543630023763</v>
      </c>
      <c r="D88" s="60">
        <v>10845.034655166219</v>
      </c>
      <c r="E88" s="68">
        <v>10682.066064424425</v>
      </c>
      <c r="F88" s="44">
        <v>9330.457409294757</v>
      </c>
      <c r="G88" s="44">
        <v>10416.279816342501</v>
      </c>
      <c r="H88" s="44">
        <v>8089.489968625286</v>
      </c>
      <c r="I88" s="44">
        <v>7659.274197000001</v>
      </c>
    </row>
    <row r="89" spans="1:9" ht="15">
      <c r="A89" s="43" t="str">
        <f>HLOOKUP(INDICE!$F$2,Nombres!$C$3:$D$636,54,FALSE)</f>
        <v>Activos financieros a coste amortizado</v>
      </c>
      <c r="B89" s="44">
        <v>59734.39790375602</v>
      </c>
      <c r="C89" s="44">
        <v>61194.76320252638</v>
      </c>
      <c r="D89" s="44">
        <v>62794.89233514059</v>
      </c>
      <c r="E89" s="45">
        <v>64761.092876219554</v>
      </c>
      <c r="F89" s="44">
        <v>65634.47276960421</v>
      </c>
      <c r="G89" s="44">
        <v>65682.10918962982</v>
      </c>
      <c r="H89" s="44">
        <v>67213.19778356087</v>
      </c>
      <c r="I89" s="44">
        <v>69509.681632</v>
      </c>
    </row>
    <row r="90" spans="1:9" ht="15">
      <c r="A90" s="43" t="str">
        <f>HLOOKUP(INDICE!$F$2,Nombres!$C$3:$D$636,55,FALSE)</f>
        <v>    de los que préstamos y anticipos a la clientela</v>
      </c>
      <c r="B90" s="44">
        <v>57822.627578525586</v>
      </c>
      <c r="C90" s="44">
        <v>59124.885864372074</v>
      </c>
      <c r="D90" s="44">
        <v>60392.55977865709</v>
      </c>
      <c r="E90" s="45">
        <v>61977.50496462885</v>
      </c>
      <c r="F90" s="44">
        <v>61408.48438866852</v>
      </c>
      <c r="G90" s="44">
        <v>60911.53036097867</v>
      </c>
      <c r="H90" s="44">
        <v>61268.456711614825</v>
      </c>
      <c r="I90" s="44">
        <v>63161.730019999995</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60">
        <v>694.6988750091906</v>
      </c>
      <c r="C92" s="60">
        <v>686.2312094016712</v>
      </c>
      <c r="D92" s="60">
        <v>682.2849904738489</v>
      </c>
      <c r="E92" s="68">
        <v>681.3405545913175</v>
      </c>
      <c r="F92" s="44">
        <v>952.4248790193694</v>
      </c>
      <c r="G92" s="44">
        <v>937.1761644843734</v>
      </c>
      <c r="H92" s="44">
        <v>922.2420317658361</v>
      </c>
      <c r="I92" s="44">
        <v>914.09118</v>
      </c>
    </row>
    <row r="93" spans="1:9" ht="15">
      <c r="A93" s="43" t="str">
        <f>HLOOKUP(INDICE!$F$2,Nombres!$C$3:$D$636,57,FALSE)</f>
        <v>Otros activos</v>
      </c>
      <c r="B93" s="60">
        <f>+B94-B92-B89-B88-B87-B91</f>
        <v>2495.9948810005426</v>
      </c>
      <c r="C93" s="60">
        <f aca="true" t="shared" si="15" ref="C93:I93">+C94-C92-C89-C88-C87-C91</f>
        <v>2337.356503488504</v>
      </c>
      <c r="D93" s="60">
        <f t="shared" si="15"/>
        <v>2455.885921172491</v>
      </c>
      <c r="E93" s="68">
        <f t="shared" si="15"/>
        <v>2582.5300979599833</v>
      </c>
      <c r="F93" s="44">
        <f t="shared" si="15"/>
        <v>2699.8737831913377</v>
      </c>
      <c r="G93" s="44">
        <f t="shared" si="15"/>
        <v>2712.3183949664335</v>
      </c>
      <c r="H93" s="44">
        <f t="shared" si="15"/>
        <v>2350.097146183358</v>
      </c>
      <c r="I93" s="44">
        <f t="shared" si="15"/>
        <v>2152.5926629999976</v>
      </c>
    </row>
    <row r="94" spans="1:9" ht="15">
      <c r="A94" s="47" t="str">
        <f>HLOOKUP(INDICE!$F$2,Nombres!$C$3:$D$636,58,FALSE)</f>
        <v>Total activo / pasivo</v>
      </c>
      <c r="B94" s="47">
        <v>79294.13606328855</v>
      </c>
      <c r="C94" s="47">
        <v>80083.33140898292</v>
      </c>
      <c r="D94" s="47">
        <v>81300.21389376448</v>
      </c>
      <c r="E94" s="74">
        <v>83635.10799189264</v>
      </c>
      <c r="F94" s="47">
        <v>85167.53551195674</v>
      </c>
      <c r="G94" s="53">
        <v>87349.26037288079</v>
      </c>
      <c r="H94" s="53">
        <v>86005.41945196383</v>
      </c>
      <c r="I94" s="53">
        <v>88529.00574600001</v>
      </c>
    </row>
    <row r="95" spans="1:9" ht="15">
      <c r="A95" s="43" t="str">
        <f>HLOOKUP(INDICE!$F$2,Nombres!$C$3:$D$636,59,FALSE)</f>
        <v>Pasivos financieros mantenidos para negociar y designados a valor razonable con cambios en resultados</v>
      </c>
      <c r="B95" s="60">
        <v>188.57698690053132</v>
      </c>
      <c r="C95" s="60">
        <v>403.5761734419799</v>
      </c>
      <c r="D95" s="60">
        <v>314.74281510987464</v>
      </c>
      <c r="E95" s="68">
        <v>238.83252137277242</v>
      </c>
      <c r="F95" s="44">
        <v>304.6508432297447</v>
      </c>
      <c r="G95" s="44">
        <v>1494.2767344432914</v>
      </c>
      <c r="H95" s="44">
        <v>241.10886345015666</v>
      </c>
      <c r="I95" s="44">
        <v>281.721384</v>
      </c>
    </row>
    <row r="96" spans="1:9" ht="15">
      <c r="A96" s="43" t="str">
        <f>HLOOKUP(INDICE!$F$2,Nombres!$C$3:$D$636,60,FALSE)</f>
        <v>Depósitos de bancos centrales y entidades de crédito</v>
      </c>
      <c r="B96" s="60">
        <v>3360.7798623237986</v>
      </c>
      <c r="C96" s="60">
        <v>3237.0281276769956</v>
      </c>
      <c r="D96" s="60">
        <v>4613.397144672709</v>
      </c>
      <c r="E96" s="68">
        <v>3434.9599533148644</v>
      </c>
      <c r="F96" s="44">
        <v>4710.301860499229</v>
      </c>
      <c r="G96" s="44">
        <v>4627.719167994251</v>
      </c>
      <c r="H96" s="44">
        <v>3925.0081203033374</v>
      </c>
      <c r="I96" s="44">
        <v>4081.3740210000005</v>
      </c>
    </row>
    <row r="97" spans="1:9" ht="15">
      <c r="A97" s="43" t="str">
        <f>HLOOKUP(INDICE!$F$2,Nombres!$C$3:$D$636,61,FALSE)</f>
        <v>Depósitos de la clientela</v>
      </c>
      <c r="B97" s="60">
        <v>64084.81013170973</v>
      </c>
      <c r="C97" s="60">
        <v>62995.2895875206</v>
      </c>
      <c r="D97" s="60">
        <v>62771.24041582498</v>
      </c>
      <c r="E97" s="68">
        <v>65119.46004108568</v>
      </c>
      <c r="F97" s="44">
        <v>65171.263460471506</v>
      </c>
      <c r="G97" s="44">
        <v>63942.425469003574</v>
      </c>
      <c r="H97" s="44">
        <v>65306.80268115332</v>
      </c>
      <c r="I97" s="44">
        <v>67525.35144900001</v>
      </c>
    </row>
    <row r="98" spans="1:9" ht="15">
      <c r="A98" s="43" t="str">
        <f>HLOOKUP(INDICE!$F$2,Nombres!$C$3:$D$636,62,FALSE)</f>
        <v>Valores representativos de deuda emitidos</v>
      </c>
      <c r="B98" s="44">
        <v>2128.01676746513</v>
      </c>
      <c r="C98" s="44">
        <v>3349.1740147792807</v>
      </c>
      <c r="D98" s="44">
        <v>3325.6804617666467</v>
      </c>
      <c r="E98" s="45">
        <v>3668.3494861659424</v>
      </c>
      <c r="F98" s="44">
        <v>3364.338545421914</v>
      </c>
      <c r="G98" s="44">
        <v>3426.1598050985654</v>
      </c>
      <c r="H98" s="44">
        <v>3596.394766618748</v>
      </c>
      <c r="I98" s="44">
        <v>3550.51214168</v>
      </c>
    </row>
    <row r="99" spans="1:9" ht="15">
      <c r="A99" s="43" t="str">
        <f>HLOOKUP(INDICE!$F$2,Nombres!$C$3:$D$636,122,FALSE)</f>
        <v>Posiciones inter-áreas pasivo</v>
      </c>
      <c r="B99" s="44">
        <v>582.8523111973191</v>
      </c>
      <c r="C99" s="44">
        <v>1319.4645121855574</v>
      </c>
      <c r="D99" s="44">
        <v>1244.2096587145643</v>
      </c>
      <c r="E99" s="45">
        <v>1963.5036445279693</v>
      </c>
      <c r="F99" s="44">
        <v>1736.7027844560216</v>
      </c>
      <c r="G99" s="44">
        <v>3806.0490523367625</v>
      </c>
      <c r="H99" s="44">
        <v>2930.9379237834946</v>
      </c>
      <c r="I99" s="44">
        <v>3415.9935413000057</v>
      </c>
    </row>
    <row r="100" spans="1:9" ht="15">
      <c r="A100" s="43" t="str">
        <f>HLOOKUP(INDICE!$F$2,Nombres!$C$3:$D$636,63,FALSE)</f>
        <v>Otros pasivos</v>
      </c>
      <c r="B100" s="44">
        <f>+B94-B95-B96-B97-B98-B101-B99</f>
        <v>5750.848585679711</v>
      </c>
      <c r="C100" s="44">
        <f aca="true" t="shared" si="16" ref="C100:I100">+C94-C95-C96-C97-C98-C101-C99</f>
        <v>5424.543370808108</v>
      </c>
      <c r="D100" s="44">
        <f t="shared" si="16"/>
        <v>5496.522228229014</v>
      </c>
      <c r="E100" s="45">
        <f t="shared" si="16"/>
        <v>5762.236716770791</v>
      </c>
      <c r="F100" s="44">
        <f t="shared" si="16"/>
        <v>6198.361659468572</v>
      </c>
      <c r="G100" s="44">
        <f t="shared" si="16"/>
        <v>6312.884795758851</v>
      </c>
      <c r="H100" s="44">
        <f t="shared" si="16"/>
        <v>6449.903851353105</v>
      </c>
      <c r="I100" s="44">
        <f t="shared" si="16"/>
        <v>5830.790012919997</v>
      </c>
    </row>
    <row r="101" spans="1:9" ht="15">
      <c r="A101" s="43" t="str">
        <f>HLOOKUP(INDICE!$F$2,Nombres!$C$3:$D$636,64,FALSE)</f>
        <v>Dotación de capital económico</v>
      </c>
      <c r="B101" s="44">
        <v>3198.25141801232</v>
      </c>
      <c r="C101" s="44">
        <v>3354.2556225703984</v>
      </c>
      <c r="D101" s="44">
        <v>3534.4211694466962</v>
      </c>
      <c r="E101" s="45">
        <v>3447.7656286546357</v>
      </c>
      <c r="F101" s="44">
        <v>3681.9163584097605</v>
      </c>
      <c r="G101" s="44">
        <v>3739.745348245492</v>
      </c>
      <c r="H101" s="44">
        <v>3555.263245301674</v>
      </c>
      <c r="I101" s="44">
        <v>3843.263196099999</v>
      </c>
    </row>
    <row r="102" spans="1:9" ht="15">
      <c r="A102" s="65"/>
      <c r="B102" s="60"/>
      <c r="C102" s="60"/>
      <c r="D102" s="60"/>
      <c r="E102" s="60"/>
      <c r="F102" s="44"/>
      <c r="G102" s="44"/>
      <c r="H102" s="44"/>
      <c r="I102" s="44"/>
    </row>
    <row r="103" spans="1:9" ht="15">
      <c r="A103" s="43"/>
      <c r="B103" s="60"/>
      <c r="C103" s="60"/>
      <c r="D103" s="60"/>
      <c r="E103" s="60"/>
      <c r="F103" s="44"/>
      <c r="G103" s="44"/>
      <c r="H103" s="44"/>
      <c r="I103" s="44"/>
    </row>
    <row r="104" spans="1:9" ht="18">
      <c r="A104" s="69" t="str">
        <f>HLOOKUP(INDICE!$F$2,Nombres!$C$3:$D$636,65,FALSE)</f>
        <v>Indicadores relevantes y de gestión</v>
      </c>
      <c r="B104" s="70"/>
      <c r="C104" s="70"/>
      <c r="D104" s="70"/>
      <c r="E104" s="70"/>
      <c r="F104" s="75"/>
      <c r="G104" s="75"/>
      <c r="H104" s="75"/>
      <c r="I104" s="75"/>
    </row>
    <row r="105" spans="1:9" ht="15">
      <c r="A105" s="35" t="str">
        <f>HLOOKUP(INDICE!$F$2,Nombres!$C$3:$D$636,73,FALSE)</f>
        <v>(Millones de euros constantes)</v>
      </c>
      <c r="B105" s="30"/>
      <c r="C105" s="30"/>
      <c r="D105" s="30"/>
      <c r="E105" s="30"/>
      <c r="F105" s="73"/>
      <c r="G105" s="73"/>
      <c r="H105" s="73"/>
      <c r="I105" s="73"/>
    </row>
    <row r="106" spans="1:9" ht="15.75">
      <c r="A106" s="30"/>
      <c r="B106" s="55">
        <f aca="true" t="shared" si="17" ref="B106:I106">+B$30</f>
        <v>43190</v>
      </c>
      <c r="C106" s="55">
        <f t="shared" si="17"/>
        <v>43281</v>
      </c>
      <c r="D106" s="55">
        <f t="shared" si="17"/>
        <v>43373</v>
      </c>
      <c r="E106" s="71">
        <f t="shared" si="17"/>
        <v>43465</v>
      </c>
      <c r="F106" s="55">
        <f t="shared" si="17"/>
        <v>43555</v>
      </c>
      <c r="G106" s="55">
        <f t="shared" si="17"/>
        <v>43646</v>
      </c>
      <c r="H106" s="55">
        <f t="shared" si="17"/>
        <v>43738</v>
      </c>
      <c r="I106" s="55">
        <f t="shared" si="17"/>
        <v>43830</v>
      </c>
    </row>
    <row r="107" spans="1:9" ht="15">
      <c r="A107" s="43" t="str">
        <f>HLOOKUP(INDICE!$F$2,Nombres!$C$3:$D$636,66,FALSE)</f>
        <v>Préstamos y anticipos a la clientela bruto (*)</v>
      </c>
      <c r="B107" s="44">
        <v>58608.242029033856</v>
      </c>
      <c r="C107" s="44">
        <v>59611.62130116791</v>
      </c>
      <c r="D107" s="44">
        <v>61132.71326005117</v>
      </c>
      <c r="E107" s="45">
        <v>62699.11622099206</v>
      </c>
      <c r="F107" s="44">
        <v>62200.02747840157</v>
      </c>
      <c r="G107" s="44">
        <v>61695.161061966304</v>
      </c>
      <c r="H107" s="44">
        <v>62005.30987841697</v>
      </c>
      <c r="I107" s="44">
        <v>63917.220948949995</v>
      </c>
    </row>
    <row r="108" spans="1:9" ht="15">
      <c r="A108" s="43" t="str">
        <f>HLOOKUP(INDICE!$F$2,Nombres!$C$3:$D$636,67,FALSE)</f>
        <v>Depósitos de clientes en gestión (**)</v>
      </c>
      <c r="B108" s="44">
        <v>64184.96200328396</v>
      </c>
      <c r="C108" s="44">
        <v>63104.99001596881</v>
      </c>
      <c r="D108" s="44">
        <v>62767.82588461583</v>
      </c>
      <c r="E108" s="45">
        <v>65116.47765228564</v>
      </c>
      <c r="F108" s="44">
        <v>65168.95707792601</v>
      </c>
      <c r="G108" s="44">
        <v>63940.071687179676</v>
      </c>
      <c r="H108" s="44">
        <v>65304.50181047472</v>
      </c>
      <c r="I108" s="44">
        <v>67528.37898665998</v>
      </c>
    </row>
    <row r="109" spans="1:9" ht="15">
      <c r="A109" s="43" t="str">
        <f>HLOOKUP(INDICE!$F$2,Nombres!$C$3:$D$636,68,FALSE)</f>
        <v>Fondos de inversión</v>
      </c>
      <c r="B109" s="44" t="s">
        <v>400</v>
      </c>
      <c r="C109" s="44" t="s">
        <v>400</v>
      </c>
      <c r="D109" s="44" t="s">
        <v>400</v>
      </c>
      <c r="E109" s="45" t="s">
        <v>400</v>
      </c>
      <c r="F109" s="44" t="s">
        <v>400</v>
      </c>
      <c r="G109" s="44" t="s">
        <v>400</v>
      </c>
      <c r="H109" s="44" t="s">
        <v>400</v>
      </c>
      <c r="I109" s="44" t="s">
        <v>400</v>
      </c>
    </row>
    <row r="110" spans="1:9" ht="15">
      <c r="A110" s="43" t="str">
        <f>HLOOKUP(INDICE!$F$2,Nombres!$C$3:$D$636,69,FALSE)</f>
        <v>Fondos de pensiones</v>
      </c>
      <c r="B110" s="44" t="s">
        <v>400</v>
      </c>
      <c r="C110" s="44" t="s">
        <v>400</v>
      </c>
      <c r="D110" s="44" t="s">
        <v>400</v>
      </c>
      <c r="E110" s="45" t="s">
        <v>400</v>
      </c>
      <c r="F110" s="44" t="s">
        <v>400</v>
      </c>
      <c r="G110" s="44" t="s">
        <v>400</v>
      </c>
      <c r="H110" s="44" t="s">
        <v>400</v>
      </c>
      <c r="I110" s="44" t="s">
        <v>400</v>
      </c>
    </row>
    <row r="111" spans="1:9" ht="15">
      <c r="A111" s="43" t="str">
        <f>HLOOKUP(INDICE!$F$2,Nombres!$C$3:$D$636,70,FALSE)</f>
        <v>Otros recursos fuera de balance</v>
      </c>
      <c r="B111" s="44" t="s">
        <v>400</v>
      </c>
      <c r="C111" s="44" t="s">
        <v>400</v>
      </c>
      <c r="D111" s="44" t="s">
        <v>400</v>
      </c>
      <c r="E111" s="45" t="s">
        <v>400</v>
      </c>
      <c r="F111" s="44" t="s">
        <v>400</v>
      </c>
      <c r="G111" s="44" t="s">
        <v>400</v>
      </c>
      <c r="H111" s="44" t="s">
        <v>400</v>
      </c>
      <c r="I111" s="44" t="s">
        <v>400</v>
      </c>
    </row>
    <row r="112" spans="1:9" ht="15">
      <c r="A112" s="65" t="str">
        <f>HLOOKUP(INDICE!$F$2,Nombres!$C$3:$D$636,71,FALSE)</f>
        <v>(*) No incluye las adquisiciones temporales de activos.</v>
      </c>
      <c r="B112" s="60"/>
      <c r="C112" s="60"/>
      <c r="D112" s="60"/>
      <c r="E112" s="60"/>
      <c r="F112" s="60"/>
      <c r="G112" s="60"/>
      <c r="H112" s="60"/>
      <c r="I112" s="60"/>
    </row>
    <row r="113" spans="1:9" ht="15">
      <c r="A113" s="65" t="str">
        <f>HLOOKUP(INDICE!$F$2,Nombres!$C$3:$D$636,72,FALSE)</f>
        <v>(**) No incluye las cesiones temporales de activos.</v>
      </c>
      <c r="B113" s="30"/>
      <c r="C113" s="30"/>
      <c r="D113" s="30"/>
      <c r="E113" s="30"/>
      <c r="F113" s="30"/>
      <c r="G113" s="30"/>
      <c r="H113" s="30"/>
      <c r="I113" s="30"/>
    </row>
    <row r="114" spans="1:9" ht="15">
      <c r="A114" s="65"/>
      <c r="B114" s="60"/>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HLOOKUP(INDICE!$F$2,Nombres!$C$3:$D$636,76,FALSE)</f>
        <v>(Millones de dolares)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295">
        <f>+B$6</f>
        <v>2018</v>
      </c>
      <c r="C118" s="295"/>
      <c r="D118" s="295"/>
      <c r="E118" s="296"/>
      <c r="F118" s="295">
        <f>+F$6</f>
        <v>2019</v>
      </c>
      <c r="G118" s="295"/>
      <c r="H118" s="295"/>
      <c r="I118" s="295"/>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644.3572141589559</v>
      </c>
      <c r="C120" s="41">
        <v>663.7855513662611</v>
      </c>
      <c r="D120" s="41">
        <v>679.1076207930631</v>
      </c>
      <c r="E120" s="42">
        <v>698.4719986799901</v>
      </c>
      <c r="F120" s="52">
        <v>698.5604842423271</v>
      </c>
      <c r="G120" s="52">
        <v>677.1078694615863</v>
      </c>
      <c r="H120" s="52">
        <v>659.6411282478066</v>
      </c>
      <c r="I120" s="52">
        <v>645.8166301165111</v>
      </c>
    </row>
    <row r="121" spans="1:9" ht="15">
      <c r="A121" s="43" t="str">
        <f>HLOOKUP(INDICE!$F$2,Nombres!$C$3:$D$636,34,FALSE)</f>
        <v>Comisiones netas</v>
      </c>
      <c r="B121" s="44">
        <v>181.59641580214247</v>
      </c>
      <c r="C121" s="44">
        <v>183.09713142582774</v>
      </c>
      <c r="D121" s="44">
        <v>170.0774381698285</v>
      </c>
      <c r="E121" s="45">
        <v>167.9568754186908</v>
      </c>
      <c r="F121" s="44">
        <v>171.20044075355435</v>
      </c>
      <c r="G121" s="44">
        <v>189.86627922985116</v>
      </c>
      <c r="H121" s="44">
        <v>187.48960415439078</v>
      </c>
      <c r="I121" s="44">
        <v>172.63622017462745</v>
      </c>
    </row>
    <row r="122" spans="1:9" ht="15">
      <c r="A122" s="43" t="str">
        <f>HLOOKUP(INDICE!$F$2,Nombres!$C$3:$D$636,35,FALSE)</f>
        <v>Resultados de operaciones financieras</v>
      </c>
      <c r="B122" s="44">
        <v>29.861787421759157</v>
      </c>
      <c r="C122" s="44">
        <v>28.866901123827944</v>
      </c>
      <c r="D122" s="44">
        <v>23.581788413319035</v>
      </c>
      <c r="E122" s="45">
        <v>45.212620011761814</v>
      </c>
      <c r="F122" s="44">
        <v>46.02330335551526</v>
      </c>
      <c r="G122" s="44">
        <v>43.57133863375544</v>
      </c>
      <c r="H122" s="44">
        <v>65.12288404768587</v>
      </c>
      <c r="I122" s="44">
        <v>38.60549285227297</v>
      </c>
    </row>
    <row r="123" spans="1:9" ht="15">
      <c r="A123" s="43" t="str">
        <f>HLOOKUP(INDICE!$F$2,Nombres!$C$3:$D$636,36,FALSE)</f>
        <v>Otros ingresos y cargas de explotación</v>
      </c>
      <c r="B123" s="44">
        <v>3.1171909503781867</v>
      </c>
      <c r="C123" s="44">
        <v>1.9113400619118228</v>
      </c>
      <c r="D123" s="44">
        <v>-5.499444644892984</v>
      </c>
      <c r="E123" s="45">
        <v>10.728339698528425</v>
      </c>
      <c r="F123" s="44">
        <v>-3.1234013335006843</v>
      </c>
      <c r="G123" s="44">
        <v>1.5752450475023863</v>
      </c>
      <c r="H123" s="44">
        <v>3.7698360525009433</v>
      </c>
      <c r="I123" s="44">
        <v>11.04452636590225</v>
      </c>
    </row>
    <row r="124" spans="1:9" ht="15">
      <c r="A124" s="41" t="str">
        <f>HLOOKUP(INDICE!$F$2,Nombres!$C$3:$D$636,37,FALSE)</f>
        <v>Margen bruto</v>
      </c>
      <c r="B124" s="41">
        <f>+SUM(B120:B123)</f>
        <v>858.9326083332356</v>
      </c>
      <c r="C124" s="41">
        <f aca="true" t="shared" si="19" ref="C124:I124">+SUM(C120:C123)</f>
        <v>877.6609239778286</v>
      </c>
      <c r="D124" s="41">
        <f t="shared" si="19"/>
        <v>867.2674027313177</v>
      </c>
      <c r="E124" s="42">
        <f t="shared" si="19"/>
        <v>922.3698338089711</v>
      </c>
      <c r="F124" s="52">
        <f t="shared" si="19"/>
        <v>912.6608270178959</v>
      </c>
      <c r="G124" s="52">
        <f t="shared" si="19"/>
        <v>912.1207323726952</v>
      </c>
      <c r="H124" s="52">
        <f t="shared" si="19"/>
        <v>916.0234525023842</v>
      </c>
      <c r="I124" s="52">
        <f t="shared" si="19"/>
        <v>868.1028695093137</v>
      </c>
    </row>
    <row r="125" spans="1:9" ht="15">
      <c r="A125" s="43" t="str">
        <f>HLOOKUP(INDICE!$F$2,Nombres!$C$3:$D$636,38,FALSE)</f>
        <v>Gastos de explotación</v>
      </c>
      <c r="B125" s="44">
        <v>-534.0627892369582</v>
      </c>
      <c r="C125" s="44">
        <v>-545.5618309649061</v>
      </c>
      <c r="D125" s="44">
        <v>-557.3027713846174</v>
      </c>
      <c r="E125" s="45">
        <v>-558.5211823524066</v>
      </c>
      <c r="F125" s="44">
        <v>-536.8420195427047</v>
      </c>
      <c r="G125" s="44">
        <v>-547.2724299780986</v>
      </c>
      <c r="H125" s="44">
        <v>-547.6724112251186</v>
      </c>
      <c r="I125" s="44">
        <v>-569.7524779374348</v>
      </c>
    </row>
    <row r="126" spans="1:9" ht="15">
      <c r="A126" s="43" t="str">
        <f>HLOOKUP(INDICE!$F$2,Nombres!$C$3:$D$636,39,FALSE)</f>
        <v>  Gastos de administración</v>
      </c>
      <c r="B126" s="44">
        <v>-482.1444421403898</v>
      </c>
      <c r="C126" s="44">
        <v>-493.54553333672993</v>
      </c>
      <c r="D126" s="44">
        <v>-504.2168762925054</v>
      </c>
      <c r="E126" s="45">
        <v>-505.49741395271894</v>
      </c>
      <c r="F126" s="44">
        <v>-473.9476699232032</v>
      </c>
      <c r="G126" s="44">
        <v>-485.6817471556214</v>
      </c>
      <c r="H126" s="44">
        <v>-486.96432618939156</v>
      </c>
      <c r="I126" s="44">
        <v>-509.6755516828291</v>
      </c>
    </row>
    <row r="127" spans="1:9" ht="15">
      <c r="A127" s="46" t="str">
        <f>HLOOKUP(INDICE!$F$2,Nombres!$C$3:$D$636,40,FALSE)</f>
        <v>  Gastos de personal</v>
      </c>
      <c r="B127" s="44">
        <v>-309.344428770967</v>
      </c>
      <c r="C127" s="44">
        <v>-311.4295693212514</v>
      </c>
      <c r="D127" s="44">
        <v>-314.84412768566216</v>
      </c>
      <c r="E127" s="45">
        <v>-304.1359609190082</v>
      </c>
      <c r="F127" s="44">
        <v>-315.32813011452413</v>
      </c>
      <c r="G127" s="44">
        <v>-310.9738946897886</v>
      </c>
      <c r="H127" s="44">
        <v>-316.0095142617599</v>
      </c>
      <c r="I127" s="44">
        <v>-318.4781588000112</v>
      </c>
    </row>
    <row r="128" spans="1:9" ht="15">
      <c r="A128" s="46" t="str">
        <f>HLOOKUP(INDICE!$F$2,Nombres!$C$3:$D$636,41,FALSE)</f>
        <v>  Otros gastos de administración</v>
      </c>
      <c r="B128" s="44">
        <v>-172.80001336942286</v>
      </c>
      <c r="C128" s="44">
        <v>-182.11596401547854</v>
      </c>
      <c r="D128" s="44">
        <v>-189.37274860684315</v>
      </c>
      <c r="E128" s="45">
        <v>-201.36145303371077</v>
      </c>
      <c r="F128" s="44">
        <v>-158.61953980867906</v>
      </c>
      <c r="G128" s="44">
        <v>-174.70785246583284</v>
      </c>
      <c r="H128" s="44">
        <v>-170.95481192763165</v>
      </c>
      <c r="I128" s="44">
        <v>-191.1973928828179</v>
      </c>
    </row>
    <row r="129" spans="1:9" ht="15">
      <c r="A129" s="43" t="str">
        <f>HLOOKUP(INDICE!$F$2,Nombres!$C$3:$D$636,42,FALSE)</f>
        <v>  Amortización</v>
      </c>
      <c r="B129" s="44">
        <v>-51.918347096568425</v>
      </c>
      <c r="C129" s="44">
        <v>-52.01629762817612</v>
      </c>
      <c r="D129" s="44">
        <v>-53.08589509211196</v>
      </c>
      <c r="E129" s="45">
        <v>-53.02376839968777</v>
      </c>
      <c r="F129" s="44">
        <v>-62.894349619501526</v>
      </c>
      <c r="G129" s="44">
        <v>-61.59068282247712</v>
      </c>
      <c r="H129" s="44">
        <v>-60.70808503572708</v>
      </c>
      <c r="I129" s="44">
        <v>-60.07692625460568</v>
      </c>
    </row>
    <row r="130" spans="1:9" ht="15">
      <c r="A130" s="41" t="str">
        <f>HLOOKUP(INDICE!$F$2,Nombres!$C$3:$D$636,43,FALSE)</f>
        <v>Margen neto</v>
      </c>
      <c r="B130" s="41">
        <f>+B124+B125</f>
        <v>324.8698190962774</v>
      </c>
      <c r="C130" s="41">
        <f aca="true" t="shared" si="20" ref="C130:I130">+C124+C125</f>
        <v>332.0990930129225</v>
      </c>
      <c r="D130" s="41">
        <f t="shared" si="20"/>
        <v>309.96463134670034</v>
      </c>
      <c r="E130" s="42">
        <f t="shared" si="20"/>
        <v>363.8486514565644</v>
      </c>
      <c r="F130" s="52">
        <f t="shared" si="20"/>
        <v>375.8188074751912</v>
      </c>
      <c r="G130" s="52">
        <f t="shared" si="20"/>
        <v>364.84830239459666</v>
      </c>
      <c r="H130" s="52">
        <f t="shared" si="20"/>
        <v>368.3510412772656</v>
      </c>
      <c r="I130" s="52">
        <f t="shared" si="20"/>
        <v>298.35039157187884</v>
      </c>
    </row>
    <row r="131" spans="1:9" ht="15">
      <c r="A131" s="43" t="str">
        <f>HLOOKUP(INDICE!$F$2,Nombres!$C$3:$D$636,44,FALSE)</f>
        <v>Deterioro de activos financieros no valorados a valor razonable con cambios en resultados</v>
      </c>
      <c r="B131" s="44">
        <v>-24.952688674581708</v>
      </c>
      <c r="C131" s="44">
        <v>-51.050205117213785</v>
      </c>
      <c r="D131" s="44">
        <v>-88.51497190985958</v>
      </c>
      <c r="E131" s="45">
        <v>-100.64062005448974</v>
      </c>
      <c r="F131" s="44">
        <v>-183.47354177250625</v>
      </c>
      <c r="G131" s="44">
        <v>-139.94482350143625</v>
      </c>
      <c r="H131" s="44">
        <v>-132.43423936122105</v>
      </c>
      <c r="I131" s="44">
        <v>-160.08863055591434</v>
      </c>
    </row>
    <row r="132" spans="1:9" ht="15">
      <c r="A132" s="43" t="str">
        <f>HLOOKUP(INDICE!$F$2,Nombres!$C$3:$D$636,45,FALSE)</f>
        <v>Provisiones o reversión de provisiones y otros resultados</v>
      </c>
      <c r="B132" s="44">
        <v>9.76708402063413</v>
      </c>
      <c r="C132" s="44">
        <v>4.380908182961544</v>
      </c>
      <c r="D132" s="44">
        <v>1.9742645247946211</v>
      </c>
      <c r="E132" s="45">
        <v>3.108089335004859</v>
      </c>
      <c r="F132" s="44">
        <v>-11.103806000000175</v>
      </c>
      <c r="G132" s="44">
        <v>4.625766258002562</v>
      </c>
      <c r="H132" s="44">
        <v>11.652846438799076</v>
      </c>
      <c r="I132" s="44">
        <v>-7.737641342602696</v>
      </c>
    </row>
    <row r="133" spans="1:9" ht="15">
      <c r="A133" s="41" t="str">
        <f>HLOOKUP(INDICE!$F$2,Nombres!$C$3:$D$636,46,FALSE)</f>
        <v>Resultado antes de impuestos</v>
      </c>
      <c r="B133" s="41">
        <f>+B130+B131+B132</f>
        <v>309.6842144423298</v>
      </c>
      <c r="C133" s="41">
        <f aca="true" t="shared" si="21" ref="C133:I133">+C130+C131+C132</f>
        <v>285.4297960786702</v>
      </c>
      <c r="D133" s="41">
        <f t="shared" si="21"/>
        <v>223.42392396163538</v>
      </c>
      <c r="E133" s="42">
        <f t="shared" si="21"/>
        <v>266.31612073707953</v>
      </c>
      <c r="F133" s="52">
        <f t="shared" si="21"/>
        <v>181.24145970268478</v>
      </c>
      <c r="G133" s="52">
        <f t="shared" si="21"/>
        <v>229.52924515116297</v>
      </c>
      <c r="H133" s="52">
        <f t="shared" si="21"/>
        <v>247.56964835484365</v>
      </c>
      <c r="I133" s="52">
        <f t="shared" si="21"/>
        <v>130.5241196733618</v>
      </c>
    </row>
    <row r="134" spans="1:9" ht="15">
      <c r="A134" s="43" t="str">
        <f>HLOOKUP(INDICE!$F$2,Nombres!$C$3:$D$636,47,FALSE)</f>
        <v>Impuesto sobre beneficios</v>
      </c>
      <c r="B134" s="44">
        <v>-69.23309850599234</v>
      </c>
      <c r="C134" s="44">
        <v>-61.275625205964914</v>
      </c>
      <c r="D134" s="44">
        <v>-42.3960501648159</v>
      </c>
      <c r="E134" s="45">
        <v>-44.67359776535123</v>
      </c>
      <c r="F134" s="44">
        <v>-36.66750552413889</v>
      </c>
      <c r="G134" s="44">
        <v>-38.659370435366895</v>
      </c>
      <c r="H134" s="44">
        <v>-47.577385327543865</v>
      </c>
      <c r="I134" s="44">
        <v>-5.828080157824042</v>
      </c>
    </row>
    <row r="135" spans="1:9" ht="15">
      <c r="A135" s="41" t="str">
        <f>HLOOKUP(INDICE!$F$2,Nombres!$C$3:$D$636,48,FALSE)</f>
        <v>Resultado del ejercicio</v>
      </c>
      <c r="B135" s="41">
        <f>+B133+B134</f>
        <v>240.45111593633743</v>
      </c>
      <c r="C135" s="41">
        <f aca="true" t="shared" si="22" ref="C135:I135">+C133+C134</f>
        <v>224.15417087270532</v>
      </c>
      <c r="D135" s="41">
        <f t="shared" si="22"/>
        <v>181.02787379681948</v>
      </c>
      <c r="E135" s="42">
        <f t="shared" si="22"/>
        <v>221.64252297172828</v>
      </c>
      <c r="F135" s="52">
        <f t="shared" si="22"/>
        <v>144.57395417854588</v>
      </c>
      <c r="G135" s="52">
        <f t="shared" si="22"/>
        <v>190.86987471579607</v>
      </c>
      <c r="H135" s="52">
        <f t="shared" si="22"/>
        <v>199.99226302729977</v>
      </c>
      <c r="I135" s="52">
        <f t="shared" si="22"/>
        <v>124.69603951553776</v>
      </c>
    </row>
    <row r="136" spans="1:9" ht="15">
      <c r="A136" s="43" t="str">
        <f>HLOOKUP(INDICE!$F$2,Nombres!$C$3:$D$636,49,FALSE)</f>
        <v>Minoritarios</v>
      </c>
      <c r="B136" s="44" t="s">
        <v>400</v>
      </c>
      <c r="C136" s="44" t="s">
        <v>400</v>
      </c>
      <c r="D136" s="44" t="s">
        <v>400</v>
      </c>
      <c r="E136" s="45" t="s">
        <v>400</v>
      </c>
      <c r="F136" s="44" t="s">
        <v>400</v>
      </c>
      <c r="G136" s="44" t="s">
        <v>400</v>
      </c>
      <c r="H136" s="44" t="s">
        <v>400</v>
      </c>
      <c r="I136" s="44" t="s">
        <v>400</v>
      </c>
    </row>
    <row r="137" spans="1:9" ht="15">
      <c r="A137" s="47" t="str">
        <f>HLOOKUP(INDICE!$F$2,Nombres!$C$3:$D$636,50,FALSE)</f>
        <v>Resultado atribuido</v>
      </c>
      <c r="B137" s="47">
        <f>+B135+B136</f>
        <v>240.45111593633743</v>
      </c>
      <c r="C137" s="47">
        <f aca="true" t="shared" si="23" ref="C137:I137">+C135+C136</f>
        <v>224.15417087270532</v>
      </c>
      <c r="D137" s="47">
        <f t="shared" si="23"/>
        <v>181.02787379681948</v>
      </c>
      <c r="E137" s="74">
        <f t="shared" si="23"/>
        <v>221.64252297172828</v>
      </c>
      <c r="F137" s="53">
        <f t="shared" si="23"/>
        <v>144.57395417854588</v>
      </c>
      <c r="G137" s="53">
        <f t="shared" si="23"/>
        <v>190.86987471579607</v>
      </c>
      <c r="H137" s="53">
        <f t="shared" si="23"/>
        <v>199.99226302729977</v>
      </c>
      <c r="I137" s="53">
        <f t="shared" si="23"/>
        <v>124.69603951553776</v>
      </c>
    </row>
    <row r="138" spans="1:9" ht="15">
      <c r="A138" s="65"/>
      <c r="B138" s="66">
        <v>0</v>
      </c>
      <c r="C138" s="66">
        <v>0</v>
      </c>
      <c r="D138" s="66">
        <v>0</v>
      </c>
      <c r="E138" s="66">
        <v>0</v>
      </c>
      <c r="F138" s="66">
        <v>0</v>
      </c>
      <c r="G138" s="66">
        <v>0</v>
      </c>
      <c r="H138" s="66">
        <v>0</v>
      </c>
      <c r="I138" s="66">
        <v>-1.7053025658242404E-13</v>
      </c>
    </row>
    <row r="139" spans="1:9" ht="15">
      <c r="A139" s="41"/>
      <c r="B139" s="41"/>
      <c r="C139" s="41"/>
      <c r="D139" s="41"/>
      <c r="E139" s="41"/>
      <c r="F139" s="52"/>
      <c r="G139" s="52"/>
      <c r="H139" s="52"/>
      <c r="I139" s="52"/>
    </row>
    <row r="140" spans="1:9" ht="18">
      <c r="A140" s="33" t="str">
        <f>HLOOKUP(INDICE!$F$2,Nombres!$C$3:$D$636,51,FALSE)</f>
        <v>Balances</v>
      </c>
      <c r="B140" s="34"/>
      <c r="C140" s="34"/>
      <c r="D140" s="34"/>
      <c r="E140" s="34"/>
      <c r="F140" s="72"/>
      <c r="G140" s="72"/>
      <c r="H140" s="72"/>
      <c r="I140" s="72"/>
    </row>
    <row r="141" spans="1:9" ht="15">
      <c r="A141" s="35" t="str">
        <f>HLOOKUP(INDICE!$F$2,Nombres!$C$3:$D$636,76,FALSE)</f>
        <v>(Millones de dolares)</v>
      </c>
      <c r="B141" s="30"/>
      <c r="C141" s="54"/>
      <c r="D141" s="54"/>
      <c r="E141" s="54"/>
      <c r="F141" s="73"/>
      <c r="G141" s="44"/>
      <c r="H141" s="44"/>
      <c r="I141" s="44"/>
    </row>
    <row r="142" spans="1:9" ht="15.75">
      <c r="A142" s="30"/>
      <c r="B142" s="55">
        <f aca="true" t="shared" si="24" ref="B142:I142">+B$30</f>
        <v>43190</v>
      </c>
      <c r="C142" s="55">
        <f t="shared" si="24"/>
        <v>43281</v>
      </c>
      <c r="D142" s="55">
        <f t="shared" si="24"/>
        <v>43373</v>
      </c>
      <c r="E142" s="71">
        <f t="shared" si="24"/>
        <v>43465</v>
      </c>
      <c r="F142" s="55">
        <f t="shared" si="24"/>
        <v>43555</v>
      </c>
      <c r="G142" s="55">
        <f t="shared" si="24"/>
        <v>43646</v>
      </c>
      <c r="H142" s="55">
        <f t="shared" si="24"/>
        <v>43738</v>
      </c>
      <c r="I142" s="55">
        <f t="shared" si="24"/>
        <v>43830</v>
      </c>
    </row>
    <row r="143" spans="1:9" ht="15">
      <c r="A143" s="43" t="str">
        <f>HLOOKUP(INDICE!$F$2,Nombres!$C$3:$D$636,52,FALSE)</f>
        <v>Efectivo, saldos en efectivo en bancos centrales y otros depósitos a la vista</v>
      </c>
      <c r="B143" s="44">
        <v>6053.4396738875985</v>
      </c>
      <c r="C143" s="44">
        <v>5426.512772505771</v>
      </c>
      <c r="D143" s="44">
        <v>5080.14510520272</v>
      </c>
      <c r="E143" s="45">
        <v>5536.20327309867</v>
      </c>
      <c r="F143" s="44">
        <v>7358.614514032319</v>
      </c>
      <c r="G143" s="44">
        <v>8539.386705501092</v>
      </c>
      <c r="H143" s="44">
        <v>8347.30295902519</v>
      </c>
      <c r="I143" s="44">
        <v>9316.767447535049</v>
      </c>
    </row>
    <row r="144" spans="1:9" ht="15">
      <c r="A144" s="43" t="str">
        <f>HLOOKUP(INDICE!$F$2,Nombres!$C$3:$D$636,53,FALSE)</f>
        <v>Activos financieros a valor razonable</v>
      </c>
      <c r="B144" s="60">
        <v>12335.544809036719</v>
      </c>
      <c r="C144" s="60">
        <v>12396.206313973282</v>
      </c>
      <c r="D144" s="60">
        <v>12183.311931618235</v>
      </c>
      <c r="E144" s="68">
        <v>12000.233016778839</v>
      </c>
      <c r="F144" s="44">
        <v>10481.835853605606</v>
      </c>
      <c r="G144" s="44">
        <v>11701.648745683497</v>
      </c>
      <c r="H144" s="44">
        <v>9087.733030757008</v>
      </c>
      <c r="I144" s="44">
        <v>8604.428632912985</v>
      </c>
    </row>
    <row r="145" spans="1:9" ht="15">
      <c r="A145" s="43" t="str">
        <f>HLOOKUP(INDICE!$F$2,Nombres!$C$3:$D$636,54,FALSE)</f>
        <v>Activos financieros a coste amortizado</v>
      </c>
      <c r="B145" s="44">
        <v>67105.62260510433</v>
      </c>
      <c r="C145" s="44">
        <v>68746.19698174356</v>
      </c>
      <c r="D145" s="44">
        <v>70543.78204932304</v>
      </c>
      <c r="E145" s="45">
        <v>72752.611737172</v>
      </c>
      <c r="F145" s="44">
        <v>73733.76670940066</v>
      </c>
      <c r="G145" s="44">
        <v>73787.28146365746</v>
      </c>
      <c r="H145" s="44">
        <v>75507.30639008022</v>
      </c>
      <c r="I145" s="44">
        <v>78087.17634541767</v>
      </c>
    </row>
    <row r="146" spans="1:9" ht="15">
      <c r="A146" s="43" t="str">
        <f>HLOOKUP(INDICE!$F$2,Nombres!$C$3:$D$636,55,FALSE)</f>
        <v>    de los que préstamos y anticipos a la clientela</v>
      </c>
      <c r="B146" s="44">
        <v>64957.939821739674</v>
      </c>
      <c r="C146" s="44">
        <v>66420.89678006017</v>
      </c>
      <c r="D146" s="44">
        <v>67845.00165536848</v>
      </c>
      <c r="E146" s="45">
        <v>69625.52907728983</v>
      </c>
      <c r="F146" s="44">
        <v>68986.29136225572</v>
      </c>
      <c r="G146" s="44">
        <v>68428.01320754876</v>
      </c>
      <c r="H146" s="44">
        <v>68828.98426985356</v>
      </c>
      <c r="I146" s="44">
        <v>70955.88750449425</v>
      </c>
    </row>
    <row r="147" spans="1:9" ht="15">
      <c r="A147" s="43" t="str">
        <f>HLOOKUP(INDICE!$F$2,Nombres!$C$3:$D$636,121,FALSE)</f>
        <v>Posiciones inter-áreas activo</v>
      </c>
      <c r="B147" s="44">
        <v>0</v>
      </c>
      <c r="C147" s="44">
        <v>0</v>
      </c>
      <c r="D147" s="44">
        <v>0</v>
      </c>
      <c r="E147" s="45">
        <v>0</v>
      </c>
      <c r="F147" s="44">
        <v>0</v>
      </c>
      <c r="G147" s="44">
        <v>0</v>
      </c>
      <c r="H147" s="44">
        <v>0</v>
      </c>
      <c r="I147" s="44">
        <v>0</v>
      </c>
    </row>
    <row r="148" spans="1:9" ht="15">
      <c r="A148" s="43" t="str">
        <f>HLOOKUP(INDICE!$F$2,Nombres!$C$3:$D$636,56,FALSE)</f>
        <v>Activos tangibles</v>
      </c>
      <c r="B148" s="60">
        <v>780.4247161856134</v>
      </c>
      <c r="C148" s="60">
        <v>770.9121406421226</v>
      </c>
      <c r="D148" s="60">
        <v>766.4789582986053</v>
      </c>
      <c r="E148" s="68">
        <v>765.4179790281693</v>
      </c>
      <c r="F148" s="44">
        <v>1069.9541090907555</v>
      </c>
      <c r="G148" s="44">
        <v>1052.823703182135</v>
      </c>
      <c r="H148" s="44">
        <v>1036.046698486124</v>
      </c>
      <c r="I148" s="44">
        <v>1026.8900316123802</v>
      </c>
    </row>
    <row r="149" spans="1:9" ht="15">
      <c r="A149" s="43" t="str">
        <f>HLOOKUP(INDICE!$F$2,Nombres!$C$3:$D$636,57,FALSE)</f>
        <v>Otros activos</v>
      </c>
      <c r="B149" s="60">
        <f>+B150-B148-B145-B144-B143-B147</f>
        <v>2804.0006493170567</v>
      </c>
      <c r="C149" s="60">
        <f aca="true" t="shared" si="25" ref="C149:I149">+C150-C148-C145-C144-C143-C147</f>
        <v>2625.7862960199645</v>
      </c>
      <c r="D149" s="60">
        <f t="shared" si="25"/>
        <v>2758.9422438461906</v>
      </c>
      <c r="E149" s="68">
        <f t="shared" si="25"/>
        <v>2901.214312049333</v>
      </c>
      <c r="F149" s="44">
        <f t="shared" si="25"/>
        <v>3033.0382080383133</v>
      </c>
      <c r="G149" s="44">
        <f t="shared" si="25"/>
        <v>3047.018484906386</v>
      </c>
      <c r="H149" s="44">
        <f t="shared" si="25"/>
        <v>2640.099134023367</v>
      </c>
      <c r="I149" s="44">
        <f t="shared" si="25"/>
        <v>2418.222597615095</v>
      </c>
    </row>
    <row r="150" spans="1:9" ht="15">
      <c r="A150" s="47" t="str">
        <f>HLOOKUP(INDICE!$F$2,Nombres!$C$3:$D$636,58,FALSE)</f>
        <v>Total activo / pasivo</v>
      </c>
      <c r="B150" s="47">
        <v>89079.03245353133</v>
      </c>
      <c r="C150" s="47">
        <v>89965.6145048847</v>
      </c>
      <c r="D150" s="47">
        <v>91332.6602882888</v>
      </c>
      <c r="E150" s="74">
        <v>93955.68031812701</v>
      </c>
      <c r="F150" s="47">
        <v>95677.20939416766</v>
      </c>
      <c r="G150" s="53">
        <v>98128.15910293057</v>
      </c>
      <c r="H150" s="53">
        <v>96618.48821237191</v>
      </c>
      <c r="I150" s="53">
        <v>99453.48505509317</v>
      </c>
    </row>
    <row r="151" spans="1:9" ht="15">
      <c r="A151" s="43" t="str">
        <f>HLOOKUP(INDICE!$F$2,Nombres!$C$3:$D$636,59,FALSE)</f>
        <v>Pasivos financieros mantenidos para negociar y designados a valor razonable con cambios en resultados</v>
      </c>
      <c r="B151" s="60">
        <v>211.84738708413525</v>
      </c>
      <c r="C151" s="60">
        <v>453.37747324488794</v>
      </c>
      <c r="D151" s="60">
        <v>353.582078494564</v>
      </c>
      <c r="E151" s="68">
        <v>268.3044545102718</v>
      </c>
      <c r="F151" s="44">
        <v>342.2447572844217</v>
      </c>
      <c r="G151" s="44">
        <v>1678.6704834742147</v>
      </c>
      <c r="H151" s="44">
        <v>270.8616972000062</v>
      </c>
      <c r="I151" s="44">
        <v>316.4858027857171</v>
      </c>
    </row>
    <row r="152" spans="1:9" ht="15">
      <c r="A152" s="43" t="str">
        <f>HLOOKUP(INDICE!$F$2,Nombres!$C$3:$D$636,60,FALSE)</f>
        <v>Depósitos de bancos centrales y entidades de crédito</v>
      </c>
      <c r="B152" s="60">
        <v>3775.5000973359524</v>
      </c>
      <c r="C152" s="60">
        <v>3636.4773986336822</v>
      </c>
      <c r="D152" s="60">
        <v>5182.69035232724</v>
      </c>
      <c r="E152" s="68">
        <v>3858.8340115553465</v>
      </c>
      <c r="F152" s="44">
        <v>5291.553110086791</v>
      </c>
      <c r="G152" s="44">
        <v>5198.779713326666</v>
      </c>
      <c r="H152" s="44">
        <v>4409.354122350401</v>
      </c>
      <c r="I152" s="44">
        <v>4585.015575193097</v>
      </c>
    </row>
    <row r="153" spans="1:9" ht="15">
      <c r="A153" s="43" t="str">
        <f>HLOOKUP(INDICE!$F$2,Nombres!$C$3:$D$636,61,FALSE)</f>
        <v>Depósitos de la clientela</v>
      </c>
      <c r="B153" s="60">
        <v>71992.87570198937</v>
      </c>
      <c r="C153" s="60">
        <v>70768.90832264684</v>
      </c>
      <c r="D153" s="60">
        <v>70517.21148316386</v>
      </c>
      <c r="E153" s="68">
        <v>73155.20141018272</v>
      </c>
      <c r="F153" s="44">
        <v>73213.39737152078</v>
      </c>
      <c r="G153" s="44">
        <v>71832.92077190519</v>
      </c>
      <c r="H153" s="44">
        <v>73365.66213203478</v>
      </c>
      <c r="I153" s="44">
        <v>75857.97981783465</v>
      </c>
    </row>
    <row r="154" spans="1:9" ht="15">
      <c r="A154" s="43" t="str">
        <f>HLOOKUP(INDICE!$F$2,Nombres!$C$3:$D$636,62,FALSE)</f>
        <v>Valores representativos de deuda emitidos</v>
      </c>
      <c r="B154" s="44">
        <v>2390.614036571212</v>
      </c>
      <c r="C154" s="44">
        <v>3762.4620882044355</v>
      </c>
      <c r="D154" s="44">
        <v>3736.0694307500326</v>
      </c>
      <c r="E154" s="45">
        <v>4121.023812760344</v>
      </c>
      <c r="F154" s="44">
        <v>3779.497921928377</v>
      </c>
      <c r="G154" s="44">
        <v>3848.9479250491527</v>
      </c>
      <c r="H154" s="44">
        <v>4040.189880820996</v>
      </c>
      <c r="I154" s="44">
        <v>3988.645339964788</v>
      </c>
    </row>
    <row r="155" spans="1:9" ht="15">
      <c r="A155" s="43" t="str">
        <f>HLOOKUP(INDICE!$F$2,Nombres!$C$3:$D$636,122,FALSE)</f>
        <v>Posiciones inter-áreas pasivo</v>
      </c>
      <c r="B155" s="44">
        <v>654.7762863993266</v>
      </c>
      <c r="C155" s="44">
        <v>1482.2864329897857</v>
      </c>
      <c r="D155" s="44">
        <v>1397.7451306004514</v>
      </c>
      <c r="E155" s="45">
        <v>2205.7999942635797</v>
      </c>
      <c r="F155" s="44">
        <v>1951.0119080586446</v>
      </c>
      <c r="G155" s="44">
        <v>4275.715505396714</v>
      </c>
      <c r="H155" s="44">
        <v>3292.6156635795924</v>
      </c>
      <c r="I155" s="44">
        <v>3837.5271442978265</v>
      </c>
    </row>
    <row r="156" spans="1:9" ht="15">
      <c r="A156" s="43" t="str">
        <f>HLOOKUP(INDICE!$F$2,Nombres!$C$3:$D$636,63,FALSE)</f>
        <v>Otros pasivos</v>
      </c>
      <c r="B156" s="44">
        <f>+B150-B151-B152-B153-B154-B157-B155</f>
        <v>6460.503301154952</v>
      </c>
      <c r="C156" s="44">
        <f aca="true" t="shared" si="26" ref="C156:I156">+C150-C151-C152-C153-C154-C157-C155</f>
        <v>6093.9320227680855</v>
      </c>
      <c r="D156" s="44">
        <f t="shared" si="26"/>
        <v>6174.793071194765</v>
      </c>
      <c r="E156" s="45">
        <f t="shared" si="26"/>
        <v>6473.296727622692</v>
      </c>
      <c r="F156" s="44">
        <f t="shared" si="26"/>
        <v>6963.2394882495755</v>
      </c>
      <c r="G156" s="44">
        <f t="shared" si="26"/>
        <v>7091.89477955809</v>
      </c>
      <c r="H156" s="44">
        <f t="shared" si="26"/>
        <v>7245.821986612771</v>
      </c>
      <c r="I156" s="44">
        <f t="shared" si="26"/>
        <v>6550.309500516756</v>
      </c>
    </row>
    <row r="157" spans="1:9" ht="15">
      <c r="A157" s="43" t="str">
        <f>HLOOKUP(INDICE!$F$2,Nombres!$C$3:$D$636,64,FALSE)</f>
        <v>Dotación de capital económico</v>
      </c>
      <c r="B157" s="44">
        <v>3592.9156429963705</v>
      </c>
      <c r="C157" s="44">
        <v>3768.170766396978</v>
      </c>
      <c r="D157" s="44">
        <v>3970.568741757885</v>
      </c>
      <c r="E157" s="45">
        <v>3873.219907232051</v>
      </c>
      <c r="F157" s="44">
        <v>4136.264837039055</v>
      </c>
      <c r="G157" s="44">
        <v>4201.229924220538</v>
      </c>
      <c r="H157" s="44">
        <v>3993.9827297733773</v>
      </c>
      <c r="I157" s="44">
        <v>4317.521874500338</v>
      </c>
    </row>
    <row r="158" spans="1:9" ht="15">
      <c r="A158" s="65"/>
      <c r="B158" s="60"/>
      <c r="C158" s="60"/>
      <c r="D158" s="60"/>
      <c r="E158" s="60"/>
      <c r="F158" s="44"/>
      <c r="G158" s="44"/>
      <c r="H158" s="44"/>
      <c r="I158" s="44"/>
    </row>
    <row r="159" spans="1:9" ht="15">
      <c r="A159" s="43"/>
      <c r="B159" s="60"/>
      <c r="C159" s="60"/>
      <c r="D159" s="60"/>
      <c r="E159" s="60"/>
      <c r="F159" s="44"/>
      <c r="G159" s="44"/>
      <c r="H159" s="44"/>
      <c r="I159" s="44"/>
    </row>
    <row r="160" spans="1:9" ht="18">
      <c r="A160" s="69" t="str">
        <f>HLOOKUP(INDICE!$F$2,Nombres!$C$3:$D$636,65,FALSE)</f>
        <v>Indicadores relevantes y de gestión</v>
      </c>
      <c r="B160" s="70"/>
      <c r="C160" s="70"/>
      <c r="D160" s="70"/>
      <c r="E160" s="70"/>
      <c r="F160" s="75"/>
      <c r="G160" s="75"/>
      <c r="H160" s="75"/>
      <c r="I160" s="75"/>
    </row>
    <row r="161" spans="1:9" ht="15">
      <c r="A161" s="35" t="str">
        <f>HLOOKUP(INDICE!$F$2,Nombres!$C$3:$D$636,76,FALSE)</f>
        <v>(Millones de dolares)</v>
      </c>
      <c r="B161" s="30"/>
      <c r="C161" s="30"/>
      <c r="D161" s="30"/>
      <c r="E161" s="30"/>
      <c r="F161" s="73"/>
      <c r="G161" s="44"/>
      <c r="H161" s="44"/>
      <c r="I161" s="44"/>
    </row>
    <row r="162" spans="1:9" ht="15.75" customHeight="1">
      <c r="A162" s="30"/>
      <c r="B162" s="55">
        <f aca="true" t="shared" si="27" ref="B162:I162">+B$30</f>
        <v>43190</v>
      </c>
      <c r="C162" s="55">
        <f t="shared" si="27"/>
        <v>43281</v>
      </c>
      <c r="D162" s="55">
        <f t="shared" si="27"/>
        <v>43373</v>
      </c>
      <c r="E162" s="71">
        <f t="shared" si="27"/>
        <v>43465</v>
      </c>
      <c r="F162" s="55">
        <f t="shared" si="27"/>
        <v>43555</v>
      </c>
      <c r="G162" s="55">
        <f t="shared" si="27"/>
        <v>43646</v>
      </c>
      <c r="H162" s="55">
        <f t="shared" si="27"/>
        <v>43738</v>
      </c>
      <c r="I162" s="55">
        <f t="shared" si="27"/>
        <v>43830</v>
      </c>
    </row>
    <row r="163" spans="1:9" ht="15.75" customHeight="1">
      <c r="A163" s="43" t="str">
        <f>HLOOKUP(INDICE!$F$2,Nombres!$C$3:$D$636,66,FALSE)</f>
        <v>Préstamos y anticipos a la clientela bruto (*)</v>
      </c>
      <c r="B163" s="44">
        <v>65840.49909544099</v>
      </c>
      <c r="C163" s="44">
        <v>66967.69536975682</v>
      </c>
      <c r="D163" s="44">
        <v>68676.49007636687</v>
      </c>
      <c r="E163" s="45">
        <v>70436.18716268855</v>
      </c>
      <c r="F163" s="44">
        <v>69875.51086926216</v>
      </c>
      <c r="G163" s="44">
        <v>69308.34393703859</v>
      </c>
      <c r="H163" s="44">
        <v>69656.76511743941</v>
      </c>
      <c r="I163" s="44">
        <v>71804.606014077</v>
      </c>
    </row>
    <row r="164" spans="1:9" ht="15.75" customHeight="1">
      <c r="A164" s="43" t="str">
        <f>HLOOKUP(INDICE!$F$2,Nombres!$C$3:$D$636,67,FALSE)</f>
        <v>Depósitos de clientes en gestión (**)</v>
      </c>
      <c r="B164" s="44">
        <v>72105.38631451587</v>
      </c>
      <c r="C164" s="44">
        <v>70892.14578396559</v>
      </c>
      <c r="D164" s="44">
        <v>70513.3755988035</v>
      </c>
      <c r="E164" s="45">
        <v>73151.85099460476</v>
      </c>
      <c r="F164" s="44">
        <v>73210.80638136914</v>
      </c>
      <c r="G164" s="44">
        <v>71830.27653340425</v>
      </c>
      <c r="H164" s="44">
        <v>73363.07733391447</v>
      </c>
      <c r="I164" s="44">
        <v>75861.38095364191</v>
      </c>
    </row>
    <row r="165" spans="1:9" ht="15.75" customHeight="1">
      <c r="A165" s="43" t="str">
        <f>HLOOKUP(INDICE!$F$2,Nombres!$C$3:$D$636,68,FALSE)</f>
        <v>Fondos de inversión</v>
      </c>
      <c r="B165" s="44" t="s">
        <v>400</v>
      </c>
      <c r="C165" s="44" t="s">
        <v>400</v>
      </c>
      <c r="D165" s="44" t="s">
        <v>400</v>
      </c>
      <c r="E165" s="45" t="s">
        <v>400</v>
      </c>
      <c r="F165" s="44" t="s">
        <v>400</v>
      </c>
      <c r="G165" s="44" t="s">
        <v>400</v>
      </c>
      <c r="H165" s="44" t="s">
        <v>400</v>
      </c>
      <c r="I165" s="44" t="s">
        <v>400</v>
      </c>
    </row>
    <row r="166" spans="1:9" ht="15.75" customHeight="1">
      <c r="A166" s="43" t="str">
        <f>HLOOKUP(INDICE!$F$2,Nombres!$C$3:$D$636,69,FALSE)</f>
        <v>Fondos de pensiones</v>
      </c>
      <c r="B166" s="44" t="s">
        <v>400</v>
      </c>
      <c r="C166" s="44" t="s">
        <v>400</v>
      </c>
      <c r="D166" s="44" t="s">
        <v>400</v>
      </c>
      <c r="E166" s="45" t="s">
        <v>400</v>
      </c>
      <c r="F166" s="44" t="s">
        <v>400</v>
      </c>
      <c r="G166" s="44" t="s">
        <v>400</v>
      </c>
      <c r="H166" s="44" t="s">
        <v>400</v>
      </c>
      <c r="I166" s="44" t="s">
        <v>400</v>
      </c>
    </row>
    <row r="167" spans="1:9" ht="15">
      <c r="A167" s="43" t="str">
        <f>HLOOKUP(INDICE!$F$2,Nombres!$C$3:$D$636,70,FALSE)</f>
        <v>Otros recursos fuera de balance</v>
      </c>
      <c r="B167" s="44" t="s">
        <v>400</v>
      </c>
      <c r="C167" s="44" t="s">
        <v>400</v>
      </c>
      <c r="D167" s="44" t="s">
        <v>400</v>
      </c>
      <c r="E167" s="45" t="s">
        <v>400</v>
      </c>
      <c r="F167" s="44" t="s">
        <v>400</v>
      </c>
      <c r="G167" s="44" t="s">
        <v>400</v>
      </c>
      <c r="H167" s="44" t="s">
        <v>400</v>
      </c>
      <c r="I167" s="44" t="s">
        <v>400</v>
      </c>
    </row>
    <row r="168" spans="1:9" ht="15">
      <c r="A168" s="65" t="str">
        <f>HLOOKUP(INDICE!$F$2,Nombres!$C$3:$D$636,71,FALSE)</f>
        <v>(*) No incluye las adquisiciones temporales de activos.</v>
      </c>
      <c r="B168" s="60"/>
      <c r="C168" s="60"/>
      <c r="D168" s="60"/>
      <c r="E168" s="60"/>
      <c r="F168" s="60"/>
      <c r="G168" s="60"/>
      <c r="H168" s="60"/>
      <c r="I168" s="60"/>
    </row>
    <row r="169" spans="1:9" ht="15">
      <c r="A169" s="76" t="str">
        <f>HLOOKUP(INDICE!$F$2,Nombres!$C$3:$D$636,72,FALSE)</f>
        <v>(**) No incluye las cesiones temporales de activos.</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7"/>
      <c r="B172" s="78"/>
      <c r="C172" s="79"/>
      <c r="D172" s="79"/>
      <c r="E172" s="79"/>
      <c r="F172" s="78"/>
      <c r="G172" s="78"/>
      <c r="H172" s="78"/>
      <c r="I172" s="78"/>
    </row>
    <row r="173" spans="1:15" ht="15">
      <c r="A173" s="77"/>
      <c r="B173" s="78"/>
      <c r="C173" s="79"/>
      <c r="D173" s="79"/>
      <c r="E173" s="79"/>
      <c r="F173" s="78"/>
      <c r="G173" s="78"/>
      <c r="H173" s="78"/>
      <c r="I173" s="78"/>
      <c r="J173" s="78"/>
      <c r="K173" s="78"/>
      <c r="L173" s="78"/>
      <c r="M173" s="78"/>
      <c r="N173" s="78"/>
      <c r="O173" s="78"/>
    </row>
    <row r="174" spans="1:15" ht="15">
      <c r="A174" s="78"/>
      <c r="B174" s="78"/>
      <c r="C174" s="78"/>
      <c r="D174" s="78"/>
      <c r="E174" s="78"/>
      <c r="F174" s="78"/>
      <c r="G174" s="78"/>
      <c r="H174" s="78"/>
      <c r="I174" s="78"/>
      <c r="J174" s="78"/>
      <c r="K174" s="78"/>
      <c r="L174" s="78"/>
      <c r="M174" s="78"/>
      <c r="N174" s="78"/>
      <c r="O174" s="78"/>
    </row>
    <row r="175" spans="1:15" ht="15">
      <c r="A175" s="78"/>
      <c r="B175" s="78"/>
      <c r="C175" s="78"/>
      <c r="D175" s="78"/>
      <c r="E175" s="78"/>
      <c r="F175" s="78"/>
      <c r="G175" s="78"/>
      <c r="H175" s="78"/>
      <c r="I175" s="78"/>
      <c r="J175" s="78"/>
      <c r="K175" s="78"/>
      <c r="L175" s="78"/>
      <c r="M175" s="78"/>
      <c r="N175" s="78"/>
      <c r="O175" s="78"/>
    </row>
    <row r="176" spans="1:15" ht="15">
      <c r="A176" s="78"/>
      <c r="B176" s="78"/>
      <c r="C176" s="78"/>
      <c r="D176" s="78"/>
      <c r="E176" s="78"/>
      <c r="F176" s="78"/>
      <c r="G176" s="78"/>
      <c r="H176" s="78"/>
      <c r="I176" s="78"/>
      <c r="J176" s="78"/>
      <c r="K176" s="78"/>
      <c r="L176" s="78"/>
      <c r="M176" s="78"/>
      <c r="N176" s="78"/>
      <c r="O176" s="78"/>
    </row>
    <row r="177" spans="1:15" ht="15">
      <c r="A177" s="78"/>
      <c r="B177" s="78"/>
      <c r="C177" s="78"/>
      <c r="D177" s="78"/>
      <c r="E177" s="78"/>
      <c r="F177" s="78"/>
      <c r="G177" s="78"/>
      <c r="H177" s="78"/>
      <c r="I177" s="78"/>
      <c r="J177" s="78"/>
      <c r="K177" s="78"/>
      <c r="L177" s="78"/>
      <c r="M177" s="78"/>
      <c r="N177" s="78"/>
      <c r="O177" s="78"/>
    </row>
    <row r="178" spans="1:15" ht="15">
      <c r="A178" s="78"/>
      <c r="B178" s="78"/>
      <c r="C178" s="78"/>
      <c r="D178" s="78"/>
      <c r="E178" s="78"/>
      <c r="F178" s="78"/>
      <c r="G178" s="78"/>
      <c r="H178" s="78"/>
      <c r="I178" s="78"/>
      <c r="J178" s="78"/>
      <c r="K178" s="78"/>
      <c r="L178" s="78"/>
      <c r="M178" s="78"/>
      <c r="N178" s="78"/>
      <c r="O178" s="78"/>
    </row>
    <row r="179" spans="1:15" ht="15">
      <c r="A179" s="78"/>
      <c r="B179" s="78"/>
      <c r="C179" s="78"/>
      <c r="D179" s="78"/>
      <c r="E179" s="78"/>
      <c r="F179" s="78"/>
      <c r="G179" s="78"/>
      <c r="H179" s="78"/>
      <c r="I179" s="78"/>
      <c r="J179" s="78"/>
      <c r="K179" s="78"/>
      <c r="L179" s="78"/>
      <c r="M179" s="78"/>
      <c r="N179" s="78"/>
      <c r="O179" s="78"/>
    </row>
    <row r="180" spans="1:15" ht="15">
      <c r="A180" s="78"/>
      <c r="B180" s="78"/>
      <c r="C180" s="78"/>
      <c r="D180" s="78"/>
      <c r="E180" s="78"/>
      <c r="F180" s="78"/>
      <c r="G180" s="78"/>
      <c r="H180" s="78"/>
      <c r="I180" s="78"/>
      <c r="J180" s="78"/>
      <c r="K180" s="78"/>
      <c r="L180" s="78"/>
      <c r="M180" s="78"/>
      <c r="N180" s="78"/>
      <c r="O180" s="78"/>
    </row>
    <row r="1000" ht="15">
      <c r="A1000" s="31" t="s">
        <v>399</v>
      </c>
    </row>
  </sheetData>
  <sheetProtection/>
  <mergeCells count="6">
    <mergeCell ref="B6:E6"/>
    <mergeCell ref="B62:E62"/>
    <mergeCell ref="B118:E118"/>
    <mergeCell ref="F6:I6"/>
    <mergeCell ref="F62:I62"/>
    <mergeCell ref="F118:I118"/>
  </mergeCells>
  <conditionalFormatting sqref="B26:I26">
    <cfRule type="cellIs" priority="3" dxfId="116" operator="notBetween">
      <formula>0.5</formula>
      <formula>-0.5</formula>
    </cfRule>
  </conditionalFormatting>
  <conditionalFormatting sqref="B82:I82">
    <cfRule type="cellIs" priority="2" dxfId="116" operator="notBetween">
      <formula>0.5</formula>
      <formula>-0.5</formula>
    </cfRule>
  </conditionalFormatting>
  <conditionalFormatting sqref="B138:I138">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A4" sqref="A4"/>
    </sheetView>
  </sheetViews>
  <sheetFormatPr defaultColWidth="11.421875" defaultRowHeight="15"/>
  <cols>
    <col min="1" max="1" width="62.00390625" style="31" customWidth="1"/>
    <col min="2" max="16384" width="11.421875" style="31" customWidth="1"/>
  </cols>
  <sheetData>
    <row r="1" spans="1:9" ht="18">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1317.3236620400007</v>
      </c>
      <c r="C8" s="41">
        <v>1330.8436849400002</v>
      </c>
      <c r="D8" s="41">
        <v>1461.5178269299995</v>
      </c>
      <c r="E8" s="42">
        <v>1458.2944071000006</v>
      </c>
      <c r="F8" s="52">
        <v>1499.8589109600002</v>
      </c>
      <c r="G8" s="52">
        <v>1542.5496169999994</v>
      </c>
      <c r="H8" s="52">
        <v>1556.4021001899998</v>
      </c>
      <c r="I8" s="52">
        <v>1610.1685485800008</v>
      </c>
    </row>
    <row r="9" spans="1:9" ht="15">
      <c r="A9" s="43" t="str">
        <f>HLOOKUP(INDICE!$F$2,Nombres!$C$3:$D$636,34,FALSE)</f>
        <v>Comisiones netas</v>
      </c>
      <c r="B9" s="44">
        <v>281.01796609</v>
      </c>
      <c r="C9" s="44">
        <v>307.79259768</v>
      </c>
      <c r="D9" s="44">
        <v>311.3025096299999</v>
      </c>
      <c r="E9" s="45">
        <v>304.41850095</v>
      </c>
      <c r="F9" s="44">
        <v>300.32462795</v>
      </c>
      <c r="G9" s="44">
        <v>320.83698025</v>
      </c>
      <c r="H9" s="44">
        <v>330.60007094999986</v>
      </c>
      <c r="I9" s="44">
        <v>346.4980729100002</v>
      </c>
    </row>
    <row r="10" spans="1:9" ht="15">
      <c r="A10" s="43" t="str">
        <f>HLOOKUP(INDICE!$F$2,Nombres!$C$3:$D$636,35,FALSE)</f>
        <v>Resultados de operaciones financieras</v>
      </c>
      <c r="B10" s="44">
        <v>67.47199997000001</v>
      </c>
      <c r="C10" s="44">
        <v>76.58460524</v>
      </c>
      <c r="D10" s="44">
        <v>54.777617650000025</v>
      </c>
      <c r="E10" s="45">
        <v>24.528743959999986</v>
      </c>
      <c r="F10" s="44">
        <v>62.501816569999995</v>
      </c>
      <c r="G10" s="44">
        <v>72.89898387</v>
      </c>
      <c r="H10" s="44">
        <v>105.77084269</v>
      </c>
      <c r="I10" s="44">
        <v>68.72210509000001</v>
      </c>
    </row>
    <row r="11" spans="1:9" ht="15">
      <c r="A11" s="43" t="str">
        <f>HLOOKUP(INDICE!$F$2,Nombres!$C$3:$D$636,36,FALSE)</f>
        <v>Otros ingresos y cargas de explotación</v>
      </c>
      <c r="B11" s="44">
        <v>44.697</v>
      </c>
      <c r="C11" s="44">
        <v>38.943000019999985</v>
      </c>
      <c r="D11" s="44">
        <v>47.41299996000001</v>
      </c>
      <c r="E11" s="45">
        <v>65.99300000999999</v>
      </c>
      <c r="F11" s="44">
        <v>39.735</v>
      </c>
      <c r="G11" s="44">
        <v>61.942000020000016</v>
      </c>
      <c r="H11" s="44">
        <v>18.915999969999923</v>
      </c>
      <c r="I11" s="44">
        <v>91.36699999999998</v>
      </c>
    </row>
    <row r="12" spans="1:9" ht="15">
      <c r="A12" s="41" t="str">
        <f>HLOOKUP(INDICE!$F$2,Nombres!$C$3:$D$636,37,FALSE)</f>
        <v>Margen bruto</v>
      </c>
      <c r="B12" s="41">
        <f>+SUM(B8:B11)</f>
        <v>1710.5106281000008</v>
      </c>
      <c r="C12" s="41">
        <f aca="true" t="shared" si="0" ref="C12:I12">+SUM(C8:C11)</f>
        <v>1754.1638878800002</v>
      </c>
      <c r="D12" s="41">
        <f t="shared" si="0"/>
        <v>1875.0109541699994</v>
      </c>
      <c r="E12" s="42">
        <f t="shared" si="0"/>
        <v>1853.2346520200006</v>
      </c>
      <c r="F12" s="52">
        <f t="shared" si="0"/>
        <v>1902.4203554800001</v>
      </c>
      <c r="G12" s="52">
        <f t="shared" si="0"/>
        <v>1998.2275811399993</v>
      </c>
      <c r="H12" s="52">
        <f t="shared" si="0"/>
        <v>2011.6890137999999</v>
      </c>
      <c r="I12" s="52">
        <f t="shared" si="0"/>
        <v>2116.755726580001</v>
      </c>
    </row>
    <row r="13" spans="1:9" ht="15">
      <c r="A13" s="43" t="str">
        <f>HLOOKUP(INDICE!$F$2,Nombres!$C$3:$D$636,38,FALSE)</f>
        <v>Gastos de explotación</v>
      </c>
      <c r="B13" s="44">
        <v>-572.7709884799999</v>
      </c>
      <c r="C13" s="44">
        <v>-583.2132529500001</v>
      </c>
      <c r="D13" s="44">
        <v>-621.38022985</v>
      </c>
      <c r="E13" s="45">
        <v>-615.0900858699999</v>
      </c>
      <c r="F13" s="44">
        <v>-634.29740855</v>
      </c>
      <c r="G13" s="44">
        <v>-655.69643576</v>
      </c>
      <c r="H13" s="44">
        <v>-668.08711059</v>
      </c>
      <c r="I13" s="44">
        <v>-686.89676105</v>
      </c>
    </row>
    <row r="14" spans="1:9" ht="15">
      <c r="A14" s="43" t="str">
        <f>HLOOKUP(INDICE!$F$2,Nombres!$C$3:$D$636,39,FALSE)</f>
        <v>  Gastos de administración</v>
      </c>
      <c r="B14" s="44">
        <v>-512.27306825</v>
      </c>
      <c r="C14" s="44">
        <v>-521.89921407</v>
      </c>
      <c r="D14" s="44">
        <v>-555.3099908300001</v>
      </c>
      <c r="E14" s="45">
        <v>-549.92524979</v>
      </c>
      <c r="F14" s="44">
        <v>-550.2542819</v>
      </c>
      <c r="G14" s="44">
        <v>-567.64142173</v>
      </c>
      <c r="H14" s="44">
        <v>-580.3107506000001</v>
      </c>
      <c r="I14" s="44">
        <v>-601.0742940700001</v>
      </c>
    </row>
    <row r="15" spans="1:9" ht="15">
      <c r="A15" s="46" t="str">
        <f>HLOOKUP(INDICE!$F$2,Nombres!$C$3:$D$636,40,FALSE)</f>
        <v>  Gastos de personal</v>
      </c>
      <c r="B15" s="44">
        <v>-246.43299549</v>
      </c>
      <c r="C15" s="44">
        <v>-251.91825740999997</v>
      </c>
      <c r="D15" s="44">
        <v>-262.62799469</v>
      </c>
      <c r="E15" s="45">
        <v>-262.94573956</v>
      </c>
      <c r="F15" s="44">
        <v>-269.04368953000005</v>
      </c>
      <c r="G15" s="44">
        <v>-278.79847452</v>
      </c>
      <c r="H15" s="44">
        <v>-284.20660512</v>
      </c>
      <c r="I15" s="44">
        <v>-292.44917091</v>
      </c>
    </row>
    <row r="16" spans="1:9" ht="15">
      <c r="A16" s="46" t="str">
        <f>HLOOKUP(INDICE!$F$2,Nombres!$C$3:$D$636,41,FALSE)</f>
        <v>  Otros gastos de administración</v>
      </c>
      <c r="B16" s="44">
        <v>-265.84007276</v>
      </c>
      <c r="C16" s="44">
        <v>-269.98095666</v>
      </c>
      <c r="D16" s="44">
        <v>-292.68199614</v>
      </c>
      <c r="E16" s="45">
        <v>-286.97951022999996</v>
      </c>
      <c r="F16" s="44">
        <v>-281.21059237</v>
      </c>
      <c r="G16" s="44">
        <v>-288.84294721</v>
      </c>
      <c r="H16" s="44">
        <v>-296.10414548</v>
      </c>
      <c r="I16" s="44">
        <v>-308.62512315999993</v>
      </c>
    </row>
    <row r="17" spans="1:9" ht="15">
      <c r="A17" s="43" t="str">
        <f>HLOOKUP(INDICE!$F$2,Nombres!$C$3:$D$636,42,FALSE)</f>
        <v>  Amortización</v>
      </c>
      <c r="B17" s="44">
        <v>-60.49792023</v>
      </c>
      <c r="C17" s="44">
        <v>-61.31403888</v>
      </c>
      <c r="D17" s="44">
        <v>-66.07023902</v>
      </c>
      <c r="E17" s="45">
        <v>-65.16483608</v>
      </c>
      <c r="F17" s="44">
        <v>-84.04312665</v>
      </c>
      <c r="G17" s="44">
        <v>-88.05501403</v>
      </c>
      <c r="H17" s="44">
        <v>-87.77635998999999</v>
      </c>
      <c r="I17" s="44">
        <v>-85.82246698</v>
      </c>
    </row>
    <row r="18" spans="1:9" ht="15">
      <c r="A18" s="41" t="str">
        <f>HLOOKUP(INDICE!$F$2,Nombres!$C$3:$D$636,43,FALSE)</f>
        <v>Margen neto</v>
      </c>
      <c r="B18" s="41">
        <f>+B12+B13</f>
        <v>1137.7396396200008</v>
      </c>
      <c r="C18" s="41">
        <f aca="true" t="shared" si="1" ref="C18:I18">+C12+C13</f>
        <v>1170.95063493</v>
      </c>
      <c r="D18" s="41">
        <f t="shared" si="1"/>
        <v>1253.6307243199994</v>
      </c>
      <c r="E18" s="42">
        <f t="shared" si="1"/>
        <v>1238.1445661500006</v>
      </c>
      <c r="F18" s="52">
        <f t="shared" si="1"/>
        <v>1268.1229469300001</v>
      </c>
      <c r="G18" s="52">
        <f t="shared" si="1"/>
        <v>1342.5311453799993</v>
      </c>
      <c r="H18" s="52">
        <f t="shared" si="1"/>
        <v>1343.6019032099998</v>
      </c>
      <c r="I18" s="52">
        <f t="shared" si="1"/>
        <v>1429.8589655300011</v>
      </c>
    </row>
    <row r="19" spans="1:9" ht="15">
      <c r="A19" s="43" t="str">
        <f>HLOOKUP(INDICE!$F$2,Nombres!$C$3:$D$636,44,FALSE)</f>
        <v>Deterioro de activos financieros no valorados a valor razonable con cambios en resultados</v>
      </c>
      <c r="B19" s="44">
        <v>-376.85400001999994</v>
      </c>
      <c r="C19" s="44">
        <v>-331.07899997000004</v>
      </c>
      <c r="D19" s="44">
        <v>-347.25400001</v>
      </c>
      <c r="E19" s="45">
        <v>-499.78099997000004</v>
      </c>
      <c r="F19" s="44">
        <v>-394.57000006000004</v>
      </c>
      <c r="G19" s="44">
        <v>-423.17699991000006</v>
      </c>
      <c r="H19" s="44">
        <v>-420.34600001</v>
      </c>
      <c r="I19" s="44">
        <v>-459.58600003000004</v>
      </c>
    </row>
    <row r="20" spans="1:9" ht="15">
      <c r="A20" s="43" t="str">
        <f>HLOOKUP(INDICE!$F$2,Nombres!$C$3:$D$636,45,FALSE)</f>
        <v>Provisiones o reversión de provisiones y otros resultados</v>
      </c>
      <c r="B20" s="44">
        <v>20.724999999999998</v>
      </c>
      <c r="C20" s="44">
        <v>32.900999999999996</v>
      </c>
      <c r="D20" s="44">
        <v>-21.59300001</v>
      </c>
      <c r="E20" s="45">
        <v>-8.39099995</v>
      </c>
      <c r="F20" s="44">
        <v>3.700000010000003</v>
      </c>
      <c r="G20" s="44">
        <v>-13.232</v>
      </c>
      <c r="H20" s="44">
        <v>-4.615999969999999</v>
      </c>
      <c r="I20" s="44">
        <v>18.781999980000002</v>
      </c>
    </row>
    <row r="21" spans="1:9" ht="15">
      <c r="A21" s="41" t="str">
        <f>HLOOKUP(INDICE!$F$2,Nombres!$C$3:$D$636,46,FALSE)</f>
        <v>Resultado antes de impuestos</v>
      </c>
      <c r="B21" s="41">
        <f>+B18+B19+B20</f>
        <v>781.6106396000009</v>
      </c>
      <c r="C21" s="41">
        <f aca="true" t="shared" si="2" ref="C21:I21">+C18+C19+C20</f>
        <v>872.7726349599999</v>
      </c>
      <c r="D21" s="41">
        <f t="shared" si="2"/>
        <v>884.7837242999994</v>
      </c>
      <c r="E21" s="42">
        <f t="shared" si="2"/>
        <v>729.9725662300006</v>
      </c>
      <c r="F21" s="52">
        <f t="shared" si="2"/>
        <v>877.2529468800002</v>
      </c>
      <c r="G21" s="52">
        <f t="shared" si="2"/>
        <v>906.1221454699993</v>
      </c>
      <c r="H21" s="52">
        <f t="shared" si="2"/>
        <v>918.6399032299998</v>
      </c>
      <c r="I21" s="52">
        <f t="shared" si="2"/>
        <v>989.0549654800011</v>
      </c>
    </row>
    <row r="22" spans="1:9" ht="15">
      <c r="A22" s="43" t="str">
        <f>HLOOKUP(INDICE!$F$2,Nombres!$C$3:$D$636,47,FALSE)</f>
        <v>Impuesto sobre beneficios</v>
      </c>
      <c r="B22" s="44">
        <v>-214.31036086999995</v>
      </c>
      <c r="C22" s="44">
        <v>-240.15824013999998</v>
      </c>
      <c r="D22" s="44">
        <v>-246.69458757999996</v>
      </c>
      <c r="E22" s="45">
        <v>-200.27209829000003</v>
      </c>
      <c r="F22" s="44">
        <v>-250.01219603999996</v>
      </c>
      <c r="G22" s="44">
        <v>-246.48346131000005</v>
      </c>
      <c r="H22" s="44">
        <v>-240.26518162</v>
      </c>
      <c r="I22" s="44">
        <v>-255.00452186000004</v>
      </c>
    </row>
    <row r="23" spans="1:9" ht="15">
      <c r="A23" s="41" t="str">
        <f>HLOOKUP(INDICE!$F$2,Nombres!$C$3:$D$636,48,FALSE)</f>
        <v>Resultado del ejercicio</v>
      </c>
      <c r="B23" s="41">
        <f>+B21+B22</f>
        <v>567.300278730001</v>
      </c>
      <c r="C23" s="41">
        <f aca="true" t="shared" si="3" ref="C23:I23">+C21+C22</f>
        <v>632.6143948199999</v>
      </c>
      <c r="D23" s="41">
        <f t="shared" si="3"/>
        <v>638.0891367199995</v>
      </c>
      <c r="E23" s="42">
        <f t="shared" si="3"/>
        <v>529.7004679400005</v>
      </c>
      <c r="F23" s="52">
        <f t="shared" si="3"/>
        <v>627.2407508400003</v>
      </c>
      <c r="G23" s="52">
        <f t="shared" si="3"/>
        <v>659.6386841599992</v>
      </c>
      <c r="H23" s="52">
        <f t="shared" si="3"/>
        <v>678.3747216099998</v>
      </c>
      <c r="I23" s="52">
        <f t="shared" si="3"/>
        <v>734.050443620001</v>
      </c>
    </row>
    <row r="24" spans="1:9" ht="15">
      <c r="A24" s="43" t="str">
        <f>HLOOKUP(INDICE!$F$2,Nombres!$C$3:$D$636,49,FALSE)</f>
        <v>Minoritarios</v>
      </c>
      <c r="B24" s="44">
        <v>-0.099</v>
      </c>
      <c r="C24" s="44">
        <v>-0.116</v>
      </c>
      <c r="D24" s="44">
        <v>-0.11699999999999999</v>
      </c>
      <c r="E24" s="45">
        <v>-0.10099999999999998</v>
      </c>
      <c r="F24" s="44">
        <v>-0.11299999999999999</v>
      </c>
      <c r="G24" s="44">
        <v>-0.128</v>
      </c>
      <c r="H24" s="44">
        <v>-0.119</v>
      </c>
      <c r="I24" s="44">
        <v>-0.13399999999999998</v>
      </c>
    </row>
    <row r="25" spans="1:9" ht="15">
      <c r="A25" s="47" t="str">
        <f>HLOOKUP(INDICE!$F$2,Nombres!$C$3:$D$636,50,FALSE)</f>
        <v>Resultado atribuido</v>
      </c>
      <c r="B25" s="47">
        <f>+B23+B24</f>
        <v>567.2012787300009</v>
      </c>
      <c r="C25" s="47">
        <f aca="true" t="shared" si="4" ref="C25:I25">+C23+C24</f>
        <v>632.4983948199999</v>
      </c>
      <c r="D25" s="47">
        <f t="shared" si="4"/>
        <v>637.9721367199995</v>
      </c>
      <c r="E25" s="47">
        <f t="shared" si="4"/>
        <v>529.5994679400005</v>
      </c>
      <c r="F25" s="53">
        <f t="shared" si="4"/>
        <v>627.1277508400002</v>
      </c>
      <c r="G25" s="53">
        <f t="shared" si="4"/>
        <v>659.5106841599992</v>
      </c>
      <c r="H25" s="53">
        <f t="shared" si="4"/>
        <v>678.2557216099998</v>
      </c>
      <c r="I25" s="53">
        <f t="shared" si="4"/>
        <v>733.916443620001</v>
      </c>
    </row>
    <row r="26" spans="1:9" ht="15">
      <c r="A26" s="65"/>
      <c r="B26" s="66">
        <v>0</v>
      </c>
      <c r="C26" s="66">
        <v>0</v>
      </c>
      <c r="D26" s="66">
        <v>0</v>
      </c>
      <c r="E26" s="66">
        <v>0</v>
      </c>
      <c r="F26" s="66">
        <v>0</v>
      </c>
      <c r="G26" s="66">
        <v>0</v>
      </c>
      <c r="H26" s="66">
        <v>0</v>
      </c>
      <c r="I26" s="66">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4"/>
      <c r="D29" s="54"/>
      <c r="E29" s="54"/>
      <c r="F29" s="30"/>
      <c r="G29" s="60"/>
      <c r="H29" s="60"/>
      <c r="I29" s="60"/>
    </row>
    <row r="30" spans="1:9" ht="15.75">
      <c r="A30" s="30"/>
      <c r="B30" s="55">
        <f>+España!B30</f>
        <v>43190</v>
      </c>
      <c r="C30" s="55">
        <f>+España!C30</f>
        <v>43281</v>
      </c>
      <c r="D30" s="55">
        <f>+España!D30</f>
        <v>43373</v>
      </c>
      <c r="E30" s="71">
        <f>+España!E30</f>
        <v>43465</v>
      </c>
      <c r="F30" s="80">
        <f>+España!F30</f>
        <v>43555</v>
      </c>
      <c r="G30" s="80">
        <f>+España!G30</f>
        <v>43646</v>
      </c>
      <c r="H30" s="80">
        <f>+España!H30</f>
        <v>43738</v>
      </c>
      <c r="I30" s="80">
        <f>+España!I30</f>
        <v>43830</v>
      </c>
    </row>
    <row r="31" spans="1:9" ht="15">
      <c r="A31" s="43" t="str">
        <f>HLOOKUP(INDICE!$F$2,Nombres!$C$3:$D$636,52,FALSE)</f>
        <v>Efectivo, saldos en efectivo en bancos centrales y otros depósitos a la vista</v>
      </c>
      <c r="B31" s="44">
        <v>7748.785000000001</v>
      </c>
      <c r="C31" s="44">
        <v>5928.087</v>
      </c>
      <c r="D31" s="44">
        <v>6225.0340000000015</v>
      </c>
      <c r="E31" s="45">
        <v>8273.75700002</v>
      </c>
      <c r="F31" s="44">
        <v>8678.05499999</v>
      </c>
      <c r="G31" s="44">
        <v>10051.260000000002</v>
      </c>
      <c r="H31" s="44">
        <v>6831.139999999999</v>
      </c>
      <c r="I31" s="44">
        <v>6489.006000009999</v>
      </c>
    </row>
    <row r="32" spans="1:9" ht="15">
      <c r="A32" s="43" t="str">
        <f>HLOOKUP(INDICE!$F$2,Nombres!$C$3:$D$636,53,FALSE)</f>
        <v>Activos financieros a valor razonable</v>
      </c>
      <c r="B32" s="60">
        <v>27930.477</v>
      </c>
      <c r="C32" s="60">
        <v>28292.69400001</v>
      </c>
      <c r="D32" s="60">
        <v>26954.857000000004</v>
      </c>
      <c r="E32" s="68">
        <v>26022.014000000003</v>
      </c>
      <c r="F32" s="44">
        <v>26193.015000000003</v>
      </c>
      <c r="G32" s="44">
        <v>28405.322999990003</v>
      </c>
      <c r="H32" s="44">
        <v>30669.01300002</v>
      </c>
      <c r="I32" s="44">
        <v>31401.844000009998</v>
      </c>
    </row>
    <row r="33" spans="1:9" ht="15">
      <c r="A33" s="43" t="str">
        <f>HLOOKUP(INDICE!$F$2,Nombres!$C$3:$D$636,54,FALSE)</f>
        <v>Activos financieros a coste amortizado</v>
      </c>
      <c r="B33" s="44">
        <v>53233.026000059996</v>
      </c>
      <c r="C33" s="44">
        <v>55871.23600001</v>
      </c>
      <c r="D33" s="44">
        <v>58814.56699997</v>
      </c>
      <c r="E33" s="45">
        <v>57708.93799996999</v>
      </c>
      <c r="F33" s="44">
        <v>60754.00099999</v>
      </c>
      <c r="G33" s="44">
        <v>61510.06199996</v>
      </c>
      <c r="H33" s="44">
        <v>64579.616000019996</v>
      </c>
      <c r="I33" s="44">
        <v>66180.48099996</v>
      </c>
    </row>
    <row r="34" spans="1:9" ht="15">
      <c r="A34" s="43" t="str">
        <f>HLOOKUP(INDICE!$F$2,Nombres!$C$3:$D$636,55,FALSE)</f>
        <v>    de los que préstamos y anticipos a la clientela</v>
      </c>
      <c r="B34" s="44">
        <v>47246.565000030016</v>
      </c>
      <c r="C34" s="44">
        <v>49498.15300000999</v>
      </c>
      <c r="D34" s="44">
        <v>52038.66099998</v>
      </c>
      <c r="E34" s="45">
        <v>51101.48799995</v>
      </c>
      <c r="F34" s="44">
        <v>53479.972999980004</v>
      </c>
      <c r="G34" s="44">
        <v>54431.906999950006</v>
      </c>
      <c r="H34" s="44">
        <v>56510.21200001</v>
      </c>
      <c r="I34" s="44">
        <v>58080.63499996</v>
      </c>
    </row>
    <row r="35" spans="1:9" ht="15">
      <c r="A35" s="43" t="str">
        <f>HLOOKUP(INDICE!$F$2,Nombres!$C$3:$D$636,56,FALSE)</f>
        <v>Activos tangibles</v>
      </c>
      <c r="B35" s="44">
        <v>1790.8919999999998</v>
      </c>
      <c r="C35" s="44">
        <v>1734.483</v>
      </c>
      <c r="D35" s="44">
        <v>1803.558</v>
      </c>
      <c r="E35" s="45">
        <v>1787.9389999900002</v>
      </c>
      <c r="F35" s="44">
        <v>2029.4470000100002</v>
      </c>
      <c r="G35" s="44">
        <v>2020.4779999999998</v>
      </c>
      <c r="H35" s="44">
        <v>1996.9530000000002</v>
      </c>
      <c r="I35" s="44">
        <v>2022.07499999</v>
      </c>
    </row>
    <row r="36" spans="1:9" ht="15">
      <c r="A36" s="43" t="str">
        <f>HLOOKUP(INDICE!$F$2,Nombres!$C$3:$D$636,57,FALSE)</f>
        <v>Otros activos</v>
      </c>
      <c r="B36" s="60">
        <f>+B37-B35-B33-B32-B31</f>
        <v>3574.471311540011</v>
      </c>
      <c r="C36" s="60">
        <f aca="true" t="shared" si="5" ref="C36:I36">+C37-C35-C33-C32-C31</f>
        <v>3772.906432389994</v>
      </c>
      <c r="D36" s="60">
        <f t="shared" si="5"/>
        <v>3309.0363845900047</v>
      </c>
      <c r="E36" s="68">
        <f t="shared" si="5"/>
        <v>3639.2140893400065</v>
      </c>
      <c r="F36" s="44">
        <f t="shared" si="5"/>
        <v>4083.0521499099996</v>
      </c>
      <c r="G36" s="44">
        <f t="shared" si="5"/>
        <v>3379.0760001499984</v>
      </c>
      <c r="H36" s="44">
        <f t="shared" si="5"/>
        <v>3054.4253709399563</v>
      </c>
      <c r="I36" s="44">
        <f t="shared" si="5"/>
        <v>2985.40203054999</v>
      </c>
    </row>
    <row r="37" spans="1:9" ht="15">
      <c r="A37" s="47" t="str">
        <f>HLOOKUP(INDICE!$F$2,Nombres!$C$3:$D$636,58,FALSE)</f>
        <v>Total activo / pasivo</v>
      </c>
      <c r="B37" s="47">
        <v>94277.65131160001</v>
      </c>
      <c r="C37" s="47">
        <v>95599.40643240999</v>
      </c>
      <c r="D37" s="47">
        <v>97107.05238456001</v>
      </c>
      <c r="E37" s="74">
        <v>97431.86208932</v>
      </c>
      <c r="F37" s="47">
        <v>101737.5701499</v>
      </c>
      <c r="G37" s="53">
        <v>105366.19900010001</v>
      </c>
      <c r="H37" s="53">
        <v>107131.14737097995</v>
      </c>
      <c r="I37" s="53">
        <v>109078.80803051998</v>
      </c>
    </row>
    <row r="38" spans="1:9" ht="15">
      <c r="A38" s="43" t="str">
        <f>HLOOKUP(INDICE!$F$2,Nombres!$C$3:$D$636,59,FALSE)</f>
        <v>Pasivos financieros mantenidos para negociar y designados a valor razonable con cambios en resultados</v>
      </c>
      <c r="B38" s="60">
        <v>19166.895</v>
      </c>
      <c r="C38" s="60">
        <v>17254.218</v>
      </c>
      <c r="D38" s="60">
        <v>16299.86899999</v>
      </c>
      <c r="E38" s="68">
        <v>18027.928</v>
      </c>
      <c r="F38" s="44">
        <v>17747.20699999</v>
      </c>
      <c r="G38" s="44">
        <v>20681.508000010002</v>
      </c>
      <c r="H38" s="44">
        <v>22830.747</v>
      </c>
      <c r="I38" s="44">
        <v>21784.341999990003</v>
      </c>
    </row>
    <row r="39" spans="1:9" ht="15">
      <c r="A39" s="43" t="str">
        <f>HLOOKUP(INDICE!$F$2,Nombres!$C$3:$D$636,60,FALSE)</f>
        <v>Depósitos de bancos centrales y entidades de crédito</v>
      </c>
      <c r="B39" s="60">
        <v>1447.8639999999996</v>
      </c>
      <c r="C39" s="60">
        <v>1987.1159999800002</v>
      </c>
      <c r="D39" s="60">
        <v>2658.7980000000002</v>
      </c>
      <c r="E39" s="68">
        <v>683.3110000000007</v>
      </c>
      <c r="F39" s="44">
        <v>3533.15799999</v>
      </c>
      <c r="G39" s="44">
        <v>1867.8340000200003</v>
      </c>
      <c r="H39" s="44">
        <v>2104.525</v>
      </c>
      <c r="I39" s="44">
        <v>2117.36300002</v>
      </c>
    </row>
    <row r="40" spans="1:9" ht="15.75" customHeight="1">
      <c r="A40" s="43" t="str">
        <f>HLOOKUP(INDICE!$F$2,Nombres!$C$3:$D$636,61,FALSE)</f>
        <v>Depósitos de la clientela</v>
      </c>
      <c r="B40" s="60">
        <v>47521.85800003</v>
      </c>
      <c r="C40" s="60">
        <v>49572.97400002</v>
      </c>
      <c r="D40" s="60">
        <v>50326.833999990005</v>
      </c>
      <c r="E40" s="68">
        <v>50529.552</v>
      </c>
      <c r="F40" s="44">
        <v>50904.01799998</v>
      </c>
      <c r="G40" s="44">
        <v>52960.11800003</v>
      </c>
      <c r="H40" s="44">
        <v>52826.08900001</v>
      </c>
      <c r="I40" s="44">
        <v>55933.81500005</v>
      </c>
    </row>
    <row r="41" spans="1:9" ht="15">
      <c r="A41" s="43" t="str">
        <f>HLOOKUP(INDICE!$F$2,Nombres!$C$3:$D$636,62,FALSE)</f>
        <v>Valores representativos de deuda emitidos</v>
      </c>
      <c r="B41" s="44">
        <v>7902.69876549</v>
      </c>
      <c r="C41" s="44">
        <v>8012.477000000001</v>
      </c>
      <c r="D41" s="44">
        <v>8574.753</v>
      </c>
      <c r="E41" s="45">
        <v>8565.787999999999</v>
      </c>
      <c r="F41" s="44">
        <v>9070.749871060001</v>
      </c>
      <c r="G41" s="44">
        <v>9511.637</v>
      </c>
      <c r="H41" s="44">
        <v>9342.978</v>
      </c>
      <c r="I41" s="44">
        <v>8839.961</v>
      </c>
    </row>
    <row r="42" spans="1:9" ht="15">
      <c r="A42" s="43" t="str">
        <f>HLOOKUP(INDICE!$F$2,Nombres!$C$3:$D$636,63,FALSE)</f>
        <v>Otros pasivos</v>
      </c>
      <c r="B42" s="60">
        <f>+B37-B38-B39-B40-B41-B43</f>
        <v>14650.763956060007</v>
      </c>
      <c r="C42" s="60">
        <f aca="true" t="shared" si="6" ref="C42:I42">+C37-C38-C39-C40-C41-C43</f>
        <v>14761.167822399979</v>
      </c>
      <c r="D42" s="60">
        <f t="shared" si="6"/>
        <v>14968.833919890014</v>
      </c>
      <c r="E42" s="68">
        <f t="shared" si="6"/>
        <v>15484.798390519993</v>
      </c>
      <c r="F42" s="44">
        <f t="shared" si="6"/>
        <v>16544.514238879998</v>
      </c>
      <c r="G42" s="44">
        <f t="shared" si="6"/>
        <v>16286.699994850009</v>
      </c>
      <c r="H42" s="44">
        <f t="shared" si="6"/>
        <v>15590.564475919955</v>
      </c>
      <c r="I42" s="44">
        <f t="shared" si="6"/>
        <v>15514.41361206997</v>
      </c>
    </row>
    <row r="43" spans="1:9" ht="15">
      <c r="A43" s="43" t="str">
        <f>HLOOKUP(INDICE!$F$2,Nombres!$C$3:$D$636,64,FALSE)</f>
        <v>Dotación de capital económico</v>
      </c>
      <c r="B43" s="44">
        <v>3587.5715900200007</v>
      </c>
      <c r="C43" s="44">
        <v>4011.45361001</v>
      </c>
      <c r="D43" s="44">
        <v>4277.964464690001</v>
      </c>
      <c r="E43" s="45">
        <v>4140.484698800001</v>
      </c>
      <c r="F43" s="44">
        <v>3937.92304</v>
      </c>
      <c r="G43" s="44">
        <v>4058.4020051900006</v>
      </c>
      <c r="H43" s="44">
        <v>4436.243895049998</v>
      </c>
      <c r="I43" s="44">
        <v>4888.91341839</v>
      </c>
    </row>
    <row r="44" spans="1:9" ht="15">
      <c r="A44" s="65"/>
      <c r="B44" s="60"/>
      <c r="C44" s="60"/>
      <c r="D44" s="60"/>
      <c r="E44" s="60"/>
      <c r="F44" s="81"/>
      <c r="G44" s="81"/>
      <c r="H44" s="81"/>
      <c r="I44" s="81"/>
    </row>
    <row r="45" spans="1:9" ht="15">
      <c r="A45" s="43"/>
      <c r="B45" s="60"/>
      <c r="C45" s="60"/>
      <c r="D45" s="60"/>
      <c r="E45" s="60"/>
      <c r="F45" s="81"/>
      <c r="G45" s="81"/>
      <c r="H45" s="81"/>
      <c r="I45" s="81"/>
    </row>
    <row r="46" spans="1:9" ht="18">
      <c r="A46" s="69" t="str">
        <f>HLOOKUP(INDICE!$F$2,Nombres!$C$3:$D$636,65,FALSE)</f>
        <v>Indicadores relevantes y de gestión</v>
      </c>
      <c r="B46" s="70"/>
      <c r="C46" s="70"/>
      <c r="D46" s="70"/>
      <c r="E46" s="70"/>
      <c r="F46" s="82"/>
      <c r="G46" s="82"/>
      <c r="H46" s="82"/>
      <c r="I46" s="82"/>
    </row>
    <row r="47" spans="1:9" ht="15">
      <c r="A47" s="35" t="str">
        <f>HLOOKUP(INDICE!$F$2,Nombres!$C$3:$D$636,32,FALSE)</f>
        <v>(Millones de euros)</v>
      </c>
      <c r="B47" s="30"/>
      <c r="C47" s="30"/>
      <c r="D47" s="30"/>
      <c r="E47" s="30"/>
      <c r="F47" s="83"/>
      <c r="G47" s="81"/>
      <c r="H47" s="81"/>
      <c r="I47" s="81"/>
    </row>
    <row r="48" spans="1:9" ht="15.75">
      <c r="A48" s="30"/>
      <c r="B48" s="55">
        <f aca="true" t="shared" si="7" ref="B48:I48">+B$30</f>
        <v>43190</v>
      </c>
      <c r="C48" s="55">
        <f t="shared" si="7"/>
        <v>43281</v>
      </c>
      <c r="D48" s="55">
        <f t="shared" si="7"/>
        <v>43373</v>
      </c>
      <c r="E48" s="71">
        <f t="shared" si="7"/>
        <v>43465</v>
      </c>
      <c r="F48" s="80">
        <f t="shared" si="7"/>
        <v>43555</v>
      </c>
      <c r="G48" s="80">
        <f t="shared" si="7"/>
        <v>43646</v>
      </c>
      <c r="H48" s="80">
        <f t="shared" si="7"/>
        <v>43738</v>
      </c>
      <c r="I48" s="80">
        <f t="shared" si="7"/>
        <v>43830</v>
      </c>
    </row>
    <row r="49" spans="1:9" ht="15">
      <c r="A49" s="43" t="str">
        <f>HLOOKUP(INDICE!$F$2,Nombres!$C$3:$D$636,66,FALSE)</f>
        <v>Préstamos y anticipos a la clientela bruto (*)</v>
      </c>
      <c r="B49" s="44">
        <v>48738.00862878001</v>
      </c>
      <c r="C49" s="44">
        <v>50576.808466129994</v>
      </c>
      <c r="D49" s="44">
        <v>53187.005189749994</v>
      </c>
      <c r="E49" s="45">
        <v>52525.04917909</v>
      </c>
      <c r="F49" s="44">
        <v>55355.10392042</v>
      </c>
      <c r="G49" s="44">
        <v>56334.93995790001</v>
      </c>
      <c r="H49" s="44">
        <v>58501.76987570999</v>
      </c>
      <c r="I49" s="44">
        <v>60095.21197796</v>
      </c>
    </row>
    <row r="50" spans="1:9" ht="15">
      <c r="A50" s="43" t="str">
        <f>HLOOKUP(INDICE!$F$2,Nombres!$C$3:$D$636,67,FALSE)</f>
        <v>Depósitos de clientes en gestión (**)</v>
      </c>
      <c r="B50" s="44">
        <v>46023.8541696</v>
      </c>
      <c r="C50" s="44">
        <v>48141.36813641001</v>
      </c>
      <c r="D50" s="44">
        <v>49262.44195095</v>
      </c>
      <c r="E50" s="45">
        <v>49739.960551419994</v>
      </c>
      <c r="F50" s="44">
        <v>50829.4218897</v>
      </c>
      <c r="G50" s="44">
        <v>52679.01480042999</v>
      </c>
      <c r="H50" s="44">
        <v>52389.60477442001</v>
      </c>
      <c r="I50" s="44">
        <v>55330.8809559</v>
      </c>
    </row>
    <row r="51" spans="1:9" ht="15">
      <c r="A51" s="43" t="str">
        <f>HLOOKUP(INDICE!$F$2,Nombres!$C$3:$D$636,68,FALSE)</f>
        <v>Fondos de inversión</v>
      </c>
      <c r="B51" s="44">
        <v>17587.89980045</v>
      </c>
      <c r="C51" s="44">
        <v>17933.24977827</v>
      </c>
      <c r="D51" s="44">
        <v>19160.970131159997</v>
      </c>
      <c r="E51" s="45">
        <v>17732.58627321</v>
      </c>
      <c r="F51" s="44">
        <v>19552.95962264</v>
      </c>
      <c r="G51" s="44">
        <v>20292.23132221</v>
      </c>
      <c r="H51" s="44">
        <v>21256.078480950004</v>
      </c>
      <c r="I51" s="44">
        <v>21929.47901322</v>
      </c>
    </row>
    <row r="52" spans="1:9" ht="15">
      <c r="A52" s="43" t="str">
        <f>HLOOKUP(INDICE!$F$2,Nombres!$C$3:$D$636,69,FALSE)</f>
        <v>Fondos de pensiones</v>
      </c>
      <c r="B52" s="44" t="s">
        <v>400</v>
      </c>
      <c r="C52" s="44" t="s">
        <v>400</v>
      </c>
      <c r="D52" s="44" t="s">
        <v>400</v>
      </c>
      <c r="E52" s="45" t="s">
        <v>400</v>
      </c>
      <c r="F52" s="44" t="s">
        <v>400</v>
      </c>
      <c r="G52" s="44" t="s">
        <v>400</v>
      </c>
      <c r="H52" s="44" t="s">
        <v>400</v>
      </c>
      <c r="I52" s="44" t="s">
        <v>400</v>
      </c>
    </row>
    <row r="53" spans="1:9" ht="15">
      <c r="A53" s="43" t="str">
        <f>HLOOKUP(INDICE!$F$2,Nombres!$C$3:$D$636,70,FALSE)</f>
        <v>Otros recursos fuera de balance</v>
      </c>
      <c r="B53" s="44">
        <v>2444.4636794400003</v>
      </c>
      <c r="C53" s="44">
        <v>2890.02642665</v>
      </c>
      <c r="D53" s="44">
        <v>3162.0461762200002</v>
      </c>
      <c r="E53" s="45">
        <v>2913.92584377</v>
      </c>
      <c r="F53" s="44">
        <v>3190.65869424</v>
      </c>
      <c r="G53" s="44">
        <v>3126.70753434</v>
      </c>
      <c r="H53" s="44">
        <v>2898.59580942</v>
      </c>
      <c r="I53" s="44">
        <v>2534.22569093</v>
      </c>
    </row>
    <row r="54" spans="1:9" ht="15">
      <c r="A54" s="65" t="str">
        <f>HLOOKUP(INDICE!$F$2,Nombres!$C$3:$D$636,71,FALSE)</f>
        <v>(*) No incluye las adquisiciones temporales de activos.</v>
      </c>
      <c r="B54" s="60"/>
      <c r="C54" s="60"/>
      <c r="D54" s="60"/>
      <c r="E54" s="60"/>
      <c r="F54" s="60"/>
      <c r="G54" s="60"/>
      <c r="H54" s="60"/>
      <c r="I54" s="60"/>
    </row>
    <row r="55" spans="1:9" ht="15">
      <c r="A55" s="65" t="str">
        <f>HLOOKUP(INDICE!$F$2,Nombres!$C$3:$D$636,72,FALSE)</f>
        <v>(**) No incluye las cesiones temporales de activos.</v>
      </c>
      <c r="B55" s="30"/>
      <c r="C55" s="30"/>
      <c r="D55" s="30"/>
      <c r="E55" s="30"/>
      <c r="F55" s="30"/>
      <c r="G55" s="30"/>
      <c r="H55" s="30"/>
      <c r="I55" s="30"/>
    </row>
    <row r="56" spans="1:9" ht="15">
      <c r="A56" s="65"/>
      <c r="B56" s="30"/>
      <c r="C56" s="30"/>
      <c r="D56" s="30"/>
      <c r="E56" s="30"/>
      <c r="F56" s="30"/>
      <c r="G56" s="30"/>
      <c r="H56" s="30"/>
      <c r="I56" s="30"/>
    </row>
    <row r="57" spans="1:9" ht="18">
      <c r="A57" s="33" t="str">
        <f>HLOOKUP(INDICE!$F$2,Nombres!$C$3:$D$636,31,FALSE)</f>
        <v>Cuenta de resultados  </v>
      </c>
      <c r="B57" s="34"/>
      <c r="C57" s="34"/>
      <c r="D57" s="34"/>
      <c r="E57" s="34"/>
      <c r="F57" s="34"/>
      <c r="G57" s="34"/>
      <c r="H57" s="34"/>
      <c r="I57" s="34"/>
    </row>
    <row r="58" spans="1:9" ht="15">
      <c r="A58" s="35" t="str">
        <f>HLOOKUP(INDICE!$F$2,Nombres!$C$3:$D$636,73,FALSE)</f>
        <v>(Millones de euros constantes)</v>
      </c>
      <c r="B58" s="30"/>
      <c r="C58" s="36"/>
      <c r="D58" s="36"/>
      <c r="E58" s="36"/>
      <c r="F58" s="30"/>
      <c r="G58" s="30"/>
      <c r="H58" s="30"/>
      <c r="I58" s="30"/>
    </row>
    <row r="59" spans="1:9" ht="15">
      <c r="A59" s="37"/>
      <c r="B59" s="30"/>
      <c r="C59" s="36"/>
      <c r="D59" s="36"/>
      <c r="E59" s="36"/>
      <c r="F59" s="30"/>
      <c r="G59" s="30"/>
      <c r="H59" s="30"/>
      <c r="I59" s="30"/>
    </row>
    <row r="60" spans="1:9" ht="15.75">
      <c r="A60" s="38"/>
      <c r="B60" s="295">
        <f>+B$6</f>
        <v>2018</v>
      </c>
      <c r="C60" s="295"/>
      <c r="D60" s="295"/>
      <c r="E60" s="296"/>
      <c r="F60" s="295">
        <f>+F$6</f>
        <v>2019</v>
      </c>
      <c r="G60" s="295"/>
      <c r="H60" s="295"/>
      <c r="I60" s="295"/>
    </row>
    <row r="61" spans="1:9" ht="15.7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5">
      <c r="A62" s="41" t="str">
        <f>HLOOKUP(INDICE!$F$2,Nombres!$C$3:$D$636,33,FALSE)</f>
        <v>Margen de intereses</v>
      </c>
      <c r="B62" s="41">
        <v>1408.03031481196</v>
      </c>
      <c r="C62" s="41">
        <v>1427.838388279315</v>
      </c>
      <c r="D62" s="41">
        <v>1499.5669301527485</v>
      </c>
      <c r="E62" s="42">
        <v>1529.9985903043967</v>
      </c>
      <c r="F62" s="52">
        <v>1517.436638429896</v>
      </c>
      <c r="G62" s="52">
        <v>1538.772666869251</v>
      </c>
      <c r="H62" s="52">
        <v>1559.3210521354804</v>
      </c>
      <c r="I62" s="52">
        <v>1593.4488192953727</v>
      </c>
    </row>
    <row r="63" spans="1:9" ht="15">
      <c r="A63" s="43" t="str">
        <f>HLOOKUP(INDICE!$F$2,Nombres!$C$3:$D$636,34,FALSE)</f>
        <v>Comisiones netas</v>
      </c>
      <c r="B63" s="44">
        <v>300.36795562357753</v>
      </c>
      <c r="C63" s="44">
        <v>330.177335159922</v>
      </c>
      <c r="D63" s="44">
        <v>319.0121880085764</v>
      </c>
      <c r="E63" s="45">
        <v>319.3230220691682</v>
      </c>
      <c r="F63" s="44">
        <v>303.8443086506495</v>
      </c>
      <c r="G63" s="44">
        <v>320.13497277357817</v>
      </c>
      <c r="H63" s="44">
        <v>331.24268320077385</v>
      </c>
      <c r="I63" s="44">
        <v>343.03778743499856</v>
      </c>
    </row>
    <row r="64" spans="1:9" ht="15">
      <c r="A64" s="43" t="str">
        <f>HLOOKUP(INDICE!$F$2,Nombres!$C$3:$D$636,35,FALSE)</f>
        <v>Resultados de operaciones financieras</v>
      </c>
      <c r="B64" s="44">
        <v>72.11790397177802</v>
      </c>
      <c r="C64" s="44">
        <v>82.14939286446685</v>
      </c>
      <c r="D64" s="44">
        <v>55.489153698743465</v>
      </c>
      <c r="E64" s="45">
        <v>25.539094428502732</v>
      </c>
      <c r="F64" s="44">
        <v>63.23431206675156</v>
      </c>
      <c r="G64" s="44">
        <v>72.78068475129623</v>
      </c>
      <c r="H64" s="44">
        <v>106.0334653224111</v>
      </c>
      <c r="I64" s="44">
        <v>67.84528607954111</v>
      </c>
    </row>
    <row r="65" spans="1:9" ht="15">
      <c r="A65" s="43" t="str">
        <f>HLOOKUP(INDICE!$F$2,Nombres!$C$3:$D$636,36,FALSE)</f>
        <v>Otros ingresos y cargas de explotación</v>
      </c>
      <c r="B65" s="44">
        <v>47.774691060881594</v>
      </c>
      <c r="C65" s="44">
        <v>41.79368861639528</v>
      </c>
      <c r="D65" s="44">
        <v>48.68353547277228</v>
      </c>
      <c r="E65" s="45">
        <v>69.32074835189195</v>
      </c>
      <c r="F65" s="44">
        <v>40.20067780203357</v>
      </c>
      <c r="G65" s="44">
        <v>61.937542867623705</v>
      </c>
      <c r="H65" s="44">
        <v>18.893214923912097</v>
      </c>
      <c r="I65" s="44">
        <v>90.92856439643062</v>
      </c>
    </row>
    <row r="66" spans="1:9" ht="15">
      <c r="A66" s="41" t="str">
        <f>HLOOKUP(INDICE!$F$2,Nombres!$C$3:$D$636,37,FALSE)</f>
        <v>Margen bruto</v>
      </c>
      <c r="B66" s="41">
        <f>+SUM(B62:B65)</f>
        <v>1828.2908654681971</v>
      </c>
      <c r="C66" s="41">
        <f aca="true" t="shared" si="9" ref="C66:I66">+SUM(C62:C65)</f>
        <v>1881.958804920099</v>
      </c>
      <c r="D66" s="41">
        <f t="shared" si="9"/>
        <v>1922.7518073328406</v>
      </c>
      <c r="E66" s="42">
        <f t="shared" si="9"/>
        <v>1944.1814551539596</v>
      </c>
      <c r="F66" s="52">
        <f t="shared" si="9"/>
        <v>1924.7159369493306</v>
      </c>
      <c r="G66" s="52">
        <f t="shared" si="9"/>
        <v>1993.625867261749</v>
      </c>
      <c r="H66" s="52">
        <f t="shared" si="9"/>
        <v>2015.4904155825775</v>
      </c>
      <c r="I66" s="52">
        <f t="shared" si="9"/>
        <v>2095.2604572063433</v>
      </c>
    </row>
    <row r="67" spans="1:9" ht="15">
      <c r="A67" s="43" t="str">
        <f>HLOOKUP(INDICE!$F$2,Nombres!$C$3:$D$636,38,FALSE)</f>
        <v>Gastos de explotación</v>
      </c>
      <c r="B67" s="44">
        <v>-612.2101488526696</v>
      </c>
      <c r="C67" s="44">
        <v>-625.7099302075021</v>
      </c>
      <c r="D67" s="44">
        <v>-637.077380834791</v>
      </c>
      <c r="E67" s="45">
        <v>-645.2676800225448</v>
      </c>
      <c r="F67" s="44">
        <v>-641.73111241433</v>
      </c>
      <c r="G67" s="44">
        <v>-654.1143187718512</v>
      </c>
      <c r="H67" s="44">
        <v>-669.3544477423306</v>
      </c>
      <c r="I67" s="44">
        <v>-679.7778370214882</v>
      </c>
    </row>
    <row r="68" spans="1:9" ht="15">
      <c r="A68" s="43" t="str">
        <f>HLOOKUP(INDICE!$F$2,Nombres!$C$3:$D$636,39,FALSE)</f>
        <v>  Gastos de administración</v>
      </c>
      <c r="B68" s="44">
        <v>-547.5465372274125</v>
      </c>
      <c r="C68" s="44">
        <v>-559.9275853503524</v>
      </c>
      <c r="D68" s="44">
        <v>-569.3205207617771</v>
      </c>
      <c r="E68" s="45">
        <v>-576.9050911147632</v>
      </c>
      <c r="F68" s="44">
        <v>-556.7030350031773</v>
      </c>
      <c r="G68" s="44">
        <v>-566.2635950170177</v>
      </c>
      <c r="H68" s="44">
        <v>-581.4139319259027</v>
      </c>
      <c r="I68" s="44">
        <v>-594.9001863539024</v>
      </c>
    </row>
    <row r="69" spans="1:9" ht="15">
      <c r="A69" s="46" t="str">
        <f>HLOOKUP(INDICE!$F$2,Nombres!$C$3:$D$636,40,FALSE)</f>
        <v>  Gastos de personal</v>
      </c>
      <c r="B69" s="44">
        <v>-263.40157564808317</v>
      </c>
      <c r="C69" s="44">
        <v>-270.27267377468525</v>
      </c>
      <c r="D69" s="44">
        <v>-269.1065979047752</v>
      </c>
      <c r="E69" s="45">
        <v>-275.84463514712024</v>
      </c>
      <c r="F69" s="44">
        <v>-272.1967705414844</v>
      </c>
      <c r="G69" s="44">
        <v>-278.130479799054</v>
      </c>
      <c r="H69" s="44">
        <v>-284.7465684122765</v>
      </c>
      <c r="I69" s="44">
        <v>-289.4241213271851</v>
      </c>
    </row>
    <row r="70" spans="1:9" ht="15">
      <c r="A70" s="46" t="str">
        <f>HLOOKUP(INDICE!$F$2,Nombres!$C$3:$D$636,41,FALSE)</f>
        <v>  Otros gastos de administración</v>
      </c>
      <c r="B70" s="44">
        <v>-284.14496157932933</v>
      </c>
      <c r="C70" s="44">
        <v>-289.6549115756672</v>
      </c>
      <c r="D70" s="44">
        <v>-300.2139228570019</v>
      </c>
      <c r="E70" s="45">
        <v>-301.06045596764295</v>
      </c>
      <c r="F70" s="44">
        <v>-284.506264461693</v>
      </c>
      <c r="G70" s="44">
        <v>-288.1331152179637</v>
      </c>
      <c r="H70" s="44">
        <v>-296.66736351362607</v>
      </c>
      <c r="I70" s="44">
        <v>-305.47606502671727</v>
      </c>
    </row>
    <row r="71" spans="1:9" ht="15">
      <c r="A71" s="43" t="str">
        <f>HLOOKUP(INDICE!$F$2,Nombres!$C$3:$D$636,42,FALSE)</f>
        <v>  Amortización</v>
      </c>
      <c r="B71" s="44">
        <v>-64.66361162525692</v>
      </c>
      <c r="C71" s="44">
        <v>-65.78234485714968</v>
      </c>
      <c r="D71" s="44">
        <v>-67.75686007301408</v>
      </c>
      <c r="E71" s="45">
        <v>-68.36258890778167</v>
      </c>
      <c r="F71" s="44">
        <v>-85.02807741115268</v>
      </c>
      <c r="G71" s="44">
        <v>-87.85072375483357</v>
      </c>
      <c r="H71" s="44">
        <v>-87.94051581642802</v>
      </c>
      <c r="I71" s="44">
        <v>-84.87765066758575</v>
      </c>
    </row>
    <row r="72" spans="1:9" ht="15">
      <c r="A72" s="41" t="str">
        <f>HLOOKUP(INDICE!$F$2,Nombres!$C$3:$D$636,43,FALSE)</f>
        <v>Margen neto</v>
      </c>
      <c r="B72" s="41">
        <f>+B66+B67</f>
        <v>1216.0807166155275</v>
      </c>
      <c r="C72" s="41">
        <f aca="true" t="shared" si="10" ref="C72:I72">+C66+C67</f>
        <v>1256.248874712597</v>
      </c>
      <c r="D72" s="41">
        <f t="shared" si="10"/>
        <v>1285.6744264980496</v>
      </c>
      <c r="E72" s="42">
        <f t="shared" si="10"/>
        <v>1298.9137751314147</v>
      </c>
      <c r="F72" s="52">
        <f t="shared" si="10"/>
        <v>1282.9848245350006</v>
      </c>
      <c r="G72" s="52">
        <f t="shared" si="10"/>
        <v>1339.5115484898977</v>
      </c>
      <c r="H72" s="52">
        <f t="shared" si="10"/>
        <v>1346.1359678402468</v>
      </c>
      <c r="I72" s="52">
        <f t="shared" si="10"/>
        <v>1415.482620184855</v>
      </c>
    </row>
    <row r="73" spans="1:9" ht="15">
      <c r="A73" s="43" t="str">
        <f>HLOOKUP(INDICE!$F$2,Nombres!$C$3:$D$636,44,FALSE)</f>
        <v>Deterioro de activos financieros no valorados a valor razonable con cambios en resultados</v>
      </c>
      <c r="B73" s="44">
        <v>-402.80294932574793</v>
      </c>
      <c r="C73" s="44">
        <v>-355.3081424247989</v>
      </c>
      <c r="D73" s="44">
        <v>-355.03873018178535</v>
      </c>
      <c r="E73" s="45">
        <v>-524.8882475054618</v>
      </c>
      <c r="F73" s="44">
        <v>-399.1941976282982</v>
      </c>
      <c r="G73" s="44">
        <v>-422.26221354096276</v>
      </c>
      <c r="H73" s="44">
        <v>-421.13787870124827</v>
      </c>
      <c r="I73" s="44">
        <v>-455.08471013949077</v>
      </c>
    </row>
    <row r="74" spans="1:9" ht="15">
      <c r="A74" s="43" t="str">
        <f>HLOOKUP(INDICE!$F$2,Nombres!$C$3:$D$636,45,FALSE)</f>
        <v>Provisiones o reversión de provisiones y otros resultados</v>
      </c>
      <c r="B74" s="44">
        <v>22.152056563902963</v>
      </c>
      <c r="C74" s="44">
        <v>35.27493922071098</v>
      </c>
      <c r="D74" s="44">
        <v>-23.63438060377216</v>
      </c>
      <c r="E74" s="45">
        <v>-8.887603563935828</v>
      </c>
      <c r="F74" s="44">
        <v>3.7433624831894012</v>
      </c>
      <c r="G74" s="44">
        <v>-13.318600916761262</v>
      </c>
      <c r="H74" s="44">
        <v>-4.6241988976045345</v>
      </c>
      <c r="I74" s="44">
        <v>18.833437351176386</v>
      </c>
    </row>
    <row r="75" spans="1:9" ht="15">
      <c r="A75" s="41" t="str">
        <f>HLOOKUP(INDICE!$F$2,Nombres!$C$3:$D$636,46,FALSE)</f>
        <v>Resultado antes de impuestos</v>
      </c>
      <c r="B75" s="41">
        <f>+B72+B73+B74</f>
        <v>835.4298238536826</v>
      </c>
      <c r="C75" s="41">
        <f aca="true" t="shared" si="11" ref="C75:I75">+C72+C73+C74</f>
        <v>936.215671508509</v>
      </c>
      <c r="D75" s="41">
        <f t="shared" si="11"/>
        <v>907.0013157124921</v>
      </c>
      <c r="E75" s="42">
        <f t="shared" si="11"/>
        <v>765.1379240620171</v>
      </c>
      <c r="F75" s="52">
        <f t="shared" si="11"/>
        <v>887.5339893898919</v>
      </c>
      <c r="G75" s="52">
        <f t="shared" si="11"/>
        <v>903.9307340321736</v>
      </c>
      <c r="H75" s="52">
        <f t="shared" si="11"/>
        <v>920.3738902413941</v>
      </c>
      <c r="I75" s="52">
        <f t="shared" si="11"/>
        <v>979.2313473965406</v>
      </c>
    </row>
    <row r="76" spans="1:9" ht="15">
      <c r="A76" s="43" t="str">
        <f>HLOOKUP(INDICE!$F$2,Nombres!$C$3:$D$636,47,FALSE)</f>
        <v>Impuesto sobre beneficios</v>
      </c>
      <c r="B76" s="44">
        <v>-229.06708015549805</v>
      </c>
      <c r="C76" s="44">
        <v>-257.61412736400126</v>
      </c>
      <c r="D76" s="44">
        <v>-252.99780532321466</v>
      </c>
      <c r="E76" s="45">
        <v>-209.9130797743091</v>
      </c>
      <c r="F76" s="44">
        <v>-252.942235801759</v>
      </c>
      <c r="G76" s="44">
        <v>-245.80559312676843</v>
      </c>
      <c r="H76" s="44">
        <v>-240.69162474669446</v>
      </c>
      <c r="I76" s="44">
        <v>-252.32590715477798</v>
      </c>
    </row>
    <row r="77" spans="1:9" ht="15">
      <c r="A77" s="41" t="str">
        <f>HLOOKUP(INDICE!$F$2,Nombres!$C$3:$D$636,48,FALSE)</f>
        <v>Resultado del ejercicio</v>
      </c>
      <c r="B77" s="41">
        <f>+B75+B76</f>
        <v>606.3627436981845</v>
      </c>
      <c r="C77" s="41">
        <f aca="true" t="shared" si="12" ref="C77:I77">+C75+C76</f>
        <v>678.6015441445077</v>
      </c>
      <c r="D77" s="41">
        <f t="shared" si="12"/>
        <v>654.0035103892774</v>
      </c>
      <c r="E77" s="42">
        <f t="shared" si="12"/>
        <v>555.224844287708</v>
      </c>
      <c r="F77" s="52">
        <f t="shared" si="12"/>
        <v>634.5917535881329</v>
      </c>
      <c r="G77" s="52">
        <f t="shared" si="12"/>
        <v>658.1251409054053</v>
      </c>
      <c r="H77" s="52">
        <f t="shared" si="12"/>
        <v>679.6822654946995</v>
      </c>
      <c r="I77" s="52">
        <f t="shared" si="12"/>
        <v>726.9054402417627</v>
      </c>
    </row>
    <row r="78" spans="1:9" ht="15">
      <c r="A78" s="43" t="str">
        <f>HLOOKUP(INDICE!$F$2,Nombres!$C$3:$D$636,49,FALSE)</f>
        <v>Minoritarios</v>
      </c>
      <c r="B78" s="44">
        <v>-0.10581682025700331</v>
      </c>
      <c r="C78" s="44">
        <v>-0.12442231922183153</v>
      </c>
      <c r="D78" s="44">
        <v>-0.11999806101883459</v>
      </c>
      <c r="E78" s="45">
        <v>-0.10589468393998383</v>
      </c>
      <c r="F78" s="44">
        <v>-0.1143243133667999</v>
      </c>
      <c r="G78" s="44">
        <v>-0.12776889528948948</v>
      </c>
      <c r="H78" s="44">
        <v>-0.11921563030864255</v>
      </c>
      <c r="I78" s="44">
        <v>-0.13269116103506803</v>
      </c>
    </row>
    <row r="79" spans="1:9" ht="15">
      <c r="A79" s="47" t="str">
        <f>HLOOKUP(INDICE!$F$2,Nombres!$C$3:$D$636,50,FALSE)</f>
        <v>Resultado atribuido</v>
      </c>
      <c r="B79" s="47">
        <f>+B77+B78</f>
        <v>606.2569268779275</v>
      </c>
      <c r="C79" s="47">
        <f aca="true" t="shared" si="13" ref="C79:I79">+C77+C78</f>
        <v>678.4771218252858</v>
      </c>
      <c r="D79" s="47">
        <f t="shared" si="13"/>
        <v>653.8835123282586</v>
      </c>
      <c r="E79" s="47">
        <f t="shared" si="13"/>
        <v>555.1189496037681</v>
      </c>
      <c r="F79" s="53">
        <f t="shared" si="13"/>
        <v>634.4774292747661</v>
      </c>
      <c r="G79" s="53">
        <f t="shared" si="13"/>
        <v>657.9973720101158</v>
      </c>
      <c r="H79" s="53">
        <f t="shared" si="13"/>
        <v>679.5630498643909</v>
      </c>
      <c r="I79" s="53">
        <f t="shared" si="13"/>
        <v>726.7727490807276</v>
      </c>
    </row>
    <row r="80" spans="1:9" ht="15">
      <c r="A80" s="65"/>
      <c r="B80" s="66">
        <v>0</v>
      </c>
      <c r="C80" s="66">
        <v>0</v>
      </c>
      <c r="D80" s="66">
        <v>0</v>
      </c>
      <c r="E80" s="66">
        <v>0</v>
      </c>
      <c r="F80" s="66">
        <v>0</v>
      </c>
      <c r="G80" s="66">
        <v>0</v>
      </c>
      <c r="H80" s="66">
        <v>0</v>
      </c>
      <c r="I80" s="66">
        <v>0</v>
      </c>
    </row>
    <row r="81" spans="1:9" ht="15">
      <c r="A81" s="41"/>
      <c r="B81" s="41"/>
      <c r="C81" s="41"/>
      <c r="D81" s="41"/>
      <c r="E81" s="41"/>
      <c r="F81" s="52"/>
      <c r="G81" s="52"/>
      <c r="H81" s="52"/>
      <c r="I81" s="52"/>
    </row>
    <row r="82" spans="1:9" ht="18">
      <c r="A82" s="33" t="str">
        <f>HLOOKUP(INDICE!$F$2,Nombres!$C$3:$D$636,51,FALSE)</f>
        <v>Balances</v>
      </c>
      <c r="B82" s="34"/>
      <c r="C82" s="34"/>
      <c r="D82" s="34"/>
      <c r="E82" s="34"/>
      <c r="F82" s="72"/>
      <c r="G82" s="72"/>
      <c r="H82" s="72"/>
      <c r="I82" s="72"/>
    </row>
    <row r="83" spans="1:9" ht="15">
      <c r="A83" s="35" t="str">
        <f>HLOOKUP(INDICE!$F$2,Nombres!$C$3:$D$636,73,FALSE)</f>
        <v>(Millones de euros constantes)</v>
      </c>
      <c r="B83" s="30"/>
      <c r="C83" s="54"/>
      <c r="D83" s="54"/>
      <c r="E83" s="54"/>
      <c r="F83" s="73"/>
      <c r="G83" s="44"/>
      <c r="H83" s="44"/>
      <c r="I83" s="44"/>
    </row>
    <row r="84" spans="1:9" ht="15.75">
      <c r="A84" s="30"/>
      <c r="B84" s="55">
        <f aca="true" t="shared" si="14" ref="B84:I84">+B$30</f>
        <v>43190</v>
      </c>
      <c r="C84" s="55">
        <f t="shared" si="14"/>
        <v>43281</v>
      </c>
      <c r="D84" s="55">
        <f t="shared" si="14"/>
        <v>43373</v>
      </c>
      <c r="E84" s="71">
        <f t="shared" si="14"/>
        <v>43465</v>
      </c>
      <c r="F84" s="55">
        <f t="shared" si="14"/>
        <v>43555</v>
      </c>
      <c r="G84" s="55">
        <f t="shared" si="14"/>
        <v>43646</v>
      </c>
      <c r="H84" s="55">
        <f t="shared" si="14"/>
        <v>43738</v>
      </c>
      <c r="I84" s="55">
        <f t="shared" si="14"/>
        <v>43830</v>
      </c>
    </row>
    <row r="85" spans="1:9" ht="15">
      <c r="A85" s="43" t="str">
        <f>HLOOKUP(INDICE!$F$2,Nombres!$C$3:$D$636,52,FALSE)</f>
        <v>Efectivo, saldos en efectivo en bancos centrales y otros depósitos a la vista</v>
      </c>
      <c r="B85" s="44">
        <v>8225.268390448673</v>
      </c>
      <c r="C85" s="44">
        <v>6392.25138110857</v>
      </c>
      <c r="D85" s="44">
        <v>6389.209446923394</v>
      </c>
      <c r="E85" s="45">
        <v>8769.681693029157</v>
      </c>
      <c r="F85" s="44">
        <v>8870.58986278858</v>
      </c>
      <c r="G85" s="44">
        <v>10335.411462971106</v>
      </c>
      <c r="H85" s="44">
        <v>6905.824709942814</v>
      </c>
      <c r="I85" s="44">
        <v>6489.006000009999</v>
      </c>
    </row>
    <row r="86" spans="1:9" ht="15">
      <c r="A86" s="43" t="str">
        <f>HLOOKUP(INDICE!$F$2,Nombres!$C$3:$D$636,53,FALSE)</f>
        <v>Activos financieros a valor razonable</v>
      </c>
      <c r="B86" s="60">
        <v>29647.960241283454</v>
      </c>
      <c r="C86" s="60">
        <v>30507.988883571732</v>
      </c>
      <c r="D86" s="60">
        <v>27665.748811150137</v>
      </c>
      <c r="E86" s="68">
        <v>27581.75999017094</v>
      </c>
      <c r="F86" s="44">
        <v>26774.14389919595</v>
      </c>
      <c r="G86" s="44">
        <v>29208.348101978594</v>
      </c>
      <c r="H86" s="44">
        <v>31004.31667409766</v>
      </c>
      <c r="I86" s="44">
        <v>31401.844000009998</v>
      </c>
    </row>
    <row r="87" spans="1:9" ht="15">
      <c r="A87" s="43" t="str">
        <f>HLOOKUP(INDICE!$F$2,Nombres!$C$3:$D$636,54,FALSE)</f>
        <v>Activos financieros a coste amortizado</v>
      </c>
      <c r="B87" s="44">
        <v>56506.39759474882</v>
      </c>
      <c r="C87" s="44">
        <v>60245.90824751843</v>
      </c>
      <c r="D87" s="44">
        <v>60365.70837892888</v>
      </c>
      <c r="E87" s="45">
        <v>61167.98174049204</v>
      </c>
      <c r="F87" s="44">
        <v>62101.91401125939</v>
      </c>
      <c r="G87" s="44">
        <v>63248.96578960746</v>
      </c>
      <c r="H87" s="44">
        <v>65285.663583465765</v>
      </c>
      <c r="I87" s="44">
        <v>66180.48099996</v>
      </c>
    </row>
    <row r="88" spans="1:9" ht="15">
      <c r="A88" s="43" t="str">
        <f>HLOOKUP(INDICE!$F$2,Nombres!$C$3:$D$636,55,FALSE)</f>
        <v>    de los que préstamos y anticipos a la clientela</v>
      </c>
      <c r="B88" s="44">
        <v>50151.820917992336</v>
      </c>
      <c r="C88" s="44">
        <v>53373.81804225161</v>
      </c>
      <c r="D88" s="44">
        <v>53411.098552444244</v>
      </c>
      <c r="E88" s="45">
        <v>54164.48462272066</v>
      </c>
      <c r="F88" s="44">
        <v>54666.50146333207</v>
      </c>
      <c r="G88" s="44">
        <v>55970.7096979543</v>
      </c>
      <c r="H88" s="44">
        <v>57128.036959244855</v>
      </c>
      <c r="I88" s="44">
        <v>58080.63499996</v>
      </c>
    </row>
    <row r="89" spans="1:9" ht="15">
      <c r="A89" s="43" t="str">
        <f>HLOOKUP(INDICE!$F$2,Nombres!$C$3:$D$636,56,FALSE)</f>
        <v>Activos tangibles</v>
      </c>
      <c r="B89" s="44">
        <v>1901.0163991267536</v>
      </c>
      <c r="C89" s="44">
        <v>1870.2916054132363</v>
      </c>
      <c r="D89" s="44">
        <v>1851.1239957362902</v>
      </c>
      <c r="E89" s="45">
        <v>1895.1071340900219</v>
      </c>
      <c r="F89" s="44">
        <v>2074.4731377452836</v>
      </c>
      <c r="G89" s="44">
        <v>2077.5973839977205</v>
      </c>
      <c r="H89" s="44">
        <v>2018.7856451477246</v>
      </c>
      <c r="I89" s="44">
        <v>2022.07499999</v>
      </c>
    </row>
    <row r="90" spans="1:9" ht="15">
      <c r="A90" s="43" t="str">
        <f>HLOOKUP(INDICE!$F$2,Nombres!$C$3:$D$636,57,FALSE)</f>
        <v>Otros activos</v>
      </c>
      <c r="B90" s="60">
        <f>+B91-B89-B87-B86-B85</f>
        <v>3794.2704425759293</v>
      </c>
      <c r="C90" s="60">
        <f aca="true" t="shared" si="15" ref="C90:I90">+C91-C89-C87-C86-C85</f>
        <v>4068.3219313816226</v>
      </c>
      <c r="D90" s="60">
        <f t="shared" si="15"/>
        <v>3396.3069966583043</v>
      </c>
      <c r="E90" s="68">
        <f t="shared" si="15"/>
        <v>3857.3466898075094</v>
      </c>
      <c r="F90" s="44">
        <f t="shared" si="15"/>
        <v>4173.640407933624</v>
      </c>
      <c r="G90" s="44">
        <f t="shared" si="15"/>
        <v>3474.6032662771486</v>
      </c>
      <c r="H90" s="44">
        <f t="shared" si="15"/>
        <v>3087.8193392777303</v>
      </c>
      <c r="I90" s="44">
        <f t="shared" si="15"/>
        <v>2985.40203054999</v>
      </c>
    </row>
    <row r="91" spans="1:9" ht="15">
      <c r="A91" s="47" t="str">
        <f>HLOOKUP(INDICE!$F$2,Nombres!$C$3:$D$636,58,FALSE)</f>
        <v>Total activo / pasivo</v>
      </c>
      <c r="B91" s="47">
        <v>100074.91306818363</v>
      </c>
      <c r="C91" s="47">
        <v>103084.7620489936</v>
      </c>
      <c r="D91" s="47">
        <v>99668.097629397</v>
      </c>
      <c r="E91" s="47">
        <v>103271.87724758967</v>
      </c>
      <c r="F91" s="53">
        <v>103994.76131892283</v>
      </c>
      <c r="G91" s="53">
        <v>108344.92600483203</v>
      </c>
      <c r="H91" s="53">
        <v>108302.4099519317</v>
      </c>
      <c r="I91" s="53">
        <v>109078.80803051998</v>
      </c>
    </row>
    <row r="92" spans="1:9" ht="15">
      <c r="A92" s="43" t="str">
        <f>HLOOKUP(INDICE!$F$2,Nombres!$C$3:$D$636,59,FALSE)</f>
        <v>Pasivos financieros mantenidos para negociar y designados a valor razonable con cambios en resultados</v>
      </c>
      <c r="B92" s="60">
        <v>20345.493595002146</v>
      </c>
      <c r="C92" s="60">
        <v>18605.20920837504</v>
      </c>
      <c r="D92" s="60">
        <v>16729.75231916</v>
      </c>
      <c r="E92" s="68">
        <v>19108.512631500485</v>
      </c>
      <c r="F92" s="44">
        <v>18140.95376292305</v>
      </c>
      <c r="G92" s="44">
        <v>21266.179051664363</v>
      </c>
      <c r="H92" s="44">
        <v>23080.35507675918</v>
      </c>
      <c r="I92" s="44">
        <v>21784.341999990003</v>
      </c>
    </row>
    <row r="93" spans="1:9" ht="15">
      <c r="A93" s="43" t="str">
        <f>HLOOKUP(INDICE!$F$2,Nombres!$C$3:$D$636,60,FALSE)</f>
        <v>Depósitos de bancos centrales y entidades de crédito</v>
      </c>
      <c r="B93" s="60">
        <v>1536.895138124051</v>
      </c>
      <c r="C93" s="60">
        <v>2142.7055634128</v>
      </c>
      <c r="D93" s="60">
        <v>2728.9196009308585</v>
      </c>
      <c r="E93" s="68">
        <v>724.2683060828314</v>
      </c>
      <c r="F93" s="44">
        <v>3611.5460824318106</v>
      </c>
      <c r="G93" s="44">
        <v>1920.6381025596668</v>
      </c>
      <c r="H93" s="44">
        <v>2127.5337275611973</v>
      </c>
      <c r="I93" s="44">
        <v>2117.36300002</v>
      </c>
    </row>
    <row r="94" spans="1:9" ht="15">
      <c r="A94" s="43" t="str">
        <f>HLOOKUP(INDICE!$F$2,Nombres!$C$3:$D$636,61,FALSE)</f>
        <v>Depósitos de la clientela</v>
      </c>
      <c r="B94" s="60">
        <v>50444.04206117954</v>
      </c>
      <c r="C94" s="60">
        <v>53454.49746558833</v>
      </c>
      <c r="D94" s="60">
        <v>51654.1248170663</v>
      </c>
      <c r="E94" s="68">
        <v>53558.267076286334</v>
      </c>
      <c r="F94" s="44">
        <v>52033.39527651648</v>
      </c>
      <c r="G94" s="44">
        <v>54457.31287995857</v>
      </c>
      <c r="H94" s="44">
        <v>53403.63551997284</v>
      </c>
      <c r="I94" s="44">
        <v>55933.81500005</v>
      </c>
    </row>
    <row r="95" spans="1:9" ht="15">
      <c r="A95" s="43" t="str">
        <f>HLOOKUP(INDICE!$F$2,Nombres!$C$3:$D$636,62,FALSE)</f>
        <v>Valores representativos de deuda emitidos</v>
      </c>
      <c r="B95" s="44">
        <v>8388.646523941836</v>
      </c>
      <c r="C95" s="44">
        <v>8639.847419471182</v>
      </c>
      <c r="D95" s="44">
        <v>8800.89857704146</v>
      </c>
      <c r="E95" s="45">
        <v>9079.216879319425</v>
      </c>
      <c r="F95" s="44">
        <v>9271.997222212625</v>
      </c>
      <c r="G95" s="44">
        <v>9780.533194984519</v>
      </c>
      <c r="H95" s="44">
        <v>9445.124581966124</v>
      </c>
      <c r="I95" s="44">
        <v>8839.961</v>
      </c>
    </row>
    <row r="96" spans="1:9" ht="15">
      <c r="A96" s="43" t="str">
        <f>HLOOKUP(INDICE!$F$2,Nombres!$C$3:$D$636,63,FALSE)</f>
        <v>Otros pasivos</v>
      </c>
      <c r="B96" s="60">
        <f>+B91-B92-B93-B94-B95-B97</f>
        <v>15551.65947483445</v>
      </c>
      <c r="C96" s="60">
        <f aca="true" t="shared" si="16" ref="C96:I96">+C91-C92-C93-C94-C95-C97</f>
        <v>15916.955233536839</v>
      </c>
      <c r="D96" s="60">
        <f t="shared" si="16"/>
        <v>15363.613289564146</v>
      </c>
      <c r="E96" s="68">
        <f t="shared" si="16"/>
        <v>16412.949155415423</v>
      </c>
      <c r="F96" s="44">
        <f t="shared" si="16"/>
        <v>16911.57757035873</v>
      </c>
      <c r="G96" s="44">
        <f t="shared" si="16"/>
        <v>16747.12879984639</v>
      </c>
      <c r="H96" s="44">
        <f t="shared" si="16"/>
        <v>15761.015789423875</v>
      </c>
      <c r="I96" s="44">
        <f t="shared" si="16"/>
        <v>15514.41361206997</v>
      </c>
    </row>
    <row r="97" spans="1:9" ht="15">
      <c r="A97" s="43" t="str">
        <f>HLOOKUP(INDICE!$F$2,Nombres!$C$3:$D$636,64,FALSE)</f>
        <v>Dotación de capital económico</v>
      </c>
      <c r="B97" s="44">
        <v>3808.176275101604</v>
      </c>
      <c r="C97" s="44">
        <v>4325.54715860941</v>
      </c>
      <c r="D97" s="44">
        <v>4390.789025634226</v>
      </c>
      <c r="E97" s="45">
        <v>4388.6631989851685</v>
      </c>
      <c r="F97" s="44">
        <v>4025.2914044801323</v>
      </c>
      <c r="G97" s="44">
        <v>4173.133975818519</v>
      </c>
      <c r="H97" s="44">
        <v>4484.745256248478</v>
      </c>
      <c r="I97" s="44">
        <v>4888.91341839</v>
      </c>
    </row>
    <row r="98" spans="1:9" ht="15">
      <c r="A98" s="65"/>
      <c r="B98" s="60"/>
      <c r="C98" s="60"/>
      <c r="D98" s="60"/>
      <c r="E98" s="60"/>
      <c r="F98" s="44"/>
      <c r="G98" s="44"/>
      <c r="H98" s="44"/>
      <c r="I98" s="44"/>
    </row>
    <row r="99" spans="1:9" ht="15">
      <c r="A99" s="43"/>
      <c r="B99" s="60"/>
      <c r="C99" s="60"/>
      <c r="D99" s="60"/>
      <c r="E99" s="60"/>
      <c r="F99" s="44"/>
      <c r="G99" s="44"/>
      <c r="H99" s="44"/>
      <c r="I99" s="44"/>
    </row>
    <row r="100" spans="1:9" ht="18">
      <c r="A100" s="69" t="str">
        <f>HLOOKUP(INDICE!$F$2,Nombres!$C$3:$D$636,65,FALSE)</f>
        <v>Indicadores relevantes y de gestión</v>
      </c>
      <c r="B100" s="70"/>
      <c r="C100" s="70"/>
      <c r="D100" s="70"/>
      <c r="E100" s="70"/>
      <c r="F100" s="75"/>
      <c r="G100" s="75"/>
      <c r="H100" s="75"/>
      <c r="I100" s="75"/>
    </row>
    <row r="101" spans="1:9" ht="15">
      <c r="A101" s="35" t="str">
        <f>HLOOKUP(INDICE!$F$2,Nombres!$C$3:$D$636,73,FALSE)</f>
        <v>(Millones de euros constantes)</v>
      </c>
      <c r="B101" s="30"/>
      <c r="C101" s="30"/>
      <c r="D101" s="30"/>
      <c r="E101" s="30"/>
      <c r="F101" s="73"/>
      <c r="G101" s="73"/>
      <c r="H101" s="73"/>
      <c r="I101" s="73"/>
    </row>
    <row r="102" spans="1:9" ht="15.75">
      <c r="A102" s="30"/>
      <c r="B102" s="55">
        <f aca="true" t="shared" si="17" ref="B102:I102">+B$30</f>
        <v>43190</v>
      </c>
      <c r="C102" s="55">
        <f t="shared" si="17"/>
        <v>43281</v>
      </c>
      <c r="D102" s="55">
        <f t="shared" si="17"/>
        <v>43373</v>
      </c>
      <c r="E102" s="71">
        <f t="shared" si="17"/>
        <v>43465</v>
      </c>
      <c r="F102" s="55">
        <f t="shared" si="17"/>
        <v>43555</v>
      </c>
      <c r="G102" s="55">
        <f t="shared" si="17"/>
        <v>43646</v>
      </c>
      <c r="H102" s="55">
        <f t="shared" si="17"/>
        <v>43738</v>
      </c>
      <c r="I102" s="55">
        <f t="shared" si="17"/>
        <v>43830</v>
      </c>
    </row>
    <row r="103" spans="1:9" ht="15">
      <c r="A103" s="43" t="str">
        <f>HLOOKUP(INDICE!$F$2,Nombres!$C$3:$D$636,66,FALSE)</f>
        <v>Préstamos y anticipos a la clientela bruto (*)</v>
      </c>
      <c r="B103" s="44">
        <v>51734.97545585775</v>
      </c>
      <c r="C103" s="44">
        <v>54536.931352337284</v>
      </c>
      <c r="D103" s="44">
        <v>54589.72850781446</v>
      </c>
      <c r="E103" s="45">
        <v>55673.37331882097</v>
      </c>
      <c r="F103" s="44">
        <v>56583.23480211313</v>
      </c>
      <c r="G103" s="44">
        <v>57927.541841188904</v>
      </c>
      <c r="H103" s="44">
        <v>59141.36849531208</v>
      </c>
      <c r="I103" s="44">
        <v>60095.21197796</v>
      </c>
    </row>
    <row r="104" spans="1:9" ht="15">
      <c r="A104" s="43" t="str">
        <f>HLOOKUP(INDICE!$F$2,Nombres!$C$3:$D$636,67,FALSE)</f>
        <v>Depósitos de clientes en gestión (**)</v>
      </c>
      <c r="B104" s="44">
        <v>48853.92392585807</v>
      </c>
      <c r="C104" s="44">
        <v>51910.79802951997</v>
      </c>
      <c r="D104" s="44">
        <v>50561.66110763813</v>
      </c>
      <c r="E104" s="45">
        <v>52721.347926791415</v>
      </c>
      <c r="F104" s="44">
        <v>51957.14414655085</v>
      </c>
      <c r="G104" s="44">
        <v>54168.26282738569</v>
      </c>
      <c r="H104" s="44">
        <v>52962.379221524905</v>
      </c>
      <c r="I104" s="44">
        <v>55330.8809559</v>
      </c>
    </row>
    <row r="105" spans="1:9" ht="15">
      <c r="A105" s="43" t="str">
        <f>HLOOKUP(INDICE!$F$2,Nombres!$C$3:$D$636,68,FALSE)</f>
        <v>Fondos de inversión</v>
      </c>
      <c r="B105" s="44">
        <v>18669.403820472482</v>
      </c>
      <c r="C105" s="44">
        <v>19337.40862151844</v>
      </c>
      <c r="D105" s="44">
        <v>19666.310477055136</v>
      </c>
      <c r="E105" s="45">
        <v>18795.46827515649</v>
      </c>
      <c r="F105" s="44">
        <v>19986.769548741584</v>
      </c>
      <c r="G105" s="44">
        <v>20865.89743144944</v>
      </c>
      <c r="H105" s="44">
        <v>21488.470739909913</v>
      </c>
      <c r="I105" s="44">
        <v>21929.47901322</v>
      </c>
    </row>
    <row r="106" spans="1:9" ht="15">
      <c r="A106" s="43" t="str">
        <f>HLOOKUP(INDICE!$F$2,Nombres!$C$3:$D$636,69,FALSE)</f>
        <v>Fondos de pensiones</v>
      </c>
      <c r="B106" s="44" t="s">
        <v>400</v>
      </c>
      <c r="C106" s="44" t="s">
        <v>400</v>
      </c>
      <c r="D106" s="44" t="s">
        <v>400</v>
      </c>
      <c r="E106" s="45" t="s">
        <v>400</v>
      </c>
      <c r="F106" s="44" t="s">
        <v>400</v>
      </c>
      <c r="G106" s="44" t="s">
        <v>400</v>
      </c>
      <c r="H106" s="44" t="s">
        <v>400</v>
      </c>
      <c r="I106" s="44" t="s">
        <v>400</v>
      </c>
    </row>
    <row r="107" spans="1:9" ht="15">
      <c r="A107" s="43" t="str">
        <f>HLOOKUP(INDICE!$F$2,Nombres!$C$3:$D$636,70,FALSE)</f>
        <v>Otros recursos fuera de balance</v>
      </c>
      <c r="B107" s="44">
        <v>2594.777095260442</v>
      </c>
      <c r="C107" s="44">
        <v>3116.313140679907</v>
      </c>
      <c r="D107" s="44">
        <v>3245.440153533751</v>
      </c>
      <c r="E107" s="45">
        <v>3088.585043879405</v>
      </c>
      <c r="F107" s="44">
        <v>3261.447947584592</v>
      </c>
      <c r="G107" s="44">
        <v>3215.1002851160706</v>
      </c>
      <c r="H107" s="44">
        <v>2930.286096439148</v>
      </c>
      <c r="I107" s="44">
        <v>2534.22569093</v>
      </c>
    </row>
    <row r="108" spans="1:9" ht="15">
      <c r="A108" s="65" t="str">
        <f>HLOOKUP(INDICE!$F$2,Nombres!$C$3:$D$636,71,FALSE)</f>
        <v>(*) No incluye las adquisiciones temporales de activos.</v>
      </c>
      <c r="B108" s="60"/>
      <c r="C108" s="60"/>
      <c r="D108" s="60"/>
      <c r="E108" s="60"/>
      <c r="F108" s="60"/>
      <c r="G108" s="60"/>
      <c r="H108" s="60"/>
      <c r="I108" s="60"/>
    </row>
    <row r="109" spans="1:9" ht="15">
      <c r="A109" s="65" t="str">
        <f>HLOOKUP(INDICE!$F$2,Nombres!$C$3:$D$636,72,FALSE)</f>
        <v>(**) No incluye las cesiones temporales de activos.</v>
      </c>
      <c r="B109" s="30"/>
      <c r="C109" s="30"/>
      <c r="D109" s="30"/>
      <c r="E109" s="30"/>
      <c r="F109" s="30"/>
      <c r="G109" s="30"/>
      <c r="H109" s="30"/>
      <c r="I109" s="30"/>
    </row>
    <row r="110" spans="1:9" ht="15">
      <c r="A110" s="65"/>
      <c r="B110" s="60"/>
      <c r="C110" s="44"/>
      <c r="D110" s="44"/>
      <c r="E110" s="44"/>
      <c r="F110" s="44"/>
      <c r="G110" s="30"/>
      <c r="H110" s="30"/>
      <c r="I110" s="30"/>
    </row>
    <row r="111" spans="1:9" ht="18">
      <c r="A111" s="33" t="str">
        <f>HLOOKUP(INDICE!$F$2,Nombres!$C$3:$D$636,31,FALSE)</f>
        <v>Cuenta de resultados  </v>
      </c>
      <c r="B111" s="34"/>
      <c r="C111" s="34"/>
      <c r="D111" s="34"/>
      <c r="E111" s="34"/>
      <c r="F111" s="34"/>
      <c r="G111" s="34"/>
      <c r="H111" s="34"/>
      <c r="I111" s="34"/>
    </row>
    <row r="112" spans="1:9" ht="15">
      <c r="A112" s="35" t="str">
        <f>HLOOKUP(INDICE!$F$2,Nombres!$C$3:$D$636,74,FALSE)</f>
        <v>(Millones de pesos mexicanos)</v>
      </c>
      <c r="B112" s="30"/>
      <c r="C112" s="36"/>
      <c r="D112" s="36"/>
      <c r="E112" s="36"/>
      <c r="F112" s="30"/>
      <c r="G112" s="30"/>
      <c r="H112" s="30"/>
      <c r="I112" s="30"/>
    </row>
    <row r="113" spans="1:9" ht="15">
      <c r="A113" s="37"/>
      <c r="B113" s="30"/>
      <c r="C113" s="36"/>
      <c r="D113" s="36"/>
      <c r="E113" s="36"/>
      <c r="F113" s="30"/>
      <c r="G113" s="30"/>
      <c r="H113" s="30"/>
      <c r="I113" s="30"/>
    </row>
    <row r="114" spans="1:9" ht="15.75">
      <c r="A114" s="38"/>
      <c r="B114" s="295">
        <f>+B$6</f>
        <v>2018</v>
      </c>
      <c r="C114" s="295"/>
      <c r="D114" s="295"/>
      <c r="E114" s="296"/>
      <c r="F114" s="295">
        <f>+F$6</f>
        <v>2019</v>
      </c>
      <c r="G114" s="295"/>
      <c r="H114" s="295"/>
      <c r="I114" s="295"/>
    </row>
    <row r="115" spans="1:9" ht="15.7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5">
      <c r="A116" s="41" t="str">
        <f>HLOOKUP(INDICE!$F$2,Nombres!$C$3:$D$636,33,FALSE)</f>
        <v>Margen de intereses</v>
      </c>
      <c r="B116" s="41">
        <v>30347.48576391449</v>
      </c>
      <c r="C116" s="41">
        <v>30774.412102955295</v>
      </c>
      <c r="D116" s="41">
        <v>32320.387981792148</v>
      </c>
      <c r="E116" s="42">
        <v>32976.28605693248</v>
      </c>
      <c r="F116" s="52">
        <v>32705.53644900995</v>
      </c>
      <c r="G116" s="52">
        <v>33165.39502769992</v>
      </c>
      <c r="H116" s="52">
        <v>33608.27741650813</v>
      </c>
      <c r="I116" s="52">
        <v>34343.83823302178</v>
      </c>
    </row>
    <row r="117" spans="1:9" ht="15">
      <c r="A117" s="43" t="str">
        <f>HLOOKUP(INDICE!$F$2,Nombres!$C$3:$D$636,34,FALSE)</f>
        <v>Comisiones netas</v>
      </c>
      <c r="B117" s="44">
        <v>6473.875002073351</v>
      </c>
      <c r="C117" s="44">
        <v>7116.360971014401</v>
      </c>
      <c r="D117" s="44">
        <v>6875.716902017406</v>
      </c>
      <c r="E117" s="45">
        <v>6882.416354528844</v>
      </c>
      <c r="F117" s="44">
        <v>6548.801353366785</v>
      </c>
      <c r="G117" s="44">
        <v>6899.916448229862</v>
      </c>
      <c r="H117" s="44">
        <v>7139.322575010603</v>
      </c>
      <c r="I117" s="44">
        <v>7393.544202248677</v>
      </c>
    </row>
    <row r="118" spans="1:9" ht="15">
      <c r="A118" s="43" t="str">
        <f>HLOOKUP(INDICE!$F$2,Nombres!$C$3:$D$636,35,FALSE)</f>
        <v>Resultados de operaciones financieras</v>
      </c>
      <c r="B118" s="44">
        <v>1554.3678577681533</v>
      </c>
      <c r="C118" s="44">
        <v>1770.5780225346673</v>
      </c>
      <c r="D118" s="44">
        <v>1195.965942075025</v>
      </c>
      <c r="E118" s="45">
        <v>550.4478820086774</v>
      </c>
      <c r="F118" s="44">
        <v>1362.8984866657133</v>
      </c>
      <c r="G118" s="44">
        <v>1568.652870000799</v>
      </c>
      <c r="H118" s="44">
        <v>2285.3549710683096</v>
      </c>
      <c r="I118" s="44">
        <v>1462.279491988457</v>
      </c>
    </row>
    <row r="119" spans="1:9" ht="15">
      <c r="A119" s="43" t="str">
        <f>HLOOKUP(INDICE!$F$2,Nombres!$C$3:$D$636,36,FALSE)</f>
        <v>Otros ingresos y cargas de explotación</v>
      </c>
      <c r="B119" s="44">
        <v>1029.6949870991523</v>
      </c>
      <c r="C119" s="44">
        <v>900.7855562235635</v>
      </c>
      <c r="D119" s="44">
        <v>1049.28344521779</v>
      </c>
      <c r="E119" s="45">
        <v>1494.080348713149</v>
      </c>
      <c r="F119" s="44">
        <v>866.4511583757014</v>
      </c>
      <c r="G119" s="44">
        <v>1334.9490281948058</v>
      </c>
      <c r="H119" s="44">
        <v>407.2082574547181</v>
      </c>
      <c r="I119" s="44">
        <v>1959.7968058822528</v>
      </c>
    </row>
    <row r="120" spans="1:9" ht="15">
      <c r="A120" s="41" t="str">
        <f>HLOOKUP(INDICE!$F$2,Nombres!$C$3:$D$636,37,FALSE)</f>
        <v>Margen bruto</v>
      </c>
      <c r="B120" s="41">
        <f>+SUM(B116:B119)</f>
        <v>39405.42361085515</v>
      </c>
      <c r="C120" s="41">
        <f aca="true" t="shared" si="19" ref="C120:I120">+SUM(C116:C119)</f>
        <v>40562.13665272793</v>
      </c>
      <c r="D120" s="41">
        <f t="shared" si="19"/>
        <v>41441.35427110237</v>
      </c>
      <c r="E120" s="42">
        <f t="shared" si="19"/>
        <v>41903.23064218315</v>
      </c>
      <c r="F120" s="52">
        <f t="shared" si="19"/>
        <v>41483.68744741815</v>
      </c>
      <c r="G120" s="52">
        <f t="shared" si="19"/>
        <v>42968.91337412538</v>
      </c>
      <c r="H120" s="52">
        <f t="shared" si="19"/>
        <v>43440.16322004175</v>
      </c>
      <c r="I120" s="52">
        <f t="shared" si="19"/>
        <v>45159.45873314116</v>
      </c>
    </row>
    <row r="121" spans="1:9" ht="15">
      <c r="A121" s="43" t="str">
        <f>HLOOKUP(INDICE!$F$2,Nombres!$C$3:$D$636,38,FALSE)</f>
        <v>Gastos de explotación</v>
      </c>
      <c r="B121" s="44">
        <v>-13195.055945447843</v>
      </c>
      <c r="C121" s="44">
        <v>-13486.018730958931</v>
      </c>
      <c r="D121" s="44">
        <v>-13731.023076713891</v>
      </c>
      <c r="E121" s="45">
        <v>-13907.549807273484</v>
      </c>
      <c r="F121" s="44">
        <v>-13831.32564220091</v>
      </c>
      <c r="G121" s="44">
        <v>-14098.222721541617</v>
      </c>
      <c r="H121" s="44">
        <v>-14426.695476784536</v>
      </c>
      <c r="I121" s="44">
        <v>-14651.352328581956</v>
      </c>
    </row>
    <row r="122" spans="1:9" ht="15">
      <c r="A122" s="43" t="str">
        <f>HLOOKUP(INDICE!$F$2,Nombres!$C$3:$D$636,39,FALSE)</f>
        <v>  Gastos de administración</v>
      </c>
      <c r="B122" s="44">
        <v>-11801.351553861039</v>
      </c>
      <c r="C122" s="44">
        <v>-12068.202116452398</v>
      </c>
      <c r="D122" s="44">
        <v>-12270.64944353118</v>
      </c>
      <c r="E122" s="45">
        <v>-12434.120810867038</v>
      </c>
      <c r="F122" s="44">
        <v>-11998.702905585626</v>
      </c>
      <c r="G122" s="44">
        <v>-12204.763070528748</v>
      </c>
      <c r="H122" s="44">
        <v>-12531.300524178878</v>
      </c>
      <c r="I122" s="44">
        <v>-12821.971761833956</v>
      </c>
    </row>
    <row r="123" spans="1:9" ht="15">
      <c r="A123" s="46" t="str">
        <f>HLOOKUP(INDICE!$F$2,Nombres!$C$3:$D$636,40,FALSE)</f>
        <v>  Gastos de personal</v>
      </c>
      <c r="B123" s="44">
        <v>-5677.133143429782</v>
      </c>
      <c r="C123" s="44">
        <v>-5825.226938276352</v>
      </c>
      <c r="D123" s="44">
        <v>-5800.094332472716</v>
      </c>
      <c r="E123" s="45">
        <v>-5945.320246387857</v>
      </c>
      <c r="F123" s="44">
        <v>-5866.697280657887</v>
      </c>
      <c r="G123" s="44">
        <v>-5994.587394476459</v>
      </c>
      <c r="H123" s="44">
        <v>-6137.1849315396985</v>
      </c>
      <c r="I123" s="44">
        <v>-6238.000921793508</v>
      </c>
    </row>
    <row r="124" spans="1:9" ht="15">
      <c r="A124" s="46" t="str">
        <f>HLOOKUP(INDICE!$F$2,Nombres!$C$3:$D$636,41,FALSE)</f>
        <v>  Otros gastos de administración</v>
      </c>
      <c r="B124" s="44">
        <v>-6124.218410431256</v>
      </c>
      <c r="C124" s="44">
        <v>-6242.975178176046</v>
      </c>
      <c r="D124" s="44">
        <v>-6470.555111058462</v>
      </c>
      <c r="E124" s="45">
        <v>-6488.800564479181</v>
      </c>
      <c r="F124" s="44">
        <v>-6132.005624927739</v>
      </c>
      <c r="G124" s="44">
        <v>-6210.175676052289</v>
      </c>
      <c r="H124" s="44">
        <v>-6394.11559263918</v>
      </c>
      <c r="I124" s="44">
        <v>-6583.970840040449</v>
      </c>
    </row>
    <row r="125" spans="1:9" ht="15">
      <c r="A125" s="43" t="str">
        <f>HLOOKUP(INDICE!$F$2,Nombres!$C$3:$D$636,42,FALSE)</f>
        <v>  Amortización</v>
      </c>
      <c r="B125" s="44">
        <v>-1393.7043915868041</v>
      </c>
      <c r="C125" s="44">
        <v>-1417.8166145065343</v>
      </c>
      <c r="D125" s="44">
        <v>-1460.3736331827126</v>
      </c>
      <c r="E125" s="45">
        <v>-1473.428996406448</v>
      </c>
      <c r="F125" s="44">
        <v>-1832.6227366152839</v>
      </c>
      <c r="G125" s="44">
        <v>-1893.45965101287</v>
      </c>
      <c r="H125" s="44">
        <v>-1895.3949526056576</v>
      </c>
      <c r="I125" s="44">
        <v>-1829.3805667479983</v>
      </c>
    </row>
    <row r="126" spans="1:9" ht="15">
      <c r="A126" s="41" t="str">
        <f>HLOOKUP(INDICE!$F$2,Nombres!$C$3:$D$636,43,FALSE)</f>
        <v>Margen neto</v>
      </c>
      <c r="B126" s="41">
        <f>+B120+B121</f>
        <v>26210.367665407306</v>
      </c>
      <c r="C126" s="41">
        <f aca="true" t="shared" si="20" ref="C126:I126">+C120+C121</f>
        <v>27076.117921769</v>
      </c>
      <c r="D126" s="41">
        <f t="shared" si="20"/>
        <v>27710.331194388476</v>
      </c>
      <c r="E126" s="42">
        <f t="shared" si="20"/>
        <v>27995.68083490967</v>
      </c>
      <c r="F126" s="52">
        <f t="shared" si="20"/>
        <v>27652.361805217242</v>
      </c>
      <c r="G126" s="52">
        <f t="shared" si="20"/>
        <v>28870.690652583766</v>
      </c>
      <c r="H126" s="52">
        <f t="shared" si="20"/>
        <v>29013.467743257213</v>
      </c>
      <c r="I126" s="52">
        <f t="shared" si="20"/>
        <v>30508.106404559207</v>
      </c>
    </row>
    <row r="127" spans="1:9" ht="15">
      <c r="A127" s="43" t="str">
        <f>HLOOKUP(INDICE!$F$2,Nombres!$C$3:$D$636,44,FALSE)</f>
        <v>Deterioro de activos financieros no valorados a valor razonable con cambios en resultados</v>
      </c>
      <c r="B127" s="44">
        <v>-8681.671581736087</v>
      </c>
      <c r="C127" s="44">
        <v>-7658.008979358869</v>
      </c>
      <c r="D127" s="44">
        <v>-7652.20229741213</v>
      </c>
      <c r="E127" s="45">
        <v>-11312.994082052357</v>
      </c>
      <c r="F127" s="44">
        <v>-8603.891622304962</v>
      </c>
      <c r="G127" s="44">
        <v>-9101.079983341657</v>
      </c>
      <c r="H127" s="44">
        <v>-9076.847028139506</v>
      </c>
      <c r="I127" s="44">
        <v>-9808.508110265897</v>
      </c>
    </row>
    <row r="128" spans="1:9" ht="15">
      <c r="A128" s="43" t="str">
        <f>HLOOKUP(INDICE!$F$2,Nombres!$C$3:$D$636,45,FALSE)</f>
        <v>Provisiones o reversión de provisiones y otros resultados</v>
      </c>
      <c r="B128" s="44">
        <v>477.4465536306671</v>
      </c>
      <c r="C128" s="44">
        <v>760.2859857221463</v>
      </c>
      <c r="D128" s="44">
        <v>-509.3953030462266</v>
      </c>
      <c r="E128" s="45">
        <v>-191.55583498064004</v>
      </c>
      <c r="F128" s="44">
        <v>80.68124561858839</v>
      </c>
      <c r="G128" s="44">
        <v>-287.05777671459373</v>
      </c>
      <c r="H128" s="44">
        <v>-99.66604322244578</v>
      </c>
      <c r="I128" s="44">
        <v>405.91986258245436</v>
      </c>
    </row>
    <row r="129" spans="1:9" ht="15">
      <c r="A129" s="41" t="str">
        <f>HLOOKUP(INDICE!$F$2,Nombres!$C$3:$D$636,46,FALSE)</f>
        <v>Resultado antes de impuestos</v>
      </c>
      <c r="B129" s="41">
        <f>+B126+B127+B128</f>
        <v>18006.142637301884</v>
      </c>
      <c r="C129" s="41">
        <f aca="true" t="shared" si="21" ref="C129:I129">+C126+C127+C128</f>
        <v>20178.394928132275</v>
      </c>
      <c r="D129" s="41">
        <f t="shared" si="21"/>
        <v>19548.733593930123</v>
      </c>
      <c r="E129" s="42">
        <f t="shared" si="21"/>
        <v>16491.13091787667</v>
      </c>
      <c r="F129" s="52">
        <f t="shared" si="21"/>
        <v>19129.151428530866</v>
      </c>
      <c r="G129" s="52">
        <f t="shared" si="21"/>
        <v>19482.552892527514</v>
      </c>
      <c r="H129" s="52">
        <f t="shared" si="21"/>
        <v>19836.954671895262</v>
      </c>
      <c r="I129" s="52">
        <f t="shared" si="21"/>
        <v>21105.518156875765</v>
      </c>
    </row>
    <row r="130" spans="1:9" ht="15">
      <c r="A130" s="43" t="str">
        <f>HLOOKUP(INDICE!$F$2,Nombres!$C$3:$D$636,47,FALSE)</f>
        <v>Impuesto sobre beneficios</v>
      </c>
      <c r="B130" s="44">
        <v>-4937.116680565794</v>
      </c>
      <c r="C130" s="44">
        <v>-5552.395414019444</v>
      </c>
      <c r="D130" s="44">
        <v>-5452.8991418577725</v>
      </c>
      <c r="E130" s="45">
        <v>-4524.287675554084</v>
      </c>
      <c r="F130" s="44">
        <v>-5451.701443737535</v>
      </c>
      <c r="G130" s="44">
        <v>-5297.8843279389</v>
      </c>
      <c r="H130" s="44">
        <v>-5187.662210574808</v>
      </c>
      <c r="I130" s="44">
        <v>-5438.4176211924005</v>
      </c>
    </row>
    <row r="131" spans="1:9" ht="15">
      <c r="A131" s="41" t="str">
        <f>HLOOKUP(INDICE!$F$2,Nombres!$C$3:$D$636,48,FALSE)</f>
        <v>Resultado del ejercicio</v>
      </c>
      <c r="B131" s="41">
        <f>+B129+B130</f>
        <v>13069.02595673609</v>
      </c>
      <c r="C131" s="41">
        <f aca="true" t="shared" si="22" ref="C131:I131">+C129+C130</f>
        <v>14625.999514112831</v>
      </c>
      <c r="D131" s="41">
        <f t="shared" si="22"/>
        <v>14095.834452072351</v>
      </c>
      <c r="E131" s="42">
        <f t="shared" si="22"/>
        <v>11966.843242322588</v>
      </c>
      <c r="F131" s="52">
        <f t="shared" si="22"/>
        <v>13677.449984793331</v>
      </c>
      <c r="G131" s="52">
        <f t="shared" si="22"/>
        <v>14184.668564588614</v>
      </c>
      <c r="H131" s="52">
        <f t="shared" si="22"/>
        <v>14649.292461320454</v>
      </c>
      <c r="I131" s="52">
        <f t="shared" si="22"/>
        <v>15667.100535683365</v>
      </c>
    </row>
    <row r="132" spans="1:9" ht="15">
      <c r="A132" s="43" t="str">
        <f>HLOOKUP(INDICE!$F$2,Nombres!$C$3:$D$636,49,FALSE)</f>
        <v>Minoritarios</v>
      </c>
      <c r="B132" s="44">
        <v>-2.280685587910063</v>
      </c>
      <c r="C132" s="44">
        <v>-2.6816926607166276</v>
      </c>
      <c r="D132" s="44">
        <v>-2.5863359688763223</v>
      </c>
      <c r="E132" s="45">
        <v>-2.282363795393182</v>
      </c>
      <c r="F132" s="44">
        <v>-2.4640488460162144</v>
      </c>
      <c r="G132" s="44">
        <v>-2.7538219099967964</v>
      </c>
      <c r="H132" s="44">
        <v>-2.569472123979648</v>
      </c>
      <c r="I132" s="44">
        <v>-2.859912232107581</v>
      </c>
    </row>
    <row r="133" spans="1:9" ht="15">
      <c r="A133" s="47" t="str">
        <f>HLOOKUP(INDICE!$F$2,Nombres!$C$3:$D$636,50,FALSE)</f>
        <v>Resultado atribuido</v>
      </c>
      <c r="B133" s="47">
        <f>+B131+B132</f>
        <v>13066.74527114818</v>
      </c>
      <c r="C133" s="47">
        <f aca="true" t="shared" si="23" ref="C133:I133">+C131+C132</f>
        <v>14623.317821452114</v>
      </c>
      <c r="D133" s="47">
        <f t="shared" si="23"/>
        <v>14093.248116103476</v>
      </c>
      <c r="E133" s="47">
        <f t="shared" si="23"/>
        <v>11964.560878527194</v>
      </c>
      <c r="F133" s="53">
        <f t="shared" si="23"/>
        <v>13674.985935947316</v>
      </c>
      <c r="G133" s="53">
        <f t="shared" si="23"/>
        <v>14181.914742678617</v>
      </c>
      <c r="H133" s="53">
        <f t="shared" si="23"/>
        <v>14646.722989196474</v>
      </c>
      <c r="I133" s="53">
        <f t="shared" si="23"/>
        <v>15664.240623451256</v>
      </c>
    </row>
    <row r="134" spans="1:9" ht="15">
      <c r="A134" s="65"/>
      <c r="B134" s="66">
        <v>2.000888343900442E-11</v>
      </c>
      <c r="C134" s="66">
        <v>0</v>
      </c>
      <c r="D134" s="66">
        <v>0</v>
      </c>
      <c r="E134" s="66">
        <v>0</v>
      </c>
      <c r="F134" s="66">
        <v>0</v>
      </c>
      <c r="G134" s="66">
        <v>0</v>
      </c>
      <c r="H134" s="66">
        <v>0</v>
      </c>
      <c r="I134" s="66">
        <v>0</v>
      </c>
    </row>
    <row r="135" spans="1:9" ht="15">
      <c r="A135" s="41"/>
      <c r="B135" s="41"/>
      <c r="C135" s="41"/>
      <c r="D135" s="41"/>
      <c r="E135" s="41"/>
      <c r="F135" s="52"/>
      <c r="G135" s="52"/>
      <c r="H135" s="52"/>
      <c r="I135" s="52"/>
    </row>
    <row r="136" spans="1:9" ht="18">
      <c r="A136" s="33" t="str">
        <f>HLOOKUP(INDICE!$F$2,Nombres!$C$3:$D$636,51,FALSE)</f>
        <v>Balances</v>
      </c>
      <c r="B136" s="34"/>
      <c r="C136" s="34"/>
      <c r="D136" s="34"/>
      <c r="E136" s="34"/>
      <c r="F136" s="72"/>
      <c r="G136" s="72"/>
      <c r="H136" s="72"/>
      <c r="I136" s="72"/>
    </row>
    <row r="137" spans="1:9" ht="15">
      <c r="A137" s="35" t="str">
        <f>HLOOKUP(INDICE!$F$2,Nombres!$C$3:$D$636,74,FALSE)</f>
        <v>(Millones de pesos mexicanos)</v>
      </c>
      <c r="B137" s="30"/>
      <c r="C137" s="54"/>
      <c r="D137" s="54"/>
      <c r="E137" s="54"/>
      <c r="F137" s="73"/>
      <c r="G137" s="44"/>
      <c r="H137" s="44"/>
      <c r="I137" s="44"/>
    </row>
    <row r="138" spans="1:9" ht="15.75">
      <c r="A138" s="30"/>
      <c r="B138" s="55">
        <f aca="true" t="shared" si="24" ref="B138:I138">+B$30</f>
        <v>43190</v>
      </c>
      <c r="C138" s="55">
        <f t="shared" si="24"/>
        <v>43281</v>
      </c>
      <c r="D138" s="55">
        <f t="shared" si="24"/>
        <v>43373</v>
      </c>
      <c r="E138" s="71">
        <f t="shared" si="24"/>
        <v>43465</v>
      </c>
      <c r="F138" s="55">
        <f t="shared" si="24"/>
        <v>43555</v>
      </c>
      <c r="G138" s="55">
        <f t="shared" si="24"/>
        <v>43646</v>
      </c>
      <c r="H138" s="55">
        <f t="shared" si="24"/>
        <v>43738</v>
      </c>
      <c r="I138" s="55">
        <f t="shared" si="24"/>
        <v>43830</v>
      </c>
    </row>
    <row r="139" spans="1:9" ht="15">
      <c r="A139" s="43" t="str">
        <f>HLOOKUP(INDICE!$F$2,Nombres!$C$3:$D$636,52,FALSE)</f>
        <v>Efectivo, saldos en efectivo en bancos centrales y otros depósitos a la vista</v>
      </c>
      <c r="B139" s="44">
        <v>174541.8402973308</v>
      </c>
      <c r="C139" s="44">
        <v>135644.85275610368</v>
      </c>
      <c r="D139" s="44">
        <v>135580.30230430805</v>
      </c>
      <c r="E139" s="45">
        <v>186094.3994606388</v>
      </c>
      <c r="F139" s="44">
        <v>188235.69100454723</v>
      </c>
      <c r="G139" s="44">
        <v>219319.49832444338</v>
      </c>
      <c r="H139" s="44">
        <v>146542.98150852794</v>
      </c>
      <c r="I139" s="44">
        <v>137698.00512009623</v>
      </c>
    </row>
    <row r="140" spans="1:9" ht="15">
      <c r="A140" s="43" t="str">
        <f>HLOOKUP(INDICE!$F$2,Nombres!$C$3:$D$636,53,FALSE)</f>
        <v>Activos financieros a valor razonable</v>
      </c>
      <c r="B140" s="60">
        <v>629135.6459060705</v>
      </c>
      <c r="C140" s="60">
        <v>647385.6257009816</v>
      </c>
      <c r="D140" s="60">
        <v>587072.7229167573</v>
      </c>
      <c r="E140" s="68">
        <v>585290.4633378318</v>
      </c>
      <c r="F140" s="44">
        <v>568152.6883642881</v>
      </c>
      <c r="G140" s="44">
        <v>619806.9883876827</v>
      </c>
      <c r="H140" s="44">
        <v>657917.8006813993</v>
      </c>
      <c r="I140" s="44">
        <v>666353.4100426439</v>
      </c>
    </row>
    <row r="141" spans="1:9" ht="15">
      <c r="A141" s="43" t="str">
        <f>HLOOKUP(INDICE!$F$2,Nombres!$C$3:$D$636,54,FALSE)</f>
        <v>Activos financieros a coste amortizado</v>
      </c>
      <c r="B141" s="44">
        <v>1199077.0582286294</v>
      </c>
      <c r="C141" s="44">
        <v>1278430.2221817723</v>
      </c>
      <c r="D141" s="44">
        <v>1280972.4049303043</v>
      </c>
      <c r="E141" s="45">
        <v>1297996.806117184</v>
      </c>
      <c r="F141" s="44">
        <v>1317815.0356891318</v>
      </c>
      <c r="G141" s="44">
        <v>1342155.7038358012</v>
      </c>
      <c r="H141" s="44">
        <v>1385374.8383606202</v>
      </c>
      <c r="I141" s="44">
        <v>1404363.0429019297</v>
      </c>
    </row>
    <row r="142" spans="1:9" ht="15">
      <c r="A142" s="43" t="str">
        <f>HLOOKUP(INDICE!$F$2,Nombres!$C$3:$D$636,55,FALSE)</f>
        <v>    de los que préstamos y anticipos a la clientela</v>
      </c>
      <c r="B142" s="44">
        <v>1064231.6702338103</v>
      </c>
      <c r="C142" s="44">
        <v>1132603.0936093628</v>
      </c>
      <c r="D142" s="44">
        <v>1133394.1934917453</v>
      </c>
      <c r="E142" s="45">
        <v>1149381.196580072</v>
      </c>
      <c r="F142" s="44">
        <v>1160034.0943411128</v>
      </c>
      <c r="G142" s="44">
        <v>1187709.6539211795</v>
      </c>
      <c r="H142" s="44">
        <v>1212268.3698709821</v>
      </c>
      <c r="I142" s="44">
        <v>1232482.6908143722</v>
      </c>
    </row>
    <row r="143" spans="1:9" ht="15">
      <c r="A143" s="43" t="str">
        <f>HLOOKUP(INDICE!$F$2,Nombres!$C$3:$D$636,56,FALSE)</f>
        <v>Activos tangibles</v>
      </c>
      <c r="B143" s="44">
        <v>40339.94819236401</v>
      </c>
      <c r="C143" s="44">
        <v>39687.961924810654</v>
      </c>
      <c r="D143" s="44">
        <v>39281.22141394781</v>
      </c>
      <c r="E143" s="45">
        <v>40214.552406432755</v>
      </c>
      <c r="F143" s="44">
        <v>44020.73487716176</v>
      </c>
      <c r="G143" s="44">
        <v>44087.03200748709</v>
      </c>
      <c r="H143" s="44">
        <v>42839.03514675434</v>
      </c>
      <c r="I143" s="44">
        <v>42908.83591437771</v>
      </c>
    </row>
    <row r="144" spans="1:9" ht="15">
      <c r="A144" s="43" t="str">
        <f>HLOOKUP(INDICE!$F$2,Nombres!$C$3:$D$636,57,FALSE)</f>
        <v>Otros activos</v>
      </c>
      <c r="B144" s="60">
        <f>+B145-B143-B141-B140-B139</f>
        <v>80515.17764477973</v>
      </c>
      <c r="C144" s="60">
        <f aca="true" t="shared" si="25" ref="C144:I144">+C145-C143-C141-C140-C139</f>
        <v>86330.60504748026</v>
      </c>
      <c r="D144" s="60">
        <f t="shared" si="25"/>
        <v>72070.31372979935</v>
      </c>
      <c r="E144" s="68">
        <f t="shared" si="25"/>
        <v>81853.66822627091</v>
      </c>
      <c r="F144" s="44">
        <f t="shared" si="25"/>
        <v>88565.48418358696</v>
      </c>
      <c r="G144" s="44">
        <f t="shared" si="25"/>
        <v>73731.77623035011</v>
      </c>
      <c r="H144" s="44">
        <f t="shared" si="25"/>
        <v>65524.14394271496</v>
      </c>
      <c r="I144" s="44">
        <f t="shared" si="25"/>
        <v>63350.82816807125</v>
      </c>
    </row>
    <row r="145" spans="1:9" ht="15">
      <c r="A145" s="47" t="str">
        <f>HLOOKUP(INDICE!$F$2,Nombres!$C$3:$D$636,58,FALSE)</f>
        <v>Total activo / pasivo</v>
      </c>
      <c r="B145" s="47">
        <v>2123609.6702691745</v>
      </c>
      <c r="C145" s="47">
        <v>2187479.2676111483</v>
      </c>
      <c r="D145" s="47">
        <v>2114976.965295117</v>
      </c>
      <c r="E145" s="47">
        <v>2191449.889548358</v>
      </c>
      <c r="F145" s="53">
        <v>2206789.6341187158</v>
      </c>
      <c r="G145" s="53">
        <v>2299100.9987857644</v>
      </c>
      <c r="H145" s="53">
        <v>2298198.7996400166</v>
      </c>
      <c r="I145" s="53">
        <v>2314674.1221471187</v>
      </c>
    </row>
    <row r="146" spans="1:9" ht="15">
      <c r="A146" s="43" t="str">
        <f>HLOOKUP(INDICE!$F$2,Nombres!$C$3:$D$636,59,FALSE)</f>
        <v>Pasivos financieros mantenidos para negociar y designados a valor razonable con cambios en resultados</v>
      </c>
      <c r="B146" s="60">
        <v>431735.44318053836</v>
      </c>
      <c r="C146" s="60">
        <v>394806.2604397867</v>
      </c>
      <c r="D146" s="60">
        <v>355008.6901596462</v>
      </c>
      <c r="E146" s="68">
        <v>405486.4597390914</v>
      </c>
      <c r="F146" s="44">
        <v>384954.6670363007</v>
      </c>
      <c r="G146" s="44">
        <v>451272.5727078153</v>
      </c>
      <c r="H146" s="44">
        <v>489769.7507951645</v>
      </c>
      <c r="I146" s="44">
        <v>462268.09410376986</v>
      </c>
    </row>
    <row r="147" spans="1:9" ht="15">
      <c r="A147" s="43" t="str">
        <f>HLOOKUP(INDICE!$F$2,Nombres!$C$3:$D$636,60,FALSE)</f>
        <v>Depósitos de bancos centrales y entidades de crédito</v>
      </c>
      <c r="B147" s="60">
        <v>32613.222209708278</v>
      </c>
      <c r="C147" s="60">
        <v>45468.64059629774</v>
      </c>
      <c r="D147" s="60">
        <v>57908.21971511956</v>
      </c>
      <c r="E147" s="68">
        <v>15369.118308592002</v>
      </c>
      <c r="F147" s="44">
        <v>76637.73017768706</v>
      </c>
      <c r="G147" s="44">
        <v>40756.32466354714</v>
      </c>
      <c r="H147" s="44">
        <v>45146.69120516265</v>
      </c>
      <c r="I147" s="44">
        <v>44930.866332595</v>
      </c>
    </row>
    <row r="148" spans="1:9" ht="15">
      <c r="A148" s="43" t="str">
        <f>HLOOKUP(INDICE!$F$2,Nombres!$C$3:$D$636,61,FALSE)</f>
        <v>Depósitos de la clientela</v>
      </c>
      <c r="B148" s="60">
        <v>1070432.6613364117</v>
      </c>
      <c r="C148" s="60">
        <v>1134315.1271084365</v>
      </c>
      <c r="D148" s="60">
        <v>1096110.859432635</v>
      </c>
      <c r="E148" s="68">
        <v>1136517.1390013495</v>
      </c>
      <c r="F148" s="44">
        <v>1104159.0544361826</v>
      </c>
      <c r="G148" s="44">
        <v>1155595.070764253</v>
      </c>
      <c r="H148" s="44">
        <v>1133235.8264500974</v>
      </c>
      <c r="I148" s="44">
        <v>1186926.7410527174</v>
      </c>
    </row>
    <row r="149" spans="1:9" ht="15">
      <c r="A149" s="43" t="str">
        <f>HLOOKUP(INDICE!$F$2,Nombres!$C$3:$D$636,62,FALSE)</f>
        <v>Valores representativos de deuda emitidos</v>
      </c>
      <c r="B149" s="44">
        <v>178008.75696564929</v>
      </c>
      <c r="C149" s="44">
        <v>183339.29020891013</v>
      </c>
      <c r="D149" s="44">
        <v>186756.82798275037</v>
      </c>
      <c r="E149" s="45">
        <v>192662.79802069278</v>
      </c>
      <c r="F149" s="44">
        <v>196753.6354529159</v>
      </c>
      <c r="G149" s="44">
        <v>207544.87050222696</v>
      </c>
      <c r="H149" s="44">
        <v>200427.43265232208</v>
      </c>
      <c r="I149" s="44">
        <v>187585.74041040725</v>
      </c>
    </row>
    <row r="150" spans="1:9" ht="15">
      <c r="A150" s="43" t="str">
        <f>HLOOKUP(INDICE!$F$2,Nombres!$C$3:$D$636,63,FALSE)</f>
        <v>Otros pasivos</v>
      </c>
      <c r="B150" s="60">
        <f>+B145-B146-B147-B148-B149-B151</f>
        <v>330009.3243847281</v>
      </c>
      <c r="C150" s="60">
        <f aca="true" t="shared" si="26" ref="C150:I150">+C145-C146-C147-C148-C149-C151</f>
        <v>337760.9734434711</v>
      </c>
      <c r="D150" s="60">
        <f t="shared" si="26"/>
        <v>326018.94672409276</v>
      </c>
      <c r="E150" s="68">
        <f t="shared" si="26"/>
        <v>348286.06366441754</v>
      </c>
      <c r="F150" s="44">
        <f t="shared" si="26"/>
        <v>358867.0583550965</v>
      </c>
      <c r="G150" s="44">
        <f t="shared" si="26"/>
        <v>355377.42255510436</v>
      </c>
      <c r="H150" s="44">
        <f t="shared" si="26"/>
        <v>334451.90725153557</v>
      </c>
      <c r="I150" s="44">
        <f t="shared" si="26"/>
        <v>329218.95972770115</v>
      </c>
    </row>
    <row r="151" spans="1:9" ht="15">
      <c r="A151" s="43" t="str">
        <f>HLOOKUP(INDICE!$F$2,Nombres!$C$3:$D$636,64,FALSE)</f>
        <v>Dotación de capital económico</v>
      </c>
      <c r="B151" s="44">
        <v>80810.26219213879</v>
      </c>
      <c r="C151" s="44">
        <v>91788.97581424612</v>
      </c>
      <c r="D151" s="44">
        <v>93173.42128087295</v>
      </c>
      <c r="E151" s="45">
        <v>93128.31081421504</v>
      </c>
      <c r="F151" s="44">
        <v>85417.488660533</v>
      </c>
      <c r="G151" s="44">
        <v>88554.73759281778</v>
      </c>
      <c r="H151" s="44">
        <v>95167.19128573444</v>
      </c>
      <c r="I151" s="44">
        <v>103743.720519928</v>
      </c>
    </row>
    <row r="152" spans="1:9" ht="15">
      <c r="A152" s="65"/>
      <c r="B152" s="60"/>
      <c r="C152" s="60"/>
      <c r="D152" s="60"/>
      <c r="E152" s="60"/>
      <c r="F152" s="44"/>
      <c r="G152" s="44"/>
      <c r="H152" s="44"/>
      <c r="I152" s="44"/>
    </row>
    <row r="153" spans="1:9" ht="15">
      <c r="A153" s="43"/>
      <c r="B153" s="60"/>
      <c r="C153" s="60"/>
      <c r="D153" s="60"/>
      <c r="E153" s="60"/>
      <c r="F153" s="44"/>
      <c r="G153" s="44"/>
      <c r="H153" s="44"/>
      <c r="I153" s="44"/>
    </row>
    <row r="154" spans="1:9" ht="18">
      <c r="A154" s="69" t="str">
        <f>HLOOKUP(INDICE!$F$2,Nombres!$C$3:$D$636,65,FALSE)</f>
        <v>Indicadores relevantes y de gestión</v>
      </c>
      <c r="B154" s="70"/>
      <c r="C154" s="70"/>
      <c r="D154" s="70"/>
      <c r="E154" s="70"/>
      <c r="F154" s="75"/>
      <c r="G154" s="75"/>
      <c r="H154" s="75"/>
      <c r="I154" s="75"/>
    </row>
    <row r="155" spans="1:9" ht="15">
      <c r="A155" s="35" t="str">
        <f>HLOOKUP(INDICE!$F$2,Nombres!$C$3:$D$636,74,FALSE)</f>
        <v>(Millones de pesos mexicanos)</v>
      </c>
      <c r="B155" s="30"/>
      <c r="C155" s="30"/>
      <c r="D155" s="30"/>
      <c r="E155" s="30"/>
      <c r="F155" s="73"/>
      <c r="G155" s="44"/>
      <c r="H155" s="44"/>
      <c r="I155" s="44"/>
    </row>
    <row r="156" spans="1:9" ht="15.75" customHeight="1">
      <c r="A156" s="30"/>
      <c r="B156" s="55">
        <f aca="true" t="shared" si="27" ref="B156:I156">+B$30</f>
        <v>43190</v>
      </c>
      <c r="C156" s="55">
        <f t="shared" si="27"/>
        <v>43281</v>
      </c>
      <c r="D156" s="55">
        <f t="shared" si="27"/>
        <v>43373</v>
      </c>
      <c r="E156" s="71">
        <f t="shared" si="27"/>
        <v>43465</v>
      </c>
      <c r="F156" s="55">
        <f t="shared" si="27"/>
        <v>43555</v>
      </c>
      <c r="G156" s="55">
        <f t="shared" si="27"/>
        <v>43646</v>
      </c>
      <c r="H156" s="55">
        <f t="shared" si="27"/>
        <v>43738</v>
      </c>
      <c r="I156" s="55">
        <f t="shared" si="27"/>
        <v>43830</v>
      </c>
    </row>
    <row r="157" spans="1:9" ht="15.75" customHeight="1">
      <c r="A157" s="43" t="str">
        <f>HLOOKUP(INDICE!$F$2,Nombres!$C$3:$D$636,66,FALSE)</f>
        <v>Préstamos y anticipos a la clientela bruto (*)</v>
      </c>
      <c r="B157" s="44">
        <v>1097826.5261579007</v>
      </c>
      <c r="C157" s="44">
        <v>1157284.5906718073</v>
      </c>
      <c r="D157" s="44">
        <v>1158404.9568704532</v>
      </c>
      <c r="E157" s="45">
        <v>1181400.116488754</v>
      </c>
      <c r="F157" s="44">
        <v>1200707.5591363257</v>
      </c>
      <c r="G157" s="44">
        <v>1229234.0233666492</v>
      </c>
      <c r="H157" s="44">
        <v>1254991.6677322276</v>
      </c>
      <c r="I157" s="44">
        <v>1275232.4172025193</v>
      </c>
    </row>
    <row r="158" spans="1:9" ht="15.75" customHeight="1">
      <c r="A158" s="43" t="str">
        <f>HLOOKUP(INDICE!$F$2,Nombres!$C$3:$D$636,67,FALSE)</f>
        <v>Depósitos de clientes en gestión (**)</v>
      </c>
      <c r="B158" s="44">
        <v>1036690.0364815858</v>
      </c>
      <c r="C158" s="44">
        <v>1101557.516335492</v>
      </c>
      <c r="D158" s="44">
        <v>1072928.5610260486</v>
      </c>
      <c r="E158" s="45">
        <v>1118757.547265407</v>
      </c>
      <c r="F158" s="44">
        <v>1102540.990208101</v>
      </c>
      <c r="G158" s="44">
        <v>1149461.3708387043</v>
      </c>
      <c r="H158" s="44">
        <v>1123872.2795458618</v>
      </c>
      <c r="I158" s="44">
        <v>1174132.3600491679</v>
      </c>
    </row>
    <row r="159" spans="1:9" ht="15.75" customHeight="1">
      <c r="A159" s="43" t="str">
        <f>HLOOKUP(INDICE!$F$2,Nombres!$C$3:$D$636,68,FALSE)</f>
        <v>Fondos de inversión</v>
      </c>
      <c r="B159" s="44">
        <v>396168.48294740403</v>
      </c>
      <c r="C159" s="44">
        <v>410343.6784264238</v>
      </c>
      <c r="D159" s="44">
        <v>417323.041581217</v>
      </c>
      <c r="E159" s="45">
        <v>398843.595888664</v>
      </c>
      <c r="F159" s="44">
        <v>424123.2471741528</v>
      </c>
      <c r="G159" s="44">
        <v>442778.5166706118</v>
      </c>
      <c r="H159" s="44">
        <v>455989.6467906783</v>
      </c>
      <c r="I159" s="44">
        <v>465347.9305518837</v>
      </c>
    </row>
    <row r="160" spans="1:9" ht="15.75" customHeight="1">
      <c r="A160" s="43" t="str">
        <f>HLOOKUP(INDICE!$F$2,Nombres!$C$3:$D$636,69,FALSE)</f>
        <v>Fondos de pensiones</v>
      </c>
      <c r="B160" s="44" t="s">
        <v>400</v>
      </c>
      <c r="C160" s="44" t="s">
        <v>400</v>
      </c>
      <c r="D160" s="44" t="s">
        <v>400</v>
      </c>
      <c r="E160" s="45" t="s">
        <v>400</v>
      </c>
      <c r="F160" s="44" t="s">
        <v>400</v>
      </c>
      <c r="G160" s="44" t="s">
        <v>400</v>
      </c>
      <c r="H160" s="44" t="s">
        <v>400</v>
      </c>
      <c r="I160" s="44" t="s">
        <v>400</v>
      </c>
    </row>
    <row r="161" spans="1:9" ht="15">
      <c r="A161" s="43" t="str">
        <f>HLOOKUP(INDICE!$F$2,Nombres!$C$3:$D$636,70,FALSE)</f>
        <v>Otros recursos fuera de balance</v>
      </c>
      <c r="B161" s="44">
        <v>55061.688916319414</v>
      </c>
      <c r="C161" s="44">
        <v>66128.78810722377</v>
      </c>
      <c r="D161" s="44">
        <v>68868.88914535871</v>
      </c>
      <c r="E161" s="45">
        <v>65540.39234750337</v>
      </c>
      <c r="F161" s="44">
        <v>69208.57773667312</v>
      </c>
      <c r="G161" s="44">
        <v>68225.07106956802</v>
      </c>
      <c r="H161" s="44">
        <v>62181.257023063736</v>
      </c>
      <c r="I161" s="44">
        <v>53776.77600615884</v>
      </c>
    </row>
    <row r="162" spans="1:9" ht="15">
      <c r="A162" s="65" t="str">
        <f>HLOOKUP(INDICE!$F$2,Nombres!$C$3:$D$636,71,FALSE)</f>
        <v>(*) No incluye las adquisiciones temporales de activos.</v>
      </c>
      <c r="B162" s="60"/>
      <c r="C162" s="60"/>
      <c r="D162" s="60"/>
      <c r="E162" s="60"/>
      <c r="F162" s="44"/>
      <c r="G162" s="44"/>
      <c r="H162" s="44"/>
      <c r="I162" s="44"/>
    </row>
    <row r="163" spans="1:9" ht="15">
      <c r="A163" s="65" t="str">
        <f>HLOOKUP(INDICE!$F$2,Nombres!$C$3:$D$636,72,FALSE)</f>
        <v>(**) No incluye las cesiones temporales de activos.</v>
      </c>
      <c r="B163" s="30"/>
      <c r="C163" s="30"/>
      <c r="D163" s="30"/>
      <c r="E163" s="30"/>
      <c r="F163" s="30"/>
      <c r="G163" s="30"/>
      <c r="H163" s="30"/>
      <c r="I163" s="30"/>
    </row>
    <row r="164" spans="1:9" ht="15">
      <c r="A164" s="30"/>
      <c r="B164" s="30"/>
      <c r="C164" s="30"/>
      <c r="D164" s="30"/>
      <c r="E164" s="30"/>
      <c r="F164" s="30"/>
      <c r="G164" s="30"/>
      <c r="H164" s="30"/>
      <c r="I164" s="30"/>
    </row>
    <row r="165" spans="1:9" ht="15">
      <c r="A165" s="30"/>
      <c r="B165" s="30"/>
      <c r="C165" s="30"/>
      <c r="D165" s="30"/>
      <c r="E165" s="30"/>
      <c r="F165" s="30"/>
      <c r="G165" s="30"/>
      <c r="H165" s="30"/>
      <c r="I165" s="30"/>
    </row>
    <row r="166" spans="1:9" ht="15">
      <c r="A166" s="77"/>
      <c r="B166" s="78"/>
      <c r="C166" s="79"/>
      <c r="D166" s="79"/>
      <c r="E166" s="79"/>
      <c r="F166" s="78"/>
      <c r="G166" s="78"/>
      <c r="H166" s="78"/>
      <c r="I166" s="78"/>
    </row>
    <row r="167" spans="1:15" ht="15">
      <c r="A167" s="77"/>
      <c r="B167" s="78"/>
      <c r="C167" s="79"/>
      <c r="D167" s="79"/>
      <c r="E167" s="79"/>
      <c r="F167" s="78"/>
      <c r="G167" s="78"/>
      <c r="H167" s="78"/>
      <c r="I167" s="78"/>
      <c r="J167" s="78"/>
      <c r="K167" s="78"/>
      <c r="L167" s="78"/>
      <c r="M167" s="78"/>
      <c r="N167" s="78"/>
      <c r="O167" s="78"/>
    </row>
    <row r="168" spans="1:15" ht="15">
      <c r="A168" s="78"/>
      <c r="B168" s="78"/>
      <c r="C168" s="78"/>
      <c r="D168" s="78"/>
      <c r="E168" s="78"/>
      <c r="F168" s="78"/>
      <c r="G168" s="78"/>
      <c r="H168" s="78"/>
      <c r="I168" s="78"/>
      <c r="J168" s="78"/>
      <c r="K168" s="78"/>
      <c r="L168" s="78"/>
      <c r="M168" s="78"/>
      <c r="N168" s="78"/>
      <c r="O168" s="78"/>
    </row>
    <row r="169" spans="1:15" ht="15">
      <c r="A169" s="78"/>
      <c r="B169" s="78"/>
      <c r="C169" s="78"/>
      <c r="D169" s="78"/>
      <c r="E169" s="78"/>
      <c r="F169" s="78"/>
      <c r="G169" s="78"/>
      <c r="H169" s="78"/>
      <c r="I169" s="78"/>
      <c r="J169" s="78"/>
      <c r="K169" s="78"/>
      <c r="L169" s="78"/>
      <c r="M169" s="78"/>
      <c r="N169" s="78"/>
      <c r="O169" s="78"/>
    </row>
    <row r="170" spans="1:15" ht="15">
      <c r="A170" s="78"/>
      <c r="B170" s="78"/>
      <c r="C170" s="78"/>
      <c r="D170" s="78"/>
      <c r="E170" s="78"/>
      <c r="F170" s="78"/>
      <c r="G170" s="78"/>
      <c r="H170" s="78"/>
      <c r="I170" s="78"/>
      <c r="J170" s="78"/>
      <c r="K170" s="78"/>
      <c r="L170" s="78"/>
      <c r="M170" s="78"/>
      <c r="N170" s="78"/>
      <c r="O170" s="78"/>
    </row>
    <row r="171" spans="1:15" ht="15">
      <c r="A171" s="78"/>
      <c r="B171" s="78"/>
      <c r="C171" s="78"/>
      <c r="D171" s="78"/>
      <c r="E171" s="78"/>
      <c r="F171" s="78"/>
      <c r="G171" s="78"/>
      <c r="H171" s="78"/>
      <c r="I171" s="78"/>
      <c r="J171" s="78"/>
      <c r="K171" s="78"/>
      <c r="L171" s="78"/>
      <c r="M171" s="78"/>
      <c r="N171" s="78"/>
      <c r="O171" s="78"/>
    </row>
    <row r="172" spans="1:15" ht="15">
      <c r="A172" s="78"/>
      <c r="B172" s="78"/>
      <c r="C172" s="78"/>
      <c r="D172" s="78"/>
      <c r="E172" s="78"/>
      <c r="F172" s="78"/>
      <c r="G172" s="78"/>
      <c r="H172" s="78"/>
      <c r="I172" s="78"/>
      <c r="J172" s="78"/>
      <c r="K172" s="78"/>
      <c r="L172" s="78"/>
      <c r="M172" s="78"/>
      <c r="N172" s="78"/>
      <c r="O172" s="78"/>
    </row>
    <row r="173" spans="1:15" ht="15">
      <c r="A173" s="78"/>
      <c r="B173" s="78"/>
      <c r="C173" s="78"/>
      <c r="D173" s="78"/>
      <c r="E173" s="78"/>
      <c r="F173" s="78"/>
      <c r="G173" s="78"/>
      <c r="H173" s="78"/>
      <c r="I173" s="78"/>
      <c r="J173" s="78"/>
      <c r="K173" s="78"/>
      <c r="L173" s="78"/>
      <c r="M173" s="78"/>
      <c r="N173" s="78"/>
      <c r="O173" s="78"/>
    </row>
    <row r="174" spans="1:15" ht="15">
      <c r="A174" s="78"/>
      <c r="B174" s="78"/>
      <c r="C174" s="78"/>
      <c r="D174" s="78"/>
      <c r="E174" s="78"/>
      <c r="F174" s="78"/>
      <c r="G174" s="78"/>
      <c r="H174" s="78"/>
      <c r="I174" s="78"/>
      <c r="J174" s="78"/>
      <c r="K174" s="78"/>
      <c r="L174" s="78"/>
      <c r="M174" s="78"/>
      <c r="N174" s="78"/>
      <c r="O174" s="78"/>
    </row>
    <row r="1000" ht="15">
      <c r="A1000" s="31" t="s">
        <v>399</v>
      </c>
    </row>
  </sheetData>
  <sheetProtection/>
  <mergeCells count="6">
    <mergeCell ref="B6:E6"/>
    <mergeCell ref="B60:E60"/>
    <mergeCell ref="B114:E114"/>
    <mergeCell ref="F6:I6"/>
    <mergeCell ref="F60:I60"/>
    <mergeCell ref="F114:I114"/>
  </mergeCells>
  <conditionalFormatting sqref="B26:I26">
    <cfRule type="cellIs" priority="3" dxfId="116" operator="notBetween">
      <formula>0.5</formula>
      <formula>-0.5</formula>
    </cfRule>
  </conditionalFormatting>
  <conditionalFormatting sqref="B80:I80">
    <cfRule type="cellIs" priority="2" dxfId="116" operator="notBetween">
      <formula>0.5</formula>
      <formula>-0.5</formula>
    </cfRule>
  </conditionalFormatting>
  <conditionalFormatting sqref="B134:I134">
    <cfRule type="cellIs" priority="1" dxfId="116"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A5" sqref="A5"/>
    </sheetView>
  </sheetViews>
  <sheetFormatPr defaultColWidth="11.421875" defaultRowHeight="15"/>
  <cols>
    <col min="1" max="1" width="62.00390625" style="31" customWidth="1"/>
    <col min="2" max="16384" width="11.421875" style="31" customWidth="1"/>
  </cols>
  <sheetData>
    <row r="1" spans="1:9" ht="18">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5">
        <f>+España!B6</f>
        <v>2018</v>
      </c>
      <c r="C6" s="295"/>
      <c r="D6" s="295"/>
      <c r="E6" s="296"/>
      <c r="F6" s="295">
        <f>+España!F6</f>
        <v>2019</v>
      </c>
      <c r="G6" s="295"/>
      <c r="H6" s="295"/>
      <c r="I6" s="295"/>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752.75199999</v>
      </c>
      <c r="C8" s="41">
        <v>757.0370000199999</v>
      </c>
      <c r="D8" s="41">
        <v>693.8879999800004</v>
      </c>
      <c r="E8" s="42">
        <v>931.0830000199994</v>
      </c>
      <c r="F8" s="52">
        <v>694.767</v>
      </c>
      <c r="G8" s="52">
        <v>658.48600001</v>
      </c>
      <c r="H8" s="52">
        <v>676.0629999899999</v>
      </c>
      <c r="I8" s="52">
        <v>784.9379999999999</v>
      </c>
    </row>
    <row r="9" spans="1:9" ht="15">
      <c r="A9" s="43" t="str">
        <f>HLOOKUP(INDICE!$F$2,Nombres!$C$3:$D$636,34,FALSE)</f>
        <v>Comisiones netas</v>
      </c>
      <c r="B9" s="44">
        <v>200.90700001</v>
      </c>
      <c r="C9" s="44">
        <v>170.18</v>
      </c>
      <c r="D9" s="44">
        <v>144.10299998</v>
      </c>
      <c r="E9" s="45">
        <v>170.54400002</v>
      </c>
      <c r="F9" s="44">
        <v>194.04399999999998</v>
      </c>
      <c r="G9" s="44">
        <v>166.10899999</v>
      </c>
      <c r="H9" s="44">
        <v>187.04899999999998</v>
      </c>
      <c r="I9" s="44">
        <v>169.67599998000003</v>
      </c>
    </row>
    <row r="10" spans="1:9" ht="15">
      <c r="A10" s="43" t="str">
        <f>HLOOKUP(INDICE!$F$2,Nombres!$C$3:$D$636,35,FALSE)</f>
        <v>Resultados de operaciones financieras</v>
      </c>
      <c r="B10" s="44">
        <v>19.76300002000002</v>
      </c>
      <c r="C10" s="44">
        <v>-15.696000030000036</v>
      </c>
      <c r="D10" s="44">
        <v>27.303999989999944</v>
      </c>
      <c r="E10" s="45">
        <v>-20.420999989999903</v>
      </c>
      <c r="F10" s="44">
        <v>-10.990999979999998</v>
      </c>
      <c r="G10" s="44">
        <v>-54.48300001999996</v>
      </c>
      <c r="H10" s="44">
        <v>0.060000009999967574</v>
      </c>
      <c r="I10" s="44">
        <v>75.08500000000001</v>
      </c>
    </row>
    <row r="11" spans="1:9" ht="15">
      <c r="A11" s="43" t="str">
        <f>HLOOKUP(INDICE!$F$2,Nombres!$C$3:$D$636,36,FALSE)</f>
        <v>Otros ingresos y cargas de explotación</v>
      </c>
      <c r="B11" s="44">
        <v>22.98000001</v>
      </c>
      <c r="C11" s="44">
        <v>15.962999989999997</v>
      </c>
      <c r="D11" s="44">
        <v>11.612000000000018</v>
      </c>
      <c r="E11" s="45">
        <v>18.973999999999947</v>
      </c>
      <c r="F11" s="44">
        <v>5.854000010000005</v>
      </c>
      <c r="G11" s="44">
        <v>23.702999999999996</v>
      </c>
      <c r="H11" s="44">
        <v>7.051999989999992</v>
      </c>
      <c r="I11" s="44">
        <v>12.966000020000012</v>
      </c>
    </row>
    <row r="12" spans="1:9" ht="15">
      <c r="A12" s="41" t="str">
        <f>HLOOKUP(INDICE!$F$2,Nombres!$C$3:$D$636,37,FALSE)</f>
        <v>Margen bruto</v>
      </c>
      <c r="B12" s="41">
        <f>+SUM(B8:B11)</f>
        <v>996.40200003</v>
      </c>
      <c r="C12" s="41">
        <f aca="true" t="shared" si="0" ref="C12:I12">+SUM(C8:C11)</f>
        <v>927.4839999799998</v>
      </c>
      <c r="D12" s="41">
        <f t="shared" si="0"/>
        <v>876.9069999500003</v>
      </c>
      <c r="E12" s="42">
        <f t="shared" si="0"/>
        <v>1100.1800000499995</v>
      </c>
      <c r="F12" s="52">
        <f t="shared" si="0"/>
        <v>883.6740000300001</v>
      </c>
      <c r="G12" s="52">
        <f t="shared" si="0"/>
        <v>793.81499998</v>
      </c>
      <c r="H12" s="52">
        <f t="shared" si="0"/>
        <v>870.2239999899998</v>
      </c>
      <c r="I12" s="52">
        <f t="shared" si="0"/>
        <v>1042.6649999999997</v>
      </c>
    </row>
    <row r="13" spans="1:9" ht="15">
      <c r="A13" s="43" t="str">
        <f>HLOOKUP(INDICE!$F$2,Nombres!$C$3:$D$636,38,FALSE)</f>
        <v>Gastos de explotación</v>
      </c>
      <c r="B13" s="44">
        <v>-355.39929101</v>
      </c>
      <c r="C13" s="44">
        <v>-323.5970895</v>
      </c>
      <c r="D13" s="44">
        <v>-237.72789657999996</v>
      </c>
      <c r="E13" s="45">
        <v>-330.4864286200001</v>
      </c>
      <c r="F13" s="44">
        <v>-312.8470845</v>
      </c>
      <c r="G13" s="44">
        <v>-281.0213690400001</v>
      </c>
      <c r="H13" s="44">
        <v>-292.49248511999997</v>
      </c>
      <c r="I13" s="44">
        <v>-328.64913456</v>
      </c>
    </row>
    <row r="14" spans="1:9" ht="15">
      <c r="A14" s="43" t="str">
        <f>HLOOKUP(INDICE!$F$2,Nombres!$C$3:$D$636,39,FALSE)</f>
        <v>  Gastos de administración</v>
      </c>
      <c r="B14" s="44">
        <v>-315.07926902</v>
      </c>
      <c r="C14" s="44">
        <v>-285.6970684900001</v>
      </c>
      <c r="D14" s="44">
        <v>-210.69587457999998</v>
      </c>
      <c r="E14" s="45">
        <v>-297.4284056300001</v>
      </c>
      <c r="F14" s="44">
        <v>-268.71006250999994</v>
      </c>
      <c r="G14" s="44">
        <v>-239.26134803000002</v>
      </c>
      <c r="H14" s="44">
        <v>-246.00046311999995</v>
      </c>
      <c r="I14" s="44">
        <v>-282.26811355</v>
      </c>
    </row>
    <row r="15" spans="1:9" ht="15">
      <c r="A15" s="46" t="str">
        <f>HLOOKUP(INDICE!$F$2,Nombres!$C$3:$D$636,40,FALSE)</f>
        <v>  Gastos de personal</v>
      </c>
      <c r="B15" s="44">
        <v>-177.24811214</v>
      </c>
      <c r="C15" s="44">
        <v>-179.13309198</v>
      </c>
      <c r="D15" s="44">
        <v>-129.46889800999998</v>
      </c>
      <c r="E15" s="45">
        <v>-169.92142911000002</v>
      </c>
      <c r="F15" s="44">
        <v>-171.44995514</v>
      </c>
      <c r="G15" s="44">
        <v>-163.97826908</v>
      </c>
      <c r="H15" s="44">
        <v>-171.27935614</v>
      </c>
      <c r="I15" s="44">
        <v>-170.8060546</v>
      </c>
    </row>
    <row r="16" spans="1:9" ht="15">
      <c r="A16" s="46" t="str">
        <f>HLOOKUP(INDICE!$F$2,Nombres!$C$3:$D$636,41,FALSE)</f>
        <v>  Otros gastos de administración</v>
      </c>
      <c r="B16" s="44">
        <v>-137.83115688</v>
      </c>
      <c r="C16" s="44">
        <v>-106.56397651000003</v>
      </c>
      <c r="D16" s="44">
        <v>-81.22697656999999</v>
      </c>
      <c r="E16" s="45">
        <v>-127.50697652000005</v>
      </c>
      <c r="F16" s="44">
        <v>-97.26010736999999</v>
      </c>
      <c r="G16" s="44">
        <v>-75.28307894999999</v>
      </c>
      <c r="H16" s="44">
        <v>-74.72110697999997</v>
      </c>
      <c r="I16" s="44">
        <v>-111.46205894999997</v>
      </c>
    </row>
    <row r="17" spans="1:9" ht="15">
      <c r="A17" s="43" t="str">
        <f>HLOOKUP(INDICE!$F$2,Nombres!$C$3:$D$636,42,FALSE)</f>
        <v>  Amortización</v>
      </c>
      <c r="B17" s="44">
        <v>-40.32002199</v>
      </c>
      <c r="C17" s="44">
        <v>-37.90002101</v>
      </c>
      <c r="D17" s="44">
        <v>-27.032021999999998</v>
      </c>
      <c r="E17" s="45">
        <v>-33.05802299</v>
      </c>
      <c r="F17" s="44">
        <v>-44.13702199</v>
      </c>
      <c r="G17" s="44">
        <v>-41.76002101</v>
      </c>
      <c r="H17" s="44">
        <v>-46.492022</v>
      </c>
      <c r="I17" s="44">
        <v>-46.38102101</v>
      </c>
    </row>
    <row r="18" spans="1:9" ht="15">
      <c r="A18" s="41" t="str">
        <f>HLOOKUP(INDICE!$F$2,Nombres!$C$3:$D$636,43,FALSE)</f>
        <v>Margen neto</v>
      </c>
      <c r="B18" s="41">
        <f>+B12+B13</f>
        <v>641.0027090199999</v>
      </c>
      <c r="C18" s="41">
        <f aca="true" t="shared" si="1" ref="C18:I18">+C12+C13</f>
        <v>603.8869104799999</v>
      </c>
      <c r="D18" s="41">
        <f t="shared" si="1"/>
        <v>639.1791033700003</v>
      </c>
      <c r="E18" s="42">
        <f t="shared" si="1"/>
        <v>769.6935714299995</v>
      </c>
      <c r="F18" s="52">
        <f t="shared" si="1"/>
        <v>570.8269155300002</v>
      </c>
      <c r="G18" s="52">
        <f t="shared" si="1"/>
        <v>512.79363094</v>
      </c>
      <c r="H18" s="52">
        <f t="shared" si="1"/>
        <v>577.7315148699998</v>
      </c>
      <c r="I18" s="52">
        <f t="shared" si="1"/>
        <v>714.0158654399997</v>
      </c>
    </row>
    <row r="19" spans="1:9" ht="15">
      <c r="A19" s="43" t="str">
        <f>HLOOKUP(INDICE!$F$2,Nombres!$C$3:$D$636,44,FALSE)</f>
        <v>Deterioro de activos financieros no valorados a valor razonable con cambios en resultados</v>
      </c>
      <c r="B19" s="44">
        <v>-150.51945324999997</v>
      </c>
      <c r="C19" s="44">
        <v>-164.83222990000002</v>
      </c>
      <c r="D19" s="44">
        <v>-322.32590655000007</v>
      </c>
      <c r="E19" s="45">
        <v>-563.9358388299999</v>
      </c>
      <c r="F19" s="44">
        <v>-201.54964351</v>
      </c>
      <c r="G19" s="44">
        <v>-135.36224724999997</v>
      </c>
      <c r="H19" s="44">
        <v>-307.61588047999993</v>
      </c>
      <c r="I19" s="44">
        <v>-261.4684485300001</v>
      </c>
    </row>
    <row r="20" spans="1:9" ht="15">
      <c r="A20" s="43" t="str">
        <f>HLOOKUP(INDICE!$F$2,Nombres!$C$3:$D$636,45,FALSE)</f>
        <v>Provisiones o reversión de provisiones y otros resultados</v>
      </c>
      <c r="B20" s="44">
        <v>28.770999990000004</v>
      </c>
      <c r="C20" s="44">
        <v>5.643000010000001</v>
      </c>
      <c r="D20" s="44">
        <v>-17.04900000000001</v>
      </c>
      <c r="E20" s="45">
        <v>-25.27199999999999</v>
      </c>
      <c r="F20" s="44">
        <v>-1.2579999899999965</v>
      </c>
      <c r="G20" s="44">
        <v>-19.946000010000002</v>
      </c>
      <c r="H20" s="44">
        <v>-13.214</v>
      </c>
      <c r="I20" s="44">
        <v>-93.55799999999999</v>
      </c>
    </row>
    <row r="21" spans="1:9" ht="15">
      <c r="A21" s="41" t="str">
        <f>HLOOKUP(INDICE!$F$2,Nombres!$C$3:$D$636,46,FALSE)</f>
        <v>Resultado antes de impuestos</v>
      </c>
      <c r="B21" s="41">
        <f>+B18+B19+B20</f>
        <v>519.2542557599999</v>
      </c>
      <c r="C21" s="41">
        <f aca="true" t="shared" si="2" ref="C21:I21">+C18+C19+C20</f>
        <v>444.69768058999983</v>
      </c>
      <c r="D21" s="41">
        <f t="shared" si="2"/>
        <v>299.80419682000024</v>
      </c>
      <c r="E21" s="42">
        <f t="shared" si="2"/>
        <v>180.4857325999996</v>
      </c>
      <c r="F21" s="52">
        <f t="shared" si="2"/>
        <v>368.0192720300002</v>
      </c>
      <c r="G21" s="52">
        <f t="shared" si="2"/>
        <v>357.48538368</v>
      </c>
      <c r="H21" s="52">
        <f t="shared" si="2"/>
        <v>256.9016343899999</v>
      </c>
      <c r="I21" s="52">
        <f t="shared" si="2"/>
        <v>358.98941690999965</v>
      </c>
    </row>
    <row r="22" spans="1:9" ht="15">
      <c r="A22" s="43" t="str">
        <f>HLOOKUP(INDICE!$F$2,Nombres!$C$3:$D$636,47,FALSE)</f>
        <v>Impuesto sobre beneficios</v>
      </c>
      <c r="B22" s="44">
        <v>-113.32391269</v>
      </c>
      <c r="C22" s="44">
        <v>-96.49727314999998</v>
      </c>
      <c r="D22" s="44">
        <v>-67.48373104000001</v>
      </c>
      <c r="E22" s="45">
        <v>-15.58257142</v>
      </c>
      <c r="F22" s="44">
        <v>-79.37097462</v>
      </c>
      <c r="G22" s="44">
        <v>-73.37878930999997</v>
      </c>
      <c r="H22" s="44">
        <v>-56.70235449000002</v>
      </c>
      <c r="I22" s="44">
        <v>-102.47585962</v>
      </c>
    </row>
    <row r="23" spans="1:9" ht="15">
      <c r="A23" s="41" t="str">
        <f>HLOOKUP(INDICE!$F$2,Nombres!$C$3:$D$636,48,FALSE)</f>
        <v>Resultado del ejercicio</v>
      </c>
      <c r="B23" s="41">
        <f>+B21+B22</f>
        <v>405.9303430699999</v>
      </c>
      <c r="C23" s="41">
        <f aca="true" t="shared" si="3" ref="C23:I23">+C21+C22</f>
        <v>348.2004074399998</v>
      </c>
      <c r="D23" s="41">
        <f t="shared" si="3"/>
        <v>232.32046578000023</v>
      </c>
      <c r="E23" s="42">
        <f t="shared" si="3"/>
        <v>164.9031611799996</v>
      </c>
      <c r="F23" s="52">
        <f t="shared" si="3"/>
        <v>288.64829741000017</v>
      </c>
      <c r="G23" s="52">
        <f t="shared" si="3"/>
        <v>284.10659437000004</v>
      </c>
      <c r="H23" s="52">
        <f t="shared" si="3"/>
        <v>200.1992798999999</v>
      </c>
      <c r="I23" s="52">
        <f t="shared" si="3"/>
        <v>256.51355728999965</v>
      </c>
    </row>
    <row r="24" spans="1:9" ht="15">
      <c r="A24" s="43" t="str">
        <f>HLOOKUP(INDICE!$F$2,Nombres!$C$3:$D$636,49,FALSE)</f>
        <v>Minoritarios</v>
      </c>
      <c r="B24" s="44">
        <v>-205.84899999</v>
      </c>
      <c r="C24" s="44">
        <v>-176.70200002</v>
      </c>
      <c r="D24" s="44">
        <v>-118.43799998999997</v>
      </c>
      <c r="E24" s="45">
        <v>-83.83500000000001</v>
      </c>
      <c r="F24" s="44">
        <v>-146.973</v>
      </c>
      <c r="G24" s="44">
        <v>-144.11499998999994</v>
      </c>
      <c r="H24" s="44">
        <v>-102.27800003000004</v>
      </c>
      <c r="I24" s="44">
        <v>-130.35599998999996</v>
      </c>
    </row>
    <row r="25" spans="1:9" ht="15">
      <c r="A25" s="47" t="str">
        <f>HLOOKUP(INDICE!$F$2,Nombres!$C$3:$D$636,50,FALSE)</f>
        <v>Resultado atribuido</v>
      </c>
      <c r="B25" s="47">
        <f>+B23+B24</f>
        <v>200.08134307999987</v>
      </c>
      <c r="C25" s="47">
        <f aca="true" t="shared" si="4" ref="C25:I25">+C23+C24</f>
        <v>171.4984074199998</v>
      </c>
      <c r="D25" s="47">
        <f t="shared" si="4"/>
        <v>113.88246579000027</v>
      </c>
      <c r="E25" s="47">
        <f t="shared" si="4"/>
        <v>81.0681611799996</v>
      </c>
      <c r="F25" s="53">
        <f t="shared" si="4"/>
        <v>141.67529741000016</v>
      </c>
      <c r="G25" s="53">
        <f t="shared" si="4"/>
        <v>139.9915943800001</v>
      </c>
      <c r="H25" s="53">
        <f t="shared" si="4"/>
        <v>97.92127986999986</v>
      </c>
      <c r="I25" s="53">
        <f t="shared" si="4"/>
        <v>126.1575572999997</v>
      </c>
    </row>
    <row r="26" spans="1:9" ht="15">
      <c r="A26" s="65"/>
      <c r="B26" s="66">
        <v>0</v>
      </c>
      <c r="C26" s="66">
        <v>0</v>
      </c>
      <c r="D26" s="66">
        <v>0</v>
      </c>
      <c r="E26" s="66">
        <v>0</v>
      </c>
      <c r="F26" s="66">
        <v>2.5579538487363607E-13</v>
      </c>
      <c r="G26" s="66">
        <v>0</v>
      </c>
      <c r="H26" s="66">
        <v>0</v>
      </c>
      <c r="I26" s="66">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4"/>
      <c r="D29" s="54"/>
      <c r="E29" s="54"/>
      <c r="F29" s="30"/>
      <c r="G29" s="60"/>
      <c r="H29" s="60"/>
      <c r="I29" s="60"/>
    </row>
    <row r="30" spans="1:9" ht="15.75">
      <c r="A30" s="30"/>
      <c r="B30" s="55">
        <f>+España!B30</f>
        <v>43190</v>
      </c>
      <c r="C30" s="55">
        <f>+España!C30</f>
        <v>43281</v>
      </c>
      <c r="D30" s="55">
        <f>+España!D30</f>
        <v>43373</v>
      </c>
      <c r="E30" s="71">
        <f>+España!E30</f>
        <v>43465</v>
      </c>
      <c r="F30" s="80">
        <f>+España!F30</f>
        <v>43555</v>
      </c>
      <c r="G30" s="80">
        <f>+España!G30</f>
        <v>43646</v>
      </c>
      <c r="H30" s="80">
        <f>+España!H30</f>
        <v>43738</v>
      </c>
      <c r="I30" s="80">
        <f>+España!I30</f>
        <v>43830</v>
      </c>
    </row>
    <row r="31" spans="1:9" ht="15">
      <c r="A31" s="43" t="str">
        <f>HLOOKUP(INDICE!$F$2,Nombres!$C$3:$D$636,52,FALSE)</f>
        <v>Efectivo, saldos en efectivo en bancos centrales y otros depósitos a la vista</v>
      </c>
      <c r="B31" s="44">
        <v>2942.108</v>
      </c>
      <c r="C31" s="44">
        <v>4170.675</v>
      </c>
      <c r="D31" s="44">
        <v>7628.376</v>
      </c>
      <c r="E31" s="45">
        <v>7853.152</v>
      </c>
      <c r="F31" s="44">
        <v>7171.252</v>
      </c>
      <c r="G31" s="44">
        <v>7687.286999999999</v>
      </c>
      <c r="H31" s="44">
        <v>7038.539000000001</v>
      </c>
      <c r="I31" s="44">
        <v>5486.131</v>
      </c>
    </row>
    <row r="32" spans="1:9" ht="15">
      <c r="A32" s="43" t="str">
        <f>HLOOKUP(INDICE!$F$2,Nombres!$C$3:$D$636,53,FALSE)</f>
        <v>Activos financieros a valor razonable</v>
      </c>
      <c r="B32" s="60">
        <v>5993.430999999999</v>
      </c>
      <c r="C32" s="60">
        <v>5886.098999999999</v>
      </c>
      <c r="D32" s="60">
        <v>5545.427000000001</v>
      </c>
      <c r="E32" s="68">
        <v>5506.3189999999995</v>
      </c>
      <c r="F32" s="44">
        <v>5598.310000000001</v>
      </c>
      <c r="G32" s="44">
        <v>5256.778</v>
      </c>
      <c r="H32" s="44">
        <v>5598.2880000000005</v>
      </c>
      <c r="I32" s="44">
        <v>5268.108</v>
      </c>
    </row>
    <row r="33" spans="1:9" ht="15">
      <c r="A33" s="43" t="str">
        <f>HLOOKUP(INDICE!$F$2,Nombres!$C$3:$D$636,54,FALSE)</f>
        <v>Activos financieros a coste amortizado</v>
      </c>
      <c r="B33" s="44">
        <v>62420.43899999999</v>
      </c>
      <c r="C33" s="44">
        <v>59843.761</v>
      </c>
      <c r="D33" s="44">
        <v>50343.634000000005</v>
      </c>
      <c r="E33" s="45">
        <v>50314.57</v>
      </c>
      <c r="F33" s="44">
        <v>51655.761</v>
      </c>
      <c r="G33" s="44">
        <v>49118.938</v>
      </c>
      <c r="H33" s="44">
        <v>51878.47099999999</v>
      </c>
      <c r="I33" s="44">
        <v>51284.78799999999</v>
      </c>
    </row>
    <row r="34" spans="1:9" ht="15">
      <c r="A34" s="43" t="str">
        <f>HLOOKUP(INDICE!$F$2,Nombres!$C$3:$D$636,55,FALSE)</f>
        <v>    de los que préstamos y anticipos a la clientela</v>
      </c>
      <c r="B34" s="44">
        <v>49751.40400000001</v>
      </c>
      <c r="C34" s="44">
        <v>48529.501000000004</v>
      </c>
      <c r="D34" s="44">
        <v>40832.878</v>
      </c>
      <c r="E34" s="45">
        <v>41477.81500000001</v>
      </c>
      <c r="F34" s="44">
        <v>42025.041000000005</v>
      </c>
      <c r="G34" s="44">
        <v>39286.08600000001</v>
      </c>
      <c r="H34" s="44">
        <v>40775.634000000005</v>
      </c>
      <c r="I34" s="44">
        <v>40499.86000000001</v>
      </c>
    </row>
    <row r="35" spans="1:9" ht="15">
      <c r="A35" s="43" t="str">
        <f>HLOOKUP(INDICE!$F$2,Nombres!$C$3:$D$636,56,FALSE)</f>
        <v>Activos tangibles</v>
      </c>
      <c r="B35" s="44">
        <v>1251.661</v>
      </c>
      <c r="C35" s="44">
        <v>1173.6870000000001</v>
      </c>
      <c r="D35" s="44">
        <v>924.191</v>
      </c>
      <c r="E35" s="45">
        <v>1059.395</v>
      </c>
      <c r="F35" s="44">
        <v>1163.893</v>
      </c>
      <c r="G35" s="44">
        <v>1128.5140000000001</v>
      </c>
      <c r="H35" s="44">
        <v>1184.0720000000001</v>
      </c>
      <c r="I35" s="44">
        <v>1117.498</v>
      </c>
    </row>
    <row r="36" spans="1:9" ht="15">
      <c r="A36" s="43" t="str">
        <f>HLOOKUP(INDICE!$F$2,Nombres!$C$3:$D$636,57,FALSE)</f>
        <v>Otros activos</v>
      </c>
      <c r="B36" s="60">
        <f>+B37-B35-B33-B32-B31</f>
        <v>1781.4280000000272</v>
      </c>
      <c r="C36" s="60">
        <f aca="true" t="shared" si="5" ref="C36:I36">+C37-C35-C33-C32-C31</f>
        <v>1743.996999999994</v>
      </c>
      <c r="D36" s="60">
        <f t="shared" si="5"/>
        <v>1593.2150000000038</v>
      </c>
      <c r="E36" s="68">
        <f t="shared" si="5"/>
        <v>1516.5539999999946</v>
      </c>
      <c r="F36" s="44">
        <f t="shared" si="5"/>
        <v>1541.0290000000132</v>
      </c>
      <c r="G36" s="44">
        <f t="shared" si="5"/>
        <v>1449.2610000100058</v>
      </c>
      <c r="H36" s="44">
        <f t="shared" si="5"/>
        <v>1456.5460000000057</v>
      </c>
      <c r="I36" s="44">
        <f t="shared" si="5"/>
        <v>1259.5160680800118</v>
      </c>
    </row>
    <row r="37" spans="1:9" ht="15">
      <c r="A37" s="47" t="str">
        <f>HLOOKUP(INDICE!$F$2,Nombres!$C$3:$D$636,58,FALSE)</f>
        <v>Total activo / pasivo</v>
      </c>
      <c r="B37" s="53">
        <v>74389.06700000001</v>
      </c>
      <c r="C37" s="53">
        <v>72818.219</v>
      </c>
      <c r="D37" s="53">
        <v>66034.84300000001</v>
      </c>
      <c r="E37" s="84">
        <v>66249.98999999999</v>
      </c>
      <c r="F37" s="53">
        <v>67130.24500000001</v>
      </c>
      <c r="G37" s="53">
        <v>64640.77800001001</v>
      </c>
      <c r="H37" s="53">
        <v>67155.916</v>
      </c>
      <c r="I37" s="53">
        <v>64416.041068080005</v>
      </c>
    </row>
    <row r="38" spans="1:9" ht="15">
      <c r="A38" s="43" t="str">
        <f>HLOOKUP(INDICE!$F$2,Nombres!$C$3:$D$636,59,FALSE)</f>
        <v>Pasivos financieros mantenidos para negociar y designados a valor razonable con cambios en resultados</v>
      </c>
      <c r="B38" s="60">
        <v>1602.3269999999998</v>
      </c>
      <c r="C38" s="60">
        <v>2027.4639999999997</v>
      </c>
      <c r="D38" s="60">
        <v>2561.8630000000003</v>
      </c>
      <c r="E38" s="68">
        <v>1851.6390000000001</v>
      </c>
      <c r="F38" s="44">
        <v>1791.8429999999998</v>
      </c>
      <c r="G38" s="44">
        <v>2275.442</v>
      </c>
      <c r="H38" s="44">
        <v>2490.1990000000005</v>
      </c>
      <c r="I38" s="44">
        <v>2183.716</v>
      </c>
    </row>
    <row r="39" spans="1:9" ht="15">
      <c r="A39" s="43" t="str">
        <f>HLOOKUP(INDICE!$F$2,Nombres!$C$3:$D$636,60,FALSE)</f>
        <v>Depósitos de bancos centrales y entidades de crédito</v>
      </c>
      <c r="B39" s="60">
        <v>9021.180999999999</v>
      </c>
      <c r="C39" s="60">
        <v>9506.204</v>
      </c>
      <c r="D39" s="60">
        <v>8538.965</v>
      </c>
      <c r="E39" s="68">
        <v>6734.256</v>
      </c>
      <c r="F39" s="44">
        <v>6950.101000000001</v>
      </c>
      <c r="G39" s="44">
        <v>5459.238</v>
      </c>
      <c r="H39" s="44">
        <v>4938.094999999999</v>
      </c>
      <c r="I39" s="44">
        <v>4472.8769999999995</v>
      </c>
    </row>
    <row r="40" spans="1:9" ht="15.75" customHeight="1">
      <c r="A40" s="43" t="str">
        <f>HLOOKUP(INDICE!$F$2,Nombres!$C$3:$D$636,61,FALSE)</f>
        <v>Depósitos de la clientela</v>
      </c>
      <c r="B40" s="60">
        <v>43246.159</v>
      </c>
      <c r="C40" s="60">
        <v>42308.79</v>
      </c>
      <c r="D40" s="60">
        <v>38841.33</v>
      </c>
      <c r="E40" s="68">
        <v>39904.609</v>
      </c>
      <c r="F40" s="44">
        <v>40544.277</v>
      </c>
      <c r="G40" s="44">
        <v>39455.706</v>
      </c>
      <c r="H40" s="44">
        <v>41650.666</v>
      </c>
      <c r="I40" s="44">
        <v>41334.625</v>
      </c>
    </row>
    <row r="41" spans="1:9" ht="15">
      <c r="A41" s="43" t="str">
        <f>HLOOKUP(INDICE!$F$2,Nombres!$C$3:$D$636,62,FALSE)</f>
        <v>Valores representativos de deuda emitidos</v>
      </c>
      <c r="B41" s="44">
        <v>6941.177</v>
      </c>
      <c r="C41" s="44">
        <v>6591.478</v>
      </c>
      <c r="D41" s="44">
        <v>5737.755</v>
      </c>
      <c r="E41" s="45">
        <v>5964.205</v>
      </c>
      <c r="F41" s="44">
        <v>6335.299999999999</v>
      </c>
      <c r="G41" s="44">
        <v>5798.932999999999</v>
      </c>
      <c r="H41" s="44">
        <v>4836.344999999999</v>
      </c>
      <c r="I41" s="44">
        <v>4270.916</v>
      </c>
    </row>
    <row r="42" spans="1:9" ht="15">
      <c r="A42" s="43" t="str">
        <f>HLOOKUP(INDICE!$F$2,Nombres!$C$3:$D$636,63,FALSE)</f>
        <v>Otros pasivos</v>
      </c>
      <c r="B42" s="60">
        <f>+B37-B38-B39-B40-B41-B43</f>
        <v>11001.93351000001</v>
      </c>
      <c r="C42" s="60">
        <f aca="true" t="shared" si="6" ref="C42:I42">+C37-C38-C39-C40-C41-C43</f>
        <v>10061.012660000008</v>
      </c>
      <c r="D42" s="60">
        <f t="shared" si="6"/>
        <v>8295.87720747001</v>
      </c>
      <c r="E42" s="68">
        <f t="shared" si="6"/>
        <v>9266.511981939992</v>
      </c>
      <c r="F42" s="44">
        <f t="shared" si="6"/>
        <v>8786.053530000007</v>
      </c>
      <c r="G42" s="44">
        <f t="shared" si="6"/>
        <v>9050.855150010013</v>
      </c>
      <c r="H42" s="44">
        <f t="shared" si="6"/>
        <v>10654.548045689999</v>
      </c>
      <c r="I42" s="44">
        <f t="shared" si="6"/>
        <v>9481.484454630003</v>
      </c>
    </row>
    <row r="43" spans="1:9" ht="15">
      <c r="A43" s="43" t="str">
        <f>HLOOKUP(INDICE!$F$2,Nombres!$C$3:$D$636,64,FALSE)</f>
        <v>Dotación de capital económico</v>
      </c>
      <c r="B43" s="44">
        <v>2576.2894899999997</v>
      </c>
      <c r="C43" s="44">
        <v>2323.27034</v>
      </c>
      <c r="D43" s="44">
        <v>2059.0527925300003</v>
      </c>
      <c r="E43" s="45">
        <v>2528.769018059999</v>
      </c>
      <c r="F43" s="44">
        <v>2722.6704699999996</v>
      </c>
      <c r="G43" s="44">
        <v>2600.60385</v>
      </c>
      <c r="H43" s="44">
        <v>2586.06295431</v>
      </c>
      <c r="I43" s="44">
        <v>2672.4226134500004</v>
      </c>
    </row>
    <row r="44" spans="1:9" ht="15">
      <c r="A44" s="65"/>
      <c r="B44" s="60"/>
      <c r="C44" s="60"/>
      <c r="D44" s="60"/>
      <c r="E44" s="60"/>
      <c r="F44" s="81"/>
      <c r="G44" s="81"/>
      <c r="H44" s="81"/>
      <c r="I44" s="81"/>
    </row>
    <row r="45" spans="1:9" ht="15">
      <c r="A45" s="43"/>
      <c r="B45" s="60"/>
      <c r="C45" s="60"/>
      <c r="D45" s="60"/>
      <c r="E45" s="60"/>
      <c r="F45" s="81"/>
      <c r="G45" s="81"/>
      <c r="H45" s="81"/>
      <c r="I45" s="81"/>
    </row>
    <row r="46" spans="1:9" ht="18">
      <c r="A46" s="33" t="str">
        <f>HLOOKUP(INDICE!$F$2,Nombres!$C$3:$D$636,65,FALSE)</f>
        <v>Indicadores relevantes y de gestión</v>
      </c>
      <c r="B46" s="34"/>
      <c r="C46" s="34"/>
      <c r="D46" s="34"/>
      <c r="E46" s="34"/>
      <c r="F46" s="85"/>
      <c r="G46" s="85"/>
      <c r="H46" s="85"/>
      <c r="I46" s="85"/>
    </row>
    <row r="47" spans="1:9" ht="15">
      <c r="A47" s="35" t="str">
        <f>HLOOKUP(INDICE!$F$2,Nombres!$C$3:$D$636,32,FALSE)</f>
        <v>(Millones de euros)</v>
      </c>
      <c r="B47" s="30"/>
      <c r="C47" s="30"/>
      <c r="D47" s="30"/>
      <c r="E47" s="30"/>
      <c r="F47" s="83"/>
      <c r="G47" s="81"/>
      <c r="H47" s="81"/>
      <c r="I47" s="81"/>
    </row>
    <row r="48" spans="1:9" ht="15.75">
      <c r="A48" s="30"/>
      <c r="B48" s="55">
        <f aca="true" t="shared" si="7" ref="B48:I48">+B$30</f>
        <v>43190</v>
      </c>
      <c r="C48" s="55">
        <f t="shared" si="7"/>
        <v>43281</v>
      </c>
      <c r="D48" s="55">
        <f t="shared" si="7"/>
        <v>43373</v>
      </c>
      <c r="E48" s="71">
        <f t="shared" si="7"/>
        <v>43465</v>
      </c>
      <c r="F48" s="80">
        <f t="shared" si="7"/>
        <v>43555</v>
      </c>
      <c r="G48" s="80">
        <f t="shared" si="7"/>
        <v>43646</v>
      </c>
      <c r="H48" s="80">
        <f t="shared" si="7"/>
        <v>43738</v>
      </c>
      <c r="I48" s="80">
        <f t="shared" si="7"/>
        <v>43830</v>
      </c>
    </row>
    <row r="49" spans="1:9" ht="15">
      <c r="A49" s="43" t="str">
        <f>HLOOKUP(INDICE!$F$2,Nombres!$C$3:$D$636,66,FALSE)</f>
        <v>Préstamos y anticipos a la clientela bruto (*)</v>
      </c>
      <c r="B49" s="44">
        <v>51732.188</v>
      </c>
      <c r="C49" s="44">
        <v>50597.387</v>
      </c>
      <c r="D49" s="44">
        <v>42887.957</v>
      </c>
      <c r="E49" s="45">
        <v>43718.605</v>
      </c>
      <c r="F49" s="44">
        <v>44375.77099999999</v>
      </c>
      <c r="G49" s="44">
        <v>41634.19299999999</v>
      </c>
      <c r="H49" s="44">
        <v>43500.257000000005</v>
      </c>
      <c r="I49" s="44">
        <v>43113.172</v>
      </c>
    </row>
    <row r="50" spans="1:9" ht="15">
      <c r="A50" s="43" t="str">
        <f>HLOOKUP(INDICE!$F$2,Nombres!$C$3:$D$636,67,FALSE)</f>
        <v>Depósitos de clientes en gestión (**)</v>
      </c>
      <c r="B50" s="44">
        <v>43143.437</v>
      </c>
      <c r="C50" s="44">
        <v>42299.251</v>
      </c>
      <c r="D50" s="44">
        <v>38836.124</v>
      </c>
      <c r="E50" s="45">
        <v>39897.11299999999</v>
      </c>
      <c r="F50" s="44">
        <v>40539.997</v>
      </c>
      <c r="G50" s="44">
        <v>39452.07899999999</v>
      </c>
      <c r="H50" s="44">
        <v>41647.481999999996</v>
      </c>
      <c r="I50" s="44">
        <v>41324.482</v>
      </c>
    </row>
    <row r="51" spans="1:9" ht="15">
      <c r="A51" s="43" t="str">
        <f>HLOOKUP(INDICE!$F$2,Nombres!$C$3:$D$636,68,FALSE)</f>
        <v>Fondos de inversión</v>
      </c>
      <c r="B51" s="44">
        <v>1331.072</v>
      </c>
      <c r="C51" s="44">
        <v>1103.497</v>
      </c>
      <c r="D51" s="44">
        <v>646.621</v>
      </c>
      <c r="E51" s="45">
        <v>669.424</v>
      </c>
      <c r="F51" s="44">
        <v>757.36</v>
      </c>
      <c r="G51" s="44">
        <v>872.207</v>
      </c>
      <c r="H51" s="44">
        <v>1035.144</v>
      </c>
      <c r="I51" s="44">
        <v>1459.741</v>
      </c>
    </row>
    <row r="52" spans="1:9" ht="15">
      <c r="A52" s="43" t="str">
        <f>HLOOKUP(INDICE!$F$2,Nombres!$C$3:$D$636,69,FALSE)</f>
        <v>Fondos de pensiones</v>
      </c>
      <c r="B52" s="44">
        <v>2529.726</v>
      </c>
      <c r="C52" s="44">
        <v>2336.161</v>
      </c>
      <c r="D52" s="44">
        <v>1936.775</v>
      </c>
      <c r="E52" s="45">
        <v>2224.599</v>
      </c>
      <c r="F52" s="44">
        <v>2612.445</v>
      </c>
      <c r="G52" s="44">
        <v>2110.758</v>
      </c>
      <c r="H52" s="44">
        <v>2425.286</v>
      </c>
      <c r="I52" s="44">
        <v>2446.168</v>
      </c>
    </row>
    <row r="53" spans="1:9" ht="15">
      <c r="A53" s="43" t="str">
        <f>HLOOKUP(INDICE!$F$2,Nombres!$C$3:$D$636,70,FALSE)</f>
        <v>Otros recursos fuera de balance</v>
      </c>
      <c r="B53" s="44" t="s">
        <v>400</v>
      </c>
      <c r="C53" s="44" t="s">
        <v>400</v>
      </c>
      <c r="D53" s="44" t="s">
        <v>400</v>
      </c>
      <c r="E53" s="45" t="s">
        <v>400</v>
      </c>
      <c r="F53" s="44" t="s">
        <v>400</v>
      </c>
      <c r="G53" s="44" t="s">
        <v>400</v>
      </c>
      <c r="H53" s="44" t="s">
        <v>400</v>
      </c>
      <c r="I53" s="44" t="s">
        <v>400</v>
      </c>
    </row>
    <row r="54" spans="1:9" ht="15">
      <c r="A54" s="65" t="str">
        <f>HLOOKUP(INDICE!$F$2,Nombres!$C$3:$D$636,71,FALSE)</f>
        <v>(*) No incluye las adquisiciones temporales de activos.</v>
      </c>
      <c r="B54" s="60"/>
      <c r="C54" s="60"/>
      <c r="D54" s="60"/>
      <c r="E54" s="60"/>
      <c r="F54" s="60"/>
      <c r="G54" s="60"/>
      <c r="H54" s="60"/>
      <c r="I54" s="60"/>
    </row>
    <row r="55" spans="1:9" ht="15">
      <c r="A55" s="65" t="str">
        <f>HLOOKUP(INDICE!$F$2,Nombres!$C$3:$D$636,72,FALSE)</f>
        <v>(**) No incluye las cesiones temporales de activos.</v>
      </c>
      <c r="B55" s="30"/>
      <c r="C55" s="30"/>
      <c r="D55" s="30"/>
      <c r="E55" s="30"/>
      <c r="F55" s="30"/>
      <c r="G55" s="30"/>
      <c r="H55" s="30"/>
      <c r="I55" s="30"/>
    </row>
    <row r="56" spans="1:9" ht="15">
      <c r="A56" s="65"/>
      <c r="B56" s="30"/>
      <c r="C56" s="30"/>
      <c r="D56" s="30"/>
      <c r="E56" s="30"/>
      <c r="F56" s="30"/>
      <c r="G56" s="30"/>
      <c r="H56" s="30"/>
      <c r="I56" s="30"/>
    </row>
    <row r="57" spans="1:9" ht="18">
      <c r="A57" s="33" t="str">
        <f>HLOOKUP(INDICE!$F$2,Nombres!$C$3:$D$636,31,FALSE)</f>
        <v>Cuenta de resultados  </v>
      </c>
      <c r="B57" s="34"/>
      <c r="C57" s="34"/>
      <c r="D57" s="34"/>
      <c r="E57" s="34"/>
      <c r="F57" s="34"/>
      <c r="G57" s="34"/>
      <c r="H57" s="34"/>
      <c r="I57" s="34"/>
    </row>
    <row r="58" spans="1:9" ht="15">
      <c r="A58" s="35" t="str">
        <f>HLOOKUP(INDICE!$F$2,Nombres!$C$3:$D$636,73,FALSE)</f>
        <v>(Millones de euros constantes)</v>
      </c>
      <c r="B58" s="30"/>
      <c r="C58" s="36"/>
      <c r="D58" s="36"/>
      <c r="E58" s="36"/>
      <c r="F58" s="30"/>
      <c r="G58" s="30"/>
      <c r="H58" s="30"/>
      <c r="I58" s="30"/>
    </row>
    <row r="59" spans="1:9" ht="15">
      <c r="A59" s="37"/>
      <c r="B59" s="30"/>
      <c r="C59" s="36"/>
      <c r="D59" s="36"/>
      <c r="E59" s="36"/>
      <c r="F59" s="30"/>
      <c r="G59" s="30"/>
      <c r="H59" s="30"/>
      <c r="I59" s="30"/>
    </row>
    <row r="60" spans="1:9" ht="15.75">
      <c r="A60" s="38"/>
      <c r="B60" s="295">
        <f>+B$6</f>
        <v>2018</v>
      </c>
      <c r="C60" s="295"/>
      <c r="D60" s="295"/>
      <c r="E60" s="296"/>
      <c r="F60" s="295">
        <f>+F$6</f>
        <v>2019</v>
      </c>
      <c r="G60" s="295"/>
      <c r="H60" s="295"/>
      <c r="I60" s="295"/>
    </row>
    <row r="61" spans="1:9" ht="15.75">
      <c r="A61" s="38"/>
      <c r="B61" s="39" t="str">
        <f>+B$7</f>
        <v>1er Trim.</v>
      </c>
      <c r="C61" s="39" t="str">
        <f aca="true" t="shared" si="8" ref="C61:I61">+C$7</f>
        <v>2º Trim.</v>
      </c>
      <c r="D61" s="39" t="str">
        <f t="shared" si="8"/>
        <v>3er Trim.</v>
      </c>
      <c r="E61" s="40" t="str">
        <f t="shared" si="8"/>
        <v>4º Trim.</v>
      </c>
      <c r="F61" s="39" t="str">
        <f t="shared" si="8"/>
        <v>1er Trim.</v>
      </c>
      <c r="G61" s="39" t="str">
        <f t="shared" si="8"/>
        <v>2º Trim.</v>
      </c>
      <c r="H61" s="39" t="str">
        <f t="shared" si="8"/>
        <v>3er Trim.</v>
      </c>
      <c r="I61" s="39" t="str">
        <f t="shared" si="8"/>
        <v>4º Trim.</v>
      </c>
    </row>
    <row r="62" spans="1:9" ht="15">
      <c r="A62" s="41" t="str">
        <f>HLOOKUP(INDICE!$F$2,Nombres!$C$3:$D$636,33,FALSE)</f>
        <v>Margen de intereses</v>
      </c>
      <c r="B62" s="41">
        <v>555.131840965335</v>
      </c>
      <c r="C62" s="41">
        <v>621.4866369011054</v>
      </c>
      <c r="D62" s="41">
        <v>731.5415434915494</v>
      </c>
      <c r="E62" s="42">
        <v>904.4160231103219</v>
      </c>
      <c r="F62" s="52">
        <v>667.5341567285694</v>
      </c>
      <c r="G62" s="52">
        <v>685.3430491491943</v>
      </c>
      <c r="H62" s="52">
        <v>670.2644829915711</v>
      </c>
      <c r="I62" s="52">
        <v>791.1123111306646</v>
      </c>
    </row>
    <row r="63" spans="1:9" ht="15">
      <c r="A63" s="43" t="str">
        <f>HLOOKUP(INDICE!$F$2,Nombres!$C$3:$D$636,34,FALSE)</f>
        <v>Comisiones netas</v>
      </c>
      <c r="B63" s="44">
        <v>148.1628381988431</v>
      </c>
      <c r="C63" s="44">
        <v>141.03507032009432</v>
      </c>
      <c r="D63" s="44">
        <v>156.90420235702223</v>
      </c>
      <c r="E63" s="45">
        <v>169.15360927467606</v>
      </c>
      <c r="F63" s="44">
        <v>186.43804024692952</v>
      </c>
      <c r="G63" s="44">
        <v>173.61494637964</v>
      </c>
      <c r="H63" s="44">
        <v>185.4841196754783</v>
      </c>
      <c r="I63" s="44">
        <v>171.3408936679522</v>
      </c>
    </row>
    <row r="64" spans="1:9" ht="15">
      <c r="A64" s="43" t="str">
        <f>HLOOKUP(INDICE!$F$2,Nombres!$C$3:$D$636,35,FALSE)</f>
        <v>Resultados de operaciones financieras</v>
      </c>
      <c r="B64" s="44">
        <v>14.574614991718805</v>
      </c>
      <c r="C64" s="44">
        <v>-11.405094391366761</v>
      </c>
      <c r="D64" s="44">
        <v>23.994572863494867</v>
      </c>
      <c r="E64" s="45">
        <v>-17.339511148548812</v>
      </c>
      <c r="F64" s="44">
        <v>-10.560184786054934</v>
      </c>
      <c r="G64" s="44">
        <v>-54.89563328860385</v>
      </c>
      <c r="H64" s="44">
        <v>0.24084395753393384</v>
      </c>
      <c r="I64" s="44">
        <v>74.88597412712484</v>
      </c>
    </row>
    <row r="65" spans="1:9" ht="15">
      <c r="A65" s="43" t="str">
        <f>HLOOKUP(INDICE!$F$2,Nombres!$C$3:$D$636,36,FALSE)</f>
        <v>Otros ingresos y cargas de explotación</v>
      </c>
      <c r="B65" s="44">
        <v>16.947055220184325</v>
      </c>
      <c r="C65" s="44">
        <v>13.402254109297676</v>
      </c>
      <c r="D65" s="44">
        <v>13.426175861946223</v>
      </c>
      <c r="E65" s="45">
        <v>18.607472290233325</v>
      </c>
      <c r="F65" s="44">
        <v>5.624540256178528</v>
      </c>
      <c r="G65" s="44">
        <v>23.92425186721772</v>
      </c>
      <c r="H65" s="44">
        <v>6.948822879795699</v>
      </c>
      <c r="I65" s="44">
        <v>13.077385016808082</v>
      </c>
    </row>
    <row r="66" spans="1:9" ht="15">
      <c r="A66" s="41" t="str">
        <f>HLOOKUP(INDICE!$F$2,Nombres!$C$3:$D$636,37,FALSE)</f>
        <v>Margen bruto</v>
      </c>
      <c r="B66" s="41">
        <f>+SUM(B62:B65)</f>
        <v>734.8163493760812</v>
      </c>
      <c r="C66" s="41">
        <f aca="true" t="shared" si="9" ref="C66:I66">+SUM(C62:C65)</f>
        <v>764.5188669391306</v>
      </c>
      <c r="D66" s="41">
        <f t="shared" si="9"/>
        <v>925.8664945740128</v>
      </c>
      <c r="E66" s="42">
        <f t="shared" si="9"/>
        <v>1074.8375935266824</v>
      </c>
      <c r="F66" s="52">
        <f t="shared" si="9"/>
        <v>849.0365524456225</v>
      </c>
      <c r="G66" s="52">
        <f t="shared" si="9"/>
        <v>827.9866141074481</v>
      </c>
      <c r="H66" s="52">
        <f t="shared" si="9"/>
        <v>862.9382695043789</v>
      </c>
      <c r="I66" s="52">
        <f t="shared" si="9"/>
        <v>1050.4165639425498</v>
      </c>
    </row>
    <row r="67" spans="1:9" ht="15">
      <c r="A67" s="43" t="str">
        <f>HLOOKUP(INDICE!$F$2,Nombres!$C$3:$D$636,38,FALSE)</f>
        <v>Gastos de explotación</v>
      </c>
      <c r="B67" s="44">
        <v>-262.0962318250595</v>
      </c>
      <c r="C67" s="44">
        <v>-267.06359627489815</v>
      </c>
      <c r="D67" s="44">
        <v>-264.6301039814589</v>
      </c>
      <c r="E67" s="45">
        <v>-325.23511394225784</v>
      </c>
      <c r="F67" s="44">
        <v>-300.5843897834798</v>
      </c>
      <c r="G67" s="44">
        <v>-293.1191483414731</v>
      </c>
      <c r="H67" s="44">
        <v>-289.96059618848153</v>
      </c>
      <c r="I67" s="44">
        <v>-331.34593890656555</v>
      </c>
    </row>
    <row r="68" spans="1:9" ht="15">
      <c r="A68" s="43" t="str">
        <f>HLOOKUP(INDICE!$F$2,Nombres!$C$3:$D$636,39,FALSE)</f>
        <v>  Gastos de administración</v>
      </c>
      <c r="B68" s="44">
        <v>-232.36143466029756</v>
      </c>
      <c r="C68" s="44">
        <v>-235.83944624061579</v>
      </c>
      <c r="D68" s="44">
        <v>-234.45147403136383</v>
      </c>
      <c r="E68" s="45">
        <v>-292.2778193347915</v>
      </c>
      <c r="F68" s="44">
        <v>-258.17741053057205</v>
      </c>
      <c r="G68" s="44">
        <v>-249.65293793498716</v>
      </c>
      <c r="H68" s="44">
        <v>-243.84752222410629</v>
      </c>
      <c r="I68" s="44">
        <v>-284.5621165203345</v>
      </c>
    </row>
    <row r="69" spans="1:9" ht="15">
      <c r="A69" s="46" t="str">
        <f>HLOOKUP(INDICE!$F$2,Nombres!$C$3:$D$636,40,FALSE)</f>
        <v>  Gastos de personal</v>
      </c>
      <c r="B69" s="44">
        <v>-130.7151237076959</v>
      </c>
      <c r="C69" s="44">
        <v>-147.0221693372966</v>
      </c>
      <c r="D69" s="44">
        <v>-142.95945210475907</v>
      </c>
      <c r="E69" s="45">
        <v>-167.67598494889825</v>
      </c>
      <c r="F69" s="44">
        <v>-164.72961615265393</v>
      </c>
      <c r="G69" s="44">
        <v>-170.60546069693766</v>
      </c>
      <c r="H69" s="44">
        <v>-169.8308164328862</v>
      </c>
      <c r="I69" s="44">
        <v>-172.3477416775222</v>
      </c>
    </row>
    <row r="70" spans="1:9" ht="15">
      <c r="A70" s="46" t="str">
        <f>HLOOKUP(INDICE!$F$2,Nombres!$C$3:$D$636,41,FALSE)</f>
        <v>  Otros gastos de administración</v>
      </c>
      <c r="B70" s="44">
        <v>-101.64631095260162</v>
      </c>
      <c r="C70" s="44">
        <v>-88.81727690331918</v>
      </c>
      <c r="D70" s="44">
        <v>-91.4920219266048</v>
      </c>
      <c r="E70" s="45">
        <v>-124.60183438589323</v>
      </c>
      <c r="F70" s="44">
        <v>-93.44779437791811</v>
      </c>
      <c r="G70" s="44">
        <v>-79.04747723804952</v>
      </c>
      <c r="H70" s="44">
        <v>-74.01670579122012</v>
      </c>
      <c r="I70" s="44">
        <v>-112.21437484281229</v>
      </c>
    </row>
    <row r="71" spans="1:9" ht="15">
      <c r="A71" s="43" t="str">
        <f>HLOOKUP(INDICE!$F$2,Nombres!$C$3:$D$636,42,FALSE)</f>
        <v>  Amortización</v>
      </c>
      <c r="B71" s="44">
        <v>-29.734797164761893</v>
      </c>
      <c r="C71" s="44">
        <v>-31.224150034282427</v>
      </c>
      <c r="D71" s="44">
        <v>-30.178629950094987</v>
      </c>
      <c r="E71" s="45">
        <v>-32.95729460746644</v>
      </c>
      <c r="F71" s="44">
        <v>-42.40697925290776</v>
      </c>
      <c r="G71" s="44">
        <v>-43.466210406485885</v>
      </c>
      <c r="H71" s="44">
        <v>-46.11307396437524</v>
      </c>
      <c r="I71" s="44">
        <v>-46.78382238623112</v>
      </c>
    </row>
    <row r="72" spans="1:9" ht="15">
      <c r="A72" s="41" t="str">
        <f>HLOOKUP(INDICE!$F$2,Nombres!$C$3:$D$636,43,FALSE)</f>
        <v>Margen neto</v>
      </c>
      <c r="B72" s="41">
        <f>+B66+B67</f>
        <v>472.72011755102176</v>
      </c>
      <c r="C72" s="41">
        <f aca="true" t="shared" si="10" ref="C72:I72">+C66+C67</f>
        <v>497.45527066423244</v>
      </c>
      <c r="D72" s="41">
        <f t="shared" si="10"/>
        <v>661.2363905925539</v>
      </c>
      <c r="E72" s="42">
        <f t="shared" si="10"/>
        <v>749.6024795844246</v>
      </c>
      <c r="F72" s="52">
        <f t="shared" si="10"/>
        <v>548.4521626621427</v>
      </c>
      <c r="G72" s="52">
        <f t="shared" si="10"/>
        <v>534.867465765975</v>
      </c>
      <c r="H72" s="52">
        <f t="shared" si="10"/>
        <v>572.9776733158974</v>
      </c>
      <c r="I72" s="52">
        <f t="shared" si="10"/>
        <v>719.0706250359842</v>
      </c>
    </row>
    <row r="73" spans="1:9" ht="15">
      <c r="A73" s="43" t="str">
        <f>HLOOKUP(INDICE!$F$2,Nombres!$C$3:$D$636,44,FALSE)</f>
        <v>Deterioro de activos financieros no valorados a valor razonable con cambios en resultados</v>
      </c>
      <c r="B73" s="44">
        <v>-111.00354590207428</v>
      </c>
      <c r="C73" s="44">
        <v>-134.75835686587234</v>
      </c>
      <c r="D73" s="44">
        <v>-306.4019956559081</v>
      </c>
      <c r="E73" s="45">
        <v>-525.9502614429717</v>
      </c>
      <c r="F73" s="44">
        <v>-193.6494843874156</v>
      </c>
      <c r="G73" s="44">
        <v>-143.1688469926109</v>
      </c>
      <c r="H73" s="44">
        <v>-305.7484268920622</v>
      </c>
      <c r="I73" s="44">
        <v>-263.42946149791135</v>
      </c>
    </row>
    <row r="74" spans="1:9" ht="15">
      <c r="A74" s="43" t="str">
        <f>HLOOKUP(INDICE!$F$2,Nombres!$C$3:$D$636,45,FALSE)</f>
        <v>Provisiones o reversión de provisiones y otros resultados</v>
      </c>
      <c r="B74" s="44">
        <v>21.21774261785358</v>
      </c>
      <c r="C74" s="44">
        <v>5.6019972908538485</v>
      </c>
      <c r="D74" s="44">
        <v>-11.783417085066823</v>
      </c>
      <c r="E74" s="45">
        <v>-22.1306582061069</v>
      </c>
      <c r="F74" s="44">
        <v>-1.2086900536283343</v>
      </c>
      <c r="G74" s="44">
        <v>-19.98942166178639</v>
      </c>
      <c r="H74" s="44">
        <v>-13.11516953181576</v>
      </c>
      <c r="I74" s="44">
        <v>-93.6627187527695</v>
      </c>
    </row>
    <row r="75" spans="1:9" ht="15">
      <c r="A75" s="41" t="str">
        <f>HLOOKUP(INDICE!$F$2,Nombres!$C$3:$D$636,46,FALSE)</f>
        <v>Resultado antes de impuestos</v>
      </c>
      <c r="B75" s="41">
        <f>+B72+B73+B74</f>
        <v>382.93431426680104</v>
      </c>
      <c r="C75" s="41">
        <f aca="true" t="shared" si="11" ref="C75:I75">+C72+C73+C74</f>
        <v>368.29891108921396</v>
      </c>
      <c r="D75" s="41">
        <f t="shared" si="11"/>
        <v>343.050977851579</v>
      </c>
      <c r="E75" s="42">
        <f t="shared" si="11"/>
        <v>201.52155993534598</v>
      </c>
      <c r="F75" s="52">
        <f t="shared" si="11"/>
        <v>353.5939882210987</v>
      </c>
      <c r="G75" s="52">
        <f t="shared" si="11"/>
        <v>371.70919711157774</v>
      </c>
      <c r="H75" s="52">
        <f t="shared" si="11"/>
        <v>254.11407689201945</v>
      </c>
      <c r="I75" s="52">
        <f t="shared" si="11"/>
        <v>361.9784447853034</v>
      </c>
    </row>
    <row r="76" spans="1:9" ht="15">
      <c r="A76" s="43" t="str">
        <f>HLOOKUP(INDICE!$F$2,Nombres!$C$3:$D$636,47,FALSE)</f>
        <v>Impuesto sobre beneficios</v>
      </c>
      <c r="B76" s="44">
        <v>-83.57295932502383</v>
      </c>
      <c r="C76" s="44">
        <v>-79.94623726837904</v>
      </c>
      <c r="D76" s="44">
        <v>-76.5986410564966</v>
      </c>
      <c r="E76" s="45">
        <v>-22.66729847358215</v>
      </c>
      <c r="F76" s="44">
        <v>-76.25986353941158</v>
      </c>
      <c r="G76" s="44">
        <v>-76.4474822581439</v>
      </c>
      <c r="H76" s="44">
        <v>-56.10750245550062</v>
      </c>
      <c r="I76" s="44">
        <v>-103.1131297869439</v>
      </c>
    </row>
    <row r="77" spans="1:9" ht="15">
      <c r="A77" s="41" t="str">
        <f>HLOOKUP(INDICE!$F$2,Nombres!$C$3:$D$636,48,FALSE)</f>
        <v>Resultado del ejercicio</v>
      </c>
      <c r="B77" s="41">
        <f>+B75+B76</f>
        <v>299.3613549417772</v>
      </c>
      <c r="C77" s="41">
        <f aca="true" t="shared" si="12" ref="C77:I77">+C75+C76</f>
        <v>288.3526738208349</v>
      </c>
      <c r="D77" s="41">
        <f t="shared" si="12"/>
        <v>266.4523367950824</v>
      </c>
      <c r="E77" s="42">
        <f t="shared" si="12"/>
        <v>178.85426146176383</v>
      </c>
      <c r="F77" s="52">
        <f t="shared" si="12"/>
        <v>277.3341246816871</v>
      </c>
      <c r="G77" s="52">
        <f t="shared" si="12"/>
        <v>295.26171485343383</v>
      </c>
      <c r="H77" s="52">
        <f t="shared" si="12"/>
        <v>198.00657443651883</v>
      </c>
      <c r="I77" s="52">
        <f t="shared" si="12"/>
        <v>258.8653149983595</v>
      </c>
    </row>
    <row r="78" spans="1:9" ht="15">
      <c r="A78" s="43" t="str">
        <f>HLOOKUP(INDICE!$F$2,Nombres!$C$3:$D$636,49,FALSE)</f>
        <v>Minoritarios</v>
      </c>
      <c r="B78" s="44">
        <v>-151.807413765543</v>
      </c>
      <c r="C78" s="44">
        <v>-146.32469299577895</v>
      </c>
      <c r="D78" s="44">
        <v>-135.67338331025195</v>
      </c>
      <c r="E78" s="45">
        <v>-90.91154492469025</v>
      </c>
      <c r="F78" s="44">
        <v>-141.21208637840888</v>
      </c>
      <c r="G78" s="44">
        <v>-149.79507938298806</v>
      </c>
      <c r="H78" s="44">
        <v>-101.16199548516968</v>
      </c>
      <c r="I78" s="44">
        <v>-131.55283876343333</v>
      </c>
    </row>
    <row r="79" spans="1:9" ht="15">
      <c r="A79" s="47" t="str">
        <f>HLOOKUP(INDICE!$F$2,Nombres!$C$3:$D$636,50,FALSE)</f>
        <v>Resultado atribuido</v>
      </c>
      <c r="B79" s="47">
        <f>+B77+B78</f>
        <v>147.55394117623422</v>
      </c>
      <c r="C79" s="47">
        <f aca="true" t="shared" si="13" ref="C79:I79">+C77+C78</f>
        <v>142.02798082505598</v>
      </c>
      <c r="D79" s="47">
        <f t="shared" si="13"/>
        <v>130.77895348483042</v>
      </c>
      <c r="E79" s="47">
        <f t="shared" si="13"/>
        <v>87.94271653707358</v>
      </c>
      <c r="F79" s="53">
        <f t="shared" si="13"/>
        <v>136.12203830327823</v>
      </c>
      <c r="G79" s="53">
        <f t="shared" si="13"/>
        <v>145.46663547044577</v>
      </c>
      <c r="H79" s="53">
        <f t="shared" si="13"/>
        <v>96.84457895134915</v>
      </c>
      <c r="I79" s="53">
        <f t="shared" si="13"/>
        <v>127.31247623492618</v>
      </c>
    </row>
    <row r="80" spans="1:9" ht="15">
      <c r="A80" s="65"/>
      <c r="B80" s="66">
        <v>0</v>
      </c>
      <c r="C80" s="66">
        <v>0</v>
      </c>
      <c r="D80" s="66">
        <v>0</v>
      </c>
      <c r="E80" s="66">
        <v>0</v>
      </c>
      <c r="F80" s="66">
        <v>0</v>
      </c>
      <c r="G80" s="66">
        <v>0</v>
      </c>
      <c r="H80" s="66">
        <v>1.2789769243681803E-13</v>
      </c>
      <c r="I80" s="66">
        <v>3.979039320256561E-13</v>
      </c>
    </row>
    <row r="81" spans="1:9" ht="15">
      <c r="A81" s="41"/>
      <c r="B81" s="41"/>
      <c r="C81" s="41"/>
      <c r="D81" s="41"/>
      <c r="E81" s="41"/>
      <c r="F81" s="52"/>
      <c r="G81" s="52"/>
      <c r="H81" s="52"/>
      <c r="I81" s="52"/>
    </row>
    <row r="82" spans="1:9" ht="18">
      <c r="A82" s="33" t="str">
        <f>HLOOKUP(INDICE!$F$2,Nombres!$C$3:$D$636,51,FALSE)</f>
        <v>Balances</v>
      </c>
      <c r="B82" s="34"/>
      <c r="C82" s="34"/>
      <c r="D82" s="34"/>
      <c r="E82" s="34"/>
      <c r="F82" s="72"/>
      <c r="G82" s="72"/>
      <c r="H82" s="72"/>
      <c r="I82" s="72"/>
    </row>
    <row r="83" spans="1:9" ht="15">
      <c r="A83" s="35" t="str">
        <f>HLOOKUP(INDICE!$F$2,Nombres!$C$3:$D$636,73,FALSE)</f>
        <v>(Millones de euros constantes)</v>
      </c>
      <c r="B83" s="30"/>
      <c r="C83" s="54"/>
      <c r="D83" s="54"/>
      <c r="E83" s="54"/>
      <c r="F83" s="73"/>
      <c r="G83" s="44"/>
      <c r="H83" s="44"/>
      <c r="I83" s="44"/>
    </row>
    <row r="84" spans="1:9" ht="15.75">
      <c r="A84" s="30"/>
      <c r="B84" s="55">
        <f aca="true" t="shared" si="14" ref="B84:I84">+B$30</f>
        <v>43190</v>
      </c>
      <c r="C84" s="55">
        <f t="shared" si="14"/>
        <v>43281</v>
      </c>
      <c r="D84" s="55">
        <f t="shared" si="14"/>
        <v>43373</v>
      </c>
      <c r="E84" s="71">
        <f t="shared" si="14"/>
        <v>43465</v>
      </c>
      <c r="F84" s="55">
        <f t="shared" si="14"/>
        <v>43555</v>
      </c>
      <c r="G84" s="55">
        <f t="shared" si="14"/>
        <v>43646</v>
      </c>
      <c r="H84" s="55">
        <f t="shared" si="14"/>
        <v>43738</v>
      </c>
      <c r="I84" s="55">
        <f t="shared" si="14"/>
        <v>43830</v>
      </c>
    </row>
    <row r="85" spans="1:9" ht="15">
      <c r="A85" s="43" t="str">
        <f>HLOOKUP(INDICE!$F$2,Nombres!$C$3:$D$636,52,FALSE)</f>
        <v>Efectivo, saldos en efectivo en bancos centrales y otros depósitos a la vista</v>
      </c>
      <c r="B85" s="44">
        <v>2155.6846243263685</v>
      </c>
      <c r="C85" s="44">
        <v>3330.9536131848804</v>
      </c>
      <c r="D85" s="44">
        <v>7948.722451313353</v>
      </c>
      <c r="E85" s="45">
        <v>7118.281730442131</v>
      </c>
      <c r="F85" s="44">
        <v>6806.804817135703</v>
      </c>
      <c r="G85" s="44">
        <v>7550.660921615388</v>
      </c>
      <c r="H85" s="44">
        <v>6474.975713951172</v>
      </c>
      <c r="I85" s="44">
        <v>5486.131</v>
      </c>
    </row>
    <row r="86" spans="1:9" ht="15">
      <c r="A86" s="43" t="str">
        <f>HLOOKUP(INDICE!$F$2,Nombres!$C$3:$D$636,53,FALSE)</f>
        <v>Activos financieros a valor razonable</v>
      </c>
      <c r="B86" s="60">
        <v>4391.391156837551</v>
      </c>
      <c r="C86" s="60">
        <v>4700.995098302771</v>
      </c>
      <c r="D86" s="60">
        <v>5778.301973712263</v>
      </c>
      <c r="E86" s="68">
        <v>4991.0570863376115</v>
      </c>
      <c r="F86" s="44">
        <v>5313.8006412017</v>
      </c>
      <c r="G86" s="44">
        <v>5163.349334844333</v>
      </c>
      <c r="H86" s="44">
        <v>5150.043047243793</v>
      </c>
      <c r="I86" s="44">
        <v>5268.108</v>
      </c>
    </row>
    <row r="87" spans="1:9" ht="15">
      <c r="A87" s="43" t="str">
        <f>HLOOKUP(INDICE!$F$2,Nombres!$C$3:$D$636,54,FALSE)</f>
        <v>Activos financieros a coste amortizado</v>
      </c>
      <c r="B87" s="44">
        <v>45735.50005506324</v>
      </c>
      <c r="C87" s="44">
        <v>47794.85141602317</v>
      </c>
      <c r="D87" s="44">
        <v>52457.76740114834</v>
      </c>
      <c r="E87" s="45">
        <v>45606.309976688564</v>
      </c>
      <c r="F87" s="44">
        <v>49030.58528798188</v>
      </c>
      <c r="G87" s="44">
        <v>48245.9475843492</v>
      </c>
      <c r="H87" s="44">
        <v>47724.65419342284</v>
      </c>
      <c r="I87" s="44">
        <v>51284.78799999999</v>
      </c>
    </row>
    <row r="88" spans="1:9" ht="15">
      <c r="A88" s="43" t="str">
        <f>HLOOKUP(INDICE!$F$2,Nombres!$C$3:$D$636,55,FALSE)</f>
        <v>    de los que préstamos y anticipos a la clientela</v>
      </c>
      <c r="B88" s="44">
        <v>36452.88909905733</v>
      </c>
      <c r="C88" s="44">
        <v>38758.59823697825</v>
      </c>
      <c r="D88" s="44">
        <v>42547.61617811433</v>
      </c>
      <c r="E88" s="45">
        <v>37596.46734625263</v>
      </c>
      <c r="F88" s="44">
        <v>39889.304060033784</v>
      </c>
      <c r="G88" s="44">
        <v>38587.854768973935</v>
      </c>
      <c r="H88" s="44">
        <v>37510.80158410172</v>
      </c>
      <c r="I88" s="44">
        <v>40499.86000000001</v>
      </c>
    </row>
    <row r="89" spans="1:9" ht="15">
      <c r="A89" s="43" t="str">
        <f>HLOOKUP(INDICE!$F$2,Nombres!$C$3:$D$636,56,FALSE)</f>
        <v>Activos tangibles</v>
      </c>
      <c r="B89" s="44">
        <v>917.0929050085743</v>
      </c>
      <c r="C89" s="44">
        <v>937.3775116493428</v>
      </c>
      <c r="D89" s="44">
        <v>963.0015288970733</v>
      </c>
      <c r="E89" s="45">
        <v>960.2605519187381</v>
      </c>
      <c r="F89" s="44">
        <v>1104.743283185492</v>
      </c>
      <c r="G89" s="44">
        <v>1108.4569314630594</v>
      </c>
      <c r="H89" s="44">
        <v>1089.2654631265939</v>
      </c>
      <c r="I89" s="44">
        <v>1117.498</v>
      </c>
    </row>
    <row r="90" spans="1:9" ht="15">
      <c r="A90" s="43" t="str">
        <f>HLOOKUP(INDICE!$F$2,Nombres!$C$3:$D$636,57,FALSE)</f>
        <v>Otros activos</v>
      </c>
      <c r="B90" s="60">
        <f>+B91-B89-B87-B86-B85</f>
        <v>1305.2535627327384</v>
      </c>
      <c r="C90" s="60">
        <f aca="true" t="shared" si="15" ref="C90:I90">+C91-C89-C87-C86-C85</f>
        <v>1392.8616131761905</v>
      </c>
      <c r="D90" s="60">
        <f t="shared" si="15"/>
        <v>1660.1205604271654</v>
      </c>
      <c r="E90" s="68">
        <f t="shared" si="15"/>
        <v>1374.6402248968243</v>
      </c>
      <c r="F90" s="44">
        <f t="shared" si="15"/>
        <v>1462.7130130897376</v>
      </c>
      <c r="G90" s="44">
        <f t="shared" si="15"/>
        <v>1423.5032981072109</v>
      </c>
      <c r="H90" s="44">
        <f t="shared" si="15"/>
        <v>1339.922955069619</v>
      </c>
      <c r="I90" s="44">
        <f t="shared" si="15"/>
        <v>1259.5160680800118</v>
      </c>
    </row>
    <row r="91" spans="1:9" ht="15">
      <c r="A91" s="47" t="str">
        <f>HLOOKUP(INDICE!$F$2,Nombres!$C$3:$D$636,58,FALSE)</f>
        <v>Total activo / pasivo</v>
      </c>
      <c r="B91" s="47">
        <v>54504.92230396847</v>
      </c>
      <c r="C91" s="47">
        <v>58157.039252336355</v>
      </c>
      <c r="D91" s="47">
        <v>68807.9139154982</v>
      </c>
      <c r="E91" s="47">
        <v>60050.54957028387</v>
      </c>
      <c r="F91" s="47">
        <v>63718.64704259451</v>
      </c>
      <c r="G91" s="47">
        <v>63491.918070379186</v>
      </c>
      <c r="H91" s="47">
        <v>61778.86137281401</v>
      </c>
      <c r="I91" s="47">
        <v>64416.041068080005</v>
      </c>
    </row>
    <row r="92" spans="1:9" ht="15">
      <c r="A92" s="43" t="str">
        <f>HLOOKUP(INDICE!$F$2,Nombres!$C$3:$D$636,59,FALSE)</f>
        <v>Pasivos financieros mantenidos para negociar y designados a valor razonable con cambios en resultados</v>
      </c>
      <c r="B92" s="60">
        <v>1174.02613263789</v>
      </c>
      <c r="C92" s="60">
        <v>1619.2555249215702</v>
      </c>
      <c r="D92" s="60">
        <v>2669.446019085711</v>
      </c>
      <c r="E92" s="68">
        <v>1678.369152293772</v>
      </c>
      <c r="F92" s="44">
        <v>1700.780500246106</v>
      </c>
      <c r="G92" s="44">
        <v>2235.0005910800983</v>
      </c>
      <c r="H92" s="44">
        <v>2290.8131997145283</v>
      </c>
      <c r="I92" s="44">
        <v>2183.716</v>
      </c>
    </row>
    <row r="93" spans="1:9" ht="15">
      <c r="A93" s="43" t="str">
        <f>HLOOKUP(INDICE!$F$2,Nombres!$C$3:$D$636,60,FALSE)</f>
        <v>Depósitos de bancos centrales y entidades de crédito</v>
      </c>
      <c r="B93" s="60">
        <v>6609.825735481217</v>
      </c>
      <c r="C93" s="60">
        <v>7592.230169330518</v>
      </c>
      <c r="D93" s="60">
        <v>8897.550777056469</v>
      </c>
      <c r="E93" s="68">
        <v>6104.08807226962</v>
      </c>
      <c r="F93" s="44">
        <v>6596.892839127628</v>
      </c>
      <c r="G93" s="44">
        <v>5362.211015199217</v>
      </c>
      <c r="H93" s="44">
        <v>4542.710525321194</v>
      </c>
      <c r="I93" s="44">
        <v>4472.8769999999995</v>
      </c>
    </row>
    <row r="94" spans="1:9" ht="15">
      <c r="A94" s="43" t="str">
        <f>HLOOKUP(INDICE!$F$2,Nombres!$C$3:$D$636,61,FALSE)</f>
        <v>Depósitos de la clientela</v>
      </c>
      <c r="B94" s="60">
        <v>31686.49146036563</v>
      </c>
      <c r="C94" s="60">
        <v>33790.36173280832</v>
      </c>
      <c r="D94" s="60">
        <v>40472.43499925423</v>
      </c>
      <c r="E94" s="68">
        <v>36170.47641572921</v>
      </c>
      <c r="F94" s="44">
        <v>38483.793344716425</v>
      </c>
      <c r="G94" s="44">
        <v>38754.46011433497</v>
      </c>
      <c r="H94" s="44">
        <v>38315.7713298018</v>
      </c>
      <c r="I94" s="44">
        <v>41334.625</v>
      </c>
    </row>
    <row r="95" spans="1:9" ht="15">
      <c r="A95" s="43" t="str">
        <f>HLOOKUP(INDICE!$F$2,Nombres!$C$3:$D$636,62,FALSE)</f>
        <v>Valores representativos de deuda emitidos</v>
      </c>
      <c r="B95" s="44">
        <v>5085.805325170874</v>
      </c>
      <c r="C95" s="44">
        <v>5264.353482428779</v>
      </c>
      <c r="D95" s="44">
        <v>5978.706606574644</v>
      </c>
      <c r="E95" s="45">
        <v>5406.095729219505</v>
      </c>
      <c r="F95" s="44">
        <v>6013.3363822662795</v>
      </c>
      <c r="G95" s="44">
        <v>5695.868619210636</v>
      </c>
      <c r="H95" s="44">
        <v>4449.107466661644</v>
      </c>
      <c r="I95" s="44">
        <v>4270.916</v>
      </c>
    </row>
    <row r="96" spans="1:9" ht="15">
      <c r="A96" s="43" t="str">
        <f>HLOOKUP(INDICE!$F$2,Nombres!$C$3:$D$636,63,FALSE)</f>
        <v>Otros pasivos</v>
      </c>
      <c r="B96" s="60">
        <f>+B91-B92-B93-B94-B95-B97</f>
        <v>8061.124508470819</v>
      </c>
      <c r="C96" s="60">
        <f aca="true" t="shared" si="16" ref="C96:I96">+C91-C92-C93-C94-C95-C97</f>
        <v>8035.333962038718</v>
      </c>
      <c r="D96" s="60">
        <f t="shared" si="16"/>
        <v>8644.254742078196</v>
      </c>
      <c r="E96" s="68">
        <f t="shared" si="16"/>
        <v>8399.384469569237</v>
      </c>
      <c r="F96" s="44">
        <f t="shared" si="16"/>
        <v>8339.541197494676</v>
      </c>
      <c r="G96" s="44">
        <f t="shared" si="16"/>
        <v>8889.994387926687</v>
      </c>
      <c r="H96" s="44">
        <f t="shared" si="16"/>
        <v>9801.457353432106</v>
      </c>
      <c r="I96" s="44">
        <f t="shared" si="16"/>
        <v>9481.484454630003</v>
      </c>
    </row>
    <row r="97" spans="1:9" ht="15">
      <c r="A97" s="43" t="str">
        <f>HLOOKUP(INDICE!$F$2,Nombres!$C$3:$D$636,64,FALSE)</f>
        <v>Dotación de capital económico</v>
      </c>
      <c r="B97" s="44">
        <v>1887.6491418420467</v>
      </c>
      <c r="C97" s="44">
        <v>1855.5043808084465</v>
      </c>
      <c r="D97" s="44">
        <v>2145.5207714489525</v>
      </c>
      <c r="E97" s="45">
        <v>2292.135731202527</v>
      </c>
      <c r="F97" s="44">
        <v>2584.3027787433957</v>
      </c>
      <c r="G97" s="44">
        <v>2554.383342627578</v>
      </c>
      <c r="H97" s="44">
        <v>2379.0014978827385</v>
      </c>
      <c r="I97" s="44">
        <v>2672.4226134500004</v>
      </c>
    </row>
    <row r="98" spans="1:9" ht="15">
      <c r="A98" s="65"/>
      <c r="B98" s="60"/>
      <c r="C98" s="60"/>
      <c r="D98" s="60"/>
      <c r="E98" s="60"/>
      <c r="F98" s="44"/>
      <c r="G98" s="44"/>
      <c r="H98" s="44"/>
      <c r="I98" s="44"/>
    </row>
    <row r="99" spans="1:9" ht="15">
      <c r="A99" s="43"/>
      <c r="B99" s="60"/>
      <c r="C99" s="60"/>
      <c r="D99" s="60"/>
      <c r="E99" s="60"/>
      <c r="F99" s="44"/>
      <c r="G99" s="44"/>
      <c r="H99" s="44"/>
      <c r="I99" s="44"/>
    </row>
    <row r="100" spans="1:9" ht="18">
      <c r="A100" s="33" t="str">
        <f>HLOOKUP(INDICE!$F$2,Nombres!$C$3:$D$636,65,FALSE)</f>
        <v>Indicadores relevantes y de gestión</v>
      </c>
      <c r="B100" s="34"/>
      <c r="C100" s="34"/>
      <c r="D100" s="34"/>
      <c r="E100" s="34"/>
      <c r="F100" s="72"/>
      <c r="G100" s="72"/>
      <c r="H100" s="72"/>
      <c r="I100" s="72"/>
    </row>
    <row r="101" spans="1:9" ht="15">
      <c r="A101" s="35" t="str">
        <f>HLOOKUP(INDICE!$F$2,Nombres!$C$3:$D$636,73,FALSE)</f>
        <v>(Millones de euros constantes)</v>
      </c>
      <c r="B101" s="30"/>
      <c r="C101" s="30"/>
      <c r="D101" s="30"/>
      <c r="E101" s="30"/>
      <c r="F101" s="73"/>
      <c r="G101" s="44"/>
      <c r="H101" s="44"/>
      <c r="I101" s="44"/>
    </row>
    <row r="102" spans="1:9" ht="15.75">
      <c r="A102" s="30"/>
      <c r="B102" s="55">
        <f aca="true" t="shared" si="17" ref="B102:I102">+B$30</f>
        <v>43190</v>
      </c>
      <c r="C102" s="55">
        <f t="shared" si="17"/>
        <v>43281</v>
      </c>
      <c r="D102" s="55">
        <f t="shared" si="17"/>
        <v>43373</v>
      </c>
      <c r="E102" s="71">
        <f t="shared" si="17"/>
        <v>43465</v>
      </c>
      <c r="F102" s="55">
        <f t="shared" si="17"/>
        <v>43555</v>
      </c>
      <c r="G102" s="55">
        <f t="shared" si="17"/>
        <v>43646</v>
      </c>
      <c r="H102" s="55">
        <f t="shared" si="17"/>
        <v>43738</v>
      </c>
      <c r="I102" s="55">
        <f t="shared" si="17"/>
        <v>43830</v>
      </c>
    </row>
    <row r="103" spans="1:9" ht="15">
      <c r="A103" s="43" t="str">
        <f>HLOOKUP(INDICE!$F$2,Nombres!$C$3:$D$636,66,FALSE)</f>
        <v>Préstamos y anticipos a la clientela bruto (*)</v>
      </c>
      <c r="B103" s="44">
        <v>37904.21094479233</v>
      </c>
      <c r="C103" s="44">
        <v>40410.13721888272</v>
      </c>
      <c r="D103" s="44">
        <v>44688.99628136601</v>
      </c>
      <c r="E103" s="45">
        <v>39627.57212033029</v>
      </c>
      <c r="F103" s="44">
        <v>42120.568599027174</v>
      </c>
      <c r="G103" s="44">
        <v>40894.22888570349</v>
      </c>
      <c r="H103" s="44">
        <v>40017.2688715136</v>
      </c>
      <c r="I103" s="44">
        <v>43113.172</v>
      </c>
    </row>
    <row r="104" spans="1:9" ht="15">
      <c r="A104" s="43" t="str">
        <f>HLOOKUP(INDICE!$F$2,Nombres!$C$3:$D$636,67,FALSE)</f>
        <v>Depósitos de clientes en gestión (**)</v>
      </c>
      <c r="B104" s="44">
        <v>31611.226977899303</v>
      </c>
      <c r="C104" s="44">
        <v>33782.74330976741</v>
      </c>
      <c r="D104" s="44">
        <v>40467.010378197054</v>
      </c>
      <c r="E104" s="45">
        <v>36163.68186497412</v>
      </c>
      <c r="F104" s="44">
        <v>38479.73085679697</v>
      </c>
      <c r="G104" s="44">
        <v>38750.89757697131</v>
      </c>
      <c r="H104" s="44">
        <v>38312.84226701288</v>
      </c>
      <c r="I104" s="44">
        <v>41324.482</v>
      </c>
    </row>
    <row r="105" spans="1:9" ht="15">
      <c r="A105" s="43" t="str">
        <f>HLOOKUP(INDICE!$F$2,Nombres!$C$3:$D$636,68,FALSE)</f>
        <v>Fondos de inversión</v>
      </c>
      <c r="B105" s="44">
        <v>975.2774011937521</v>
      </c>
      <c r="C105" s="44">
        <v>881.3195272440735</v>
      </c>
      <c r="D105" s="44">
        <v>673.7752386865425</v>
      </c>
      <c r="E105" s="45">
        <v>606.7816628430844</v>
      </c>
      <c r="F105" s="44">
        <v>718.8705258587896</v>
      </c>
      <c r="G105" s="44">
        <v>856.7052733245671</v>
      </c>
      <c r="H105" s="44">
        <v>952.2618629295472</v>
      </c>
      <c r="I105" s="44">
        <v>1459.741</v>
      </c>
    </row>
    <row r="106" spans="1:9" ht="15">
      <c r="A106" s="43" t="str">
        <f>HLOOKUP(INDICE!$F$2,Nombres!$C$3:$D$636,69,FALSE)</f>
        <v>Fondos de pensiones</v>
      </c>
      <c r="B106" s="44">
        <v>1853.5320395983583</v>
      </c>
      <c r="C106" s="44">
        <v>1865.7996424875118</v>
      </c>
      <c r="D106" s="44">
        <v>2018.1080384137358</v>
      </c>
      <c r="E106" s="45">
        <v>2016.4288707591343</v>
      </c>
      <c r="F106" s="44">
        <v>2479.679031011891</v>
      </c>
      <c r="G106" s="44">
        <v>2073.243518238235</v>
      </c>
      <c r="H106" s="44">
        <v>2231.0976680509666</v>
      </c>
      <c r="I106" s="44">
        <v>2446.168</v>
      </c>
    </row>
    <row r="107" spans="1:9" ht="15">
      <c r="A107" s="43" t="str">
        <f>HLOOKUP(INDICE!$F$2,Nombres!$C$3:$D$636,70,FALSE)</f>
        <v>Otros recursos fuera de balance</v>
      </c>
      <c r="B107" s="44" t="s">
        <v>400</v>
      </c>
      <c r="C107" s="44" t="s">
        <v>400</v>
      </c>
      <c r="D107" s="44" t="s">
        <v>400</v>
      </c>
      <c r="E107" s="45" t="s">
        <v>400</v>
      </c>
      <c r="F107" s="44" t="s">
        <v>400</v>
      </c>
      <c r="G107" s="44" t="s">
        <v>400</v>
      </c>
      <c r="H107" s="44" t="s">
        <v>400</v>
      </c>
      <c r="I107" s="44" t="s">
        <v>400</v>
      </c>
    </row>
    <row r="108" spans="1:9" ht="15">
      <c r="A108" s="65" t="str">
        <f>HLOOKUP(INDICE!$F$2,Nombres!$C$3:$D$636,71,FALSE)</f>
        <v>(*) No incluye las adquisiciones temporales de activos.</v>
      </c>
      <c r="B108" s="60"/>
      <c r="C108" s="60"/>
      <c r="D108" s="60"/>
      <c r="E108" s="60"/>
      <c r="F108" s="60"/>
      <c r="G108" s="60"/>
      <c r="H108" s="60"/>
      <c r="I108" s="60"/>
    </row>
    <row r="109" spans="1:9" ht="15">
      <c r="A109" s="65" t="str">
        <f>HLOOKUP(INDICE!$F$2,Nombres!$C$3:$D$636,72,FALSE)</f>
        <v>(**) No incluye las cesiones temporales de activos.</v>
      </c>
      <c r="B109" s="30"/>
      <c r="C109" s="30"/>
      <c r="D109" s="30"/>
      <c r="E109" s="30"/>
      <c r="F109" s="30"/>
      <c r="G109" s="30"/>
      <c r="H109" s="30"/>
      <c r="I109" s="30"/>
    </row>
    <row r="110" spans="1:9" ht="15">
      <c r="A110" s="65"/>
      <c r="B110" s="60"/>
      <c r="C110" s="44"/>
      <c r="D110" s="44"/>
      <c r="E110" s="44"/>
      <c r="F110" s="44"/>
      <c r="G110" s="30"/>
      <c r="H110" s="30"/>
      <c r="I110" s="30"/>
    </row>
    <row r="111" spans="1:9" ht="18">
      <c r="A111" s="33" t="str">
        <f>HLOOKUP(INDICE!$F$2,Nombres!$C$3:$D$636,31,FALSE)</f>
        <v>Cuenta de resultados  </v>
      </c>
      <c r="B111" s="34"/>
      <c r="C111" s="34"/>
      <c r="D111" s="34"/>
      <c r="E111" s="34"/>
      <c r="F111" s="34"/>
      <c r="G111" s="34"/>
      <c r="H111" s="34"/>
      <c r="I111" s="34"/>
    </row>
    <row r="112" spans="1:9" ht="15">
      <c r="A112" s="35" t="str">
        <f>HLOOKUP(INDICE!$F$2,Nombres!$C$3:$D$636,77,FALSE)</f>
        <v>(Millones de liras turcas)</v>
      </c>
      <c r="B112" s="30"/>
      <c r="C112" s="36"/>
      <c r="D112" s="36"/>
      <c r="E112" s="36"/>
      <c r="F112" s="30"/>
      <c r="G112" s="30"/>
      <c r="H112" s="30"/>
      <c r="I112" s="30"/>
    </row>
    <row r="113" spans="1:9" ht="15">
      <c r="A113" s="37"/>
      <c r="B113" s="30"/>
      <c r="C113" s="36"/>
      <c r="D113" s="36"/>
      <c r="E113" s="36"/>
      <c r="F113" s="30"/>
      <c r="G113" s="30"/>
      <c r="H113" s="30"/>
      <c r="I113" s="30"/>
    </row>
    <row r="114" spans="1:9" ht="15.75">
      <c r="A114" s="38"/>
      <c r="B114" s="295">
        <f>+B$6</f>
        <v>2018</v>
      </c>
      <c r="C114" s="295"/>
      <c r="D114" s="295"/>
      <c r="E114" s="296"/>
      <c r="F114" s="295">
        <f>+F$6</f>
        <v>2019</v>
      </c>
      <c r="G114" s="295"/>
      <c r="H114" s="295"/>
      <c r="I114" s="295"/>
    </row>
    <row r="115" spans="1:9" ht="15.75">
      <c r="A115" s="38"/>
      <c r="B115" s="39" t="str">
        <f>+B$7</f>
        <v>1er Trim.</v>
      </c>
      <c r="C115" s="39" t="str">
        <f aca="true" t="shared" si="18" ref="C115:I115">+C$7</f>
        <v>2º Trim.</v>
      </c>
      <c r="D115" s="39" t="str">
        <f t="shared" si="18"/>
        <v>3er Trim.</v>
      </c>
      <c r="E115" s="40" t="str">
        <f t="shared" si="18"/>
        <v>4º Trim.</v>
      </c>
      <c r="F115" s="39" t="str">
        <f t="shared" si="18"/>
        <v>1er Trim.</v>
      </c>
      <c r="G115" s="39" t="str">
        <f t="shared" si="18"/>
        <v>2º Trim.</v>
      </c>
      <c r="H115" s="39" t="str">
        <f t="shared" si="18"/>
        <v>3er Trim.</v>
      </c>
      <c r="I115" s="39" t="str">
        <f t="shared" si="18"/>
        <v>4º Trim.</v>
      </c>
    </row>
    <row r="116" spans="1:9" ht="15">
      <c r="A116" s="41" t="str">
        <f>HLOOKUP(INDICE!$F$2,Nombres!$C$3:$D$636,33,FALSE)</f>
        <v>Margen de intereses</v>
      </c>
      <c r="B116" s="41">
        <v>3530.334296279968</v>
      </c>
      <c r="C116" s="41">
        <v>3952.3144360020133</v>
      </c>
      <c r="D116" s="41">
        <v>4652.203331826302</v>
      </c>
      <c r="E116" s="42">
        <v>5751.590286983528</v>
      </c>
      <c r="F116" s="52">
        <v>4245.15142806293</v>
      </c>
      <c r="G116" s="52">
        <v>4358.406224584718</v>
      </c>
      <c r="H116" s="52">
        <v>4262.514806876778</v>
      </c>
      <c r="I116" s="52">
        <v>5031.040769229254</v>
      </c>
    </row>
    <row r="117" spans="1:9" ht="15">
      <c r="A117" s="43" t="str">
        <f>HLOOKUP(INDICE!$F$2,Nombres!$C$3:$D$636,34,FALSE)</f>
        <v>Comisiones netas</v>
      </c>
      <c r="B117" s="44">
        <v>942.2344577064496</v>
      </c>
      <c r="C117" s="44">
        <v>896.9057600145424</v>
      </c>
      <c r="D117" s="44">
        <v>997.8247434847412</v>
      </c>
      <c r="E117" s="45">
        <v>1075.724258805793</v>
      </c>
      <c r="F117" s="44">
        <v>1185.6437679208182</v>
      </c>
      <c r="G117" s="44">
        <v>1104.0959179805434</v>
      </c>
      <c r="H117" s="44">
        <v>1179.57735583488</v>
      </c>
      <c r="I117" s="44">
        <v>1089.6341889151388</v>
      </c>
    </row>
    <row r="118" spans="1:9" ht="15">
      <c r="A118" s="43" t="str">
        <f>HLOOKUP(INDICE!$F$2,Nombres!$C$3:$D$636,35,FALSE)</f>
        <v>Resultados de operaciones financieras</v>
      </c>
      <c r="B118" s="44">
        <v>92.68656445803478</v>
      </c>
      <c r="C118" s="44">
        <v>-72.53015033714601</v>
      </c>
      <c r="D118" s="44">
        <v>152.59233438543507</v>
      </c>
      <c r="E118" s="45">
        <v>-110.26978885232577</v>
      </c>
      <c r="F118" s="44">
        <v>-67.15698825784277</v>
      </c>
      <c r="G118" s="44">
        <v>-349.1061449074186</v>
      </c>
      <c r="H118" s="44">
        <v>1.5316355874222118</v>
      </c>
      <c r="I118" s="44">
        <v>476.2337579332468</v>
      </c>
    </row>
    <row r="119" spans="1:9" ht="15">
      <c r="A119" s="43" t="str">
        <f>HLOOKUP(INDICE!$F$2,Nombres!$C$3:$D$636,36,FALSE)</f>
        <v>Otros ingresos y cargas de explotación</v>
      </c>
      <c r="B119" s="44">
        <v>107.77398421378459</v>
      </c>
      <c r="C119" s="44">
        <v>85.23099169962266</v>
      </c>
      <c r="D119" s="44">
        <v>85.38312093734633</v>
      </c>
      <c r="E119" s="45">
        <v>118.33332687070978</v>
      </c>
      <c r="F119" s="44">
        <v>35.768993781126504</v>
      </c>
      <c r="G119" s="44">
        <v>152.1451313850198</v>
      </c>
      <c r="H119" s="44">
        <v>44.19070556042833</v>
      </c>
      <c r="I119" s="44">
        <v>83.16500229965776</v>
      </c>
    </row>
    <row r="120" spans="1:9" ht="15">
      <c r="A120" s="41" t="str">
        <f>HLOOKUP(INDICE!$F$2,Nombres!$C$3:$D$636,37,FALSE)</f>
        <v>Margen bruto</v>
      </c>
      <c r="B120" s="41">
        <f>+SUM(B116:B119)</f>
        <v>4673.029302658237</v>
      </c>
      <c r="C120" s="41">
        <f aca="true" t="shared" si="19" ref="C120:I120">+SUM(C116:C119)</f>
        <v>4861.921037379033</v>
      </c>
      <c r="D120" s="41">
        <f t="shared" si="19"/>
        <v>5888.003530633825</v>
      </c>
      <c r="E120" s="42">
        <f t="shared" si="19"/>
        <v>6835.378083807705</v>
      </c>
      <c r="F120" s="52">
        <f t="shared" si="19"/>
        <v>5399.407201507032</v>
      </c>
      <c r="G120" s="52">
        <f t="shared" si="19"/>
        <v>5265.541129042862</v>
      </c>
      <c r="H120" s="52">
        <f t="shared" si="19"/>
        <v>5487.814503859508</v>
      </c>
      <c r="I120" s="52">
        <f t="shared" si="19"/>
        <v>6680.073718377297</v>
      </c>
    </row>
    <row r="121" spans="1:9" ht="15">
      <c r="A121" s="43" t="str">
        <f>HLOOKUP(INDICE!$F$2,Nombres!$C$3:$D$636,38,FALSE)</f>
        <v>Gastos de explotación</v>
      </c>
      <c r="B121" s="44">
        <v>-1666.7884056672797</v>
      </c>
      <c r="C121" s="44">
        <v>-1698.37812145244</v>
      </c>
      <c r="D121" s="44">
        <v>-1682.9024440199894</v>
      </c>
      <c r="E121" s="45">
        <v>-2068.3170958240426</v>
      </c>
      <c r="F121" s="44">
        <v>-1911.551998771529</v>
      </c>
      <c r="G121" s="44">
        <v>-1864.0771541528206</v>
      </c>
      <c r="H121" s="44">
        <v>-1843.9904933464354</v>
      </c>
      <c r="I121" s="44">
        <v>-2107.178593864841</v>
      </c>
    </row>
    <row r="122" spans="1:9" ht="15">
      <c r="A122" s="43" t="str">
        <f>HLOOKUP(INDICE!$F$2,Nombres!$C$3:$D$636,39,FALSE)</f>
        <v>  Gastos de administración</v>
      </c>
      <c r="B122" s="44">
        <v>-1477.6913903688142</v>
      </c>
      <c r="C122" s="44">
        <v>-1499.8096380692245</v>
      </c>
      <c r="D122" s="44">
        <v>-1490.9828954271802</v>
      </c>
      <c r="E122" s="45">
        <v>-1858.726762718637</v>
      </c>
      <c r="F122" s="44">
        <v>-1641.8668497484846</v>
      </c>
      <c r="G122" s="44">
        <v>-1587.6558754517118</v>
      </c>
      <c r="H122" s="44">
        <v>-1550.7366128984313</v>
      </c>
      <c r="I122" s="44">
        <v>-1809.6591210239817</v>
      </c>
    </row>
    <row r="123" spans="1:9" ht="15">
      <c r="A123" s="46" t="str">
        <f>HLOOKUP(INDICE!$F$2,Nombres!$C$3:$D$636,40,FALSE)</f>
        <v>  Gastos de personal</v>
      </c>
      <c r="B123" s="44">
        <v>-831.2765548906316</v>
      </c>
      <c r="C123" s="44">
        <v>-934.980428833572</v>
      </c>
      <c r="D123" s="44">
        <v>-909.1437736037551</v>
      </c>
      <c r="E123" s="45">
        <v>-1066.3273778320045</v>
      </c>
      <c r="F123" s="44">
        <v>-1047.590086898048</v>
      </c>
      <c r="G123" s="44">
        <v>-1084.9572382367692</v>
      </c>
      <c r="H123" s="44">
        <v>-1080.0309252224733</v>
      </c>
      <c r="I123" s="44">
        <v>-1096.0371905032755</v>
      </c>
    </row>
    <row r="124" spans="1:9" ht="15">
      <c r="A124" s="46" t="str">
        <f>HLOOKUP(INDICE!$F$2,Nombres!$C$3:$D$636,41,FALSE)</f>
        <v>  Otros gastos de administración</v>
      </c>
      <c r="B124" s="44">
        <v>-646.4148354781826</v>
      </c>
      <c r="C124" s="44">
        <v>-564.8292092356528</v>
      </c>
      <c r="D124" s="44">
        <v>-581.8391218234251</v>
      </c>
      <c r="E124" s="45">
        <v>-792.3993848866326</v>
      </c>
      <c r="F124" s="44">
        <v>-594.2767628504366</v>
      </c>
      <c r="G124" s="44">
        <v>-502.69863721494283</v>
      </c>
      <c r="H124" s="44">
        <v>-470.7056876759576</v>
      </c>
      <c r="I124" s="44">
        <v>-713.6219305207063</v>
      </c>
    </row>
    <row r="125" spans="1:9" ht="15">
      <c r="A125" s="43" t="str">
        <f>HLOOKUP(INDICE!$F$2,Nombres!$C$3:$D$636,42,FALSE)</f>
        <v>  Amortización</v>
      </c>
      <c r="B125" s="44">
        <v>-189.09701529846546</v>
      </c>
      <c r="C125" s="44">
        <v>-198.56848338321484</v>
      </c>
      <c r="D125" s="44">
        <v>-191.91954859280906</v>
      </c>
      <c r="E125" s="45">
        <v>-209.59033310540553</v>
      </c>
      <c r="F125" s="44">
        <v>-269.68514902304435</v>
      </c>
      <c r="G125" s="44">
        <v>-276.4212787011085</v>
      </c>
      <c r="H125" s="44">
        <v>-293.25388044800417</v>
      </c>
      <c r="I125" s="44">
        <v>-297.5194728408592</v>
      </c>
    </row>
    <row r="126" spans="1:9" ht="15">
      <c r="A126" s="41" t="str">
        <f>HLOOKUP(INDICE!$F$2,Nombres!$C$3:$D$636,43,FALSE)</f>
        <v>Margen neto</v>
      </c>
      <c r="B126" s="41">
        <f>+B120+B121</f>
        <v>3006.240896990957</v>
      </c>
      <c r="C126" s="41">
        <f aca="true" t="shared" si="20" ref="C126:I126">+C120+C121</f>
        <v>3163.542915926593</v>
      </c>
      <c r="D126" s="41">
        <f t="shared" si="20"/>
        <v>4205.101086613836</v>
      </c>
      <c r="E126" s="42">
        <f t="shared" si="20"/>
        <v>4767.060987983662</v>
      </c>
      <c r="F126" s="52">
        <f t="shared" si="20"/>
        <v>3487.8552027355036</v>
      </c>
      <c r="G126" s="52">
        <f t="shared" si="20"/>
        <v>3401.4639748900413</v>
      </c>
      <c r="H126" s="52">
        <f t="shared" si="20"/>
        <v>3643.824010513072</v>
      </c>
      <c r="I126" s="52">
        <f t="shared" si="20"/>
        <v>4572.895124512456</v>
      </c>
    </row>
    <row r="127" spans="1:9" ht="15">
      <c r="A127" s="43" t="str">
        <f>HLOOKUP(INDICE!$F$2,Nombres!$C$3:$D$636,44,FALSE)</f>
        <v>Deterioro de activos financieros no valorados a valor razonable con cambios en resultados</v>
      </c>
      <c r="B127" s="44">
        <v>-705.9217219918958</v>
      </c>
      <c r="C127" s="44">
        <v>-856.9893020847849</v>
      </c>
      <c r="D127" s="44">
        <v>-1948.548784072044</v>
      </c>
      <c r="E127" s="45">
        <v>-3344.7554420238794</v>
      </c>
      <c r="F127" s="44">
        <v>-1231.5046007827816</v>
      </c>
      <c r="G127" s="44">
        <v>-910.4754103420903</v>
      </c>
      <c r="H127" s="44">
        <v>-1944.392444889678</v>
      </c>
      <c r="I127" s="44">
        <v>-1675.2670157767311</v>
      </c>
    </row>
    <row r="128" spans="1:9" ht="15">
      <c r="A128" s="43" t="str">
        <f>HLOOKUP(INDICE!$F$2,Nombres!$C$3:$D$636,45,FALSE)</f>
        <v>Provisiones o reversión de provisiones y otros resultados</v>
      </c>
      <c r="B128" s="44">
        <v>134.93321572618467</v>
      </c>
      <c r="C128" s="44">
        <v>35.62563287520701</v>
      </c>
      <c r="D128" s="44">
        <v>-74.93607534823508</v>
      </c>
      <c r="E128" s="45">
        <v>-140.7388585897158</v>
      </c>
      <c r="F128" s="44">
        <v>-7.6866063789035195</v>
      </c>
      <c r="G128" s="44">
        <v>-127.121767565505</v>
      </c>
      <c r="H128" s="44">
        <v>-83.40529110919167</v>
      </c>
      <c r="I128" s="44">
        <v>-595.6435640959298</v>
      </c>
    </row>
    <row r="129" spans="1:9" ht="15">
      <c r="A129" s="41" t="str">
        <f>HLOOKUP(INDICE!$F$2,Nombres!$C$3:$D$636,46,FALSE)</f>
        <v>Resultado antes de impuestos</v>
      </c>
      <c r="B129" s="41">
        <f>+B126+B127+B128</f>
        <v>2435.2523907252457</v>
      </c>
      <c r="C129" s="41">
        <f aca="true" t="shared" si="21" ref="C129:I129">+C126+C127+C128</f>
        <v>2342.1792467170153</v>
      </c>
      <c r="D129" s="41">
        <f t="shared" si="21"/>
        <v>2181.6162271935564</v>
      </c>
      <c r="E129" s="42">
        <f t="shared" si="21"/>
        <v>1281.5666873700668</v>
      </c>
      <c r="F129" s="52">
        <f t="shared" si="21"/>
        <v>2248.6639955738187</v>
      </c>
      <c r="G129" s="52">
        <f t="shared" si="21"/>
        <v>2363.866796982446</v>
      </c>
      <c r="H129" s="52">
        <f t="shared" si="21"/>
        <v>1616.0262745142024</v>
      </c>
      <c r="I129" s="52">
        <f t="shared" si="21"/>
        <v>2301.9845446397953</v>
      </c>
    </row>
    <row r="130" spans="1:9" ht="15">
      <c r="A130" s="43" t="str">
        <f>HLOOKUP(INDICE!$F$2,Nombres!$C$3:$D$636,47,FALSE)</f>
        <v>Impuesto sobre beneficios</v>
      </c>
      <c r="B130" s="44">
        <v>-531.4782233238285</v>
      </c>
      <c r="C130" s="44">
        <v>-508.4142584873247</v>
      </c>
      <c r="D130" s="44">
        <v>-487.12538106254107</v>
      </c>
      <c r="E130" s="45">
        <v>-144.15159661198157</v>
      </c>
      <c r="F130" s="44">
        <v>-484.9709417039662</v>
      </c>
      <c r="G130" s="44">
        <v>-486.16409394004233</v>
      </c>
      <c r="H130" s="44">
        <v>-356.81296870455526</v>
      </c>
      <c r="I130" s="44">
        <v>-655.7429994478501</v>
      </c>
    </row>
    <row r="131" spans="1:9" ht="15">
      <c r="A131" s="41" t="str">
        <f>HLOOKUP(INDICE!$F$2,Nombres!$C$3:$D$636,48,FALSE)</f>
        <v>Resultado del ejercicio</v>
      </c>
      <c r="B131" s="41">
        <f>+B129+B130</f>
        <v>1903.7741674014173</v>
      </c>
      <c r="C131" s="41">
        <f aca="true" t="shared" si="22" ref="C131:I131">+C129+C130</f>
        <v>1833.7649882296905</v>
      </c>
      <c r="D131" s="41">
        <f t="shared" si="22"/>
        <v>1694.4908461310154</v>
      </c>
      <c r="E131" s="42">
        <f t="shared" si="22"/>
        <v>1137.4150907580852</v>
      </c>
      <c r="F131" s="52">
        <f t="shared" si="22"/>
        <v>1763.6930538698525</v>
      </c>
      <c r="G131" s="52">
        <f t="shared" si="22"/>
        <v>1877.7027030424038</v>
      </c>
      <c r="H131" s="52">
        <f t="shared" si="22"/>
        <v>1259.2133058096472</v>
      </c>
      <c r="I131" s="52">
        <f t="shared" si="22"/>
        <v>1646.241545191945</v>
      </c>
    </row>
    <row r="132" spans="1:9" ht="15">
      <c r="A132" s="43" t="str">
        <f>HLOOKUP(INDICE!$F$2,Nombres!$C$3:$D$636,49,FALSE)</f>
        <v>Minoritarios</v>
      </c>
      <c r="B132" s="44">
        <v>-965.4119610831802</v>
      </c>
      <c r="C132" s="44">
        <v>-930.5448615185684</v>
      </c>
      <c r="D132" s="44">
        <v>-862.8083688365301</v>
      </c>
      <c r="E132" s="45">
        <v>-578.147606192656</v>
      </c>
      <c r="F132" s="44">
        <v>-898.0314851406197</v>
      </c>
      <c r="G132" s="44">
        <v>-952.6146171694113</v>
      </c>
      <c r="H132" s="44">
        <v>-643.3348545102009</v>
      </c>
      <c r="I132" s="44">
        <v>-836.6039635772547</v>
      </c>
    </row>
    <row r="133" spans="1:9" ht="15">
      <c r="A133" s="47" t="str">
        <f>HLOOKUP(INDICE!$F$2,Nombres!$C$3:$D$636,50,FALSE)</f>
        <v>Resultado atribuido</v>
      </c>
      <c r="B133" s="47">
        <f>+B131+B132</f>
        <v>938.3622063182371</v>
      </c>
      <c r="C133" s="47">
        <f aca="true" t="shared" si="23" ref="C133:I133">+C131+C132</f>
        <v>903.2201267111221</v>
      </c>
      <c r="D133" s="47">
        <f t="shared" si="23"/>
        <v>831.6824772944852</v>
      </c>
      <c r="E133" s="47">
        <f t="shared" si="23"/>
        <v>559.2674845654292</v>
      </c>
      <c r="F133" s="53">
        <f t="shared" si="23"/>
        <v>865.6615687292328</v>
      </c>
      <c r="G133" s="53">
        <f t="shared" si="23"/>
        <v>925.0880858729925</v>
      </c>
      <c r="H133" s="53">
        <f t="shared" si="23"/>
        <v>615.8784512994463</v>
      </c>
      <c r="I133" s="53">
        <f t="shared" si="23"/>
        <v>809.6375816146904</v>
      </c>
    </row>
    <row r="134" spans="1:9" ht="15">
      <c r="A134" s="65"/>
      <c r="B134" s="66">
        <v>0</v>
      </c>
      <c r="C134" s="66">
        <v>0</v>
      </c>
      <c r="D134" s="66">
        <v>0</v>
      </c>
      <c r="E134" s="66">
        <v>0</v>
      </c>
      <c r="F134" s="66">
        <v>9.094947017729282E-13</v>
      </c>
      <c r="G134" s="66">
        <v>0</v>
      </c>
      <c r="H134" s="66">
        <v>-1.4779288903810084E-12</v>
      </c>
      <c r="I134" s="66">
        <v>-1.9326762412674725E-12</v>
      </c>
    </row>
    <row r="135" spans="1:9" ht="15">
      <c r="A135" s="41"/>
      <c r="B135" s="41"/>
      <c r="C135" s="41"/>
      <c r="D135" s="41"/>
      <c r="E135" s="41"/>
      <c r="F135" s="52"/>
      <c r="G135" s="52"/>
      <c r="H135" s="52"/>
      <c r="I135" s="52"/>
    </row>
    <row r="136" spans="1:9" ht="18">
      <c r="A136" s="33" t="str">
        <f>HLOOKUP(INDICE!$F$2,Nombres!$C$3:$D$636,51,FALSE)</f>
        <v>Balances</v>
      </c>
      <c r="B136" s="34"/>
      <c r="C136" s="34"/>
      <c r="D136" s="34"/>
      <c r="E136" s="34"/>
      <c r="F136" s="72"/>
      <c r="G136" s="72"/>
      <c r="H136" s="72"/>
      <c r="I136" s="72"/>
    </row>
    <row r="137" spans="1:9" ht="15">
      <c r="A137" s="35" t="str">
        <f>HLOOKUP(INDICE!$F$2,Nombres!$C$3:$D$636,77,FALSE)</f>
        <v>(Millones de liras turcas)</v>
      </c>
      <c r="B137" s="30"/>
      <c r="C137" s="54"/>
      <c r="D137" s="54"/>
      <c r="E137" s="54"/>
      <c r="F137" s="73"/>
      <c r="G137" s="44"/>
      <c r="H137" s="44"/>
      <c r="I137" s="44"/>
    </row>
    <row r="138" spans="1:9" ht="15.75">
      <c r="A138" s="30"/>
      <c r="B138" s="55">
        <f aca="true" t="shared" si="24" ref="B138:I138">+B$30</f>
        <v>43190</v>
      </c>
      <c r="C138" s="55">
        <f t="shared" si="24"/>
        <v>43281</v>
      </c>
      <c r="D138" s="55">
        <f t="shared" si="24"/>
        <v>43373</v>
      </c>
      <c r="E138" s="71">
        <f t="shared" si="24"/>
        <v>43465</v>
      </c>
      <c r="F138" s="55">
        <f t="shared" si="24"/>
        <v>43555</v>
      </c>
      <c r="G138" s="55">
        <f t="shared" si="24"/>
        <v>43646</v>
      </c>
      <c r="H138" s="55">
        <f t="shared" si="24"/>
        <v>43738</v>
      </c>
      <c r="I138" s="55">
        <f t="shared" si="24"/>
        <v>43830</v>
      </c>
    </row>
    <row r="139" spans="1:9" ht="15">
      <c r="A139" s="43" t="str">
        <f>HLOOKUP(INDICE!$F$2,Nombres!$C$3:$D$636,52,FALSE)</f>
        <v>Efectivo, saldos en efectivo en bancos centrales y otros depósitos a la vista</v>
      </c>
      <c r="B139" s="44">
        <v>14409.242734423213</v>
      </c>
      <c r="C139" s="44">
        <v>22265.093236671135</v>
      </c>
      <c r="D139" s="44">
        <v>53131.64548145569</v>
      </c>
      <c r="E139" s="45">
        <v>47580.73057092135</v>
      </c>
      <c r="F139" s="44">
        <v>45498.72543930164</v>
      </c>
      <c r="G139" s="44">
        <v>50470.88279848846</v>
      </c>
      <c r="H139" s="44">
        <v>43280.68016487936</v>
      </c>
      <c r="I139" s="44">
        <v>36670.94544339789</v>
      </c>
    </row>
    <row r="140" spans="1:9" ht="15">
      <c r="A140" s="43" t="str">
        <f>HLOOKUP(INDICE!$F$2,Nombres!$C$3:$D$636,53,FALSE)</f>
        <v>Activos financieros a valor razonable</v>
      </c>
      <c r="B140" s="60">
        <v>29353.375909727598</v>
      </c>
      <c r="C140" s="60">
        <v>31422.86153566909</v>
      </c>
      <c r="D140" s="60">
        <v>38623.90388298798</v>
      </c>
      <c r="E140" s="68">
        <v>33361.722882295566</v>
      </c>
      <c r="F140" s="44">
        <v>35519.03762607935</v>
      </c>
      <c r="G140" s="44">
        <v>34513.3759589921</v>
      </c>
      <c r="H140" s="44">
        <v>34424.43274078358</v>
      </c>
      <c r="I140" s="44">
        <v>35213.614304494</v>
      </c>
    </row>
    <row r="141" spans="1:9" ht="15">
      <c r="A141" s="43" t="str">
        <f>HLOOKUP(INDICE!$F$2,Nombres!$C$3:$D$636,54,FALSE)</f>
        <v>Activos financieros a coste amortizado</v>
      </c>
      <c r="B141" s="44">
        <v>305709.8030188753</v>
      </c>
      <c r="C141" s="44">
        <v>319475.12532097654</v>
      </c>
      <c r="D141" s="44">
        <v>350643.45464043185</v>
      </c>
      <c r="E141" s="45">
        <v>304846.2577779932</v>
      </c>
      <c r="F141" s="44">
        <v>327735.1412413321</v>
      </c>
      <c r="G141" s="44">
        <v>322490.38743892626</v>
      </c>
      <c r="H141" s="44">
        <v>319005.9060259479</v>
      </c>
      <c r="I141" s="44">
        <v>342802.9084293151</v>
      </c>
    </row>
    <row r="142" spans="1:9" ht="15">
      <c r="A142" s="43" t="str">
        <f>HLOOKUP(INDICE!$F$2,Nombres!$C$3:$D$636,55,FALSE)</f>
        <v>    de los que préstamos y anticipos a la clientela</v>
      </c>
      <c r="B142" s="44">
        <v>243662.04660547944</v>
      </c>
      <c r="C142" s="44">
        <v>259074.0981961253</v>
      </c>
      <c r="D142" s="44">
        <v>284401.0308201288</v>
      </c>
      <c r="E142" s="45">
        <v>251306.06668322743</v>
      </c>
      <c r="F142" s="44">
        <v>266632.07512919564</v>
      </c>
      <c r="G142" s="44">
        <v>257932.79763294107</v>
      </c>
      <c r="H142" s="44">
        <v>250733.45102928043</v>
      </c>
      <c r="I142" s="44">
        <v>270713.2141987226</v>
      </c>
    </row>
    <row r="143" spans="1:9" ht="15">
      <c r="A143" s="43" t="str">
        <f>HLOOKUP(INDICE!$F$2,Nombres!$C$3:$D$636,56,FALSE)</f>
        <v>Activos tangibles</v>
      </c>
      <c r="B143" s="44">
        <v>6130.124104965178</v>
      </c>
      <c r="C143" s="44">
        <v>6265.712501134429</v>
      </c>
      <c r="D143" s="44">
        <v>6436.99111962389</v>
      </c>
      <c r="E143" s="45">
        <v>6418.6696072075565</v>
      </c>
      <c r="F143" s="44">
        <v>7384.435527816496</v>
      </c>
      <c r="G143" s="44">
        <v>7409.258666998307</v>
      </c>
      <c r="H143" s="44">
        <v>7280.977135196528</v>
      </c>
      <c r="I143" s="44">
        <v>7469.691881419941</v>
      </c>
    </row>
    <row r="144" spans="1:9" ht="15">
      <c r="A144" s="43" t="str">
        <f>HLOOKUP(INDICE!$F$2,Nombres!$C$3:$D$636,57,FALSE)</f>
        <v>Otros activos</v>
      </c>
      <c r="B144" s="60">
        <f>+B145-B143-B141-B140-B139</f>
        <v>8724.70638939771</v>
      </c>
      <c r="C144" s="60">
        <f aca="true" t="shared" si="25" ref="C144:I144">+C145-C143-C141-C140-C139</f>
        <v>9310.30488097839</v>
      </c>
      <c r="D144" s="60">
        <f t="shared" si="25"/>
        <v>11096.743862092982</v>
      </c>
      <c r="E144" s="68">
        <f t="shared" si="25"/>
        <v>9188.507655302317</v>
      </c>
      <c r="F144" s="44">
        <f t="shared" si="25"/>
        <v>9777.212593421791</v>
      </c>
      <c r="G144" s="44">
        <f t="shared" si="25"/>
        <v>9515.123095563584</v>
      </c>
      <c r="H144" s="44">
        <f t="shared" si="25"/>
        <v>8956.447008595715</v>
      </c>
      <c r="I144" s="44">
        <f t="shared" si="25"/>
        <v>8418.983253889674</v>
      </c>
    </row>
    <row r="145" spans="1:9" ht="15">
      <c r="A145" s="47" t="str">
        <f>HLOOKUP(INDICE!$F$2,Nombres!$C$3:$D$636,58,FALSE)</f>
        <v>Total activo / pasivo</v>
      </c>
      <c r="B145" s="47">
        <v>364327.252157389</v>
      </c>
      <c r="C145" s="47">
        <v>388739.0974754296</v>
      </c>
      <c r="D145" s="47">
        <v>459932.7389865924</v>
      </c>
      <c r="E145" s="74">
        <v>401395.88849372</v>
      </c>
      <c r="F145" s="53">
        <v>425914.55242795136</v>
      </c>
      <c r="G145" s="53">
        <v>424399.0279589687</v>
      </c>
      <c r="H145" s="53">
        <v>412948.44307540305</v>
      </c>
      <c r="I145" s="53">
        <v>430576.14331251656</v>
      </c>
    </row>
    <row r="146" spans="1:9" ht="15">
      <c r="A146" s="43" t="str">
        <f>HLOOKUP(INDICE!$F$2,Nombres!$C$3:$D$636,59,FALSE)</f>
        <v>Pasivos financieros mantenidos para negociar y designados a valor razonable con cambios en resultados</v>
      </c>
      <c r="B146" s="60">
        <v>7847.542878412396</v>
      </c>
      <c r="C146" s="60">
        <v>10823.589705262144</v>
      </c>
      <c r="D146" s="60">
        <v>17843.37802542225</v>
      </c>
      <c r="E146" s="68">
        <v>11218.72292470721</v>
      </c>
      <c r="F146" s="44">
        <v>11368.527097825398</v>
      </c>
      <c r="G146" s="44">
        <v>14939.414450996588</v>
      </c>
      <c r="H146" s="44">
        <v>15312.482670892696</v>
      </c>
      <c r="I146" s="44">
        <v>14596.612858838966</v>
      </c>
    </row>
    <row r="147" spans="1:9" ht="15">
      <c r="A147" s="43" t="str">
        <f>HLOOKUP(INDICE!$F$2,Nombres!$C$3:$D$636,60,FALSE)</f>
        <v>Depósitos de bancos centrales y entidades de crédito</v>
      </c>
      <c r="B147" s="60">
        <v>44182.058163795045</v>
      </c>
      <c r="C147" s="60">
        <v>50748.74412099147</v>
      </c>
      <c r="D147" s="60">
        <v>59473.89865923733</v>
      </c>
      <c r="E147" s="68">
        <v>40801.555901580745</v>
      </c>
      <c r="F147" s="44">
        <v>44095.61080469851</v>
      </c>
      <c r="G147" s="44">
        <v>35842.62708899181</v>
      </c>
      <c r="H147" s="44">
        <v>30364.839964485516</v>
      </c>
      <c r="I147" s="44">
        <v>29898.05173117981</v>
      </c>
    </row>
    <row r="148" spans="1:9" ht="15">
      <c r="A148" s="43" t="str">
        <f>HLOOKUP(INDICE!$F$2,Nombres!$C$3:$D$636,61,FALSE)</f>
        <v>Depósitos de la clientela</v>
      </c>
      <c r="B148" s="60">
        <v>211802.0148690874</v>
      </c>
      <c r="C148" s="60">
        <v>225864.9149312136</v>
      </c>
      <c r="D148" s="60">
        <v>270529.8972662372</v>
      </c>
      <c r="E148" s="68">
        <v>241774.31550630415</v>
      </c>
      <c r="F148" s="44">
        <v>257237.21985477465</v>
      </c>
      <c r="G148" s="44">
        <v>259046.43774294082</v>
      </c>
      <c r="H148" s="44">
        <v>256114.11030047789</v>
      </c>
      <c r="I148" s="44">
        <v>276293.0338882376</v>
      </c>
    </row>
    <row r="149" spans="1:9" ht="15">
      <c r="A149" s="43" t="str">
        <f>HLOOKUP(INDICE!$F$2,Nombres!$C$3:$D$636,62,FALSE)</f>
        <v>Valores representativos de deuda emitidos</v>
      </c>
      <c r="B149" s="44">
        <v>33995.04853513042</v>
      </c>
      <c r="C149" s="44">
        <v>35188.517982692625</v>
      </c>
      <c r="D149" s="44">
        <v>39963.468570433564</v>
      </c>
      <c r="E149" s="45">
        <v>36135.96568291841</v>
      </c>
      <c r="F149" s="44">
        <v>40194.9443800898</v>
      </c>
      <c r="G149" s="44">
        <v>38072.8946114913</v>
      </c>
      <c r="H149" s="44">
        <v>29739.16903948582</v>
      </c>
      <c r="I149" s="44">
        <v>28548.08381887621</v>
      </c>
    </row>
    <row r="150" spans="1:9" ht="15">
      <c r="A150" s="43" t="str">
        <f>HLOOKUP(INDICE!$F$2,Nombres!$C$3:$D$636,63,FALSE)</f>
        <v>Otros pasivos</v>
      </c>
      <c r="B150" s="60">
        <f>+B145-B146-B147-B148-B149-B151</f>
        <v>53882.97455211526</v>
      </c>
      <c r="C150" s="60">
        <f aca="true" t="shared" si="26" ref="C150:I150">+C145-C146-C147-C148-C149-C151</f>
        <v>53710.58280259875</v>
      </c>
      <c r="D150" s="60">
        <f t="shared" si="26"/>
        <v>57780.7919726276</v>
      </c>
      <c r="E150" s="68">
        <f t="shared" si="26"/>
        <v>56144.005610091524</v>
      </c>
      <c r="F150" s="44">
        <f t="shared" si="26"/>
        <v>55743.9952265624</v>
      </c>
      <c r="G150" s="44">
        <f t="shared" si="26"/>
        <v>59423.38948737708</v>
      </c>
      <c r="H150" s="44">
        <f t="shared" si="26"/>
        <v>65515.88138772114</v>
      </c>
      <c r="I150" s="44">
        <f t="shared" si="26"/>
        <v>63377.08654025242</v>
      </c>
    </row>
    <row r="151" spans="1:9" ht="15">
      <c r="A151" s="43" t="str">
        <f>HLOOKUP(INDICE!$F$2,Nombres!$C$3:$D$636,64,FALSE)</f>
        <v>Dotación de capital económico</v>
      </c>
      <c r="B151" s="44">
        <v>12617.613158848479</v>
      </c>
      <c r="C151" s="44">
        <v>12402.74793267101</v>
      </c>
      <c r="D151" s="44">
        <v>14341.304492634517</v>
      </c>
      <c r="E151" s="45">
        <v>15321.322868117943</v>
      </c>
      <c r="F151" s="44">
        <v>17274.255064000594</v>
      </c>
      <c r="G151" s="44">
        <v>17074.264577171096</v>
      </c>
      <c r="H151" s="44">
        <v>15901.95971234004</v>
      </c>
      <c r="I151" s="44">
        <v>17863.27447513152</v>
      </c>
    </row>
    <row r="152" spans="1:9" ht="15">
      <c r="A152" s="65"/>
      <c r="B152" s="60"/>
      <c r="C152" s="60"/>
      <c r="D152" s="60"/>
      <c r="E152" s="60"/>
      <c r="F152" s="44"/>
      <c r="G152" s="44"/>
      <c r="H152" s="44"/>
      <c r="I152" s="44"/>
    </row>
    <row r="153" spans="1:9" ht="15">
      <c r="A153" s="43"/>
      <c r="B153" s="60"/>
      <c r="C153" s="60"/>
      <c r="D153" s="60"/>
      <c r="E153" s="60"/>
      <c r="F153" s="44"/>
      <c r="G153" s="44"/>
      <c r="H153" s="44"/>
      <c r="I153" s="44"/>
    </row>
    <row r="154" spans="1:9" ht="18">
      <c r="A154" s="33" t="str">
        <f>HLOOKUP(INDICE!$F$2,Nombres!$C$3:$D$636,65,FALSE)</f>
        <v>Indicadores relevantes y de gestión</v>
      </c>
      <c r="B154" s="34"/>
      <c r="C154" s="34"/>
      <c r="D154" s="34"/>
      <c r="E154" s="34"/>
      <c r="F154" s="72"/>
      <c r="G154" s="72"/>
      <c r="H154" s="72"/>
      <c r="I154" s="72"/>
    </row>
    <row r="155" spans="1:9" ht="15">
      <c r="A155" s="35" t="str">
        <f>HLOOKUP(INDICE!$F$2,Nombres!$C$3:$D$636,77,FALSE)</f>
        <v>(Millones de liras turcas)</v>
      </c>
      <c r="B155" s="30"/>
      <c r="C155" s="30"/>
      <c r="D155" s="30"/>
      <c r="E155" s="30"/>
      <c r="F155" s="73"/>
      <c r="G155" s="44"/>
      <c r="H155" s="44"/>
      <c r="I155" s="44"/>
    </row>
    <row r="156" spans="1:9" ht="15.75" customHeight="1">
      <c r="A156" s="30"/>
      <c r="B156" s="55">
        <f aca="true" t="shared" si="27" ref="B156:I156">+B$30</f>
        <v>43190</v>
      </c>
      <c r="C156" s="55">
        <f t="shared" si="27"/>
        <v>43281</v>
      </c>
      <c r="D156" s="55">
        <f t="shared" si="27"/>
        <v>43373</v>
      </c>
      <c r="E156" s="71">
        <f t="shared" si="27"/>
        <v>43465</v>
      </c>
      <c r="F156" s="55">
        <f t="shared" si="27"/>
        <v>43555</v>
      </c>
      <c r="G156" s="55">
        <f t="shared" si="27"/>
        <v>43646</v>
      </c>
      <c r="H156" s="55">
        <f t="shared" si="27"/>
        <v>43738</v>
      </c>
      <c r="I156" s="55">
        <f t="shared" si="27"/>
        <v>43830</v>
      </c>
    </row>
    <row r="157" spans="1:9" ht="15.75" customHeight="1">
      <c r="A157" s="43" t="str">
        <f>HLOOKUP(INDICE!$F$2,Nombres!$C$3:$D$636,66,FALSE)</f>
        <v>Préstamos y anticipos a la clientela bruto (*)</v>
      </c>
      <c r="B157" s="44">
        <v>253363.11721895175</v>
      </c>
      <c r="C157" s="44">
        <v>270113.4802128988</v>
      </c>
      <c r="D157" s="44">
        <v>298714.6578443322</v>
      </c>
      <c r="E157" s="45">
        <v>264882.5803246309</v>
      </c>
      <c r="F157" s="44">
        <v>281546.5166872289</v>
      </c>
      <c r="G157" s="44">
        <v>273349.2941414375</v>
      </c>
      <c r="H157" s="44">
        <v>267487.43031857244</v>
      </c>
      <c r="I157" s="44">
        <v>288181.3756003693</v>
      </c>
    </row>
    <row r="158" spans="1:9" ht="15.75" customHeight="1">
      <c r="A158" s="43" t="str">
        <f>HLOOKUP(INDICE!$F$2,Nombres!$C$3:$D$636,67,FALSE)</f>
        <v>Depósitos de clientes en gestión (**)</v>
      </c>
      <c r="B158" s="44">
        <v>211298.92448893635</v>
      </c>
      <c r="C158" s="44">
        <v>225813.99110608106</v>
      </c>
      <c r="D158" s="44">
        <v>270493.6374717047</v>
      </c>
      <c r="E158" s="45">
        <v>241728.89869069186</v>
      </c>
      <c r="F158" s="44">
        <v>257210.06496677463</v>
      </c>
      <c r="G158" s="44">
        <v>259022.6246744408</v>
      </c>
      <c r="H158" s="44">
        <v>256094.5315660779</v>
      </c>
      <c r="I158" s="44">
        <v>276225.23503333743</v>
      </c>
    </row>
    <row r="159" spans="1:9" ht="15.75" customHeight="1">
      <c r="A159" s="43" t="str">
        <f>HLOOKUP(INDICE!$F$2,Nombres!$C$3:$D$636,68,FALSE)</f>
        <v>Fondos de inversión</v>
      </c>
      <c r="B159" s="44">
        <v>6519.0467328168</v>
      </c>
      <c r="C159" s="44">
        <v>5891.004115973286</v>
      </c>
      <c r="D159" s="44">
        <v>4503.715827964478</v>
      </c>
      <c r="E159" s="45">
        <v>4055.910668952856</v>
      </c>
      <c r="F159" s="44">
        <v>4805.146256010735</v>
      </c>
      <c r="G159" s="44">
        <v>5726.475058498691</v>
      </c>
      <c r="H159" s="44">
        <v>6365.203970396964</v>
      </c>
      <c r="I159" s="44">
        <v>9757.346766326047</v>
      </c>
    </row>
    <row r="160" spans="1:9" ht="15.75" customHeight="1">
      <c r="A160" s="43" t="str">
        <f>HLOOKUP(INDICE!$F$2,Nombres!$C$3:$D$636,69,FALSE)</f>
        <v>Fondos de pensiones</v>
      </c>
      <c r="B160" s="44">
        <v>12389.564212320382</v>
      </c>
      <c r="C160" s="44">
        <v>12471.564550312567</v>
      </c>
      <c r="D160" s="44">
        <v>13489.639561204945</v>
      </c>
      <c r="E160" s="45">
        <v>13478.415500851263</v>
      </c>
      <c r="F160" s="44">
        <v>16574.91854703703</v>
      </c>
      <c r="G160" s="44">
        <v>13858.181648996831</v>
      </c>
      <c r="H160" s="44">
        <v>14913.326142592889</v>
      </c>
      <c r="I160" s="44">
        <v>16350.92076244365</v>
      </c>
    </row>
    <row r="161" spans="1:9" ht="15">
      <c r="A161" s="43" t="str">
        <f>HLOOKUP(INDICE!$F$2,Nombres!$C$3:$D$636,70,FALSE)</f>
        <v>Otros recursos fuera de balance</v>
      </c>
      <c r="B161" s="44" t="s">
        <v>400</v>
      </c>
      <c r="C161" s="44" t="s">
        <v>400</v>
      </c>
      <c r="D161" s="44" t="s">
        <v>400</v>
      </c>
      <c r="E161" s="45" t="s">
        <v>400</v>
      </c>
      <c r="F161" s="44" t="s">
        <v>400</v>
      </c>
      <c r="G161" s="44" t="s">
        <v>400</v>
      </c>
      <c r="H161" s="44" t="s">
        <v>400</v>
      </c>
      <c r="I161" s="44" t="s">
        <v>400</v>
      </c>
    </row>
    <row r="162" spans="1:9" ht="15">
      <c r="A162" s="65" t="str">
        <f>HLOOKUP(INDICE!$F$2,Nombres!$C$3:$D$636,71,FALSE)</f>
        <v>(*) No incluye las adquisiciones temporales de activos.</v>
      </c>
      <c r="B162" s="60"/>
      <c r="C162" s="60"/>
      <c r="D162" s="60"/>
      <c r="E162" s="60"/>
      <c r="F162" s="44"/>
      <c r="G162" s="44"/>
      <c r="H162" s="44"/>
      <c r="I162" s="44"/>
    </row>
    <row r="163" spans="1:9" ht="15">
      <c r="A163" s="65" t="str">
        <f>HLOOKUP(INDICE!$F$2,Nombres!$C$3:$D$636,72,FALSE)</f>
        <v>(**) No incluye las cesiones temporales de activos.</v>
      </c>
      <c r="B163" s="30"/>
      <c r="C163" s="30"/>
      <c r="D163" s="30"/>
      <c r="E163" s="30"/>
      <c r="F163" s="30"/>
      <c r="G163" s="30"/>
      <c r="H163" s="30"/>
      <c r="I163" s="30"/>
    </row>
    <row r="164" spans="1:9" ht="15">
      <c r="A164" s="30"/>
      <c r="B164" s="30"/>
      <c r="C164" s="30"/>
      <c r="D164" s="30"/>
      <c r="E164" s="30"/>
      <c r="F164" s="30"/>
      <c r="G164" s="30"/>
      <c r="H164" s="30"/>
      <c r="I164" s="30"/>
    </row>
    <row r="165" spans="1:9" ht="15">
      <c r="A165" s="30"/>
      <c r="B165" s="30"/>
      <c r="C165" s="30"/>
      <c r="D165" s="30"/>
      <c r="E165" s="30"/>
      <c r="F165" s="30"/>
      <c r="G165" s="30"/>
      <c r="H165" s="30"/>
      <c r="I165" s="30"/>
    </row>
    <row r="166" spans="1:9" ht="15">
      <c r="A166" s="77"/>
      <c r="B166" s="78"/>
      <c r="C166" s="79"/>
      <c r="D166" s="79"/>
      <c r="E166" s="79"/>
      <c r="F166" s="78"/>
      <c r="G166" s="78"/>
      <c r="H166" s="78"/>
      <c r="I166" s="78"/>
    </row>
    <row r="167" spans="1:15" ht="15">
      <c r="A167" s="77"/>
      <c r="B167" s="78"/>
      <c r="C167" s="79"/>
      <c r="D167" s="79"/>
      <c r="E167" s="79"/>
      <c r="F167" s="78"/>
      <c r="G167" s="78"/>
      <c r="H167" s="78"/>
      <c r="I167" s="78"/>
      <c r="J167" s="78"/>
      <c r="K167" s="78"/>
      <c r="L167" s="78"/>
      <c r="M167" s="78"/>
      <c r="N167" s="78"/>
      <c r="O167" s="78"/>
    </row>
    <row r="168" spans="1:15" ht="15">
      <c r="A168" s="78"/>
      <c r="B168" s="78"/>
      <c r="C168" s="78"/>
      <c r="D168" s="78"/>
      <c r="E168" s="78"/>
      <c r="F168" s="78"/>
      <c r="G168" s="78"/>
      <c r="H168" s="78"/>
      <c r="I168" s="78"/>
      <c r="J168" s="78"/>
      <c r="K168" s="78"/>
      <c r="L168" s="78"/>
      <c r="M168" s="78"/>
      <c r="N168" s="78"/>
      <c r="O168" s="78"/>
    </row>
    <row r="169" spans="1:15" ht="15">
      <c r="A169" s="78"/>
      <c r="B169" s="78"/>
      <c r="C169" s="78"/>
      <c r="D169" s="78"/>
      <c r="E169" s="78"/>
      <c r="F169" s="78"/>
      <c r="G169" s="78"/>
      <c r="H169" s="78"/>
      <c r="I169" s="78"/>
      <c r="J169" s="78"/>
      <c r="K169" s="78"/>
      <c r="L169" s="78"/>
      <c r="M169" s="78"/>
      <c r="N169" s="78"/>
      <c r="O169" s="78"/>
    </row>
    <row r="170" spans="1:15" ht="15">
      <c r="A170" s="78"/>
      <c r="B170" s="78"/>
      <c r="C170" s="78"/>
      <c r="D170" s="78"/>
      <c r="E170" s="78"/>
      <c r="F170" s="78"/>
      <c r="G170" s="78"/>
      <c r="H170" s="78"/>
      <c r="I170" s="78"/>
      <c r="J170" s="78"/>
      <c r="K170" s="78"/>
      <c r="L170" s="78"/>
      <c r="M170" s="78"/>
      <c r="N170" s="78"/>
      <c r="O170" s="78"/>
    </row>
    <row r="171" spans="1:15" ht="15">
      <c r="A171" s="78"/>
      <c r="B171" s="78"/>
      <c r="C171" s="78"/>
      <c r="D171" s="78"/>
      <c r="E171" s="78"/>
      <c r="F171" s="78"/>
      <c r="G171" s="78"/>
      <c r="H171" s="78"/>
      <c r="I171" s="78"/>
      <c r="J171" s="78"/>
      <c r="K171" s="78"/>
      <c r="L171" s="78"/>
      <c r="M171" s="78"/>
      <c r="N171" s="78"/>
      <c r="O171" s="78"/>
    </row>
    <row r="172" spans="1:15" ht="15">
      <c r="A172" s="78"/>
      <c r="B172" s="78"/>
      <c r="C172" s="78"/>
      <c r="D172" s="78"/>
      <c r="E172" s="78"/>
      <c r="F172" s="78"/>
      <c r="G172" s="78"/>
      <c r="H172" s="78"/>
      <c r="I172" s="78"/>
      <c r="J172" s="78"/>
      <c r="K172" s="78"/>
      <c r="L172" s="78"/>
      <c r="M172" s="78"/>
      <c r="N172" s="78"/>
      <c r="O172" s="78"/>
    </row>
    <row r="173" spans="1:15" ht="15">
      <c r="A173" s="78"/>
      <c r="B173" s="78"/>
      <c r="C173" s="78"/>
      <c r="D173" s="78"/>
      <c r="E173" s="78"/>
      <c r="F173" s="78"/>
      <c r="G173" s="78"/>
      <c r="H173" s="78"/>
      <c r="I173" s="78"/>
      <c r="J173" s="78"/>
      <c r="K173" s="78"/>
      <c r="L173" s="78"/>
      <c r="M173" s="78"/>
      <c r="N173" s="78"/>
      <c r="O173" s="78"/>
    </row>
    <row r="174" spans="1:15" ht="15">
      <c r="A174" s="78"/>
      <c r="B174" s="78"/>
      <c r="C174" s="78"/>
      <c r="D174" s="78"/>
      <c r="E174" s="78"/>
      <c r="F174" s="78"/>
      <c r="G174" s="78"/>
      <c r="H174" s="78"/>
      <c r="I174" s="78"/>
      <c r="J174" s="78"/>
      <c r="K174" s="78"/>
      <c r="L174" s="78"/>
      <c r="M174" s="78"/>
      <c r="N174" s="78"/>
      <c r="O174" s="78"/>
    </row>
    <row r="1000" ht="15">
      <c r="A1000" s="31" t="s">
        <v>399</v>
      </c>
    </row>
  </sheetData>
  <sheetProtection/>
  <mergeCells count="6">
    <mergeCell ref="B6:E6"/>
    <mergeCell ref="B60:E60"/>
    <mergeCell ref="B114:E114"/>
    <mergeCell ref="F6:I6"/>
    <mergeCell ref="F60:I60"/>
    <mergeCell ref="F114:I114"/>
  </mergeCells>
  <conditionalFormatting sqref="B26:I26">
    <cfRule type="cellIs" priority="3" dxfId="116" operator="notBetween">
      <formula>0.5</formula>
      <formula>-0.5</formula>
    </cfRule>
  </conditionalFormatting>
  <conditionalFormatting sqref="B80:I80">
    <cfRule type="cellIs" priority="2" dxfId="116" operator="notBetween">
      <formula>0.5</formula>
      <formula>-0.5</formula>
    </cfRule>
  </conditionalFormatting>
  <conditionalFormatting sqref="B134:I134">
    <cfRule type="cellIs" priority="1" dxfId="116"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2020-01-30T16:14:35Z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