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080" windowHeight="7400" firstSheet="1" activeTab="1"/>
  </bookViews>
  <sheets>
    <sheet name="Nombres" sheetId="1" state="hidden" r:id="rId1"/>
    <sheet name="INDICE" sheetId="2" r:id="rId2"/>
    <sheet name="Cuenta de Resultados" sheetId="3" r:id="rId3"/>
    <sheet name="Balance" sheetId="4" r:id="rId4"/>
    <sheet name="España" sheetId="5" r:id="rId5"/>
    <sheet name="EEUU" sheetId="6" r:id="rId6"/>
    <sheet name="Mexico" sheetId="7" r:id="rId7"/>
    <sheet name="Turquia" sheetId="8" r:id="rId8"/>
    <sheet name="AdS" sheetId="9" r:id="rId9"/>
    <sheet name="Argentina" sheetId="10" r:id="rId10"/>
    <sheet name="Chile" sheetId="11" r:id="rId11"/>
    <sheet name="Colombia" sheetId="12" r:id="rId12"/>
    <sheet name="Peru" sheetId="13" r:id="rId13"/>
    <sheet name="Resto de Eurasia" sheetId="14" r:id="rId14"/>
    <sheet name="Centro Corporativo" sheetId="15" r:id="rId15"/>
    <sheet name="Corporate &amp; Investment Banking" sheetId="16" r:id="rId16"/>
    <sheet name="Eficiencia" sheetId="17" r:id="rId17"/>
    <sheet name="Mora,cobertura,coste de riesgo" sheetId="18" r:id="rId18"/>
    <sheet name="Empleados, oficinas y cajeros" sheetId="19" r:id="rId19"/>
    <sheet name="Tipos de Cambio" sheetId="20" r:id="rId20"/>
    <sheet name="Diferenciales" sheetId="21" r:id="rId21"/>
    <sheet name="APRs" sheetId="22" r:id="rId22"/>
    <sheet name="Inversion" sheetId="23" r:id="rId23"/>
    <sheet name="Recursos" sheetId="24" r:id="rId24"/>
    <sheet name="Hoja1" sheetId="25" state="hidden" r:id="rId25"/>
    <sheet name="Hoja2" sheetId="26" state="hidden" r:id="rId26"/>
    <sheet name="Hoja3" sheetId="27" state="hidden" r:id="rId27"/>
    <sheet name="ALCO" sheetId="28" r:id="rId28"/>
    <sheet name="Hoja4" sheetId="29" state="hidden" r:id="rId29"/>
  </sheets>
  <definedNames/>
  <calcPr fullCalcOnLoad="1"/>
</workbook>
</file>

<file path=xl/sharedStrings.xml><?xml version="1.0" encoding="utf-8"?>
<sst xmlns="http://schemas.openxmlformats.org/spreadsheetml/2006/main" count="553" uniqueCount="436">
  <si>
    <t>IDIOMA/LANGUAGE</t>
  </si>
  <si>
    <t>1er Trim.</t>
  </si>
  <si>
    <t>2º Trim.</t>
  </si>
  <si>
    <t>3er Trim.</t>
  </si>
  <si>
    <t>4º Trim.</t>
  </si>
  <si>
    <t>Resultado Atribuido</t>
  </si>
  <si>
    <t>Total</t>
  </si>
  <si>
    <t>C&amp;IB</t>
  </si>
  <si>
    <t>Argentina</t>
  </si>
  <si>
    <t>Chile</t>
  </si>
  <si>
    <t>Colombia</t>
  </si>
  <si>
    <t>Perú</t>
  </si>
  <si>
    <t>Otros</t>
  </si>
  <si>
    <t>Orden</t>
  </si>
  <si>
    <t>Castellano</t>
  </si>
  <si>
    <t>Inglés</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</si>
  <si>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</si>
  <si>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</si>
  <si>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</si>
  <si>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</si>
  <si>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</si>
  <si>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</si>
  <si>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</si>
  <si>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</si>
  <si>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</si>
  <si>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</si>
  <si>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</si>
  <si>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</si>
  <si>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</si>
  <si>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</si>
  <si>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</si>
  <si>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</si>
  <si>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</si>
  <si>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</si>
  <si>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</si>
  <si>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</si>
  <si>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</si>
  <si>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</si>
  <si>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</si>
  <si>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</si>
  <si>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</si>
  <si>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</si>
  <si>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</si>
  <si>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</si>
  <si>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</si>
  <si>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</si>
  <si>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</si>
  <si>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</si>
  <si>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</si>
  <si>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</si>
  <si>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</si>
  <si>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</si>
  <si>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</si>
  <si>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</si>
  <si>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</si>
  <si>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</si>
  <si>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</si>
  <si>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</si>
  <si>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</si>
  <si>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</si>
  <si>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</si>
  <si>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</si>
  <si>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</si>
  <si>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</si>
  <si>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</si>
  <si>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</si>
  <si>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</si>
  <si>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</si>
  <si>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</si>
  <si>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</si>
  <si>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</si>
  <si>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</si>
  <si>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</si>
  <si>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</si>
  <si>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</si>
  <si>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</si>
  <si>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</si>
  <si>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</si>
  <si>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</si>
  <si>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</si>
  <si>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</si>
  <si>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</si>
  <si>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</si>
  <si>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</si>
  <si>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</si>
  <si>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</si>
  <si>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</si>
  <si>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</si>
  <si>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</si>
  <si>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</si>
  <si>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</si>
  <si>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</si>
  <si>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</si>
  <si>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</si>
  <si>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</si>
  <si>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</si>
  <si>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</si>
  <si>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</si>
  <si>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</si>
  <si>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</si>
  <si>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</si>
  <si>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</si>
  <si>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</si>
  <si>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</si>
  <si>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</si>
  <si>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</si>
  <si>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</si>
  <si>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</si>
  <si>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</si>
  <si>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</si>
  <si>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</si>
  <si>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</si>
  <si>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</si>
  <si>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</si>
  <si>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</si>
  <si>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</si>
  <si>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</si>
  <si>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</si>
  <si>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</si>
  <si>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</si>
  <si>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</si>
  <si>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</si>
  <si>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</si>
  <si>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</si>
  <si>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</si>
  <si>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</si>
  <si>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</si>
  <si>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</si>
  <si>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</si>
  <si>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</si>
  <si>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</si>
  <si>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</si>
  <si>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</si>
  <si>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</si>
  <si>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</si>
  <si>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</si>
  <si>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</si>
  <si>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</si>
  <si>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</si>
  <si>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inversión</t>
  </si>
  <si>
    <t>Mutual funds</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</si>
  <si>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</si>
  <si>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</si>
  <si>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</si>
  <si>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</si>
  <si>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</si>
  <si>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</si>
  <si>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</si>
  <si>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</si>
  <si>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</si>
  <si>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</si>
  <si>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</si>
  <si>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</si>
  <si>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</si>
  <si>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</si>
  <si>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</si>
  <si>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</si>
  <si>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</si>
  <si>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</si>
  <si>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</si>
  <si>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</si>
  <si>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</si>
  <si>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</si>
  <si>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</si>
  <si>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</si>
  <si>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</si>
  <si>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</si>
  <si>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</si>
  <si>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</si>
  <si>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</si>
  <si>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</si>
  <si>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</si>
  <si>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</si>
  <si>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</si>
  <si>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</si>
  <si>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Resto de América del Sur</t>
  </si>
  <si>
    <t>Resto of South América</t>
  </si>
  <si>
    <t>CRD IV fully-loaded</t>
  </si>
  <si>
    <t>Grupo BBVA. Cuentas de resultados consolidadas</t>
  </si>
  <si>
    <t xml:space="preserve">BBVA Group. Consolidated Income statement </t>
  </si>
  <si>
    <t>1Q</t>
  </si>
  <si>
    <t>2Q</t>
  </si>
  <si>
    <t>3Q</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</si>
  <si>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</si>
  <si>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</si>
  <si>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</si>
  <si>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</si>
  <si>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</si>
  <si>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</si>
  <si>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</si>
  <si>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</si>
  <si>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</si>
  <si>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</si>
  <si>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</si>
  <si>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</si>
  <si>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</si>
  <si>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</si>
  <si>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</si>
  <si>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</si>
  <si>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</si>
  <si>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</si>
  <si>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</si>
  <si>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</si>
  <si>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</si>
  <si>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</si>
  <si>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</si>
  <si>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</si>
  <si>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</si>
  <si>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</si>
  <si>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</si>
  <si>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</si>
  <si>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</si>
  <si>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</si>
  <si>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</si>
  <si>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</si>
  <si>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</si>
  <si>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</si>
  <si>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</si>
  <si>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</si>
  <si>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</si>
  <si>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</si>
  <si>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</si>
  <si>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</si>
  <si>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</si>
  <si>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</si>
  <si>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</si>
  <si>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</si>
  <si>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</si>
  <si>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</si>
  <si>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</si>
  <si>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</si>
  <si>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</si>
  <si>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</si>
  <si>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</si>
  <si>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</si>
  <si>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</si>
  <si>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</si>
  <si>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</si>
  <si>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</si>
  <si>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</si>
  <si>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</si>
  <si>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</si>
  <si>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</si>
  <si>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</si>
  <si>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</si>
  <si>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</si>
  <si>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</si>
  <si>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</si>
  <si>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</si>
  <si>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</si>
  <si>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</si>
  <si>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</si>
  <si>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</si>
  <si>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</si>
  <si>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</si>
  <si>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</si>
  <si>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</si>
  <si>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</si>
  <si>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</si>
  <si>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</si>
  <si>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</si>
  <si>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</si>
  <si>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</si>
  <si>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</si>
  <si>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</si>
  <si>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</si>
  <si>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</si>
  <si>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</si>
  <si>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</si>
  <si>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</si>
  <si>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</si>
  <si>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</si>
  <si>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</si>
  <si>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</si>
  <si>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</si>
  <si>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</si>
  <si>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</si>
  <si>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</si>
  <si>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</si>
  <si>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</si>
  <si>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</si>
  <si>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</si>
  <si>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</si>
  <si>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</si>
  <si>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</si>
  <si>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</si>
  <si>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</si>
  <si>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</si>
  <si>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</si>
  <si>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</si>
  <si>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</si>
  <si>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</si>
  <si>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</si>
  <si>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</si>
  <si>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</si>
  <si>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</si>
  <si>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</si>
  <si>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</si>
  <si>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</si>
  <si>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</si>
  <si>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</si>
  <si>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</si>
  <si>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</si>
  <si>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</si>
  <si>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</si>
  <si>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</si>
  <si>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</si>
  <si>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</si>
  <si>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</si>
  <si>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</si>
  <si>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</si>
  <si>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</si>
  <si>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</si>
  <si>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</si>
  <si>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</si>
  <si>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</si>
  <si>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</si>
  <si>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</si>
  <si>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</si>
  <si>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</si>
  <si>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</si>
  <si>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</si>
  <si>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</si>
  <si>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</si>
  <si>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</si>
  <si>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</si>
  <si>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</si>
  <si>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</si>
  <si>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</si>
  <si>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</si>
  <si>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</si>
  <si>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</si>
  <si>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</si>
  <si>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</si>
  <si>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</si>
  <si>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Incluye fondos de inversión, fondos de pensiones y otros recursos fuera de balance.(*)</t>
  </si>
  <si>
    <t xml:space="preserve">Includes mutual funds, pension funds and other off-balance sheet funds. (*)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</si>
  <si>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</si>
  <si>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</si>
  <si>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</si>
  <si>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</si>
  <si>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</si>
  <si>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</si>
  <si>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</si>
  <si>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</si>
  <si>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</si>
  <si>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</si>
  <si>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</si>
  <si>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</si>
  <si>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</si>
  <si>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</si>
  <si>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</si>
  <si>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</si>
  <si>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</si>
  <si>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</si>
  <si>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</si>
  <si>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</si>
  <si>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</si>
  <si>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Cuenta de resultados sin Chile</t>
  </si>
  <si>
    <t>Income statement w/o Chile</t>
  </si>
  <si>
    <t>Resultado de operaciones corporativas</t>
  </si>
  <si>
    <t>Result from corporate operations</t>
  </si>
  <si>
    <t>Grupo BBVA. Cuentas de resultados proforma (*)</t>
  </si>
  <si>
    <t>BBVA group. Consolidated income statements proforma (*)</t>
  </si>
  <si>
    <t>CRD IV fully loaded</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</si>
  <si>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</si>
  <si>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</si>
  <si>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Very small business</t>
  </si>
  <si>
    <t>Cuentas de resultados consolidadas proforma</t>
  </si>
  <si>
    <t>Consolidated income statement proforma</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</si>
  <si>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</si>
  <si>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</si>
  <si>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</si>
  <si>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</si>
  <si>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</si>
  <si>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</si>
  <si>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</si>
  <si>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</si>
  <si>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</si>
  <si>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</si>
  <si>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</si>
  <si>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</si>
  <si>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</si>
  <si>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</si>
  <si>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</si>
  <si>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</si>
  <si>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</si>
  <si>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</si>
  <si>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</si>
  <si>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</si>
  <si>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</si>
  <si>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</si>
  <si>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</si>
  <si>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</si>
  <si>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</si>
  <si>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</si>
  <si>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</si>
  <si>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MARCA</t>
  </si>
  <si>
    <t>(*) Se incluyen los resultados de los dos primeros trimestres del 2018 de BBVA Chile y las plusvalías por su venta del tercer trimestre del 2018.</t>
  </si>
  <si>
    <t>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</si>
  <si>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Provisiones o reversión de provisiones</t>
  </si>
  <si>
    <t>Provisions or reversal of provisions</t>
  </si>
  <si>
    <t>Otros resultados</t>
  </si>
  <si>
    <t>Other results</t>
  </si>
  <si>
    <t>Resultado atribuido sin el deterioro del fondo de comercio de Estados Unidos y sin BBVA Chile (*)</t>
  </si>
  <si>
    <t>Net attributable profit excluding the goodwill impairment in the United States and BBVA Chile (*)</t>
  </si>
  <si>
    <t>Resultado Atribuido (*)</t>
  </si>
  <si>
    <t>Net attributable profit (*)</t>
  </si>
  <si>
    <t>(*) Resultados generados por BBVA Chile hasta su venta el 6 de julio del 2018 y las plusvalías de la operación</t>
  </si>
  <si>
    <t>(*) BBVA Chile recurrent profit until the sale as of 6 July, 2018 and the capital gains of the operation</t>
  </si>
  <si>
    <t>(*)No incluye Resultados generados por BBVA Chile hasta su venta el 6 de julio del 2018 ni las plusvalías de la operación, tampoco el deterioro del fondo de comercio de Estados Unidos.</t>
  </si>
  <si>
    <t>(*) Not including BBVA Chile recurrent profit until the sale as of 6 July 2018 and and the capital gains of the operation neither the goodwill impairment in the United States</t>
  </si>
  <si>
    <t>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</si>
  <si>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</si>
  <si>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Resultado atribuido sin BBVA Chile (*)</t>
  </si>
  <si>
    <t>Net Atributable Profit ex BBVA Chile (*)</t>
  </si>
  <si>
    <t>(*) Plusvalías por la venta de BBVA Chile del tercer trimestre de 2018</t>
  </si>
  <si>
    <t>(*) Net capital gains of BBVA Chile sale on the 3rd Q of 2018.</t>
  </si>
  <si>
    <t>.</t>
  </si>
  <si>
    <t>Coste del riesgo acumulado</t>
  </si>
  <si>
    <t>Cost of risk YTD</t>
  </si>
  <si>
    <t>-</t>
  </si>
  <si>
    <t>Cost of deposits</t>
  </si>
  <si>
    <t>Rentabilidad de los prestamos</t>
  </si>
  <si>
    <t>Coste de los depositos</t>
  </si>
  <si>
    <t>Lending Yield</t>
  </si>
  <si>
    <t>Series trimestrales 2019-2020</t>
  </si>
  <si>
    <t>Quarterly series 2019-2020</t>
  </si>
  <si>
    <t>Resultado atribuido sin el deterioro del fondo de comercio de Estados Unidos (*)</t>
  </si>
  <si>
    <t>Net attributable profit excluding the goodwill impairment in the United States (*)</t>
  </si>
  <si>
    <t>(1)</t>
  </si>
  <si>
    <t xml:space="preserve">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t>
  </si>
  <si>
    <t>'General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t>
  </si>
  <si>
    <t>#NoAccess</t>
  </si>
  <si>
    <r>
      <rPr>
        <sz val="8"/>
        <color indexed="56"/>
        <rFont val="Calibri"/>
        <family val="2"/>
      </rPr>
      <t>(1)</t>
    </r>
    <r>
      <rPr>
        <sz val="11"/>
        <color theme="1"/>
        <rFont val="Calibri"/>
        <family val="2"/>
      </rPr>
      <t xml:space="preserve"> En aplicación de la NIC 29 "Información en economías hiperinflacionarias", la conversión de la cuenta de resultados de Argentina se hace empleando el tipo de cambio final.</t>
    </r>
  </si>
  <si>
    <r>
      <rPr>
        <sz val="8"/>
        <color indexed="56"/>
        <rFont val="Calibri"/>
        <family val="2"/>
      </rPr>
      <t>(1)</t>
    </r>
    <r>
      <rPr>
        <sz val="11"/>
        <color theme="1"/>
        <rFont val="Calibri"/>
        <family val="2"/>
      </rPr>
      <t xml:space="preserve"> According to IAS 29 "Financial information in hyperinflationary economies", the year-end exchange rate is used for the conversion of the Argentina income statement. </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</si>
</sst>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00"/>
    <numFmt numFmtId="167" formatCode="0.0%"/>
    <numFmt numFmtId="168" formatCode="#,##0.0000"/>
    <numFmt numFmtId="169" formatCode="dd\-mm\-yy;@"/>
    <numFmt numFmtId="170" formatCode="_-* #,##0\ _P_t_s_-;\-* #,##0\ _P_t_s_-;_-* &quot;-&quot;??\ _P_t_s_-;_-@_-"/>
    <numFmt numFmtId="171" formatCode="#,##0.0"/>
    <numFmt numFmtId="172" formatCode="0.000%"/>
  </numFmts>
  <fonts count="116">
    <font>
      <sz val="11"/>
      <color theme="1"/>
      <name val="Calibri"/>
      <family val="2"/>
    </font>
    <font>
      <sz val="11"/>
      <color indexed="8"/>
      <name val="Calibri"/>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sz val="10"/>
      <name val="Arial"/>
      <family val="2"/>
    </font>
    <font>
      <vertAlign val="superscript"/>
      <sz val="10"/>
      <color indexed="21"/>
      <name val="Stag Sans Medium"/>
      <family val="2"/>
    </font>
    <font>
      <vertAlign val="superscript"/>
      <sz val="22"/>
      <color indexed="21"/>
      <name val="Stag Sans Medium"/>
      <family val="2"/>
    </font>
    <font>
      <b/>
      <sz val="16"/>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name val="BBVA Office Book"/>
      <family val="2"/>
    </font>
    <font>
      <b/>
      <sz val="10"/>
      <name val="BBVA Office Book"/>
      <family val="2"/>
    </font>
    <font>
      <sz val="8"/>
      <name val="BBVA Office Book"/>
      <family val="2"/>
    </font>
    <font>
      <i/>
      <sz val="10"/>
      <name val="BBVA Office Book"/>
      <family val="2"/>
    </font>
    <font>
      <sz val="10"/>
      <color indexed="18"/>
      <name val="Tahoma"/>
      <family val="2"/>
    </font>
    <font>
      <sz val="10"/>
      <name val="Tahoma"/>
      <family val="2"/>
    </font>
    <font>
      <sz val="9"/>
      <name val="BBVA Office Book"/>
      <family val="2"/>
    </font>
    <font>
      <b/>
      <sz val="10"/>
      <name val="Arial"/>
      <family val="2"/>
    </font>
    <font>
      <sz val="10"/>
      <color indexed="18"/>
      <name val="Arial"/>
      <family val="2"/>
    </font>
    <font>
      <sz val="12"/>
      <name val="BBVA Office Book"/>
      <family val="2"/>
    </font>
    <font>
      <sz val="11"/>
      <name val="BBVA Office Book"/>
      <family val="2"/>
    </font>
    <font>
      <sz val="10"/>
      <name val="Baskerville BE Regular"/>
      <family val="0"/>
    </font>
    <font>
      <sz val="8"/>
      <name val="Arial"/>
      <family val="2"/>
    </font>
    <font>
      <sz val="8"/>
      <name val="Tahoma"/>
      <family val="2"/>
    </font>
    <font>
      <sz val="11"/>
      <name val="Lucida Sans Unicode"/>
      <family val="2"/>
    </font>
    <font>
      <sz val="8"/>
      <color indexed="56"/>
      <name val="Calibri"/>
      <family val="2"/>
    </font>
    <font>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30"/>
      <name val="Calibri"/>
      <family val="2"/>
    </font>
    <font>
      <b/>
      <sz val="11"/>
      <color indexed="30"/>
      <name val="Calibri"/>
      <family val="2"/>
    </font>
    <font>
      <sz val="11"/>
      <color indexed="62"/>
      <name val="Calibri"/>
      <family val="2"/>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3"/>
      <color indexed="30"/>
      <name val="Calibri"/>
      <family val="2"/>
    </font>
    <font>
      <b/>
      <sz val="11"/>
      <color indexed="56"/>
      <name val="Calibri"/>
      <family val="2"/>
    </font>
    <font>
      <vertAlign val="superscript"/>
      <sz val="26"/>
      <color indexed="40"/>
      <name val="BBVA Office Book"/>
      <family val="2"/>
    </font>
    <font>
      <vertAlign val="superscript"/>
      <sz val="22"/>
      <color indexed="9"/>
      <name val="BBVA Office Book"/>
      <family val="2"/>
    </font>
    <font>
      <sz val="14"/>
      <color indexed="56"/>
      <name val="BBVA Office Book"/>
      <family val="2"/>
    </font>
    <font>
      <sz val="14"/>
      <color indexed="40"/>
      <name val="BBVA Office Book"/>
      <family val="2"/>
    </font>
    <font>
      <sz val="10"/>
      <color indexed="40"/>
      <name val="BBVA Office Book"/>
      <family val="2"/>
    </font>
    <font>
      <sz val="10"/>
      <color indexed="49"/>
      <name val="BBVA Office Book"/>
      <family val="2"/>
    </font>
    <font>
      <sz val="11"/>
      <color indexed="30"/>
      <name val="BBVA Office Book"/>
      <family val="2"/>
    </font>
    <font>
      <b/>
      <sz val="10"/>
      <color indexed="9"/>
      <name val="BBVA Office Book"/>
      <family val="2"/>
    </font>
    <font>
      <sz val="10"/>
      <color indexed="9"/>
      <name val="BBVA Office Book"/>
      <family val="2"/>
    </font>
    <font>
      <sz val="8"/>
      <color indexed="9"/>
      <name val="BBVA Office Book"/>
      <family val="2"/>
    </font>
    <font>
      <sz val="10"/>
      <color indexed="48"/>
      <name val="Arial"/>
      <family val="2"/>
    </font>
    <font>
      <b/>
      <sz val="16"/>
      <color indexed="40"/>
      <name val="BBVA Office Book"/>
      <family val="2"/>
    </font>
    <font>
      <sz val="10"/>
      <color indexed="30"/>
      <name val="BBVA Office Book"/>
      <family val="2"/>
    </font>
    <font>
      <sz val="16"/>
      <color indexed="40"/>
      <name val="BBVA Office Book"/>
      <family val="2"/>
    </font>
    <font>
      <sz val="10"/>
      <color indexed="10"/>
      <name val="Arial"/>
      <family val="2"/>
    </font>
    <font>
      <sz val="11"/>
      <color indexed="40"/>
      <name val="BBVA Office Book"/>
      <family val="2"/>
    </font>
    <font>
      <sz val="11"/>
      <color indexed="9"/>
      <name val="BBVA Office Book"/>
      <family val="2"/>
    </font>
    <font>
      <sz val="11"/>
      <color indexed="30"/>
      <name val="Calibri"/>
      <family val="2"/>
    </font>
    <font>
      <sz val="16"/>
      <color indexed="56"/>
      <name val="BBVA Office Book"/>
      <family val="2"/>
    </font>
    <font>
      <sz val="12"/>
      <color indexed="56"/>
      <name val="BBVA Office Book"/>
      <family val="2"/>
    </font>
    <font>
      <sz val="12"/>
      <color indexed="30"/>
      <name val="BBVA Office Book"/>
      <family val="2"/>
    </font>
    <font>
      <sz val="11"/>
      <name val="Calibri"/>
      <family val="2"/>
    </font>
    <font>
      <sz val="8"/>
      <color indexed="9"/>
      <name val="Calibri"/>
      <family val="2"/>
    </font>
    <font>
      <b/>
      <sz val="9"/>
      <color indexed="10"/>
      <name val="BBVA Office Book"/>
      <family val="2"/>
    </font>
    <font>
      <sz val="2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vertAlign val="superscript"/>
      <sz val="26"/>
      <color theme="1" tint="0.34999001026153564"/>
      <name val="BBVA Office Book"/>
      <family val="2"/>
    </font>
    <font>
      <vertAlign val="superscript"/>
      <sz val="22"/>
      <color theme="0"/>
      <name val="BBVA Office Book"/>
      <family val="2"/>
    </font>
    <font>
      <sz val="14"/>
      <color theme="1"/>
      <name val="BBVA Office Book"/>
      <family val="2"/>
    </font>
    <font>
      <sz val="14"/>
      <color theme="1" tint="0.34999001026153564"/>
      <name val="BBVA Office Book"/>
      <family val="2"/>
    </font>
    <font>
      <sz val="10"/>
      <color theme="1" tint="0.34999001026153564"/>
      <name val="BBVA Office Book"/>
      <family val="2"/>
    </font>
    <font>
      <sz val="10"/>
      <color theme="4"/>
      <name val="BBVA Office Book"/>
      <family val="2"/>
    </font>
    <font>
      <sz val="11"/>
      <color theme="3"/>
      <name val="BBVA Office Book"/>
      <family val="2"/>
    </font>
    <font>
      <b/>
      <sz val="10"/>
      <color theme="0"/>
      <name val="BBVA Office Book"/>
      <family val="2"/>
    </font>
    <font>
      <sz val="8"/>
      <color theme="1"/>
      <name val="Calibri"/>
      <family val="2"/>
    </font>
    <font>
      <sz val="10"/>
      <color theme="0"/>
      <name val="BBVA Office Book"/>
      <family val="2"/>
    </font>
    <font>
      <sz val="8"/>
      <color theme="0"/>
      <name val="BBVA Office Book"/>
      <family val="2"/>
    </font>
    <font>
      <sz val="10"/>
      <color theme="5"/>
      <name val="Arial"/>
      <family val="2"/>
    </font>
    <font>
      <b/>
      <sz val="16"/>
      <color theme="1" tint="0.34999001026153564"/>
      <name val="BBVA Office Book"/>
      <family val="2"/>
    </font>
    <font>
      <sz val="10"/>
      <color theme="3"/>
      <name val="BBVA Office Book"/>
      <family val="2"/>
    </font>
    <font>
      <sz val="16"/>
      <color theme="1" tint="0.34999001026153564"/>
      <name val="BBVA Office Book"/>
      <family val="2"/>
    </font>
    <font>
      <sz val="10"/>
      <color rgb="FFFF0000"/>
      <name val="Arial"/>
      <family val="2"/>
    </font>
    <font>
      <sz val="11"/>
      <color theme="1" tint="0.34999001026153564"/>
      <name val="BBVA Office Book"/>
      <family val="2"/>
    </font>
    <font>
      <sz val="11"/>
      <color theme="0"/>
      <name val="BBVA Office Book"/>
      <family val="2"/>
    </font>
    <font>
      <sz val="11"/>
      <color theme="3"/>
      <name val="Calibri"/>
      <family val="2"/>
    </font>
    <font>
      <sz val="16"/>
      <color theme="1"/>
      <name val="BBVA Office Book"/>
      <family val="2"/>
    </font>
    <font>
      <sz val="12"/>
      <color rgb="FF002060"/>
      <name val="BBVA Office Book"/>
      <family val="2"/>
    </font>
    <font>
      <sz val="12"/>
      <color theme="3"/>
      <name val="BBVA Office Book"/>
      <family val="2"/>
    </font>
    <font>
      <sz val="8"/>
      <color theme="0"/>
      <name val="Calibri"/>
      <family val="2"/>
    </font>
    <font>
      <b/>
      <sz val="9"/>
      <color rgb="FFFF0000"/>
      <name val="BBVA Office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2" tint="0.8999900221824646"/>
        <bgColor indexed="64"/>
      </patternFill>
    </fill>
    <fill>
      <patternFill patternType="solid">
        <fgColor theme="0"/>
        <bgColor indexed="64"/>
      </patternFill>
    </fill>
    <fill>
      <patternFill patternType="solid">
        <fgColor rgb="FFA7CFE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style="thin"/>
      <bottom/>
    </border>
    <border>
      <left style="thin"/>
      <right/>
      <top/>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4" applyNumberFormat="0" applyFill="0" applyAlignment="0" applyProtection="0"/>
    <xf numFmtId="0" fontId="80"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1" fillId="29" borderId="1"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31" borderId="0" applyNumberFormat="0" applyBorder="0" applyAlignment="0" applyProtection="0"/>
    <xf numFmtId="0" fontId="6" fillId="0" borderId="0">
      <alignment/>
      <protection/>
    </xf>
    <xf numFmtId="0" fontId="6" fillId="0" borderId="0">
      <alignment/>
      <protection/>
    </xf>
    <xf numFmtId="3" fontId="6"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6" fillId="21" borderId="6"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80" fillId="0" borderId="8" applyNumberFormat="0" applyFill="0" applyAlignment="0" applyProtection="0"/>
    <xf numFmtId="0" fontId="91" fillId="0" borderId="9" applyNumberFormat="0" applyFill="0" applyAlignment="0" applyProtection="0"/>
  </cellStyleXfs>
  <cellXfs count="314">
    <xf numFmtId="0" fontId="0" fillId="0" borderId="0" xfId="0" applyFont="1" applyAlignment="1">
      <alignment/>
    </xf>
    <xf numFmtId="0" fontId="3" fillId="0" borderId="0" xfId="58" applyFont="1">
      <alignment/>
      <protection/>
    </xf>
    <xf numFmtId="0" fontId="4" fillId="0" borderId="0" xfId="58" applyFont="1">
      <alignment/>
      <protection/>
    </xf>
    <xf numFmtId="0" fontId="5" fillId="0" borderId="0" xfId="58" applyFont="1">
      <alignment/>
      <protection/>
    </xf>
    <xf numFmtId="0" fontId="92" fillId="33" borderId="0" xfId="55" applyFont="1" applyFill="1" applyAlignment="1" applyProtection="1">
      <alignment horizontal="center" vertical="top"/>
      <protection hidden="1"/>
    </xf>
    <xf numFmtId="0" fontId="7" fillId="0" borderId="0" xfId="58" applyFont="1" applyProtection="1">
      <alignment/>
      <protection locked="0"/>
    </xf>
    <xf numFmtId="0" fontId="8" fillId="0" borderId="0" xfId="55" applyFont="1" applyFill="1" applyAlignment="1" applyProtection="1">
      <alignment horizontal="left" indent="4"/>
      <protection hidden="1"/>
    </xf>
    <xf numFmtId="0" fontId="93" fillId="34" borderId="0" xfId="55" applyFont="1" applyFill="1" applyAlignment="1" applyProtection="1">
      <alignment horizontal="left" vertical="top"/>
      <protection hidden="1"/>
    </xf>
    <xf numFmtId="0" fontId="9" fillId="0" borderId="0" xfId="55" applyFont="1">
      <alignment/>
      <protection/>
    </xf>
    <xf numFmtId="0" fontId="3" fillId="0" borderId="0" xfId="58" applyFont="1" applyProtection="1">
      <alignment/>
      <protection hidden="1"/>
    </xf>
    <xf numFmtId="0" fontId="94" fillId="8" borderId="0" xfId="0" applyFont="1" applyFill="1" applyAlignment="1">
      <alignment/>
    </xf>
    <xf numFmtId="0" fontId="4" fillId="0" borderId="0" xfId="58" applyFont="1" quotePrefix="1">
      <alignment/>
      <protection/>
    </xf>
    <xf numFmtId="0" fontId="10" fillId="0" borderId="0" xfId="58" applyFont="1" quotePrefix="1">
      <alignment/>
      <protection/>
    </xf>
    <xf numFmtId="0" fontId="3" fillId="0" borderId="0" xfId="58" applyFont="1" applyProtection="1" quotePrefix="1">
      <alignment/>
      <protection hidden="1"/>
    </xf>
    <xf numFmtId="0" fontId="4" fillId="0" borderId="0" xfId="58" applyFont="1" applyFill="1">
      <alignment/>
      <protection/>
    </xf>
    <xf numFmtId="0" fontId="3" fillId="0" borderId="0" xfId="58" applyFont="1" applyFill="1" applyProtection="1">
      <alignment/>
      <protection hidden="1"/>
    </xf>
    <xf numFmtId="0" fontId="3" fillId="0" borderId="0" xfId="58" applyFont="1" applyFill="1">
      <alignment/>
      <protection/>
    </xf>
    <xf numFmtId="0" fontId="3" fillId="0" borderId="0" xfId="58" applyFont="1" applyAlignment="1">
      <alignment horizontal="left" indent="5"/>
      <protection/>
    </xf>
    <xf numFmtId="0" fontId="3" fillId="0" borderId="0" xfId="58" applyFont="1" applyFill="1" applyAlignment="1">
      <alignment horizontal="left" indent="5"/>
      <protection/>
    </xf>
    <xf numFmtId="0" fontId="4" fillId="0" borderId="0" xfId="58" applyFont="1" applyFill="1" applyAlignment="1">
      <alignment horizontal="left" indent="5"/>
      <protection/>
    </xf>
    <xf numFmtId="0" fontId="3" fillId="0" borderId="0" xfId="58" applyFont="1" applyAlignment="1">
      <alignment horizontal="center"/>
      <protection/>
    </xf>
    <xf numFmtId="0" fontId="3" fillId="0" borderId="0" xfId="58" applyFont="1" applyAlignment="1" applyProtection="1">
      <alignment horizontal="left" indent="5"/>
      <protection hidden="1"/>
    </xf>
    <xf numFmtId="0" fontId="4" fillId="0" borderId="0" xfId="58" applyFont="1" applyAlignment="1">
      <alignment horizontal="left" indent="5"/>
      <protection/>
    </xf>
    <xf numFmtId="0" fontId="5" fillId="0" borderId="0" xfId="58" applyFont="1" applyAlignment="1">
      <alignment horizontal="left" vertical="top"/>
      <protection/>
    </xf>
    <xf numFmtId="0" fontId="11" fillId="0" borderId="0" xfId="58" applyFont="1">
      <alignment/>
      <protection/>
    </xf>
    <xf numFmtId="0" fontId="94" fillId="35" borderId="0" xfId="0" applyFont="1" applyFill="1" applyAlignment="1">
      <alignment/>
    </xf>
    <xf numFmtId="0" fontId="12" fillId="0" borderId="0" xfId="58" applyFont="1">
      <alignment/>
      <protection/>
    </xf>
    <xf numFmtId="0" fontId="11" fillId="0" borderId="0" xfId="58" applyFont="1" applyProtection="1">
      <alignment/>
      <protection hidden="1"/>
    </xf>
    <xf numFmtId="0" fontId="13" fillId="0" borderId="0" xfId="58" applyFont="1">
      <alignment/>
      <protection/>
    </xf>
    <xf numFmtId="0" fontId="14" fillId="0" borderId="0" xfId="0" applyFont="1" applyFill="1" applyBorder="1" applyAlignment="1">
      <alignment horizontal="left" vertical="center"/>
    </xf>
    <xf numFmtId="0" fontId="15" fillId="0" borderId="0" xfId="0" applyFont="1" applyFill="1" applyBorder="1" applyAlignment="1">
      <alignment/>
    </xf>
    <xf numFmtId="0" fontId="0" fillId="0" borderId="0" xfId="0" applyFill="1" applyAlignment="1">
      <alignment/>
    </xf>
    <xf numFmtId="0" fontId="9" fillId="0" borderId="0" xfId="0" applyFont="1" applyFill="1" applyBorder="1" applyAlignment="1">
      <alignment horizontal="left" vertical="center"/>
    </xf>
    <xf numFmtId="0" fontId="95" fillId="33" borderId="0" xfId="0" applyFont="1" applyFill="1" applyBorder="1" applyAlignment="1">
      <alignment horizontal="left" vertical="center"/>
    </xf>
    <xf numFmtId="0" fontId="96" fillId="33" borderId="0" xfId="0" applyFont="1" applyFill="1" applyBorder="1" applyAlignment="1">
      <alignment/>
    </xf>
    <xf numFmtId="0" fontId="97"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98" fillId="0" borderId="0" xfId="0" applyFont="1" applyFill="1" applyBorder="1" applyAlignment="1">
      <alignment horizontal="right" vertical="center"/>
    </xf>
    <xf numFmtId="0" fontId="98" fillId="0" borderId="10" xfId="0" applyFont="1" applyFill="1" applyBorder="1" applyAlignment="1">
      <alignment horizontal="right" vertical="center"/>
    </xf>
    <xf numFmtId="3" fontId="16" fillId="0" borderId="0" xfId="0" applyNumberFormat="1" applyFont="1" applyFill="1" applyBorder="1" applyAlignment="1">
      <alignment vertical="center"/>
    </xf>
    <xf numFmtId="3" fontId="16" fillId="0" borderId="10" xfId="0" applyNumberFormat="1" applyFont="1" applyFill="1" applyBorder="1" applyAlignment="1">
      <alignment vertical="center"/>
    </xf>
    <xf numFmtId="3" fontId="15" fillId="0" borderId="0" xfId="0" applyNumberFormat="1" applyFont="1" applyFill="1" applyBorder="1" applyAlignment="1">
      <alignment vertical="center"/>
    </xf>
    <xf numFmtId="3" fontId="15" fillId="0" borderId="0" xfId="0" applyNumberFormat="1" applyFont="1" applyFill="1" applyBorder="1" applyAlignment="1">
      <alignment horizontal="right"/>
    </xf>
    <xf numFmtId="3" fontId="15" fillId="0" borderId="10" xfId="0" applyNumberFormat="1" applyFont="1" applyFill="1" applyBorder="1" applyAlignment="1">
      <alignment horizontal="right"/>
    </xf>
    <xf numFmtId="3" fontId="15" fillId="0" borderId="0" xfId="0" applyNumberFormat="1" applyFont="1" applyFill="1" applyBorder="1" applyAlignment="1">
      <alignment horizontal="left" vertical="center" indent="1"/>
    </xf>
    <xf numFmtId="3" fontId="99" fillId="34" borderId="0" xfId="0" applyNumberFormat="1" applyFont="1" applyFill="1" applyBorder="1" applyAlignment="1">
      <alignment vertical="center"/>
    </xf>
    <xf numFmtId="3" fontId="99" fillId="0" borderId="0" xfId="0" applyNumberFormat="1" applyFont="1" applyFill="1" applyBorder="1" applyAlignment="1">
      <alignment vertical="center"/>
    </xf>
    <xf numFmtId="3" fontId="17" fillId="0" borderId="0" xfId="0" applyNumberFormat="1" applyFont="1" applyFill="1" applyBorder="1" applyAlignment="1">
      <alignment vertical="top"/>
    </xf>
    <xf numFmtId="0" fontId="100" fillId="0" borderId="0" xfId="0" applyFont="1" applyFill="1" applyAlignment="1">
      <alignment vertical="top"/>
    </xf>
    <xf numFmtId="3" fontId="74" fillId="0" borderId="0" xfId="0" applyNumberFormat="1" applyFont="1" applyFill="1" applyAlignment="1">
      <alignment/>
    </xf>
    <xf numFmtId="3" fontId="16" fillId="0" borderId="0" xfId="0" applyNumberFormat="1" applyFont="1" applyFill="1" applyBorder="1" applyAlignment="1">
      <alignment horizontal="right" vertical="center"/>
    </xf>
    <xf numFmtId="3" fontId="99" fillId="34" borderId="0" xfId="0" applyNumberFormat="1" applyFont="1" applyFill="1" applyBorder="1" applyAlignment="1">
      <alignment horizontal="right" vertical="center"/>
    </xf>
    <xf numFmtId="0" fontId="16" fillId="0" borderId="0" xfId="0" applyFont="1" applyFill="1" applyBorder="1" applyAlignment="1">
      <alignment/>
    </xf>
    <xf numFmtId="164" fontId="98" fillId="0" borderId="0" xfId="0" applyNumberFormat="1" applyFont="1" applyFill="1" applyBorder="1" applyAlignment="1">
      <alignment horizontal="right" vertical="center"/>
    </xf>
    <xf numFmtId="3" fontId="0" fillId="0" borderId="0" xfId="0" applyNumberFormat="1" applyFill="1" applyAlignment="1">
      <alignment/>
    </xf>
    <xf numFmtId="3" fontId="18" fillId="0" borderId="0" xfId="0" applyNumberFormat="1" applyFont="1" applyFill="1" applyBorder="1" applyAlignment="1">
      <alignment vertical="center"/>
    </xf>
    <xf numFmtId="3" fontId="18" fillId="0" borderId="0" xfId="0" applyNumberFormat="1" applyFont="1" applyFill="1" applyBorder="1" applyAlignment="1">
      <alignment horizontal="right"/>
    </xf>
    <xf numFmtId="3" fontId="15" fillId="35" borderId="0" xfId="0" applyNumberFormat="1" applyFont="1" applyFill="1" applyBorder="1" applyAlignment="1">
      <alignment horizontal="right"/>
    </xf>
    <xf numFmtId="3" fontId="15" fillId="0" borderId="0" xfId="0" applyNumberFormat="1" applyFont="1" applyFill="1" applyBorder="1" applyAlignment="1">
      <alignment/>
    </xf>
    <xf numFmtId="3" fontId="15" fillId="0" borderId="0" xfId="0" applyNumberFormat="1" applyFont="1" applyFill="1" applyAlignment="1">
      <alignment vertical="center"/>
    </xf>
    <xf numFmtId="3" fontId="18" fillId="0" borderId="0" xfId="0" applyNumberFormat="1" applyFont="1" applyFill="1" applyBorder="1" applyAlignment="1">
      <alignment/>
    </xf>
    <xf numFmtId="3" fontId="16" fillId="0" borderId="0" xfId="0" applyNumberFormat="1" applyFont="1" applyFill="1" applyBorder="1" applyAlignment="1">
      <alignment/>
    </xf>
    <xf numFmtId="3" fontId="101" fillId="0" borderId="0" xfId="0" applyNumberFormat="1" applyFont="1" applyFill="1" applyBorder="1" applyAlignment="1">
      <alignment/>
    </xf>
    <xf numFmtId="3" fontId="17" fillId="0" borderId="0" xfId="0" applyNumberFormat="1" applyFont="1" applyFill="1" applyBorder="1" applyAlignment="1">
      <alignment vertical="center"/>
    </xf>
    <xf numFmtId="3" fontId="102" fillId="0" borderId="0" xfId="0" applyNumberFormat="1" applyFont="1" applyFill="1" applyBorder="1" applyAlignment="1">
      <alignment vertical="center" wrapText="1"/>
    </xf>
    <xf numFmtId="3" fontId="102" fillId="0" borderId="0" xfId="0" applyNumberFormat="1" applyFont="1" applyFill="1" applyBorder="1" applyAlignment="1">
      <alignment horizontal="right" vertical="center" wrapText="1"/>
    </xf>
    <xf numFmtId="3" fontId="15" fillId="0" borderId="10" xfId="0" applyNumberFormat="1" applyFont="1" applyFill="1" applyBorder="1" applyAlignment="1">
      <alignment/>
    </xf>
    <xf numFmtId="0" fontId="95" fillId="0" borderId="0" xfId="0" applyFont="1" applyFill="1" applyBorder="1" applyAlignment="1">
      <alignment horizontal="left" vertical="center"/>
    </xf>
    <xf numFmtId="0" fontId="96" fillId="0" borderId="0" xfId="0" applyFont="1" applyFill="1" applyBorder="1" applyAlignment="1">
      <alignment/>
    </xf>
    <xf numFmtId="164" fontId="98" fillId="0" borderId="10" xfId="0" applyNumberFormat="1" applyFont="1" applyFill="1" applyBorder="1" applyAlignment="1">
      <alignment horizontal="right" vertical="center"/>
    </xf>
    <xf numFmtId="0" fontId="96" fillId="33" borderId="0" xfId="0" applyFont="1" applyFill="1" applyBorder="1" applyAlignment="1">
      <alignment horizontal="right"/>
    </xf>
    <xf numFmtId="0" fontId="15" fillId="0" borderId="0" xfId="0" applyFont="1" applyFill="1" applyBorder="1" applyAlignment="1">
      <alignment horizontal="right"/>
    </xf>
    <xf numFmtId="3" fontId="99" fillId="34" borderId="10" xfId="0" applyNumberFormat="1" applyFont="1" applyFill="1" applyBorder="1" applyAlignment="1">
      <alignment vertical="center"/>
    </xf>
    <xf numFmtId="0" fontId="96" fillId="0" borderId="0" xfId="0" applyFont="1" applyFill="1" applyBorder="1" applyAlignment="1">
      <alignment horizontal="right"/>
    </xf>
    <xf numFmtId="0" fontId="17" fillId="0" borderId="0" xfId="0" applyNumberFormat="1" applyFont="1" applyFill="1" applyBorder="1" applyAlignment="1">
      <alignment vertical="center"/>
    </xf>
    <xf numFmtId="0" fontId="19"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164" fontId="98" fillId="0" borderId="0" xfId="0" applyNumberFormat="1" applyFont="1" applyFill="1" applyBorder="1" applyAlignment="1">
      <alignment vertical="center"/>
    </xf>
    <xf numFmtId="3" fontId="15" fillId="0" borderId="0" xfId="0" applyNumberFormat="1" applyFont="1" applyFill="1" applyBorder="1" applyAlignment="1">
      <alignment/>
    </xf>
    <xf numFmtId="0" fontId="96" fillId="0" borderId="0" xfId="0" applyFont="1" applyFill="1" applyBorder="1" applyAlignment="1">
      <alignment/>
    </xf>
    <xf numFmtId="0" fontId="15" fillId="0" borderId="0" xfId="0" applyFont="1" applyFill="1" applyBorder="1" applyAlignment="1">
      <alignment/>
    </xf>
    <xf numFmtId="3" fontId="99" fillId="34" borderId="10" xfId="0" applyNumberFormat="1" applyFont="1" applyFill="1" applyBorder="1" applyAlignment="1">
      <alignment horizontal="right" vertical="center"/>
    </xf>
    <xf numFmtId="0" fontId="96" fillId="33" borderId="0" xfId="0" applyFont="1" applyFill="1" applyBorder="1" applyAlignment="1">
      <alignment/>
    </xf>
    <xf numFmtId="0" fontId="0" fillId="0" borderId="0" xfId="0" applyFill="1" applyAlignment="1">
      <alignment horizontal="right"/>
    </xf>
    <xf numFmtId="3" fontId="17" fillId="0" borderId="0" xfId="0" applyNumberFormat="1" applyFont="1" applyFill="1" applyBorder="1" applyAlignment="1">
      <alignment vertical="center" wrapText="1"/>
    </xf>
    <xf numFmtId="0" fontId="14" fillId="0" borderId="0" xfId="0" applyFont="1" applyFill="1" applyBorder="1" applyAlignment="1" quotePrefix="1">
      <alignment horizontal="left" vertical="center"/>
    </xf>
    <xf numFmtId="0" fontId="97" fillId="0" borderId="0" xfId="0" applyFont="1" applyFill="1" applyBorder="1" applyAlignment="1" quotePrefix="1">
      <alignment horizontal="left" vertical="center"/>
    </xf>
    <xf numFmtId="0" fontId="98" fillId="0" borderId="0" xfId="0" applyFont="1" applyFill="1" applyBorder="1" applyAlignment="1" quotePrefix="1">
      <alignment horizontal="right" vertical="center"/>
    </xf>
    <xf numFmtId="0" fontId="98" fillId="0" borderId="10" xfId="0" applyFont="1" applyFill="1" applyBorder="1" applyAlignment="1" quotePrefix="1">
      <alignment horizontal="right" vertical="center"/>
    </xf>
    <xf numFmtId="0" fontId="0" fillId="0" borderId="0" xfId="0" applyFill="1" applyAlignment="1" quotePrefix="1">
      <alignment/>
    </xf>
    <xf numFmtId="3" fontId="15" fillId="0" borderId="0" xfId="0" applyNumberFormat="1" applyFont="1" applyFill="1" applyBorder="1" applyAlignment="1" quotePrefix="1">
      <alignment vertical="center"/>
    </xf>
    <xf numFmtId="3" fontId="15" fillId="0" borderId="0" xfId="0" applyNumberFormat="1" applyFont="1" applyFill="1" applyBorder="1" applyAlignment="1" quotePrefix="1">
      <alignment horizontal="left" vertical="center" indent="1"/>
    </xf>
    <xf numFmtId="3" fontId="16" fillId="0" borderId="0" xfId="0" applyNumberFormat="1" applyFont="1" applyFill="1" applyBorder="1" applyAlignment="1" quotePrefix="1">
      <alignment vertical="center"/>
    </xf>
    <xf numFmtId="3" fontId="99" fillId="34" borderId="0" xfId="0" applyNumberFormat="1" applyFont="1" applyFill="1" applyBorder="1" applyAlignment="1" quotePrefix="1">
      <alignment vertical="center"/>
    </xf>
    <xf numFmtId="3" fontId="17" fillId="0" borderId="0" xfId="0" applyNumberFormat="1" applyFont="1" applyFill="1" applyBorder="1" applyAlignment="1" quotePrefix="1">
      <alignment vertical="center"/>
    </xf>
    <xf numFmtId="0" fontId="95" fillId="33" borderId="0" xfId="0" applyFont="1" applyFill="1" applyBorder="1" applyAlignment="1" quotePrefix="1">
      <alignment horizontal="left" vertical="center"/>
    </xf>
    <xf numFmtId="0" fontId="0" fillId="0" borderId="0" xfId="0" applyFill="1" applyBorder="1" applyAlignment="1">
      <alignment horizontal="right"/>
    </xf>
    <xf numFmtId="0" fontId="95" fillId="33" borderId="0" xfId="0" applyFont="1" applyFill="1" applyAlignment="1">
      <alignment horizontal="left" vertical="center"/>
    </xf>
    <xf numFmtId="0" fontId="96" fillId="33" borderId="0" xfId="59" applyFont="1" applyFill="1">
      <alignment/>
      <protection/>
    </xf>
    <xf numFmtId="0" fontId="20" fillId="0" borderId="0" xfId="59" applyFont="1">
      <alignment/>
      <protection/>
    </xf>
    <xf numFmtId="0" fontId="97" fillId="0" borderId="0" xfId="0" applyFont="1" applyFill="1" applyAlignment="1">
      <alignment horizontal="left"/>
    </xf>
    <xf numFmtId="0" fontId="15" fillId="0" borderId="0" xfId="59" applyFont="1" applyFill="1">
      <alignment/>
      <protection/>
    </xf>
    <xf numFmtId="164" fontId="16" fillId="0" borderId="0" xfId="60" applyNumberFormat="1" applyFont="1" applyFill="1" applyAlignment="1">
      <alignment horizontal="right" vertical="center"/>
      <protection/>
    </xf>
    <xf numFmtId="164" fontId="98" fillId="0" borderId="11" xfId="0" applyNumberFormat="1" applyFont="1" applyFill="1" applyBorder="1" applyAlignment="1">
      <alignment horizontal="right"/>
    </xf>
    <xf numFmtId="49" fontId="15" fillId="0" borderId="0" xfId="59" applyNumberFormat="1" applyFont="1" applyFill="1" applyBorder="1" applyAlignment="1">
      <alignment horizontal="right"/>
      <protection/>
    </xf>
    <xf numFmtId="49" fontId="15" fillId="0" borderId="12" xfId="59" applyNumberFormat="1" applyFont="1" applyFill="1" applyBorder="1" applyAlignment="1">
      <alignment horizontal="right"/>
      <protection/>
    </xf>
    <xf numFmtId="3" fontId="16" fillId="0" borderId="0" xfId="0" applyNumberFormat="1" applyFont="1" applyFill="1" applyAlignment="1">
      <alignment vertical="center"/>
    </xf>
    <xf numFmtId="165" fontId="16" fillId="0" borderId="0" xfId="0" applyNumberFormat="1" applyFont="1" applyFill="1" applyBorder="1" applyAlignment="1">
      <alignment vertical="center"/>
    </xf>
    <xf numFmtId="165" fontId="16" fillId="0" borderId="10" xfId="0" applyNumberFormat="1" applyFont="1" applyFill="1" applyBorder="1" applyAlignment="1">
      <alignment vertical="center"/>
    </xf>
    <xf numFmtId="165" fontId="16" fillId="0" borderId="0" xfId="0" applyNumberFormat="1" applyFont="1" applyFill="1" applyBorder="1" applyAlignment="1">
      <alignment horizontal="right" vertical="center"/>
    </xf>
    <xf numFmtId="3" fontId="0" fillId="0" borderId="0" xfId="0" applyNumberFormat="1" applyAlignment="1">
      <alignment/>
    </xf>
    <xf numFmtId="165" fontId="15" fillId="0" borderId="0" xfId="59" applyNumberFormat="1" applyFont="1" applyFill="1" applyBorder="1" applyAlignment="1">
      <alignment horizontal="right"/>
      <protection/>
    </xf>
    <xf numFmtId="165" fontId="15" fillId="0" borderId="10" xfId="59" applyNumberFormat="1" applyFont="1" applyFill="1" applyBorder="1" applyAlignment="1">
      <alignment horizontal="right"/>
      <protection/>
    </xf>
    <xf numFmtId="165" fontId="20" fillId="0" borderId="0" xfId="59" applyNumberFormat="1" applyFont="1">
      <alignment/>
      <protection/>
    </xf>
    <xf numFmtId="165" fontId="15" fillId="0" borderId="0" xfId="0" applyNumberFormat="1" applyFont="1" applyFill="1" applyBorder="1" applyAlignment="1">
      <alignment vertical="center"/>
    </xf>
    <xf numFmtId="165" fontId="15" fillId="0" borderId="10" xfId="0" applyNumberFormat="1" applyFont="1" applyFill="1" applyBorder="1" applyAlignment="1">
      <alignment vertical="center"/>
    </xf>
    <xf numFmtId="165" fontId="15" fillId="0" borderId="0" xfId="0" applyNumberFormat="1" applyFont="1" applyFill="1" applyBorder="1" applyAlignment="1">
      <alignment horizontal="right" vertical="center"/>
    </xf>
    <xf numFmtId="3" fontId="103" fillId="0" borderId="0" xfId="0" applyNumberFormat="1" applyFont="1" applyAlignment="1">
      <alignment/>
    </xf>
    <xf numFmtId="165" fontId="15" fillId="0" borderId="0" xfId="65" applyNumberFormat="1" applyFont="1" applyFill="1" applyBorder="1" applyAlignment="1">
      <alignment horizontal="right"/>
    </xf>
    <xf numFmtId="0" fontId="21" fillId="0" borderId="0" xfId="0" applyFont="1" applyFill="1" applyAlignment="1">
      <alignment horizontal="left"/>
    </xf>
    <xf numFmtId="0" fontId="20" fillId="0" borderId="0" xfId="59" applyFont="1" applyFill="1">
      <alignment/>
      <protection/>
    </xf>
    <xf numFmtId="0" fontId="104" fillId="33" borderId="0" xfId="60" applyFont="1" applyFill="1" applyAlignment="1">
      <alignment horizontal="left" vertical="center"/>
      <protection/>
    </xf>
    <xf numFmtId="0" fontId="6" fillId="0" borderId="0" xfId="59" applyFont="1">
      <alignment/>
      <protection/>
    </xf>
    <xf numFmtId="164" fontId="98" fillId="0" borderId="11" xfId="0" applyNumberFormat="1" applyFont="1" applyFill="1" applyBorder="1" applyAlignment="1">
      <alignment horizontal="right" vertical="center"/>
    </xf>
    <xf numFmtId="0" fontId="15" fillId="0" borderId="12" xfId="59" applyFont="1" applyFill="1" applyBorder="1">
      <alignment/>
      <protection/>
    </xf>
    <xf numFmtId="166" fontId="0" fillId="0" borderId="0" xfId="0" applyNumberFormat="1" applyAlignment="1">
      <alignment/>
    </xf>
    <xf numFmtId="167" fontId="0" fillId="0" borderId="0" xfId="0" applyNumberFormat="1" applyAlignment="1">
      <alignment/>
    </xf>
    <xf numFmtId="0" fontId="22" fillId="0" borderId="0" xfId="59" applyFont="1">
      <alignment/>
      <protection/>
    </xf>
    <xf numFmtId="167" fontId="6" fillId="0" borderId="0" xfId="59" applyNumberFormat="1" applyFont="1">
      <alignment/>
      <protection/>
    </xf>
    <xf numFmtId="165" fontId="15" fillId="0" borderId="0" xfId="0" applyNumberFormat="1" applyFont="1" applyFill="1" applyBorder="1" applyAlignment="1">
      <alignment/>
    </xf>
    <xf numFmtId="165" fontId="15" fillId="0" borderId="10" xfId="0" applyNumberFormat="1" applyFont="1" applyFill="1" applyBorder="1" applyAlignment="1">
      <alignment/>
    </xf>
    <xf numFmtId="0" fontId="17" fillId="0" borderId="0" xfId="0" applyFont="1" applyFill="1" applyAlignment="1">
      <alignment horizontal="left"/>
    </xf>
    <xf numFmtId="167" fontId="15" fillId="0" borderId="0" xfId="59" applyNumberFormat="1" applyFont="1" applyFill="1" applyBorder="1">
      <alignment/>
      <protection/>
    </xf>
    <xf numFmtId="0" fontId="96" fillId="33" borderId="0" xfId="59" applyFont="1" applyFill="1" applyBorder="1">
      <alignment/>
      <protection/>
    </xf>
    <xf numFmtId="167" fontId="96" fillId="33" borderId="0" xfId="59" applyNumberFormat="1" applyFont="1" applyFill="1" applyBorder="1">
      <alignment/>
      <protection/>
    </xf>
    <xf numFmtId="0" fontId="22" fillId="0" borderId="0" xfId="59" applyFont="1" applyFill="1">
      <alignment/>
      <protection/>
    </xf>
    <xf numFmtId="2" fontId="15" fillId="0" borderId="0" xfId="59" applyNumberFormat="1" applyFont="1" applyFill="1" applyBorder="1">
      <alignment/>
      <protection/>
    </xf>
    <xf numFmtId="1" fontId="16" fillId="0" borderId="0" xfId="0" applyNumberFormat="1" applyFont="1" applyFill="1" applyBorder="1" applyAlignment="1">
      <alignment vertical="center"/>
    </xf>
    <xf numFmtId="1" fontId="16" fillId="0" borderId="10" xfId="0" applyNumberFormat="1" applyFont="1" applyFill="1" applyBorder="1" applyAlignment="1">
      <alignment vertical="center"/>
    </xf>
    <xf numFmtId="168" fontId="0" fillId="0" borderId="0" xfId="0" applyNumberFormat="1" applyAlignment="1">
      <alignment/>
    </xf>
    <xf numFmtId="1" fontId="15" fillId="0" borderId="0" xfId="59" applyNumberFormat="1" applyFont="1" applyFill="1" applyBorder="1" applyAlignment="1">
      <alignment horizontal="right"/>
      <protection/>
    </xf>
    <xf numFmtId="1" fontId="15" fillId="0" borderId="10" xfId="59" applyNumberFormat="1" applyFont="1" applyFill="1" applyBorder="1" applyAlignment="1">
      <alignment horizontal="right"/>
      <protection/>
    </xf>
    <xf numFmtId="1" fontId="15" fillId="0" borderId="0" xfId="0" applyNumberFormat="1" applyFont="1" applyFill="1" applyBorder="1" applyAlignment="1">
      <alignment vertical="center"/>
    </xf>
    <xf numFmtId="1" fontId="15" fillId="0" borderId="10" xfId="0" applyNumberFormat="1" applyFont="1" applyFill="1" applyBorder="1" applyAlignment="1">
      <alignment vertical="center"/>
    </xf>
    <xf numFmtId="9" fontId="0" fillId="0" borderId="0" xfId="0" applyNumberFormat="1" applyAlignment="1">
      <alignment/>
    </xf>
    <xf numFmtId="1" fontId="15" fillId="0" borderId="0" xfId="0" applyNumberFormat="1" applyFont="1" applyFill="1" applyBorder="1" applyAlignment="1">
      <alignment/>
    </xf>
    <xf numFmtId="1" fontId="15" fillId="0" borderId="10" xfId="0" applyNumberFormat="1" applyFont="1" applyFill="1" applyBorder="1" applyAlignment="1">
      <alignment/>
    </xf>
    <xf numFmtId="0" fontId="15" fillId="0" borderId="0" xfId="59" applyFont="1" applyFill="1" applyBorder="1">
      <alignment/>
      <protection/>
    </xf>
    <xf numFmtId="2" fontId="16" fillId="0" borderId="0" xfId="0" applyNumberFormat="1" applyFont="1" applyFill="1" applyBorder="1" applyAlignment="1">
      <alignment vertical="center"/>
    </xf>
    <xf numFmtId="2" fontId="16" fillId="0" borderId="10" xfId="0" applyNumberFormat="1" applyFont="1" applyFill="1" applyBorder="1" applyAlignment="1">
      <alignment vertical="center"/>
    </xf>
    <xf numFmtId="2" fontId="15" fillId="0" borderId="0" xfId="59" applyNumberFormat="1" applyFont="1" applyFill="1" applyBorder="1" applyAlignment="1">
      <alignment horizontal="right"/>
      <protection/>
    </xf>
    <xf numFmtId="2" fontId="15" fillId="0" borderId="10" xfId="59" applyNumberFormat="1" applyFont="1" applyFill="1" applyBorder="1" applyAlignment="1">
      <alignment horizontal="right"/>
      <protection/>
    </xf>
    <xf numFmtId="2" fontId="15" fillId="0" borderId="0" xfId="0" applyNumberFormat="1" applyFont="1" applyFill="1" applyBorder="1" applyAlignment="1">
      <alignment vertical="center"/>
    </xf>
    <xf numFmtId="2" fontId="15" fillId="0" borderId="10" xfId="0" applyNumberFormat="1" applyFont="1" applyFill="1" applyBorder="1" applyAlignment="1">
      <alignment vertical="center"/>
    </xf>
    <xf numFmtId="2" fontId="15" fillId="0" borderId="0" xfId="0" applyNumberFormat="1" applyFont="1" applyFill="1" applyBorder="1" applyAlignment="1">
      <alignment/>
    </xf>
    <xf numFmtId="2" fontId="15" fillId="0" borderId="10" xfId="0" applyNumberFormat="1" applyFont="1" applyFill="1" applyBorder="1" applyAlignment="1">
      <alignment/>
    </xf>
    <xf numFmtId="0" fontId="6" fillId="0" borderId="0" xfId="59" applyFont="1" applyFill="1">
      <alignment/>
      <protection/>
    </xf>
    <xf numFmtId="0" fontId="23" fillId="0" borderId="0" xfId="59" applyFont="1">
      <alignment/>
      <protection/>
    </xf>
    <xf numFmtId="3" fontId="96" fillId="33" borderId="0" xfId="0" applyNumberFormat="1" applyFont="1" applyFill="1" applyBorder="1" applyAlignment="1">
      <alignment/>
    </xf>
    <xf numFmtId="0" fontId="96" fillId="33" borderId="0" xfId="0" applyFont="1" applyFill="1" applyAlignment="1">
      <alignment/>
    </xf>
    <xf numFmtId="0" fontId="16" fillId="0" borderId="0" xfId="59" applyFont="1" applyFill="1" applyBorder="1" applyAlignment="1">
      <alignment horizontal="center" vertical="center"/>
      <protection/>
    </xf>
    <xf numFmtId="3" fontId="15" fillId="0" borderId="0" xfId="0" applyNumberFormat="1" applyFont="1" applyFill="1" applyAlignment="1">
      <alignment horizontal="left" vertical="center" indent="1"/>
    </xf>
    <xf numFmtId="0" fontId="15" fillId="0" borderId="0" xfId="0" applyFont="1" applyFill="1" applyAlignment="1">
      <alignment/>
    </xf>
    <xf numFmtId="3" fontId="101" fillId="0" borderId="0" xfId="0" applyNumberFormat="1" applyFont="1" applyFill="1" applyAlignment="1">
      <alignment/>
    </xf>
    <xf numFmtId="3" fontId="20" fillId="0" borderId="0" xfId="59" applyNumberFormat="1" applyFont="1" applyFill="1">
      <alignment/>
      <protection/>
    </xf>
    <xf numFmtId="0" fontId="0" fillId="36" borderId="0" xfId="0" applyFill="1" applyAlignment="1">
      <alignment/>
    </xf>
    <xf numFmtId="0" fontId="97" fillId="0" borderId="0" xfId="0" applyFont="1" applyFill="1" applyAlignment="1">
      <alignment horizontal="left" vertical="center"/>
    </xf>
    <xf numFmtId="0" fontId="15" fillId="0" borderId="0" xfId="59" applyFont="1">
      <alignment/>
      <protection/>
    </xf>
    <xf numFmtId="0" fontId="9" fillId="0" borderId="0" xfId="60" applyFont="1" applyFill="1" applyAlignment="1">
      <alignment horizontal="left" vertical="center"/>
      <protection/>
    </xf>
    <xf numFmtId="0" fontId="105" fillId="0" borderId="0" xfId="59" applyFont="1" applyFill="1">
      <alignment/>
      <protection/>
    </xf>
    <xf numFmtId="3" fontId="105" fillId="0" borderId="0" xfId="0" applyNumberFormat="1" applyFont="1" applyFill="1" applyAlignment="1">
      <alignment/>
    </xf>
    <xf numFmtId="164" fontId="98" fillId="0" borderId="0" xfId="0" applyNumberFormat="1" applyFont="1" applyFill="1" applyBorder="1" applyAlignment="1">
      <alignment horizontal="center" vertical="center"/>
    </xf>
    <xf numFmtId="1" fontId="98" fillId="0" borderId="0" xfId="0" applyNumberFormat="1" applyFont="1" applyFill="1" applyBorder="1" applyAlignment="1">
      <alignment vertical="center"/>
    </xf>
    <xf numFmtId="164" fontId="98" fillId="0" borderId="11" xfId="0" applyNumberFormat="1" applyFont="1" applyFill="1" applyBorder="1" applyAlignment="1">
      <alignment horizontal="center" vertical="center"/>
    </xf>
    <xf numFmtId="0" fontId="105" fillId="0" borderId="11" xfId="59" applyFont="1" applyFill="1" applyBorder="1">
      <alignment/>
      <protection/>
    </xf>
    <xf numFmtId="3" fontId="105" fillId="0" borderId="11" xfId="0" applyNumberFormat="1" applyFont="1" applyFill="1" applyBorder="1" applyAlignment="1">
      <alignment/>
    </xf>
    <xf numFmtId="164" fontId="98" fillId="0" borderId="11" xfId="0" applyNumberFormat="1" applyFont="1" applyFill="1" applyBorder="1" applyAlignment="1" quotePrefix="1">
      <alignment horizontal="center" vertical="center"/>
    </xf>
    <xf numFmtId="168" fontId="15" fillId="0" borderId="0" xfId="0" applyNumberFormat="1" applyFont="1" applyFill="1" applyBorder="1" applyAlignment="1">
      <alignment/>
    </xf>
    <xf numFmtId="167" fontId="15" fillId="0" borderId="0" xfId="63" applyNumberFormat="1" applyFont="1" applyFill="1" applyBorder="1" applyAlignment="1">
      <alignment/>
    </xf>
    <xf numFmtId="9" fontId="15" fillId="0" borderId="0" xfId="63" applyFont="1" applyFill="1" applyBorder="1" applyAlignment="1">
      <alignment/>
    </xf>
    <xf numFmtId="165" fontId="15" fillId="0" borderId="0" xfId="65" applyNumberFormat="1" applyFont="1" applyFill="1" applyAlignment="1">
      <alignment horizontal="right"/>
    </xf>
    <xf numFmtId="9" fontId="15" fillId="0" borderId="0" xfId="63" applyNumberFormat="1" applyFont="1" applyFill="1" applyAlignment="1">
      <alignment horizontal="right"/>
    </xf>
    <xf numFmtId="0" fontId="106" fillId="33" borderId="0" xfId="60" applyFont="1" applyFill="1" applyBorder="1" applyAlignment="1">
      <alignment horizontal="left" vertical="center"/>
      <protection/>
    </xf>
    <xf numFmtId="0" fontId="6" fillId="0" borderId="0" xfId="54">
      <alignment/>
      <protection/>
    </xf>
    <xf numFmtId="0" fontId="97" fillId="0" borderId="0" xfId="54" applyFont="1" applyFill="1" applyBorder="1" applyAlignment="1">
      <alignment horizontal="left" vertical="center"/>
      <protection/>
    </xf>
    <xf numFmtId="0" fontId="9" fillId="0" borderId="0" xfId="60" applyFont="1" applyFill="1" applyBorder="1" applyAlignment="1">
      <alignment horizontal="left" vertical="center"/>
      <protection/>
    </xf>
    <xf numFmtId="0" fontId="15" fillId="0" borderId="0" xfId="54" applyFont="1" applyFill="1" applyBorder="1">
      <alignment/>
      <protection/>
    </xf>
    <xf numFmtId="0" fontId="98" fillId="0" borderId="11" xfId="54" applyFont="1" applyFill="1" applyBorder="1" applyAlignment="1">
      <alignment horizontal="right" vertical="center"/>
      <protection/>
    </xf>
    <xf numFmtId="0" fontId="15" fillId="0" borderId="0" xfId="57" applyFont="1" applyFill="1" applyBorder="1" applyAlignment="1">
      <alignment vertical="center"/>
      <protection/>
    </xf>
    <xf numFmtId="10" fontId="15" fillId="0" borderId="0" xfId="66" applyNumberFormat="1" applyFont="1" applyFill="1" applyBorder="1" applyAlignment="1">
      <alignment vertical="center"/>
    </xf>
    <xf numFmtId="10" fontId="6" fillId="0" borderId="0" xfId="54" applyNumberFormat="1">
      <alignment/>
      <protection/>
    </xf>
    <xf numFmtId="3" fontId="16" fillId="0" borderId="0" xfId="54" applyNumberFormat="1" applyFont="1" applyFill="1" applyBorder="1" applyAlignment="1">
      <alignment vertical="center"/>
      <protection/>
    </xf>
    <xf numFmtId="10" fontId="16" fillId="0" borderId="0" xfId="54" applyNumberFormat="1" applyFont="1" applyFill="1" applyBorder="1" applyAlignment="1">
      <alignment vertical="center"/>
      <protection/>
    </xf>
    <xf numFmtId="10" fontId="15" fillId="0" borderId="0" xfId="59" applyNumberFormat="1" applyFont="1" applyFill="1" applyBorder="1" applyAlignment="1">
      <alignment horizontal="right"/>
      <protection/>
    </xf>
    <xf numFmtId="10" fontId="16" fillId="0" borderId="0" xfId="59" applyNumberFormat="1" applyFont="1" applyFill="1" applyBorder="1" applyAlignment="1">
      <alignment horizontal="right"/>
      <protection/>
    </xf>
    <xf numFmtId="10" fontId="15" fillId="0" borderId="0" xfId="54" applyNumberFormat="1" applyFont="1" applyFill="1" applyBorder="1" applyAlignment="1">
      <alignment vertical="center"/>
      <protection/>
    </xf>
    <xf numFmtId="10" fontId="16" fillId="0" borderId="0" xfId="66" applyNumberFormat="1" applyFont="1" applyFill="1" applyBorder="1" applyAlignment="1">
      <alignment vertical="center"/>
    </xf>
    <xf numFmtId="3" fontId="21" fillId="0" borderId="0" xfId="54" applyNumberFormat="1" applyFont="1" applyFill="1" applyBorder="1" applyAlignment="1">
      <alignment vertical="center"/>
      <protection/>
    </xf>
    <xf numFmtId="0" fontId="15" fillId="0" borderId="0" xfId="0" applyFont="1" applyAlignment="1">
      <alignment/>
    </xf>
    <xf numFmtId="0" fontId="24" fillId="0" borderId="0" xfId="0" applyNumberFormat="1" applyFont="1" applyFill="1" applyBorder="1" applyAlignment="1">
      <alignment horizontal="left" vertical="center"/>
    </xf>
    <xf numFmtId="0" fontId="15" fillId="0" borderId="0" xfId="0" applyFont="1" applyFill="1" applyAlignment="1">
      <alignment horizontal="right" vertical="center"/>
    </xf>
    <xf numFmtId="169" fontId="98" fillId="0" borderId="11" xfId="0" applyNumberFormat="1" applyFont="1" applyFill="1" applyBorder="1" applyAlignment="1">
      <alignment horizontal="right" vertical="center"/>
    </xf>
    <xf numFmtId="0" fontId="107" fillId="0" borderId="0" xfId="0" applyFont="1" applyAlignment="1">
      <alignment horizontal="center"/>
    </xf>
    <xf numFmtId="3" fontId="16" fillId="0" borderId="0" xfId="0" applyNumberFormat="1" applyFont="1" applyFill="1" applyBorder="1" applyAlignment="1">
      <alignment horizontal="right"/>
    </xf>
    <xf numFmtId="170" fontId="107" fillId="0" borderId="0" xfId="49" applyNumberFormat="1" applyFont="1" applyAlignment="1">
      <alignment/>
    </xf>
    <xf numFmtId="43" fontId="0" fillId="0" borderId="0" xfId="49" applyFont="1" applyAlignment="1">
      <alignment/>
    </xf>
    <xf numFmtId="3" fontId="15" fillId="0" borderId="0" xfId="0" applyNumberFormat="1" applyFont="1" applyFill="1" applyAlignment="1">
      <alignment horizontal="left" vertical="center" indent="2"/>
    </xf>
    <xf numFmtId="166" fontId="101" fillId="0" borderId="0" xfId="0" applyNumberFormat="1" applyFont="1" applyFill="1" applyBorder="1" applyAlignment="1">
      <alignment/>
    </xf>
    <xf numFmtId="0" fontId="6" fillId="0" borderId="0" xfId="0" applyFont="1" applyFill="1" applyAlignment="1">
      <alignment/>
    </xf>
    <xf numFmtId="0" fontId="95" fillId="33" borderId="0" xfId="57" applyFont="1" applyFill="1" applyAlignment="1">
      <alignment horizontal="left" vertical="center"/>
      <protection/>
    </xf>
    <xf numFmtId="0" fontId="108" fillId="33" borderId="0" xfId="57" applyFont="1" applyFill="1">
      <alignment/>
      <protection/>
    </xf>
    <xf numFmtId="0" fontId="0" fillId="0" borderId="0" xfId="57" applyAlignment="1">
      <alignment horizontal="right"/>
      <protection/>
    </xf>
    <xf numFmtId="0" fontId="0" fillId="0" borderId="0" xfId="57">
      <alignment/>
      <protection/>
    </xf>
    <xf numFmtId="0" fontId="25" fillId="0" borderId="0" xfId="57" applyFont="1" applyFill="1">
      <alignment/>
      <protection/>
    </xf>
    <xf numFmtId="0" fontId="97" fillId="36" borderId="0" xfId="0" applyFont="1" applyFill="1" applyBorder="1" applyAlignment="1">
      <alignment horizontal="left" vertical="center"/>
    </xf>
    <xf numFmtId="0" fontId="97" fillId="0" borderId="0" xfId="57" applyFont="1" applyFill="1" applyAlignment="1">
      <alignment horizontal="left" vertical="center"/>
      <protection/>
    </xf>
    <xf numFmtId="0" fontId="15" fillId="0" borderId="0" xfId="57" applyFont="1" applyFill="1" applyAlignment="1">
      <alignment vertical="center"/>
      <protection/>
    </xf>
    <xf numFmtId="164" fontId="15" fillId="0" borderId="0" xfId="57" applyNumberFormat="1" applyFont="1" applyFill="1" applyBorder="1" applyAlignment="1">
      <alignment horizontal="right" vertical="center"/>
      <protection/>
    </xf>
    <xf numFmtId="3" fontId="15" fillId="0" borderId="0" xfId="57" applyNumberFormat="1" applyFont="1" applyFill="1" applyAlignment="1">
      <alignment vertical="center"/>
      <protection/>
    </xf>
    <xf numFmtId="3" fontId="15" fillId="0" borderId="0" xfId="57" applyNumberFormat="1" applyFont="1" applyFill="1" applyBorder="1" applyAlignment="1">
      <alignment horizontal="right"/>
      <protection/>
    </xf>
    <xf numFmtId="3" fontId="16" fillId="0" borderId="0" xfId="57" applyNumberFormat="1" applyFont="1" applyFill="1" applyAlignment="1">
      <alignment vertical="center"/>
      <protection/>
    </xf>
    <xf numFmtId="3" fontId="16" fillId="0" borderId="0" xfId="57" applyNumberFormat="1" applyFont="1" applyFill="1" applyBorder="1" applyAlignment="1">
      <alignment horizontal="right"/>
      <protection/>
    </xf>
    <xf numFmtId="166" fontId="109" fillId="0" borderId="0" xfId="57" applyNumberFormat="1" applyFont="1" applyFill="1">
      <alignment/>
      <protection/>
    </xf>
    <xf numFmtId="166" fontId="25" fillId="0" borderId="0" xfId="57" applyNumberFormat="1" applyFont="1" applyFill="1">
      <alignment/>
      <protection/>
    </xf>
    <xf numFmtId="3" fontId="25" fillId="0" borderId="0" xfId="57" applyNumberFormat="1" applyFont="1" applyFill="1">
      <alignment/>
      <protection/>
    </xf>
    <xf numFmtId="3" fontId="16" fillId="0" borderId="0" xfId="57" applyNumberFormat="1" applyFont="1" applyFill="1" applyBorder="1" applyAlignment="1">
      <alignment vertical="center"/>
      <protection/>
    </xf>
    <xf numFmtId="166" fontId="25" fillId="0" borderId="0" xfId="57" applyNumberFormat="1" applyFont="1" applyFill="1" applyBorder="1">
      <alignment/>
      <protection/>
    </xf>
    <xf numFmtId="3" fontId="25" fillId="0" borderId="0" xfId="57" applyNumberFormat="1" applyFont="1" applyFill="1" applyBorder="1">
      <alignment/>
      <protection/>
    </xf>
    <xf numFmtId="0" fontId="0" fillId="0" borderId="0" xfId="57" applyFill="1" applyBorder="1">
      <alignment/>
      <protection/>
    </xf>
    <xf numFmtId="3" fontId="17" fillId="0" borderId="0" xfId="57" applyNumberFormat="1" applyFont="1" applyFill="1" applyAlignment="1">
      <alignment vertical="center"/>
      <protection/>
    </xf>
    <xf numFmtId="0" fontId="0" fillId="0" borderId="0" xfId="57" applyFill="1">
      <alignment/>
      <protection/>
    </xf>
    <xf numFmtId="0" fontId="17" fillId="0" borderId="0" xfId="57" applyFont="1" applyFill="1" applyAlignment="1">
      <alignment horizontal="left"/>
      <protection/>
    </xf>
    <xf numFmtId="0" fontId="110" fillId="0" borderId="0" xfId="57" applyFont="1">
      <alignment/>
      <protection/>
    </xf>
    <xf numFmtId="10" fontId="25" fillId="0" borderId="0" xfId="63" applyNumberFormat="1" applyFont="1" applyFill="1" applyAlignment="1">
      <alignment/>
    </xf>
    <xf numFmtId="0" fontId="25" fillId="0" borderId="0" xfId="57" applyFont="1" applyFill="1" applyAlignment="1">
      <alignment wrapText="1"/>
      <protection/>
    </xf>
    <xf numFmtId="0" fontId="27" fillId="0" borderId="0" xfId="61" applyFont="1" applyFill="1" applyProtection="1">
      <alignment/>
      <protection hidden="1" locked="0"/>
    </xf>
    <xf numFmtId="0" fontId="27" fillId="0" borderId="0" xfId="61" applyFont="1" applyFill="1" applyBorder="1" applyAlignment="1" applyProtection="1">
      <alignment horizontal="left"/>
      <protection hidden="1" locked="0"/>
    </xf>
    <xf numFmtId="0" fontId="27" fillId="0" borderId="11" xfId="61" applyFont="1" applyFill="1" applyBorder="1" applyAlignment="1" applyProtection="1">
      <alignment horizontal="left"/>
      <protection hidden="1" locked="0"/>
    </xf>
    <xf numFmtId="0" fontId="111" fillId="0" borderId="0" xfId="0" applyFont="1" applyAlignment="1">
      <alignment/>
    </xf>
    <xf numFmtId="0" fontId="112" fillId="0" borderId="0" xfId="61" applyFont="1" applyFill="1" applyBorder="1" applyAlignment="1" applyProtection="1">
      <alignment horizontal="left"/>
      <protection hidden="1" locked="0"/>
    </xf>
    <xf numFmtId="0" fontId="112" fillId="0" borderId="0" xfId="0" applyFont="1" applyAlignment="1">
      <alignment/>
    </xf>
    <xf numFmtId="3" fontId="17" fillId="0" borderId="0" xfId="0" applyNumberFormat="1" applyFont="1" applyFill="1" applyAlignment="1">
      <alignment vertical="center"/>
    </xf>
    <xf numFmtId="3" fontId="6" fillId="0" borderId="0" xfId="56" applyFill="1" quotePrefix="1">
      <alignment/>
      <protection/>
    </xf>
    <xf numFmtId="0" fontId="0" fillId="0" borderId="0" xfId="0" applyAlignment="1" quotePrefix="1">
      <alignment/>
    </xf>
    <xf numFmtId="0" fontId="113" fillId="0" borderId="11" xfId="0" applyFont="1" applyFill="1" applyBorder="1" applyAlignment="1">
      <alignment vertical="center"/>
    </xf>
    <xf numFmtId="164" fontId="98" fillId="0" borderId="0" xfId="0" applyNumberFormat="1" applyFont="1" applyFill="1" applyBorder="1" applyAlignment="1">
      <alignment horizontal="left" vertical="center"/>
    </xf>
    <xf numFmtId="0" fontId="94" fillId="37" borderId="0" xfId="0" applyFont="1" applyFill="1" applyAlignment="1">
      <alignment/>
    </xf>
    <xf numFmtId="166" fontId="74" fillId="0" borderId="0" xfId="0" applyNumberFormat="1" applyFont="1" applyFill="1" applyAlignment="1">
      <alignment/>
    </xf>
    <xf numFmtId="3" fontId="16" fillId="0" borderId="0" xfId="0" applyNumberFormat="1" applyFont="1" applyFill="1" applyBorder="1" applyAlignment="1" quotePrefix="1">
      <alignment horizontal="right" vertical="center"/>
    </xf>
    <xf numFmtId="165" fontId="15" fillId="0" borderId="0" xfId="0" applyNumberFormat="1" applyFont="1" applyFill="1" applyBorder="1" applyAlignment="1">
      <alignment horizontal="right"/>
    </xf>
    <xf numFmtId="1" fontId="16"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xf>
    <xf numFmtId="2" fontId="16"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xf>
    <xf numFmtId="0" fontId="15" fillId="0" borderId="0" xfId="59" applyFont="1" applyFill="1" applyAlignment="1">
      <alignment horizontal="right"/>
      <protection/>
    </xf>
    <xf numFmtId="0" fontId="95" fillId="33" borderId="0" xfId="0" applyFont="1" applyFill="1" applyAlignment="1" quotePrefix="1">
      <alignment horizontal="left" vertical="center"/>
    </xf>
    <xf numFmtId="3" fontId="16" fillId="0" borderId="0" xfId="0" applyNumberFormat="1" applyFont="1" applyFill="1" applyAlignment="1" quotePrefix="1">
      <alignment vertical="center"/>
    </xf>
    <xf numFmtId="3" fontId="15" fillId="0" borderId="0" xfId="0" applyNumberFormat="1" applyFont="1" applyFill="1" applyBorder="1" applyAlignment="1" quotePrefix="1">
      <alignment horizontal="right"/>
    </xf>
    <xf numFmtId="3" fontId="15" fillId="0" borderId="0" xfId="0" applyNumberFormat="1" applyFont="1" applyFill="1" applyAlignment="1" quotePrefix="1">
      <alignment horizontal="left" vertical="center" indent="1"/>
    </xf>
    <xf numFmtId="3" fontId="17" fillId="0" borderId="0" xfId="0" applyNumberFormat="1" applyFont="1" applyFill="1" applyAlignment="1" quotePrefix="1">
      <alignment vertical="center"/>
    </xf>
    <xf numFmtId="0" fontId="96" fillId="33" borderId="0" xfId="54" applyFont="1" applyFill="1" applyBorder="1">
      <alignment/>
      <protection/>
    </xf>
    <xf numFmtId="3" fontId="17" fillId="0" borderId="0" xfId="54" applyNumberFormat="1" applyFont="1" applyFill="1" applyBorder="1" applyAlignment="1">
      <alignment vertical="center"/>
      <protection/>
    </xf>
    <xf numFmtId="3" fontId="16" fillId="0" borderId="0" xfId="57" applyNumberFormat="1" applyFont="1" applyFill="1" applyAlignment="1">
      <alignment horizontal="right" vertical="center"/>
      <protection/>
    </xf>
    <xf numFmtId="3" fontId="25" fillId="0" borderId="0" xfId="57" applyNumberFormat="1" applyFont="1" applyFill="1" applyAlignment="1">
      <alignment horizontal="right"/>
      <protection/>
    </xf>
    <xf numFmtId="0" fontId="95" fillId="33" borderId="0" xfId="57" applyFont="1" applyFill="1" applyAlignment="1" quotePrefix="1">
      <alignment horizontal="left" vertical="center"/>
      <protection/>
    </xf>
    <xf numFmtId="3" fontId="16" fillId="0" borderId="0" xfId="57" applyNumberFormat="1" applyFont="1" applyFill="1" applyAlignment="1" quotePrefix="1">
      <alignment vertical="center"/>
      <protection/>
    </xf>
    <xf numFmtId="3" fontId="15" fillId="0" borderId="0" xfId="57" applyNumberFormat="1" applyFont="1" applyFill="1" applyAlignment="1" quotePrefix="1">
      <alignment vertical="center"/>
      <protection/>
    </xf>
    <xf numFmtId="3" fontId="15" fillId="0" borderId="0" xfId="57" applyNumberFormat="1" applyFont="1" applyFill="1" applyAlignment="1" quotePrefix="1">
      <alignment horizontal="left" vertical="center" indent="2"/>
      <protection/>
    </xf>
    <xf numFmtId="3" fontId="15" fillId="0" borderId="0" xfId="57" applyNumberFormat="1" applyFont="1" applyFill="1" applyAlignment="1">
      <alignment horizontal="left" vertical="center" indent="2"/>
      <protection/>
    </xf>
    <xf numFmtId="3" fontId="15" fillId="0" borderId="0" xfId="57" applyNumberFormat="1" applyFont="1" applyFill="1" applyBorder="1" applyAlignment="1" quotePrefix="1">
      <alignment horizontal="right"/>
      <protection/>
    </xf>
    <xf numFmtId="166" fontId="101" fillId="0" borderId="0" xfId="57" applyNumberFormat="1" applyFont="1" applyFill="1" applyBorder="1" applyAlignment="1">
      <alignment horizontal="right"/>
      <protection/>
    </xf>
    <xf numFmtId="0" fontId="29" fillId="0" borderId="0" xfId="0" applyFont="1" applyFill="1" applyAlignment="1">
      <alignment/>
    </xf>
    <xf numFmtId="2" fontId="0" fillId="0" borderId="0" xfId="0" applyNumberFormat="1" applyFill="1" applyAlignment="1">
      <alignment/>
    </xf>
    <xf numFmtId="3" fontId="0" fillId="0" borderId="0" xfId="57" applyNumberFormat="1">
      <alignment/>
      <protection/>
    </xf>
    <xf numFmtId="3" fontId="17" fillId="0" borderId="0" xfId="0" applyNumberFormat="1" applyFont="1" applyFill="1" applyBorder="1" applyAlignment="1">
      <alignment horizontal="left" vertical="top" wrapText="1"/>
    </xf>
    <xf numFmtId="3" fontId="99" fillId="0" borderId="0" xfId="0" applyNumberFormat="1" applyFont="1" applyFill="1" applyBorder="1" applyAlignment="1">
      <alignment horizontal="right" vertical="center"/>
    </xf>
    <xf numFmtId="166" fontId="70" fillId="0" borderId="0" xfId="0" applyNumberFormat="1" applyFont="1" applyFill="1" applyAlignment="1">
      <alignment/>
    </xf>
    <xf numFmtId="165" fontId="15" fillId="0" borderId="0" xfId="59" applyNumberFormat="1" applyFont="1" applyFill="1">
      <alignment/>
      <protection/>
    </xf>
    <xf numFmtId="165" fontId="20" fillId="0" borderId="0" xfId="59" applyNumberFormat="1" applyFont="1" applyFill="1">
      <alignment/>
      <protection/>
    </xf>
    <xf numFmtId="0" fontId="0" fillId="0" borderId="0" xfId="57" applyFont="1" applyAlignment="1">
      <alignment horizontal="right"/>
      <protection/>
    </xf>
    <xf numFmtId="168" fontId="15" fillId="0" borderId="0" xfId="0" applyNumberFormat="1" applyFont="1" applyFill="1" applyBorder="1" applyAlignment="1">
      <alignment horizontal="right"/>
    </xf>
    <xf numFmtId="3" fontId="99" fillId="36" borderId="0" xfId="0" applyNumberFormat="1" applyFont="1" applyFill="1" applyBorder="1" applyAlignment="1">
      <alignment vertical="center"/>
    </xf>
    <xf numFmtId="3" fontId="17" fillId="36" borderId="0" xfId="0" applyNumberFormat="1" applyFont="1" applyFill="1" applyBorder="1" applyAlignment="1">
      <alignment vertical="top"/>
    </xf>
    <xf numFmtId="3" fontId="102" fillId="36" borderId="0" xfId="0" applyNumberFormat="1" applyFont="1" applyFill="1" applyBorder="1" applyAlignment="1">
      <alignment vertical="center" wrapText="1"/>
    </xf>
    <xf numFmtId="3" fontId="17" fillId="36" borderId="0" xfId="0" applyNumberFormat="1" applyFont="1" applyFill="1" applyBorder="1" applyAlignment="1">
      <alignment vertical="center"/>
    </xf>
    <xf numFmtId="3" fontId="16" fillId="0" borderId="10" xfId="0" applyNumberFormat="1" applyFont="1" applyFill="1" applyBorder="1" applyAlignment="1">
      <alignment horizontal="right" vertical="center"/>
    </xf>
    <xf numFmtId="3" fontId="99" fillId="0" borderId="10" xfId="0" applyNumberFormat="1" applyFont="1" applyFill="1" applyBorder="1" applyAlignment="1">
      <alignment horizontal="right" vertical="center"/>
    </xf>
    <xf numFmtId="49" fontId="17" fillId="0" borderId="0" xfId="0" applyNumberFormat="1" applyFont="1" applyFill="1" applyAlignment="1">
      <alignment vertical="top"/>
    </xf>
    <xf numFmtId="4" fontId="15" fillId="0" borderId="0" xfId="0" applyNumberFormat="1" applyFont="1" applyFill="1" applyBorder="1" applyAlignment="1">
      <alignment/>
    </xf>
    <xf numFmtId="3" fontId="99" fillId="0" borderId="0" xfId="0" applyNumberFormat="1" applyFont="1" applyFill="1" applyBorder="1" applyAlignment="1" quotePrefix="1">
      <alignment vertical="center"/>
    </xf>
    <xf numFmtId="172" fontId="15" fillId="0" borderId="0" xfId="63" applyNumberFormat="1" applyFont="1" applyFill="1" applyBorder="1" applyAlignment="1">
      <alignment/>
    </xf>
    <xf numFmtId="10" fontId="15" fillId="0" borderId="0" xfId="54" applyNumberFormat="1" applyFont="1" applyFill="1" applyBorder="1">
      <alignment/>
      <protection/>
    </xf>
    <xf numFmtId="10" fontId="0" fillId="0" borderId="0" xfId="63" applyNumberFormat="1" applyFont="1" applyFill="1" applyAlignment="1">
      <alignment/>
    </xf>
    <xf numFmtId="3" fontId="114" fillId="0" borderId="0" xfId="0" applyNumberFormat="1" applyFont="1" applyFill="1" applyAlignment="1">
      <alignment vertical="top"/>
    </xf>
    <xf numFmtId="3" fontId="15" fillId="0" borderId="13" xfId="0" applyNumberFormat="1" applyFont="1" applyFill="1" applyBorder="1" applyAlignment="1">
      <alignment horizontal="right"/>
    </xf>
    <xf numFmtId="167" fontId="0" fillId="0" borderId="0" xfId="63" applyNumberFormat="1" applyFont="1" applyAlignment="1">
      <alignment/>
    </xf>
    <xf numFmtId="10" fontId="0" fillId="0" borderId="0" xfId="64" applyNumberFormat="1" applyFont="1" applyAlignment="1">
      <alignment/>
    </xf>
    <xf numFmtId="0" fontId="0" fillId="0" borderId="0" xfId="57" applyFont="1" applyAlignment="1">
      <alignment horizontal="right"/>
      <protection/>
    </xf>
    <xf numFmtId="0" fontId="0" fillId="0" borderId="0" xfId="57" applyFont="1">
      <alignment/>
      <protection/>
    </xf>
    <xf numFmtId="3" fontId="17" fillId="0" borderId="0" xfId="0" applyNumberFormat="1" applyFont="1" applyFill="1" applyBorder="1" applyAlignment="1">
      <alignment horizontal="left" vertical="top" wrapText="1"/>
    </xf>
    <xf numFmtId="0" fontId="98" fillId="0" borderId="0" xfId="0" applyFont="1" applyFill="1" applyBorder="1" applyAlignment="1">
      <alignment horizontal="center" wrapText="1"/>
    </xf>
    <xf numFmtId="0" fontId="98" fillId="0" borderId="10" xfId="0" applyFont="1" applyFill="1" applyBorder="1" applyAlignment="1">
      <alignment horizontal="center" wrapText="1"/>
    </xf>
    <xf numFmtId="0" fontId="98" fillId="0" borderId="13" xfId="0" applyFont="1" applyFill="1" applyBorder="1" applyAlignment="1">
      <alignment horizontal="center" wrapText="1"/>
    </xf>
    <xf numFmtId="0" fontId="113" fillId="0" borderId="11" xfId="0" applyFont="1" applyFill="1" applyBorder="1" applyAlignment="1">
      <alignment horizontal="center" vertical="center"/>
    </xf>
    <xf numFmtId="0" fontId="98" fillId="0" borderId="0" xfId="54" applyFont="1" applyFill="1" applyBorder="1" applyAlignment="1">
      <alignment horizontal="center" wrapText="1"/>
      <protection/>
    </xf>
    <xf numFmtId="0" fontId="115" fillId="0" borderId="0" xfId="54" applyFont="1" applyFill="1" applyBorder="1" applyAlignment="1">
      <alignment horizontal="center"/>
      <protection/>
    </xf>
    <xf numFmtId="0" fontId="98" fillId="0" borderId="0" xfId="0" applyFont="1" applyFill="1" applyBorder="1" applyAlignment="1">
      <alignment horizontal="center" vertical="center"/>
    </xf>
    <xf numFmtId="0" fontId="98" fillId="0" borderId="0" xfId="57" applyFont="1" applyFill="1" applyAlignment="1">
      <alignment horizontal="center" vertical="center" wrapText="1"/>
      <protection/>
    </xf>
    <xf numFmtId="0" fontId="98" fillId="0" borderId="0" xfId="57" applyFont="1" applyFill="1" applyAlignment="1" quotePrefix="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93" xfId="54"/>
    <cellStyle name="Normal 2" xfId="55"/>
    <cellStyle name="Normal 2 3" xfId="56"/>
    <cellStyle name="Normal 29" xfId="57"/>
    <cellStyle name="Normal_08 pagweb-4T08 1 2" xfId="58"/>
    <cellStyle name="Normal_ANEXO" xfId="59"/>
    <cellStyle name="Normal_Anexo analistas 1T06 vínculos" xfId="60"/>
    <cellStyle name="Normal_Series web Sabadell 1T10-desprotegido" xfId="61"/>
    <cellStyle name="Notas" xfId="62"/>
    <cellStyle name="Percent" xfId="63"/>
    <cellStyle name="Porcentaje 16" xfId="64"/>
    <cellStyle name="Porcentaje 2" xfId="65"/>
    <cellStyle name="Porcentaje 4" xfId="66"/>
    <cellStyle name="Salida" xfId="67"/>
    <cellStyle name="Texto de advertencia" xfId="68"/>
    <cellStyle name="Texto explicativo" xfId="69"/>
    <cellStyle name="Título" xfId="70"/>
    <cellStyle name="Título 2" xfId="71"/>
    <cellStyle name="Título 3" xfId="72"/>
    <cellStyle name="Total" xfId="73"/>
  </cellStyles>
  <dxfs count="9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ICE!C15" /></Relationships>
</file>

<file path=xl/drawings/_rels/drawing11.xml.rels><?xml version="1.0" encoding="utf-8" standalone="yes"?><Relationships xmlns="http://schemas.openxmlformats.org/package/2006/relationships"><Relationship Id="rId1" Type="http://schemas.openxmlformats.org/officeDocument/2006/relationships/hyperlink" Target="#INDICE!C16" /></Relationships>
</file>

<file path=xl/drawings/_rels/drawing12.xml.rels><?xml version="1.0" encoding="utf-8" standalone="yes"?><Relationships xmlns="http://schemas.openxmlformats.org/package/2006/relationships"><Relationship Id="rId1" Type="http://schemas.openxmlformats.org/officeDocument/2006/relationships/hyperlink" Target="#INDICE!C17" /></Relationships>
</file>

<file path=xl/drawings/_rels/drawing13.xml.rels><?xml version="1.0" encoding="utf-8" standalone="yes"?><Relationships xmlns="http://schemas.openxmlformats.org/package/2006/relationships"><Relationship Id="rId1" Type="http://schemas.openxmlformats.org/officeDocument/2006/relationships/hyperlink" Target="#INDICE!C18" /></Relationships>
</file>

<file path=xl/drawings/_rels/drawing14.xml.rels><?xml version="1.0" encoding="utf-8" standalone="yes"?><Relationships xmlns="http://schemas.openxmlformats.org/package/2006/relationships"><Relationship Id="rId1" Type="http://schemas.openxmlformats.org/officeDocument/2006/relationships/hyperlink" Target="#INDICE!C19" /></Relationships>
</file>

<file path=xl/drawings/_rels/drawing15.xml.rels><?xml version="1.0" encoding="utf-8" standalone="yes"?><Relationships xmlns="http://schemas.openxmlformats.org/package/2006/relationships"><Relationship Id="rId1" Type="http://schemas.openxmlformats.org/officeDocument/2006/relationships/hyperlink" Target="#INDICE!C22" /></Relationships>
</file>

<file path=xl/drawings/_rels/drawing16.xml.rels><?xml version="1.0" encoding="utf-8" standalone="yes"?><Relationships xmlns="http://schemas.openxmlformats.org/package/2006/relationships"><Relationship Id="rId1" Type="http://schemas.openxmlformats.org/officeDocument/2006/relationships/hyperlink" Target="#INDICE!C24" /></Relationships>
</file>

<file path=xl/drawings/_rels/drawing17.xml.rels><?xml version="1.0" encoding="utf-8" standalone="yes"?><Relationships xmlns="http://schemas.openxmlformats.org/package/2006/relationships"><Relationship Id="rId1" Type="http://schemas.openxmlformats.org/officeDocument/2006/relationships/hyperlink" Target="#INDICE!C25" /></Relationships>
</file>

<file path=xl/drawings/_rels/drawing18.xml.rels><?xml version="1.0" encoding="utf-8" standalone="yes"?><Relationships xmlns="http://schemas.openxmlformats.org/package/2006/relationships"><Relationship Id="rId1" Type="http://schemas.openxmlformats.org/officeDocument/2006/relationships/hyperlink" Target="#INDICE!C26" /></Relationships>
</file>

<file path=xl/drawings/_rels/drawing19.xml.rels><?xml version="1.0" encoding="utf-8" standalone="yes"?><Relationships xmlns="http://schemas.openxmlformats.org/package/2006/relationships"><Relationship Id="rId1" Type="http://schemas.openxmlformats.org/officeDocument/2006/relationships/hyperlink" Target="#INDICE!C27" /></Relationships>
</file>

<file path=xl/drawings/_rels/drawing2.xml.rels><?xml version="1.0" encoding="utf-8" standalone="yes"?><Relationships xmlns="http://schemas.openxmlformats.org/package/2006/relationships"><Relationship Id="rId1" Type="http://schemas.openxmlformats.org/officeDocument/2006/relationships/hyperlink" Target="#INDICE!C5" /></Relationships>
</file>

<file path=xl/drawings/_rels/drawing20.xml.rels><?xml version="1.0" encoding="utf-8" standalone="yes"?><Relationships xmlns="http://schemas.openxmlformats.org/package/2006/relationships"><Relationship Id="rId1" Type="http://schemas.openxmlformats.org/officeDocument/2006/relationships/hyperlink" Target="#INDICE!C28" /></Relationships>
</file>

<file path=xl/drawings/_rels/drawing21.xml.rels><?xml version="1.0" encoding="utf-8" standalone="yes"?><Relationships xmlns="http://schemas.openxmlformats.org/package/2006/relationships"><Relationship Id="rId1" Type="http://schemas.openxmlformats.org/officeDocument/2006/relationships/hyperlink" Target="#INDICE!C29" /></Relationships>
</file>

<file path=xl/drawings/_rels/drawing22.xml.rels><?xml version="1.0" encoding="utf-8" standalone="yes"?><Relationships xmlns="http://schemas.openxmlformats.org/package/2006/relationships"><Relationship Id="rId1" Type="http://schemas.openxmlformats.org/officeDocument/2006/relationships/hyperlink" Target="#INDICE!C30" /></Relationships>
</file>

<file path=xl/drawings/_rels/drawing23.xml.rels><?xml version="1.0" encoding="utf-8" standalone="yes"?><Relationships xmlns="http://schemas.openxmlformats.org/package/2006/relationships"><Relationship Id="rId1" Type="http://schemas.openxmlformats.org/officeDocument/2006/relationships/hyperlink" Target="#INDICE!C31" /></Relationships>
</file>

<file path=xl/drawings/_rels/drawing24.xml.rels><?xml version="1.0" encoding="utf-8" standalone="yes"?><Relationships xmlns="http://schemas.openxmlformats.org/package/2006/relationships"><Relationship Id="rId1" Type="http://schemas.openxmlformats.org/officeDocument/2006/relationships/hyperlink" Target="#INDICE!C32" /></Relationships>
</file>

<file path=xl/drawings/_rels/drawing3.xml.rels><?xml version="1.0" encoding="utf-8" standalone="yes"?><Relationships xmlns="http://schemas.openxmlformats.org/package/2006/relationships"><Relationship Id="rId1" Type="http://schemas.openxmlformats.org/officeDocument/2006/relationships/hyperlink" Target="#INDICE!C7" /></Relationships>
</file>

<file path=xl/drawings/_rels/drawing4.xml.rels><?xml version="1.0" encoding="utf-8" standalone="yes"?><Relationships xmlns="http://schemas.openxmlformats.org/package/2006/relationships"><Relationship Id="rId1" Type="http://schemas.openxmlformats.org/officeDocument/2006/relationships/hyperlink" Target="#INDICE!C9" /></Relationships>
</file>

<file path=xl/drawings/_rels/drawing5.xml.rels><?xml version="1.0" encoding="utf-8" standalone="yes"?><Relationships xmlns="http://schemas.openxmlformats.org/package/2006/relationships"><Relationship Id="rId1" Type="http://schemas.openxmlformats.org/officeDocument/2006/relationships/hyperlink" Target="#INDICE!C10" /></Relationships>
</file>

<file path=xl/drawings/_rels/drawing6.xml.rels><?xml version="1.0" encoding="utf-8" standalone="yes"?><Relationships xmlns="http://schemas.openxmlformats.org/package/2006/relationships"><Relationship Id="rId1" Type="http://schemas.openxmlformats.org/officeDocument/2006/relationships/hyperlink" Target="#INDICE!C11" /></Relationships>
</file>

<file path=xl/drawings/_rels/drawing7.xml.rels><?xml version="1.0" encoding="utf-8" standalone="yes"?><Relationships xmlns="http://schemas.openxmlformats.org/package/2006/relationships"><Relationship Id="rId1" Type="http://schemas.openxmlformats.org/officeDocument/2006/relationships/hyperlink" Target="#INDICE!C12" /></Relationships>
</file>

<file path=xl/drawings/_rels/drawing8.xml.rels><?xml version="1.0" encoding="utf-8" standalone="yes"?><Relationships xmlns="http://schemas.openxmlformats.org/package/2006/relationships"><Relationship Id="rId1" Type="http://schemas.openxmlformats.org/officeDocument/2006/relationships/hyperlink" Target="#INDICE!C13" /></Relationships>
</file>

<file path=xl/drawings/_rels/drawing9.xml.rels><?xml version="1.0" encoding="utf-8" standalone="yes"?><Relationships xmlns="http://schemas.openxmlformats.org/package/2006/relationships"><Relationship Id="rId1" Type="http://schemas.openxmlformats.org/officeDocument/2006/relationships/hyperlink" Target="#INDICE!C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304800</xdr:colOff>
      <xdr:row>6</xdr:row>
      <xdr:rowOff>266700</xdr:rowOff>
    </xdr:to>
    <xdr:sp fLocksText="0">
      <xdr:nvSpPr>
        <xdr:cNvPr id="1" name="7 CuadroTexto"/>
        <xdr:cNvSpPr txBox="1">
          <a:spLocks noChangeArrowheads="1"/>
        </xdr:cNvSpPr>
      </xdr:nvSpPr>
      <xdr:spPr>
        <a:xfrm>
          <a:off x="9525" y="1476375"/>
          <a:ext cx="295275" cy="266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104775</xdr:colOff>
      <xdr:row>0</xdr:row>
      <xdr:rowOff>180975</xdr:rowOff>
    </xdr:from>
    <xdr:to>
      <xdr:col>1</xdr:col>
      <xdr:colOff>295275</xdr:colOff>
      <xdr:row>3</xdr:row>
      <xdr:rowOff>238125</xdr:rowOff>
    </xdr:to>
    <xdr:pic>
      <xdr:nvPicPr>
        <xdr:cNvPr id="2" name="4 Imagen"/>
        <xdr:cNvPicPr preferRelativeResize="1">
          <a:picLocks noChangeAspect="1"/>
        </xdr:cNvPicPr>
      </xdr:nvPicPr>
      <xdr:blipFill>
        <a:blip r:embed="rId1"/>
        <a:stretch>
          <a:fillRect/>
        </a:stretch>
      </xdr:blipFill>
      <xdr:spPr>
        <a:xfrm>
          <a:off x="104775" y="180975"/>
          <a:ext cx="288607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1</xdr:row>
      <xdr:rowOff>209550</xdr:rowOff>
    </xdr:from>
    <xdr:to>
      <xdr:col>10</xdr:col>
      <xdr:colOff>666750</xdr:colOff>
      <xdr:row>5</xdr:row>
      <xdr:rowOff>171450</xdr:rowOff>
    </xdr:to>
    <xdr:sp>
      <xdr:nvSpPr>
        <xdr:cNvPr id="1" name="2 Rectángulo redondeado">
          <a:hlinkClick r:id="rId1"/>
        </xdr:cNvPr>
        <xdr:cNvSpPr>
          <a:spLocks/>
        </xdr:cNvSpPr>
      </xdr:nvSpPr>
      <xdr:spPr>
        <a:xfrm>
          <a:off x="9886950" y="419100"/>
          <a:ext cx="1209675"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1</xdr:row>
      <xdr:rowOff>114300</xdr:rowOff>
    </xdr:from>
    <xdr:to>
      <xdr:col>11</xdr:col>
      <xdr:colOff>66675</xdr:colOff>
      <xdr:row>5</xdr:row>
      <xdr:rowOff>85725</xdr:rowOff>
    </xdr:to>
    <xdr:sp>
      <xdr:nvSpPr>
        <xdr:cNvPr id="1" name="2 Rectángulo redondeado">
          <a:hlinkClick r:id="rId1"/>
        </xdr:cNvPr>
        <xdr:cNvSpPr>
          <a:spLocks/>
        </xdr:cNvSpPr>
      </xdr:nvSpPr>
      <xdr:spPr>
        <a:xfrm>
          <a:off x="9848850" y="323850"/>
          <a:ext cx="1209675"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1</xdr:row>
      <xdr:rowOff>114300</xdr:rowOff>
    </xdr:from>
    <xdr:to>
      <xdr:col>10</xdr:col>
      <xdr:colOff>638175</xdr:colOff>
      <xdr:row>5</xdr:row>
      <xdr:rowOff>85725</xdr:rowOff>
    </xdr:to>
    <xdr:sp>
      <xdr:nvSpPr>
        <xdr:cNvPr id="1" name="2 Rectángulo redondeado">
          <a:hlinkClick r:id="rId1"/>
        </xdr:cNvPr>
        <xdr:cNvSpPr>
          <a:spLocks/>
        </xdr:cNvSpPr>
      </xdr:nvSpPr>
      <xdr:spPr>
        <a:xfrm>
          <a:off x="9648825" y="323850"/>
          <a:ext cx="1219200"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xdr:row>
      <xdr:rowOff>238125</xdr:rowOff>
    </xdr:from>
    <xdr:to>
      <xdr:col>10</xdr:col>
      <xdr:colOff>600075</xdr:colOff>
      <xdr:row>6</xdr:row>
      <xdr:rowOff>19050</xdr:rowOff>
    </xdr:to>
    <xdr:sp>
      <xdr:nvSpPr>
        <xdr:cNvPr id="1" name="2 Rectángulo redondeado">
          <a:hlinkClick r:id="rId1"/>
        </xdr:cNvPr>
        <xdr:cNvSpPr>
          <a:spLocks/>
        </xdr:cNvSpPr>
      </xdr:nvSpPr>
      <xdr:spPr>
        <a:xfrm>
          <a:off x="9620250" y="447675"/>
          <a:ext cx="1209675"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xdr:row>
      <xdr:rowOff>57150</xdr:rowOff>
    </xdr:from>
    <xdr:to>
      <xdr:col>10</xdr:col>
      <xdr:colOff>542925</xdr:colOff>
      <xdr:row>6</xdr:row>
      <xdr:rowOff>66675</xdr:rowOff>
    </xdr:to>
    <xdr:sp>
      <xdr:nvSpPr>
        <xdr:cNvPr id="1" name="2 Rectángulo redondeado">
          <a:hlinkClick r:id="rId1"/>
        </xdr:cNvPr>
        <xdr:cNvSpPr>
          <a:spLocks/>
        </xdr:cNvSpPr>
      </xdr:nvSpPr>
      <xdr:spPr>
        <a:xfrm>
          <a:off x="10925175" y="514350"/>
          <a:ext cx="1209675" cy="7620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295275</xdr:colOff>
      <xdr:row>1</xdr:row>
      <xdr:rowOff>133350</xdr:rowOff>
    </xdr:from>
    <xdr:to>
      <xdr:col>10</xdr:col>
      <xdr:colOff>752475</xdr:colOff>
      <xdr:row>5</xdr:row>
      <xdr:rowOff>104775</xdr:rowOff>
    </xdr:to>
    <xdr:sp>
      <xdr:nvSpPr>
        <xdr:cNvPr id="1" name="2 Rectángulo redondeado">
          <a:hlinkClick r:id="rId1"/>
        </xdr:cNvPr>
        <xdr:cNvSpPr>
          <a:spLocks/>
        </xdr:cNvSpPr>
      </xdr:nvSpPr>
      <xdr:spPr>
        <a:xfrm>
          <a:off x="9763125" y="342900"/>
          <a:ext cx="1219200"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495300</xdr:colOff>
      <xdr:row>0</xdr:row>
      <xdr:rowOff>123825</xdr:rowOff>
    </xdr:from>
    <xdr:to>
      <xdr:col>10</xdr:col>
      <xdr:colOff>609600</xdr:colOff>
      <xdr:row>4</xdr:row>
      <xdr:rowOff>47625</xdr:rowOff>
    </xdr:to>
    <xdr:sp>
      <xdr:nvSpPr>
        <xdr:cNvPr id="1" name="2 Rectángulo redondeado">
          <a:hlinkClick r:id="rId1"/>
        </xdr:cNvPr>
        <xdr:cNvSpPr>
          <a:spLocks/>
        </xdr:cNvSpPr>
      </xdr:nvSpPr>
      <xdr:spPr>
        <a:xfrm>
          <a:off x="7877175" y="123825"/>
          <a:ext cx="952500" cy="6762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0</xdr:row>
      <xdr:rowOff>133350</xdr:rowOff>
    </xdr:from>
    <xdr:to>
      <xdr:col>11</xdr:col>
      <xdr:colOff>371475</xdr:colOff>
      <xdr:row>4</xdr:row>
      <xdr:rowOff>38100</xdr:rowOff>
    </xdr:to>
    <xdr:sp>
      <xdr:nvSpPr>
        <xdr:cNvPr id="1" name="2 Rectángulo redondeado">
          <a:hlinkClick r:id="rId1"/>
        </xdr:cNvPr>
        <xdr:cNvSpPr>
          <a:spLocks/>
        </xdr:cNvSpPr>
      </xdr:nvSpPr>
      <xdr:spPr>
        <a:xfrm>
          <a:off x="8543925" y="133350"/>
          <a:ext cx="1219200" cy="6953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1</xdr:row>
      <xdr:rowOff>95250</xdr:rowOff>
    </xdr:from>
    <xdr:to>
      <xdr:col>10</xdr:col>
      <xdr:colOff>638175</xdr:colOff>
      <xdr:row>3</xdr:row>
      <xdr:rowOff>123825</xdr:rowOff>
    </xdr:to>
    <xdr:sp>
      <xdr:nvSpPr>
        <xdr:cNvPr id="1" name="2 Rectángulo redondeado">
          <a:hlinkClick r:id="rId1"/>
        </xdr:cNvPr>
        <xdr:cNvSpPr>
          <a:spLocks/>
        </xdr:cNvSpPr>
      </xdr:nvSpPr>
      <xdr:spPr>
        <a:xfrm>
          <a:off x="7362825" y="304800"/>
          <a:ext cx="962025" cy="6381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0</xdr:row>
      <xdr:rowOff>180975</xdr:rowOff>
    </xdr:from>
    <xdr:to>
      <xdr:col>11</xdr:col>
      <xdr:colOff>9525</xdr:colOff>
      <xdr:row>3</xdr:row>
      <xdr:rowOff>9525</xdr:rowOff>
    </xdr:to>
    <xdr:sp>
      <xdr:nvSpPr>
        <xdr:cNvPr id="1" name="2 Rectángulo redondeado">
          <a:hlinkClick r:id="rId1"/>
        </xdr:cNvPr>
        <xdr:cNvSpPr>
          <a:spLocks/>
        </xdr:cNvSpPr>
      </xdr:nvSpPr>
      <xdr:spPr>
        <a:xfrm>
          <a:off x="8715375" y="180975"/>
          <a:ext cx="1066800" cy="4667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1</xdr:row>
      <xdr:rowOff>38100</xdr:rowOff>
    </xdr:from>
    <xdr:to>
      <xdr:col>10</xdr:col>
      <xdr:colOff>581025</xdr:colOff>
      <xdr:row>5</xdr:row>
      <xdr:rowOff>9525</xdr:rowOff>
    </xdr:to>
    <xdr:sp>
      <xdr:nvSpPr>
        <xdr:cNvPr id="1" name="2 Rectángulo redondeado">
          <a:hlinkClick r:id="rId1"/>
        </xdr:cNvPr>
        <xdr:cNvSpPr>
          <a:spLocks/>
        </xdr:cNvSpPr>
      </xdr:nvSpPr>
      <xdr:spPr>
        <a:xfrm>
          <a:off x="11068050" y="247650"/>
          <a:ext cx="1247775"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1</xdr:row>
      <xdr:rowOff>104775</xdr:rowOff>
    </xdr:from>
    <xdr:to>
      <xdr:col>10</xdr:col>
      <xdr:colOff>447675</xdr:colOff>
      <xdr:row>4</xdr:row>
      <xdr:rowOff>0</xdr:rowOff>
    </xdr:to>
    <xdr:sp>
      <xdr:nvSpPr>
        <xdr:cNvPr id="1" name="2 Rectángulo redondeado">
          <a:hlinkClick r:id="rId1"/>
        </xdr:cNvPr>
        <xdr:cNvSpPr>
          <a:spLocks/>
        </xdr:cNvSpPr>
      </xdr:nvSpPr>
      <xdr:spPr>
        <a:xfrm>
          <a:off x="7391400" y="352425"/>
          <a:ext cx="866775" cy="5048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1</xdr:row>
      <xdr:rowOff>38100</xdr:rowOff>
    </xdr:from>
    <xdr:to>
      <xdr:col>10</xdr:col>
      <xdr:colOff>476250</xdr:colOff>
      <xdr:row>4</xdr:row>
      <xdr:rowOff>76200</xdr:rowOff>
    </xdr:to>
    <xdr:sp>
      <xdr:nvSpPr>
        <xdr:cNvPr id="1" name="2 Rectángulo redondeado">
          <a:hlinkClick r:id="rId1"/>
        </xdr:cNvPr>
        <xdr:cNvSpPr>
          <a:spLocks/>
        </xdr:cNvSpPr>
      </xdr:nvSpPr>
      <xdr:spPr>
        <a:xfrm>
          <a:off x="9210675" y="247650"/>
          <a:ext cx="962025" cy="6096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1</xdr:row>
      <xdr:rowOff>133350</xdr:rowOff>
    </xdr:from>
    <xdr:to>
      <xdr:col>11</xdr:col>
      <xdr:colOff>57150</xdr:colOff>
      <xdr:row>4</xdr:row>
      <xdr:rowOff>66675</xdr:rowOff>
    </xdr:to>
    <xdr:sp>
      <xdr:nvSpPr>
        <xdr:cNvPr id="1" name="2 Rectángulo redondeado">
          <a:hlinkClick r:id="rId1"/>
        </xdr:cNvPr>
        <xdr:cNvSpPr>
          <a:spLocks/>
        </xdr:cNvSpPr>
      </xdr:nvSpPr>
      <xdr:spPr>
        <a:xfrm>
          <a:off x="8562975" y="342900"/>
          <a:ext cx="895350" cy="4953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1</xdr:row>
      <xdr:rowOff>28575</xdr:rowOff>
    </xdr:from>
    <xdr:to>
      <xdr:col>11</xdr:col>
      <xdr:colOff>1114425</xdr:colOff>
      <xdr:row>4</xdr:row>
      <xdr:rowOff>161925</xdr:rowOff>
    </xdr:to>
    <xdr:sp>
      <xdr:nvSpPr>
        <xdr:cNvPr id="1" name="1 Rectángulo redondeado">
          <a:hlinkClick r:id="rId1"/>
        </xdr:cNvPr>
        <xdr:cNvSpPr>
          <a:spLocks/>
        </xdr:cNvSpPr>
      </xdr:nvSpPr>
      <xdr:spPr>
        <a:xfrm>
          <a:off x="8315325" y="238125"/>
          <a:ext cx="1333500" cy="6953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1</xdr:row>
      <xdr:rowOff>47625</xdr:rowOff>
    </xdr:from>
    <xdr:to>
      <xdr:col>10</xdr:col>
      <xdr:colOff>657225</xdr:colOff>
      <xdr:row>3</xdr:row>
      <xdr:rowOff>180975</xdr:rowOff>
    </xdr:to>
    <xdr:sp>
      <xdr:nvSpPr>
        <xdr:cNvPr id="1" name="1 Rectángulo redondeado">
          <a:hlinkClick r:id="rId1"/>
        </xdr:cNvPr>
        <xdr:cNvSpPr>
          <a:spLocks/>
        </xdr:cNvSpPr>
      </xdr:nvSpPr>
      <xdr:spPr>
        <a:xfrm>
          <a:off x="8039100" y="257175"/>
          <a:ext cx="962025" cy="4953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2</xdr:row>
      <xdr:rowOff>114300</xdr:rowOff>
    </xdr:from>
    <xdr:to>
      <xdr:col>10</xdr:col>
      <xdr:colOff>561975</xdr:colOff>
      <xdr:row>6</xdr:row>
      <xdr:rowOff>152400</xdr:rowOff>
    </xdr:to>
    <xdr:sp>
      <xdr:nvSpPr>
        <xdr:cNvPr id="1" name="2 Rectángulo redondeado">
          <a:hlinkClick r:id="rId1"/>
        </xdr:cNvPr>
        <xdr:cNvSpPr>
          <a:spLocks/>
        </xdr:cNvSpPr>
      </xdr:nvSpPr>
      <xdr:spPr>
        <a:xfrm>
          <a:off x="11134725" y="571500"/>
          <a:ext cx="1219200"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2</xdr:row>
      <xdr:rowOff>104775</xdr:rowOff>
    </xdr:from>
    <xdr:to>
      <xdr:col>11</xdr:col>
      <xdr:colOff>200025</xdr:colOff>
      <xdr:row>6</xdr:row>
      <xdr:rowOff>123825</xdr:rowOff>
    </xdr:to>
    <xdr:sp>
      <xdr:nvSpPr>
        <xdr:cNvPr id="1" name="2 Rectángulo redondeado">
          <a:hlinkClick r:id="rId1"/>
        </xdr:cNvPr>
        <xdr:cNvSpPr>
          <a:spLocks/>
        </xdr:cNvSpPr>
      </xdr:nvSpPr>
      <xdr:spPr>
        <a:xfrm>
          <a:off x="9982200" y="561975"/>
          <a:ext cx="1209675" cy="7715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2</xdr:row>
      <xdr:rowOff>123825</xdr:rowOff>
    </xdr:from>
    <xdr:to>
      <xdr:col>10</xdr:col>
      <xdr:colOff>733425</xdr:colOff>
      <xdr:row>6</xdr:row>
      <xdr:rowOff>133350</xdr:rowOff>
    </xdr:to>
    <xdr:sp>
      <xdr:nvSpPr>
        <xdr:cNvPr id="1" name="2 Rectángulo redondeado">
          <a:hlinkClick r:id="rId1"/>
        </xdr:cNvPr>
        <xdr:cNvSpPr>
          <a:spLocks/>
        </xdr:cNvSpPr>
      </xdr:nvSpPr>
      <xdr:spPr>
        <a:xfrm>
          <a:off x="9744075" y="581025"/>
          <a:ext cx="1219200" cy="7620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2</xdr:row>
      <xdr:rowOff>142875</xdr:rowOff>
    </xdr:from>
    <xdr:to>
      <xdr:col>10</xdr:col>
      <xdr:colOff>619125</xdr:colOff>
      <xdr:row>6</xdr:row>
      <xdr:rowOff>152400</xdr:rowOff>
    </xdr:to>
    <xdr:sp>
      <xdr:nvSpPr>
        <xdr:cNvPr id="1" name="2 Rectángulo redondeado">
          <a:hlinkClick r:id="rId1"/>
        </xdr:cNvPr>
        <xdr:cNvSpPr>
          <a:spLocks/>
        </xdr:cNvSpPr>
      </xdr:nvSpPr>
      <xdr:spPr>
        <a:xfrm>
          <a:off x="9639300" y="600075"/>
          <a:ext cx="1209675" cy="7620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2</xdr:row>
      <xdr:rowOff>76200</xdr:rowOff>
    </xdr:from>
    <xdr:to>
      <xdr:col>11</xdr:col>
      <xdr:colOff>38100</xdr:colOff>
      <xdr:row>6</xdr:row>
      <xdr:rowOff>104775</xdr:rowOff>
    </xdr:to>
    <xdr:sp>
      <xdr:nvSpPr>
        <xdr:cNvPr id="1" name="2 Rectángulo redondeado">
          <a:hlinkClick r:id="rId1"/>
        </xdr:cNvPr>
        <xdr:cNvSpPr>
          <a:spLocks/>
        </xdr:cNvSpPr>
      </xdr:nvSpPr>
      <xdr:spPr>
        <a:xfrm>
          <a:off x="9820275" y="533400"/>
          <a:ext cx="1209675"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2</xdr:row>
      <xdr:rowOff>19050</xdr:rowOff>
    </xdr:from>
    <xdr:to>
      <xdr:col>11</xdr:col>
      <xdr:colOff>57150</xdr:colOff>
      <xdr:row>6</xdr:row>
      <xdr:rowOff>38100</xdr:rowOff>
    </xdr:to>
    <xdr:sp>
      <xdr:nvSpPr>
        <xdr:cNvPr id="1" name="2 Rectángulo redondeado">
          <a:hlinkClick r:id="rId1"/>
        </xdr:cNvPr>
        <xdr:cNvSpPr>
          <a:spLocks/>
        </xdr:cNvSpPr>
      </xdr:nvSpPr>
      <xdr:spPr>
        <a:xfrm>
          <a:off x="9839325" y="476250"/>
          <a:ext cx="1209675" cy="7715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2</xdr:row>
      <xdr:rowOff>38100</xdr:rowOff>
    </xdr:from>
    <xdr:to>
      <xdr:col>10</xdr:col>
      <xdr:colOff>714375</xdr:colOff>
      <xdr:row>6</xdr:row>
      <xdr:rowOff>57150</xdr:rowOff>
    </xdr:to>
    <xdr:sp>
      <xdr:nvSpPr>
        <xdr:cNvPr id="1" name="2 Rectángulo redondeado">
          <a:hlinkClick r:id="rId1"/>
        </xdr:cNvPr>
        <xdr:cNvSpPr>
          <a:spLocks/>
        </xdr:cNvSpPr>
      </xdr:nvSpPr>
      <xdr:spPr>
        <a:xfrm>
          <a:off x="9725025" y="495300"/>
          <a:ext cx="1219200" cy="7715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theme/theme1.xml><?xml version="1.0" encoding="utf-8"?>
<a:theme xmlns:a="http://schemas.openxmlformats.org/drawingml/2006/main" name="Office Theme">
  <a:themeElements>
    <a:clrScheme name="bbva">
      <a:dk1>
        <a:srgbClr val="004481"/>
      </a:dk1>
      <a:lt1>
        <a:sysClr val="window" lastClr="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I1000"/>
  <sheetViews>
    <sheetView showGridLines="0" zoomScale="80" zoomScaleNormal="80" zoomScalePageLayoutView="0" workbookViewId="0" topLeftCell="A1">
      <selection activeCell="A1" sqref="A1:IV16384"/>
    </sheetView>
  </sheetViews>
  <sheetFormatPr defaultColWidth="11.421875" defaultRowHeight="15"/>
  <cols>
    <col min="2" max="2" width="6.421875" style="0" customWidth="1"/>
    <col min="3" max="3" width="104.28125" style="0" customWidth="1"/>
    <col min="4" max="4" width="54.421875" style="0" customWidth="1"/>
  </cols>
  <sheetData>
    <row r="1" spans="1:4" ht="14.25">
      <c r="A1" s="238"/>
      <c r="B1" s="238"/>
      <c r="C1" s="239"/>
      <c r="D1" s="239"/>
    </row>
    <row r="2" spans="1:4" ht="14.25">
      <c r="A2" s="238"/>
      <c r="B2" s="238" t="s">
        <v>13</v>
      </c>
      <c r="C2" s="239" t="s">
        <v>14</v>
      </c>
      <c r="D2" s="239" t="s">
        <v>15</v>
      </c>
    </row>
    <row r="3" spans="1:9" ht="19.5">
      <c r="A3" s="238"/>
      <c r="B3" s="238">
        <v>1</v>
      </c>
      <c r="C3" s="240">
        <v>7</v>
      </c>
      <c r="D3" s="240">
        <v>8</v>
      </c>
      <c r="I3" s="241" t="s">
        <v>0</v>
      </c>
    </row>
    <row r="4" spans="2:9" ht="19.5">
      <c r="B4">
        <v>2</v>
      </c>
      <c r="C4" s="242" t="s">
        <v>426</v>
      </c>
      <c r="D4" s="242" t="s">
        <v>427</v>
      </c>
      <c r="I4" s="241" t="s">
        <v>16</v>
      </c>
    </row>
    <row r="5" spans="2:9" ht="19.5">
      <c r="B5">
        <v>3</v>
      </c>
      <c r="C5" s="242" t="s">
        <v>17</v>
      </c>
      <c r="D5" s="242" t="s">
        <v>18</v>
      </c>
      <c r="I5" s="241" t="s">
        <v>19</v>
      </c>
    </row>
    <row r="6" spans="2:4" ht="15">
      <c r="B6">
        <v>4</v>
      </c>
      <c r="C6" s="242" t="s">
        <v>20</v>
      </c>
      <c r="D6" s="242" t="s">
        <v>21</v>
      </c>
    </row>
    <row r="7" spans="2:4" ht="15">
      <c r="B7">
        <v>5</v>
      </c>
      <c r="C7" s="242" t="s">
        <v>22</v>
      </c>
      <c r="D7" s="242" t="s">
        <v>23</v>
      </c>
    </row>
    <row r="8" spans="2:4" ht="15">
      <c r="B8">
        <v>6</v>
      </c>
      <c r="C8" s="242" t="s">
        <v>24</v>
      </c>
      <c r="D8" s="242" t="s">
        <v>25</v>
      </c>
    </row>
    <row r="9" spans="2:4" ht="15">
      <c r="B9">
        <v>7</v>
      </c>
      <c r="C9" s="242" t="s">
        <v>26</v>
      </c>
      <c r="D9" s="242" t="s">
        <v>27</v>
      </c>
    </row>
    <row r="10" spans="2:4" ht="15">
      <c r="B10">
        <v>8</v>
      </c>
      <c r="C10" s="242" t="s">
        <v>28</v>
      </c>
      <c r="D10" s="242" t="s">
        <v>29</v>
      </c>
    </row>
    <row r="11" spans="2:4" ht="15">
      <c r="B11">
        <v>9</v>
      </c>
      <c r="C11" s="242" t="s">
        <v>30</v>
      </c>
      <c r="D11" s="242" t="s">
        <v>30</v>
      </c>
    </row>
    <row r="12" spans="2:4" ht="15">
      <c r="B12">
        <v>10</v>
      </c>
      <c r="C12" s="243" t="s">
        <v>31</v>
      </c>
      <c r="D12" s="243" t="s">
        <v>32</v>
      </c>
    </row>
    <row r="13" spans="2:4" ht="15">
      <c r="B13">
        <v>11</v>
      </c>
      <c r="C13" s="243" t="s">
        <v>33</v>
      </c>
      <c r="D13" s="243" t="s">
        <v>34</v>
      </c>
    </row>
    <row r="14" spans="2:4" ht="15">
      <c r="B14">
        <v>12</v>
      </c>
      <c r="C14" s="243" t="s">
        <v>35</v>
      </c>
      <c r="D14" s="243" t="s">
        <v>36</v>
      </c>
    </row>
    <row r="15" spans="2:4" ht="15">
      <c r="B15">
        <v>13</v>
      </c>
      <c r="C15" s="243" t="s">
        <v>37</v>
      </c>
      <c r="D15" s="243" t="s">
        <v>38</v>
      </c>
    </row>
    <row r="16" spans="2:4" ht="15">
      <c r="B16">
        <v>14</v>
      </c>
      <c r="C16" s="243" t="s">
        <v>8</v>
      </c>
      <c r="D16" s="243" t="s">
        <v>8</v>
      </c>
    </row>
    <row r="17" spans="2:4" ht="15">
      <c r="B17">
        <v>15</v>
      </c>
      <c r="C17" s="243" t="s">
        <v>9</v>
      </c>
      <c r="D17" s="243" t="s">
        <v>9</v>
      </c>
    </row>
    <row r="18" spans="2:4" ht="15">
      <c r="B18">
        <v>16</v>
      </c>
      <c r="C18" s="243" t="s">
        <v>10</v>
      </c>
      <c r="D18" s="243" t="s">
        <v>10</v>
      </c>
    </row>
    <row r="19" spans="2:4" ht="15">
      <c r="B19">
        <v>17</v>
      </c>
      <c r="C19" s="243" t="s">
        <v>11</v>
      </c>
      <c r="D19" s="243" t="s">
        <v>39</v>
      </c>
    </row>
    <row r="20" spans="2:4" ht="15">
      <c r="B20">
        <v>18</v>
      </c>
      <c r="C20" s="243" t="s">
        <v>40</v>
      </c>
      <c r="D20" s="243" t="s">
        <v>41</v>
      </c>
    </row>
    <row r="21" spans="2:4" ht="15">
      <c r="B21">
        <v>19</v>
      </c>
      <c r="C21" s="243" t="s">
        <v>42</v>
      </c>
      <c r="D21" s="243" t="s">
        <v>43</v>
      </c>
    </row>
    <row r="22" spans="2:4" ht="15">
      <c r="B22">
        <v>20</v>
      </c>
      <c r="C22" s="243" t="s">
        <v>44</v>
      </c>
      <c r="D22" s="243" t="s">
        <v>45</v>
      </c>
    </row>
    <row r="23" spans="2:4" ht="15">
      <c r="B23">
        <v>21</v>
      </c>
      <c r="C23" s="243" t="s">
        <v>46</v>
      </c>
      <c r="D23" s="243" t="s">
        <v>46</v>
      </c>
    </row>
    <row r="24" spans="2:4" ht="15">
      <c r="B24">
        <v>22</v>
      </c>
      <c r="C24" s="243" t="s">
        <v>47</v>
      </c>
      <c r="D24" s="243" t="s">
        <v>48</v>
      </c>
    </row>
    <row r="25" spans="2:4" ht="15">
      <c r="B25">
        <v>23</v>
      </c>
      <c r="C25" s="243" t="s">
        <v>49</v>
      </c>
      <c r="D25" s="243" t="s">
        <v>50</v>
      </c>
    </row>
    <row r="26" spans="2:4" ht="15">
      <c r="B26">
        <v>24</v>
      </c>
      <c r="C26" s="243" t="s">
        <v>51</v>
      </c>
      <c r="D26" s="243" t="s">
        <v>52</v>
      </c>
    </row>
    <row r="27" spans="2:4" ht="15">
      <c r="B27">
        <v>25</v>
      </c>
      <c r="C27" s="243" t="s">
        <v>53</v>
      </c>
      <c r="D27" s="243" t="s">
        <v>54</v>
      </c>
    </row>
    <row r="28" spans="2:4" ht="15">
      <c r="B28">
        <v>26</v>
      </c>
      <c r="C28" s="243" t="s">
        <v>55</v>
      </c>
      <c r="D28" s="243" t="s">
        <v>56</v>
      </c>
    </row>
    <row r="29" spans="2:4" ht="15">
      <c r="B29">
        <v>27</v>
      </c>
      <c r="C29" s="243" t="s">
        <v>57</v>
      </c>
      <c r="D29" s="243" t="s">
        <v>58</v>
      </c>
    </row>
    <row r="30" spans="2:4" ht="15">
      <c r="B30">
        <v>28</v>
      </c>
      <c r="C30" s="243" t="s">
        <v>59</v>
      </c>
      <c r="D30" s="243" t="s">
        <v>60</v>
      </c>
    </row>
    <row r="31" spans="2:4" ht="15">
      <c r="B31">
        <v>29</v>
      </c>
      <c r="C31" s="243" t="s">
        <v>61</v>
      </c>
      <c r="D31" s="243" t="s">
        <v>62</v>
      </c>
    </row>
    <row r="32" spans="2:4" ht="15">
      <c r="B32">
        <v>30</v>
      </c>
      <c r="C32" s="243" t="s">
        <v>63</v>
      </c>
      <c r="D32" s="243" t="s">
        <v>64</v>
      </c>
    </row>
    <row r="33" spans="2:4" ht="15">
      <c r="B33">
        <v>31</v>
      </c>
      <c r="C33" s="243" t="s">
        <v>65</v>
      </c>
      <c r="D33" t="s">
        <v>66</v>
      </c>
    </row>
    <row r="34" spans="2:4" ht="15">
      <c r="B34">
        <v>32</v>
      </c>
      <c r="C34" s="243" t="s">
        <v>67</v>
      </c>
      <c r="D34" t="s">
        <v>68</v>
      </c>
    </row>
    <row r="35" spans="2:4" ht="15">
      <c r="B35">
        <v>33</v>
      </c>
      <c r="C35" s="243" t="s">
        <v>69</v>
      </c>
      <c r="D35" t="s">
        <v>70</v>
      </c>
    </row>
    <row r="36" spans="2:4" ht="15">
      <c r="B36">
        <v>34</v>
      </c>
      <c r="C36" s="243" t="s">
        <v>71</v>
      </c>
      <c r="D36" t="s">
        <v>72</v>
      </c>
    </row>
    <row r="37" spans="2:4" ht="15">
      <c r="B37">
        <v>35</v>
      </c>
      <c r="C37" s="243" t="s">
        <v>73</v>
      </c>
      <c r="D37" t="s">
        <v>74</v>
      </c>
    </row>
    <row r="38" spans="2:4" ht="15">
      <c r="B38">
        <v>36</v>
      </c>
      <c r="C38" s="243" t="s">
        <v>75</v>
      </c>
      <c r="D38" t="s">
        <v>76</v>
      </c>
    </row>
    <row r="39" spans="2:4" ht="15">
      <c r="B39">
        <v>37</v>
      </c>
      <c r="C39" s="243" t="s">
        <v>77</v>
      </c>
      <c r="D39" t="s">
        <v>78</v>
      </c>
    </row>
    <row r="40" spans="2:4" ht="15">
      <c r="B40">
        <v>38</v>
      </c>
      <c r="C40" s="243" t="s">
        <v>79</v>
      </c>
      <c r="D40" t="s">
        <v>80</v>
      </c>
    </row>
    <row r="41" spans="2:4" ht="15">
      <c r="B41">
        <v>39</v>
      </c>
      <c r="C41" s="243" t="s">
        <v>81</v>
      </c>
      <c r="D41" t="s">
        <v>82</v>
      </c>
    </row>
    <row r="42" spans="2:4" ht="15">
      <c r="B42">
        <v>40</v>
      </c>
      <c r="C42" s="243" t="s">
        <v>83</v>
      </c>
      <c r="D42" t="s">
        <v>84</v>
      </c>
    </row>
    <row r="43" spans="2:4" ht="15">
      <c r="B43">
        <v>41</v>
      </c>
      <c r="C43" s="243" t="s">
        <v>85</v>
      </c>
      <c r="D43" t="s">
        <v>86</v>
      </c>
    </row>
    <row r="44" spans="2:4" ht="15">
      <c r="B44">
        <v>42</v>
      </c>
      <c r="C44" s="243" t="s">
        <v>87</v>
      </c>
      <c r="D44" t="s">
        <v>88</v>
      </c>
    </row>
    <row r="45" spans="2:4" ht="15">
      <c r="B45">
        <v>43</v>
      </c>
      <c r="C45" s="243" t="s">
        <v>89</v>
      </c>
      <c r="D45" t="s">
        <v>90</v>
      </c>
    </row>
    <row r="46" spans="2:4" ht="15">
      <c r="B46">
        <v>44</v>
      </c>
      <c r="C46" s="243" t="s">
        <v>91</v>
      </c>
      <c r="D46" t="s">
        <v>92</v>
      </c>
    </row>
    <row r="47" spans="2:4" ht="15">
      <c r="B47">
        <v>45</v>
      </c>
      <c r="C47" s="243" t="s">
        <v>93</v>
      </c>
      <c r="D47" t="s">
        <v>94</v>
      </c>
    </row>
    <row r="48" spans="2:4" ht="15">
      <c r="B48">
        <v>46</v>
      </c>
      <c r="C48" s="243" t="s">
        <v>95</v>
      </c>
      <c r="D48" t="s">
        <v>96</v>
      </c>
    </row>
    <row r="49" spans="2:4" ht="15">
      <c r="B49">
        <v>47</v>
      </c>
      <c r="C49" s="243" t="s">
        <v>97</v>
      </c>
      <c r="D49" t="s">
        <v>98</v>
      </c>
    </row>
    <row r="50" spans="2:4" ht="15">
      <c r="B50">
        <v>48</v>
      </c>
      <c r="C50" s="243" t="s">
        <v>99</v>
      </c>
      <c r="D50" t="s">
        <v>100</v>
      </c>
    </row>
    <row r="51" spans="2:4" ht="15">
      <c r="B51">
        <v>49</v>
      </c>
      <c r="C51" s="243" t="s">
        <v>101</v>
      </c>
      <c r="D51" t="s">
        <v>102</v>
      </c>
    </row>
    <row r="52" spans="2:4" ht="15">
      <c r="B52">
        <v>50</v>
      </c>
      <c r="C52" s="243" t="s">
        <v>103</v>
      </c>
      <c r="D52" t="s">
        <v>104</v>
      </c>
    </row>
    <row r="53" spans="2:4" ht="15">
      <c r="B53">
        <v>51</v>
      </c>
      <c r="C53" s="243" t="s">
        <v>105</v>
      </c>
      <c r="D53" t="s">
        <v>106</v>
      </c>
    </row>
    <row r="54" spans="2:4" ht="15">
      <c r="B54">
        <v>52</v>
      </c>
      <c r="C54" s="243" t="s">
        <v>107</v>
      </c>
      <c r="D54" t="s">
        <v>108</v>
      </c>
    </row>
    <row r="55" spans="2:4" ht="15">
      <c r="B55">
        <v>53</v>
      </c>
      <c r="C55" s="243" t="s">
        <v>109</v>
      </c>
      <c r="D55" t="s">
        <v>110</v>
      </c>
    </row>
    <row r="56" spans="2:4" ht="15">
      <c r="B56">
        <v>54</v>
      </c>
      <c r="C56" s="243" t="s">
        <v>111</v>
      </c>
      <c r="D56" t="s">
        <v>112</v>
      </c>
    </row>
    <row r="57" spans="2:4" ht="15">
      <c r="B57">
        <v>55</v>
      </c>
      <c r="C57" s="243" t="s">
        <v>113</v>
      </c>
      <c r="D57" t="s">
        <v>114</v>
      </c>
    </row>
    <row r="58" spans="2:4" ht="15">
      <c r="B58">
        <v>56</v>
      </c>
      <c r="C58" s="243" t="s">
        <v>115</v>
      </c>
      <c r="D58" t="s">
        <v>116</v>
      </c>
    </row>
    <row r="59" spans="2:4" ht="15">
      <c r="B59">
        <v>57</v>
      </c>
      <c r="C59" s="243" t="s">
        <v>117</v>
      </c>
      <c r="D59" t="s">
        <v>118</v>
      </c>
    </row>
    <row r="60" spans="2:4" ht="15">
      <c r="B60">
        <v>58</v>
      </c>
      <c r="C60" s="243" t="s">
        <v>119</v>
      </c>
      <c r="D60" t="s">
        <v>120</v>
      </c>
    </row>
    <row r="61" spans="2:4" ht="15">
      <c r="B61">
        <v>59</v>
      </c>
      <c r="C61" s="243" t="s">
        <v>121</v>
      </c>
      <c r="D61" t="s">
        <v>122</v>
      </c>
    </row>
    <row r="62" spans="2:4" ht="15">
      <c r="B62">
        <v>60</v>
      </c>
      <c r="C62" s="243" t="s">
        <v>123</v>
      </c>
      <c r="D62" t="s">
        <v>124</v>
      </c>
    </row>
    <row r="63" spans="2:4" ht="15">
      <c r="B63">
        <v>61</v>
      </c>
      <c r="C63" s="243" t="s">
        <v>125</v>
      </c>
      <c r="D63" t="s">
        <v>126</v>
      </c>
    </row>
    <row r="64" spans="2:4" ht="15">
      <c r="B64">
        <v>62</v>
      </c>
      <c r="C64" s="243" t="s">
        <v>127</v>
      </c>
      <c r="D64" t="s">
        <v>128</v>
      </c>
    </row>
    <row r="65" spans="2:4" ht="15">
      <c r="B65">
        <v>63</v>
      </c>
      <c r="C65" s="243" t="s">
        <v>129</v>
      </c>
      <c r="D65" t="s">
        <v>130</v>
      </c>
    </row>
    <row r="66" spans="2:4" ht="15">
      <c r="B66">
        <v>64</v>
      </c>
      <c r="C66" s="243" t="s">
        <v>131</v>
      </c>
      <c r="D66" t="s">
        <v>132</v>
      </c>
    </row>
    <row r="67" spans="2:4" ht="15">
      <c r="B67">
        <v>65</v>
      </c>
      <c r="C67" s="243" t="s">
        <v>133</v>
      </c>
      <c r="D67" t="s">
        <v>134</v>
      </c>
    </row>
    <row r="68" spans="2:4" ht="15">
      <c r="B68">
        <v>66</v>
      </c>
      <c r="C68" s="243" t="s">
        <v>135</v>
      </c>
      <c r="D68" s="61" t="s">
        <v>136</v>
      </c>
    </row>
    <row r="69" spans="2:4" ht="15">
      <c r="B69">
        <v>67</v>
      </c>
      <c r="C69" s="243" t="s">
        <v>137</v>
      </c>
      <c r="D69" s="61" t="s">
        <v>138</v>
      </c>
    </row>
    <row r="70" spans="2:4" ht="15">
      <c r="B70">
        <v>68</v>
      </c>
      <c r="C70" s="243" t="s">
        <v>139</v>
      </c>
      <c r="D70" s="61" t="s">
        <v>140</v>
      </c>
    </row>
    <row r="71" spans="2:4" ht="15">
      <c r="B71">
        <v>69</v>
      </c>
      <c r="C71" s="243" t="s">
        <v>141</v>
      </c>
      <c r="D71" s="61" t="s">
        <v>142</v>
      </c>
    </row>
    <row r="72" spans="2:4" ht="15">
      <c r="B72">
        <v>70</v>
      </c>
      <c r="C72" s="243" t="s">
        <v>143</v>
      </c>
      <c r="D72" s="61" t="s">
        <v>144</v>
      </c>
    </row>
    <row r="73" spans="2:4" ht="15">
      <c r="B73">
        <v>71</v>
      </c>
      <c r="C73" s="243" t="s">
        <v>145</v>
      </c>
      <c r="D73" s="244" t="s">
        <v>146</v>
      </c>
    </row>
    <row r="74" spans="2:4" ht="15">
      <c r="B74">
        <v>72</v>
      </c>
      <c r="C74" s="243" t="s">
        <v>147</v>
      </c>
      <c r="D74" s="244"/>
    </row>
    <row r="75" spans="2:4" ht="15">
      <c r="B75">
        <v>73</v>
      </c>
      <c r="C75" s="243" t="s">
        <v>148</v>
      </c>
      <c r="D75" s="169" t="s">
        <v>149</v>
      </c>
    </row>
    <row r="76" spans="2:4" ht="15">
      <c r="B76">
        <v>74</v>
      </c>
      <c r="C76" s="243" t="s">
        <v>150</v>
      </c>
      <c r="D76" s="169" t="s">
        <v>151</v>
      </c>
    </row>
    <row r="77" spans="2:4" ht="15">
      <c r="B77">
        <v>75</v>
      </c>
      <c r="C77" s="243" t="s">
        <v>152</v>
      </c>
      <c r="D77" s="169" t="s">
        <v>153</v>
      </c>
    </row>
    <row r="78" spans="2:4" ht="15">
      <c r="B78">
        <v>76</v>
      </c>
      <c r="C78" s="243" t="s">
        <v>154</v>
      </c>
      <c r="D78" s="169" t="s">
        <v>155</v>
      </c>
    </row>
    <row r="79" spans="2:4" ht="15">
      <c r="B79">
        <v>77</v>
      </c>
      <c r="C79" s="243" t="s">
        <v>156</v>
      </c>
      <c r="D79" s="169" t="s">
        <v>157</v>
      </c>
    </row>
    <row r="80" spans="2:4" ht="15">
      <c r="B80">
        <v>78</v>
      </c>
      <c r="C80" s="243" t="s">
        <v>158</v>
      </c>
      <c r="D80" s="169" t="s">
        <v>159</v>
      </c>
    </row>
    <row r="81" spans="2:4" ht="15">
      <c r="B81">
        <v>79</v>
      </c>
      <c r="C81" s="243" t="s">
        <v>160</v>
      </c>
      <c r="D81" s="169" t="s">
        <v>161</v>
      </c>
    </row>
    <row r="82" spans="2:4" ht="15">
      <c r="B82">
        <v>80</v>
      </c>
      <c r="C82" s="243" t="s">
        <v>162</v>
      </c>
      <c r="D82" s="169" t="s">
        <v>162</v>
      </c>
    </row>
    <row r="83" spans="2:4" ht="15">
      <c r="B83">
        <v>81</v>
      </c>
      <c r="C83" s="243" t="s">
        <v>163</v>
      </c>
      <c r="D83" s="169" t="s">
        <v>164</v>
      </c>
    </row>
    <row r="84" spans="2:4" ht="14.25">
      <c r="B84">
        <v>82</v>
      </c>
      <c r="C84" t="s">
        <v>165</v>
      </c>
      <c r="D84" t="s">
        <v>166</v>
      </c>
    </row>
    <row r="85" spans="2:4" ht="14.25">
      <c r="B85">
        <v>83</v>
      </c>
      <c r="C85" t="s">
        <v>167</v>
      </c>
      <c r="D85" t="s">
        <v>168</v>
      </c>
    </row>
    <row r="86" spans="2:4" ht="15">
      <c r="B86">
        <v>84</v>
      </c>
      <c r="C86" s="243" t="s">
        <v>169</v>
      </c>
      <c r="D86" t="s">
        <v>170</v>
      </c>
    </row>
    <row r="87" spans="2:4" ht="14.25">
      <c r="B87">
        <v>85</v>
      </c>
      <c r="C87" t="s">
        <v>171</v>
      </c>
      <c r="D87" t="s">
        <v>172</v>
      </c>
    </row>
    <row r="88" spans="2:4" ht="14.25">
      <c r="B88">
        <v>86</v>
      </c>
      <c r="C88" t="s">
        <v>173</v>
      </c>
      <c r="D88" t="s">
        <v>174</v>
      </c>
    </row>
    <row r="89" spans="2:4" ht="14.25">
      <c r="B89">
        <v>87</v>
      </c>
      <c r="C89" t="s">
        <v>419</v>
      </c>
      <c r="D89" t="s">
        <v>420</v>
      </c>
    </row>
    <row r="90" spans="2:4" ht="14.25">
      <c r="B90">
        <v>88</v>
      </c>
      <c r="C90" t="s">
        <v>59</v>
      </c>
      <c r="D90" t="s">
        <v>60</v>
      </c>
    </row>
    <row r="91" spans="2:4" ht="14.25">
      <c r="B91">
        <v>89</v>
      </c>
      <c r="C91" s="245" t="s">
        <v>175</v>
      </c>
      <c r="D91" t="s">
        <v>176</v>
      </c>
    </row>
    <row r="92" spans="2:4" ht="14.25">
      <c r="B92">
        <v>90</v>
      </c>
      <c r="C92" t="s">
        <v>177</v>
      </c>
      <c r="D92" t="s">
        <v>177</v>
      </c>
    </row>
    <row r="93" spans="2:4" ht="14.25">
      <c r="B93">
        <v>91</v>
      </c>
      <c r="C93" t="s">
        <v>178</v>
      </c>
      <c r="D93" t="s">
        <v>179</v>
      </c>
    </row>
    <row r="94" spans="2:4" ht="14.25">
      <c r="B94">
        <v>92</v>
      </c>
      <c r="C94" t="s">
        <v>1</v>
      </c>
      <c r="D94" t="s">
        <v>180</v>
      </c>
    </row>
    <row r="95" spans="2:4" ht="14.25">
      <c r="B95">
        <v>93</v>
      </c>
      <c r="C95" t="s">
        <v>2</v>
      </c>
      <c r="D95" t="s">
        <v>181</v>
      </c>
    </row>
    <row r="96" spans="2:4" ht="14.25">
      <c r="B96">
        <v>94</v>
      </c>
      <c r="C96" t="s">
        <v>3</v>
      </c>
      <c r="D96" t="s">
        <v>182</v>
      </c>
    </row>
    <row r="97" spans="2:4" ht="14.25">
      <c r="B97">
        <v>95</v>
      </c>
      <c r="C97" t="s">
        <v>4</v>
      </c>
      <c r="D97" t="s">
        <v>183</v>
      </c>
    </row>
    <row r="98" spans="2:4" ht="14.25">
      <c r="B98">
        <v>96</v>
      </c>
      <c r="C98" s="246" t="s">
        <v>184</v>
      </c>
      <c r="D98" s="246" t="s">
        <v>185</v>
      </c>
    </row>
    <row r="99" spans="2:4" ht="14.25">
      <c r="B99">
        <v>97</v>
      </c>
      <c r="C99" s="246" t="s">
        <v>186</v>
      </c>
      <c r="D99" s="246" t="s">
        <v>187</v>
      </c>
    </row>
    <row r="100" spans="2:4" ht="14.25">
      <c r="B100">
        <v>98</v>
      </c>
      <c r="C100" s="246" t="s">
        <v>188</v>
      </c>
      <c r="D100" s="246" t="s">
        <v>189</v>
      </c>
    </row>
    <row r="101" spans="2:4" ht="14.25">
      <c r="B101">
        <v>99</v>
      </c>
      <c r="C101" s="246" t="s">
        <v>190</v>
      </c>
      <c r="D101" t="s">
        <v>191</v>
      </c>
    </row>
    <row r="102" spans="2:4" ht="14.25">
      <c r="B102">
        <v>100</v>
      </c>
      <c r="C102" s="246" t="s">
        <v>360</v>
      </c>
      <c r="D102" t="s">
        <v>361</v>
      </c>
    </row>
    <row r="103" spans="2:4" ht="14.25">
      <c r="B103">
        <v>101</v>
      </c>
      <c r="C103" t="s">
        <v>192</v>
      </c>
      <c r="D103" t="s">
        <v>193</v>
      </c>
    </row>
    <row r="104" spans="2:4" ht="15" customHeight="1">
      <c r="B104">
        <v>102</v>
      </c>
      <c r="C104" t="s">
        <v>194</v>
      </c>
      <c r="D104" t="s">
        <v>195</v>
      </c>
    </row>
    <row r="105" spans="2:4" ht="14.25">
      <c r="B105">
        <v>103</v>
      </c>
      <c r="C105" t="s">
        <v>196</v>
      </c>
      <c r="D105" t="s">
        <v>197</v>
      </c>
    </row>
    <row r="106" spans="2:4" ht="14.25">
      <c r="B106">
        <v>104</v>
      </c>
      <c r="C106" t="s">
        <v>198</v>
      </c>
      <c r="D106" t="s">
        <v>199</v>
      </c>
    </row>
    <row r="107" spans="2:4" ht="14.25">
      <c r="B107">
        <v>105</v>
      </c>
      <c r="C107" s="221" t="s">
        <v>200</v>
      </c>
      <c r="D107" t="s">
        <v>201</v>
      </c>
    </row>
    <row r="108" spans="2:4" ht="14.25">
      <c r="B108">
        <v>106</v>
      </c>
      <c r="C108" s="221" t="s">
        <v>202</v>
      </c>
      <c r="D108" t="s">
        <v>203</v>
      </c>
    </row>
    <row r="109" spans="2:4" ht="14.25">
      <c r="B109">
        <v>107</v>
      </c>
      <c r="C109" t="s">
        <v>204</v>
      </c>
      <c r="D109" t="s">
        <v>205</v>
      </c>
    </row>
    <row r="110" spans="2:4" ht="14.25">
      <c r="B110">
        <v>108</v>
      </c>
      <c r="C110" s="221" t="s">
        <v>206</v>
      </c>
      <c r="D110" t="s">
        <v>207</v>
      </c>
    </row>
    <row r="111" spans="2:4" ht="14.25">
      <c r="B111">
        <v>109</v>
      </c>
      <c r="C111" s="221" t="s">
        <v>208</v>
      </c>
      <c r="D111" t="s">
        <v>209</v>
      </c>
    </row>
    <row r="112" spans="2:4" ht="14.25">
      <c r="B112">
        <v>110</v>
      </c>
      <c r="C112" s="221" t="s">
        <v>210</v>
      </c>
      <c r="D112" t="s">
        <v>211</v>
      </c>
    </row>
    <row r="113" spans="2:4" ht="14.25">
      <c r="B113">
        <v>111</v>
      </c>
      <c r="C113" s="221" t="s">
        <v>12</v>
      </c>
      <c r="D113" t="s">
        <v>212</v>
      </c>
    </row>
    <row r="114" spans="2:4" ht="14.25">
      <c r="B114">
        <v>112</v>
      </c>
      <c r="C114" s="223" t="s">
        <v>213</v>
      </c>
      <c r="D114" t="s">
        <v>214</v>
      </c>
    </row>
    <row r="115" spans="2:4" ht="14.25">
      <c r="B115">
        <v>113</v>
      </c>
      <c r="C115" s="223" t="s">
        <v>61</v>
      </c>
      <c r="D115" t="s">
        <v>62</v>
      </c>
    </row>
    <row r="116" spans="2:4" ht="14.25">
      <c r="B116">
        <v>114</v>
      </c>
      <c r="C116" s="221" t="s">
        <v>215</v>
      </c>
      <c r="D116" t="s">
        <v>216</v>
      </c>
    </row>
    <row r="117" spans="2:4" ht="14.25">
      <c r="B117">
        <v>115</v>
      </c>
      <c r="C117" s="221" t="s">
        <v>217</v>
      </c>
      <c r="D117" t="s">
        <v>218</v>
      </c>
    </row>
    <row r="118" spans="2:4" ht="14.25">
      <c r="B118">
        <v>116</v>
      </c>
      <c r="C118" s="221" t="s">
        <v>219</v>
      </c>
      <c r="D118" t="s">
        <v>220</v>
      </c>
    </row>
    <row r="119" spans="2:4" ht="15">
      <c r="B119">
        <v>117</v>
      </c>
      <c r="C119" s="243"/>
      <c r="D119" s="61"/>
    </row>
    <row r="120" spans="2:4" ht="14.25">
      <c r="B120">
        <v>118</v>
      </c>
      <c r="C120" s="216" t="s">
        <v>221</v>
      </c>
      <c r="D120" t="s">
        <v>222</v>
      </c>
    </row>
    <row r="121" spans="2:3" ht="14.25">
      <c r="B121">
        <v>119</v>
      </c>
      <c r="C121" s="234" t="s">
        <v>223</v>
      </c>
    </row>
    <row r="122" spans="2:4" ht="16.5">
      <c r="B122">
        <v>120</v>
      </c>
      <c r="C122" s="212" t="s">
        <v>63</v>
      </c>
      <c r="D122" t="s">
        <v>64</v>
      </c>
    </row>
    <row r="123" spans="2:4" ht="14.25">
      <c r="B123">
        <v>121</v>
      </c>
      <c r="C123" t="s">
        <v>224</v>
      </c>
      <c r="D123" t="s">
        <v>225</v>
      </c>
    </row>
    <row r="124" spans="2:4" ht="14.25">
      <c r="B124">
        <v>122</v>
      </c>
      <c r="C124" t="s">
        <v>226</v>
      </c>
      <c r="D124" t="s">
        <v>225</v>
      </c>
    </row>
    <row r="125" spans="2:4" ht="14.25">
      <c r="B125">
        <v>123</v>
      </c>
      <c r="C125" t="s">
        <v>227</v>
      </c>
      <c r="D125" t="s">
        <v>228</v>
      </c>
    </row>
    <row r="126" spans="2:4" ht="14.25">
      <c r="B126">
        <v>124</v>
      </c>
      <c r="C126" t="s">
        <v>229</v>
      </c>
      <c r="D126" t="s">
        <v>230</v>
      </c>
    </row>
    <row r="127" spans="2:4" ht="14.25">
      <c r="B127">
        <v>125</v>
      </c>
      <c r="C127" t="s">
        <v>231</v>
      </c>
      <c r="D127" t="s">
        <v>232</v>
      </c>
    </row>
    <row r="128" spans="2:4" ht="14.25">
      <c r="B128">
        <v>126</v>
      </c>
      <c r="C128" t="s">
        <v>233</v>
      </c>
      <c r="D128" t="s">
        <v>233</v>
      </c>
    </row>
    <row r="129" spans="2:4" ht="14.25">
      <c r="B129">
        <v>127</v>
      </c>
      <c r="C129" t="s">
        <v>234</v>
      </c>
      <c r="D129" t="s">
        <v>234</v>
      </c>
    </row>
    <row r="130" spans="2:4" ht="14.25">
      <c r="B130">
        <v>128</v>
      </c>
      <c r="C130" t="s">
        <v>235</v>
      </c>
      <c r="D130" t="s">
        <v>235</v>
      </c>
    </row>
    <row r="131" spans="2:4" ht="14.25">
      <c r="B131">
        <v>129</v>
      </c>
      <c r="C131" t="s">
        <v>236</v>
      </c>
      <c r="D131" t="s">
        <v>236</v>
      </c>
    </row>
    <row r="132" spans="2:4" ht="14.25">
      <c r="B132">
        <v>130</v>
      </c>
      <c r="C132" t="s">
        <v>237</v>
      </c>
      <c r="D132" t="s">
        <v>237</v>
      </c>
    </row>
    <row r="133" spans="2:4" ht="14.25">
      <c r="B133">
        <v>131</v>
      </c>
      <c r="C133" s="43" t="s">
        <v>238</v>
      </c>
      <c r="D133" t="s">
        <v>239</v>
      </c>
    </row>
    <row r="134" spans="2:4" ht="14.25">
      <c r="B134">
        <v>132</v>
      </c>
      <c r="C134" s="43" t="s">
        <v>240</v>
      </c>
      <c r="D134" t="s">
        <v>241</v>
      </c>
    </row>
    <row r="135" spans="2:4" ht="14.25">
      <c r="B135">
        <v>133</v>
      </c>
      <c r="C135" s="43" t="s">
        <v>242</v>
      </c>
      <c r="D135" t="s">
        <v>243</v>
      </c>
    </row>
    <row r="136" spans="2:4" ht="14.25">
      <c r="B136">
        <v>134</v>
      </c>
      <c r="C136" s="43" t="s">
        <v>244</v>
      </c>
      <c r="D136" t="s">
        <v>245</v>
      </c>
    </row>
    <row r="137" spans="2:4" ht="14.25">
      <c r="B137">
        <v>135</v>
      </c>
      <c r="C137" s="43" t="s">
        <v>111</v>
      </c>
      <c r="D137" t="s">
        <v>112</v>
      </c>
    </row>
    <row r="138" spans="2:4" ht="14.25">
      <c r="B138">
        <v>136</v>
      </c>
      <c r="C138" s="43" t="s">
        <v>246</v>
      </c>
      <c r="D138" t="s">
        <v>247</v>
      </c>
    </row>
    <row r="139" spans="2:4" ht="14.25">
      <c r="B139">
        <v>137</v>
      </c>
      <c r="C139" s="43" t="s">
        <v>248</v>
      </c>
      <c r="D139" t="s">
        <v>249</v>
      </c>
    </row>
    <row r="140" spans="2:4" ht="14.25">
      <c r="B140">
        <v>138</v>
      </c>
      <c r="C140" s="43" t="s">
        <v>250</v>
      </c>
      <c r="D140" t="s">
        <v>251</v>
      </c>
    </row>
    <row r="141" spans="2:4" ht="14.25">
      <c r="B141">
        <v>139</v>
      </c>
      <c r="C141" s="43" t="s">
        <v>252</v>
      </c>
      <c r="D141" t="s">
        <v>253</v>
      </c>
    </row>
    <row r="142" spans="2:4" ht="14.25">
      <c r="B142">
        <v>140</v>
      </c>
      <c r="C142" s="43" t="s">
        <v>254</v>
      </c>
      <c r="D142" t="s">
        <v>255</v>
      </c>
    </row>
    <row r="143" spans="2:4" ht="14.25">
      <c r="B143">
        <v>141</v>
      </c>
      <c r="C143" s="43" t="s">
        <v>256</v>
      </c>
      <c r="D143" s="61" t="s">
        <v>257</v>
      </c>
    </row>
    <row r="144" spans="2:4" ht="14.25">
      <c r="B144">
        <v>142</v>
      </c>
      <c r="C144" s="61" t="s">
        <v>258</v>
      </c>
      <c r="D144" s="61" t="s">
        <v>259</v>
      </c>
    </row>
    <row r="145" spans="2:4" ht="14.25">
      <c r="B145">
        <v>143</v>
      </c>
      <c r="C145" s="61" t="s">
        <v>260</v>
      </c>
      <c r="D145" t="s">
        <v>261</v>
      </c>
    </row>
    <row r="146" spans="2:4" ht="14.25">
      <c r="B146">
        <v>144</v>
      </c>
      <c r="C146" s="43" t="s">
        <v>262</v>
      </c>
      <c r="D146" t="s">
        <v>263</v>
      </c>
    </row>
    <row r="147" spans="2:4" ht="14.25">
      <c r="B147">
        <v>145</v>
      </c>
      <c r="C147" s="43" t="s">
        <v>264</v>
      </c>
      <c r="D147" t="s">
        <v>265</v>
      </c>
    </row>
    <row r="148" spans="2:4" ht="14.25">
      <c r="B148">
        <v>146</v>
      </c>
      <c r="C148" s="109" t="s">
        <v>266</v>
      </c>
      <c r="D148" t="s">
        <v>267</v>
      </c>
    </row>
    <row r="149" spans="2:4" ht="14.25">
      <c r="B149">
        <v>147</v>
      </c>
      <c r="C149" s="61" t="s">
        <v>268</v>
      </c>
      <c r="D149" t="s">
        <v>102</v>
      </c>
    </row>
    <row r="150" spans="2:4" ht="14.25">
      <c r="B150">
        <v>148</v>
      </c>
      <c r="C150" s="61" t="s">
        <v>269</v>
      </c>
      <c r="D150" t="s">
        <v>270</v>
      </c>
    </row>
    <row r="151" spans="2:4" ht="14.25">
      <c r="B151">
        <v>149</v>
      </c>
      <c r="C151" s="61" t="s">
        <v>271</v>
      </c>
      <c r="D151" t="s">
        <v>272</v>
      </c>
    </row>
    <row r="152" spans="2:4" ht="14.25">
      <c r="B152">
        <v>150</v>
      </c>
      <c r="C152" s="109" t="s">
        <v>273</v>
      </c>
      <c r="D152" t="s">
        <v>274</v>
      </c>
    </row>
    <row r="153" spans="2:4" ht="14.25">
      <c r="B153">
        <v>151</v>
      </c>
      <c r="C153" s="47" t="s">
        <v>275</v>
      </c>
      <c r="D153" t="s">
        <v>276</v>
      </c>
    </row>
    <row r="154" spans="2:4" ht="14.25">
      <c r="B154">
        <v>152</v>
      </c>
      <c r="C154" s="61" t="s">
        <v>277</v>
      </c>
      <c r="D154" t="s">
        <v>278</v>
      </c>
    </row>
    <row r="155" spans="2:4" ht="14.25">
      <c r="B155">
        <v>153</v>
      </c>
      <c r="C155" s="61" t="s">
        <v>279</v>
      </c>
      <c r="D155" t="s">
        <v>280</v>
      </c>
    </row>
    <row r="156" spans="2:4" ht="14.25">
      <c r="B156">
        <v>154</v>
      </c>
      <c r="C156" s="61" t="s">
        <v>281</v>
      </c>
      <c r="D156" t="s">
        <v>282</v>
      </c>
    </row>
    <row r="157" spans="2:4" ht="14.25">
      <c r="B157">
        <v>155</v>
      </c>
      <c r="C157" s="61" t="s">
        <v>283</v>
      </c>
      <c r="D157" t="s">
        <v>284</v>
      </c>
    </row>
    <row r="158" spans="2:4" ht="14.25">
      <c r="B158">
        <v>156</v>
      </c>
      <c r="C158" s="61" t="s">
        <v>285</v>
      </c>
      <c r="D158" t="s">
        <v>286</v>
      </c>
    </row>
    <row r="159" spans="2:4" ht="14.25">
      <c r="B159">
        <v>157</v>
      </c>
      <c r="C159" s="61" t="s">
        <v>287</v>
      </c>
      <c r="D159" t="s">
        <v>288</v>
      </c>
    </row>
    <row r="160" spans="2:4" ht="14.25">
      <c r="B160">
        <v>158</v>
      </c>
      <c r="C160" s="61" t="s">
        <v>289</v>
      </c>
      <c r="D160" t="s">
        <v>290</v>
      </c>
    </row>
    <row r="161" spans="2:4" ht="14.25">
      <c r="B161">
        <v>159</v>
      </c>
      <c r="C161" s="122" t="s">
        <v>291</v>
      </c>
      <c r="D161" t="s">
        <v>292</v>
      </c>
    </row>
    <row r="162" spans="2:4" ht="14.25">
      <c r="B162">
        <v>160</v>
      </c>
      <c r="C162" s="122" t="s">
        <v>293</v>
      </c>
      <c r="D162" t="s">
        <v>294</v>
      </c>
    </row>
    <row r="163" spans="2:4" ht="14.25">
      <c r="B163">
        <v>161</v>
      </c>
      <c r="C163" s="61" t="s">
        <v>55</v>
      </c>
      <c r="D163" t="s">
        <v>56</v>
      </c>
    </row>
    <row r="164" spans="2:4" ht="14.25">
      <c r="B164">
        <v>162</v>
      </c>
      <c r="C164" s="61" t="s">
        <v>295</v>
      </c>
      <c r="D164" t="s">
        <v>296</v>
      </c>
    </row>
    <row r="165" spans="2:5" ht="15">
      <c r="B165">
        <v>163</v>
      </c>
      <c r="C165" s="61" t="s">
        <v>297</v>
      </c>
      <c r="D165" t="s">
        <v>298</v>
      </c>
      <c r="E165" s="247"/>
    </row>
    <row r="166" spans="2:4" ht="14.25">
      <c r="B166">
        <v>164</v>
      </c>
      <c r="C166" t="s">
        <v>299</v>
      </c>
      <c r="D166" t="s">
        <v>300</v>
      </c>
    </row>
    <row r="167" spans="2:4" ht="14.25">
      <c r="B167">
        <v>165</v>
      </c>
      <c r="C167" s="248" t="s">
        <v>301</v>
      </c>
      <c r="D167" t="s">
        <v>302</v>
      </c>
    </row>
    <row r="168" spans="2:4" ht="14.25">
      <c r="B168">
        <v>166</v>
      </c>
      <c r="C168" s="169" t="s">
        <v>295</v>
      </c>
      <c r="D168" t="s">
        <v>296</v>
      </c>
    </row>
    <row r="169" spans="2:4" ht="14.25">
      <c r="B169">
        <v>167</v>
      </c>
      <c r="C169" t="s">
        <v>1</v>
      </c>
      <c r="D169" t="s">
        <v>180</v>
      </c>
    </row>
    <row r="170" spans="2:4" ht="14.25">
      <c r="B170">
        <v>168</v>
      </c>
      <c r="C170" t="s">
        <v>2</v>
      </c>
      <c r="D170" t="s">
        <v>181</v>
      </c>
    </row>
    <row r="171" spans="2:4" ht="14.25">
      <c r="B171">
        <v>169</v>
      </c>
      <c r="C171" t="s">
        <v>3</v>
      </c>
      <c r="D171" t="s">
        <v>182</v>
      </c>
    </row>
    <row r="172" spans="2:4" ht="14.25">
      <c r="B172">
        <v>170</v>
      </c>
      <c r="C172" t="s">
        <v>4</v>
      </c>
      <c r="D172" t="s">
        <v>183</v>
      </c>
    </row>
    <row r="173" spans="2:4" ht="14.25">
      <c r="B173">
        <v>171</v>
      </c>
      <c r="C173" t="s">
        <v>303</v>
      </c>
      <c r="D173" t="s">
        <v>304</v>
      </c>
    </row>
    <row r="174" spans="2:4" ht="14.25">
      <c r="B174">
        <v>172</v>
      </c>
      <c r="C174" t="s">
        <v>169</v>
      </c>
      <c r="D174" t="s">
        <v>170</v>
      </c>
    </row>
    <row r="175" spans="2:4" ht="14.25">
      <c r="B175">
        <v>173</v>
      </c>
      <c r="C175" t="s">
        <v>423</v>
      </c>
      <c r="D175" s="191" t="s">
        <v>425</v>
      </c>
    </row>
    <row r="176" spans="2:4" ht="14.25">
      <c r="B176">
        <v>174</v>
      </c>
      <c r="C176" t="s">
        <v>424</v>
      </c>
      <c r="D176" s="191" t="s">
        <v>422</v>
      </c>
    </row>
    <row r="177" spans="2:4" ht="14.25">
      <c r="B177">
        <v>175</v>
      </c>
      <c r="C177" s="194" t="s">
        <v>28</v>
      </c>
      <c r="D177" t="s">
        <v>29</v>
      </c>
    </row>
    <row r="178" spans="2:4" ht="14.25">
      <c r="B178">
        <v>176</v>
      </c>
      <c r="C178" s="194" t="s">
        <v>305</v>
      </c>
      <c r="D178" s="41" t="s">
        <v>306</v>
      </c>
    </row>
    <row r="179" spans="2:4" ht="14.25">
      <c r="B179">
        <v>177</v>
      </c>
      <c r="C179" s="194" t="s">
        <v>307</v>
      </c>
      <c r="D179" t="s">
        <v>308</v>
      </c>
    </row>
    <row r="180" spans="2:4" ht="14.25">
      <c r="B180">
        <v>178</v>
      </c>
      <c r="C180" s="194" t="s">
        <v>309</v>
      </c>
      <c r="D180" t="s">
        <v>310</v>
      </c>
    </row>
    <row r="181" spans="2:4" ht="14.25">
      <c r="B181">
        <v>179</v>
      </c>
      <c r="C181" s="194" t="s">
        <v>311</v>
      </c>
      <c r="D181" t="s">
        <v>312</v>
      </c>
    </row>
    <row r="182" spans="2:4" ht="14.25">
      <c r="B182">
        <v>180</v>
      </c>
      <c r="C182" s="194" t="s">
        <v>313</v>
      </c>
      <c r="D182" t="s">
        <v>314</v>
      </c>
    </row>
    <row r="183" spans="2:4" ht="14.25">
      <c r="B183">
        <v>181</v>
      </c>
      <c r="C183" s="194" t="s">
        <v>8</v>
      </c>
      <c r="D183" t="s">
        <v>8</v>
      </c>
    </row>
    <row r="184" spans="2:4" ht="14.25">
      <c r="B184">
        <v>182</v>
      </c>
      <c r="C184" s="194" t="s">
        <v>10</v>
      </c>
      <c r="D184" t="s">
        <v>10</v>
      </c>
    </row>
    <row r="185" spans="2:4" ht="14.25">
      <c r="B185">
        <v>183</v>
      </c>
      <c r="C185" s="194" t="s">
        <v>11</v>
      </c>
      <c r="D185" t="s">
        <v>39</v>
      </c>
    </row>
    <row r="186" spans="2:4" ht="14.25">
      <c r="B186">
        <v>184</v>
      </c>
      <c r="C186" t="s">
        <v>315</v>
      </c>
      <c r="D186" t="s">
        <v>316</v>
      </c>
    </row>
    <row r="187" spans="2:4" ht="14.25">
      <c r="B187">
        <v>185</v>
      </c>
      <c r="C187" t="s">
        <v>317</v>
      </c>
      <c r="D187" t="s">
        <v>318</v>
      </c>
    </row>
    <row r="188" spans="2:4" ht="14.25">
      <c r="B188">
        <v>186</v>
      </c>
      <c r="C188" t="s">
        <v>319</v>
      </c>
      <c r="D188" t="s">
        <v>320</v>
      </c>
    </row>
    <row r="189" spans="2:4" ht="14.25">
      <c r="B189">
        <v>187</v>
      </c>
      <c r="C189" t="s">
        <v>321</v>
      </c>
      <c r="D189" t="s">
        <v>272</v>
      </c>
    </row>
    <row r="190" spans="2:3" ht="14.25">
      <c r="B190">
        <v>188</v>
      </c>
      <c r="C190" s="221" t="s">
        <v>322</v>
      </c>
    </row>
    <row r="191" spans="2:3" ht="14.25">
      <c r="B191">
        <v>189</v>
      </c>
      <c r="C191" s="221" t="s">
        <v>323</v>
      </c>
    </row>
    <row r="192" spans="2:3" ht="14.25">
      <c r="B192">
        <v>190</v>
      </c>
      <c r="C192" s="221" t="s">
        <v>324</v>
      </c>
    </row>
    <row r="193" spans="2:4" ht="14.25">
      <c r="B193">
        <v>191</v>
      </c>
      <c r="C193" s="221" t="s">
        <v>206</v>
      </c>
      <c r="D193" t="s">
        <v>207</v>
      </c>
    </row>
    <row r="194" spans="2:3" ht="14.25">
      <c r="B194">
        <v>192</v>
      </c>
      <c r="C194" s="221" t="s">
        <v>208</v>
      </c>
    </row>
    <row r="195" spans="2:3" ht="14.25">
      <c r="B195">
        <v>193</v>
      </c>
      <c r="C195" s="221" t="s">
        <v>12</v>
      </c>
    </row>
    <row r="196" spans="2:3" ht="14.25">
      <c r="B196">
        <v>194</v>
      </c>
      <c r="C196" s="223" t="s">
        <v>213</v>
      </c>
    </row>
    <row r="197" spans="2:3" ht="14.25">
      <c r="B197">
        <v>195</v>
      </c>
      <c r="C197" s="221" t="s">
        <v>325</v>
      </c>
    </row>
    <row r="198" spans="2:3" ht="14.25">
      <c r="B198">
        <v>196</v>
      </c>
      <c r="C198" s="221" t="s">
        <v>326</v>
      </c>
    </row>
    <row r="199" spans="2:3" ht="14.25">
      <c r="B199">
        <v>197</v>
      </c>
      <c r="C199" s="221" t="s">
        <v>210</v>
      </c>
    </row>
    <row r="200" spans="2:3" ht="14.25">
      <c r="B200">
        <v>198</v>
      </c>
      <c r="C200" s="221" t="s">
        <v>202</v>
      </c>
    </row>
    <row r="201" spans="2:3" ht="14.25">
      <c r="B201">
        <v>199</v>
      </c>
      <c r="C201" s="221" t="s">
        <v>327</v>
      </c>
    </row>
    <row r="202" spans="2:3" ht="14.25">
      <c r="B202">
        <v>200</v>
      </c>
      <c r="C202" s="221" t="s">
        <v>200</v>
      </c>
    </row>
    <row r="203" spans="2:3" ht="14.25">
      <c r="B203">
        <v>201</v>
      </c>
      <c r="C203" s="221" t="s">
        <v>328</v>
      </c>
    </row>
    <row r="204" spans="2:3" ht="14.25">
      <c r="B204">
        <v>202</v>
      </c>
      <c r="C204" s="223" t="s">
        <v>329</v>
      </c>
    </row>
    <row r="205" spans="2:4" ht="14.25">
      <c r="B205">
        <v>203</v>
      </c>
      <c r="C205" s="221" t="s">
        <v>330</v>
      </c>
      <c r="D205" t="s">
        <v>331</v>
      </c>
    </row>
    <row r="206" spans="2:4" ht="14.25">
      <c r="B206">
        <v>204</v>
      </c>
      <c r="C206" s="221" t="s">
        <v>332</v>
      </c>
      <c r="D206" t="s">
        <v>332</v>
      </c>
    </row>
    <row r="207" spans="2:4" ht="14.25">
      <c r="B207">
        <v>205</v>
      </c>
      <c r="C207" s="221" t="s">
        <v>333</v>
      </c>
      <c r="D207" s="221" t="s">
        <v>334</v>
      </c>
    </row>
    <row r="208" spans="2:4" ht="14.25">
      <c r="B208">
        <v>206</v>
      </c>
      <c r="C208" t="s">
        <v>335</v>
      </c>
      <c r="D208" t="s">
        <v>336</v>
      </c>
    </row>
    <row r="209" spans="2:4" ht="14.25">
      <c r="B209">
        <v>207</v>
      </c>
      <c r="C209" t="s">
        <v>337</v>
      </c>
      <c r="D209" t="s">
        <v>338</v>
      </c>
    </row>
    <row r="210" spans="2:4" ht="14.25">
      <c r="B210">
        <v>208</v>
      </c>
      <c r="C210" s="221" t="s">
        <v>339</v>
      </c>
      <c r="D210" t="s">
        <v>340</v>
      </c>
    </row>
    <row r="211" spans="2:4" ht="14.25">
      <c r="B211">
        <v>209</v>
      </c>
      <c r="C211" s="221" t="s">
        <v>200</v>
      </c>
      <c r="D211" t="s">
        <v>201</v>
      </c>
    </row>
    <row r="212" spans="2:4" ht="14.25">
      <c r="B212">
        <v>210</v>
      </c>
      <c r="C212" s="221" t="s">
        <v>341</v>
      </c>
      <c r="D212" t="s">
        <v>342</v>
      </c>
    </row>
    <row r="213" spans="2:4" ht="14.25">
      <c r="B213">
        <v>211</v>
      </c>
      <c r="C213" s="221" t="s">
        <v>343</v>
      </c>
      <c r="D213" t="s">
        <v>367</v>
      </c>
    </row>
    <row r="214" spans="2:4" ht="14.25">
      <c r="B214">
        <v>212</v>
      </c>
      <c r="C214" s="221" t="s">
        <v>344</v>
      </c>
      <c r="D214" t="s">
        <v>345</v>
      </c>
    </row>
    <row r="215" spans="2:4" ht="14.25">
      <c r="B215">
        <v>213</v>
      </c>
      <c r="C215" s="221" t="s">
        <v>346</v>
      </c>
      <c r="D215" t="s">
        <v>347</v>
      </c>
    </row>
    <row r="216" spans="2:4" ht="14.25">
      <c r="B216">
        <v>214</v>
      </c>
      <c r="C216" s="221" t="s">
        <v>206</v>
      </c>
      <c r="D216" t="s">
        <v>207</v>
      </c>
    </row>
    <row r="217" spans="2:4" ht="14.25">
      <c r="B217">
        <v>215</v>
      </c>
      <c r="C217" s="221" t="s">
        <v>12</v>
      </c>
      <c r="D217" t="s">
        <v>348</v>
      </c>
    </row>
    <row r="218" spans="2:4" ht="14.25">
      <c r="B218">
        <v>216</v>
      </c>
      <c r="C218" s="221" t="s">
        <v>328</v>
      </c>
      <c r="D218" t="s">
        <v>349</v>
      </c>
    </row>
    <row r="219" spans="2:4" ht="14.25">
      <c r="B219">
        <v>217</v>
      </c>
      <c r="C219" s="221" t="s">
        <v>350</v>
      </c>
      <c r="D219" t="s">
        <v>331</v>
      </c>
    </row>
    <row r="220" spans="2:8" ht="15" customHeight="1">
      <c r="B220">
        <v>218</v>
      </c>
      <c r="C220" s="221" t="s">
        <v>351</v>
      </c>
      <c r="D220" s="221" t="s">
        <v>352</v>
      </c>
      <c r="E220" s="221"/>
      <c r="F220" s="221"/>
      <c r="G220" s="221"/>
      <c r="H220" s="221"/>
    </row>
    <row r="221" spans="2:4" ht="15" customHeight="1">
      <c r="B221">
        <v>219</v>
      </c>
      <c r="C221" t="s">
        <v>399</v>
      </c>
      <c r="D221" t="s">
        <v>353</v>
      </c>
    </row>
    <row r="222" spans="2:4" ht="14.25">
      <c r="B222">
        <v>220</v>
      </c>
      <c r="C222" t="s">
        <v>354</v>
      </c>
      <c r="D222" t="s">
        <v>355</v>
      </c>
    </row>
    <row r="223" spans="2:4" ht="14.25">
      <c r="B223">
        <v>221</v>
      </c>
      <c r="C223" t="s">
        <v>356</v>
      </c>
      <c r="D223" t="s">
        <v>357</v>
      </c>
    </row>
    <row r="224" spans="2:4" ht="14.25">
      <c r="B224">
        <v>222</v>
      </c>
      <c r="C224" t="s">
        <v>364</v>
      </c>
      <c r="D224" t="s">
        <v>364</v>
      </c>
    </row>
    <row r="225" spans="2:4" ht="14.25">
      <c r="B225">
        <v>223</v>
      </c>
      <c r="C225" t="s">
        <v>362</v>
      </c>
      <c r="D225" t="s">
        <v>363</v>
      </c>
    </row>
    <row r="226" spans="2:4" ht="14.25">
      <c r="B226">
        <v>224</v>
      </c>
      <c r="C226" t="s">
        <v>365</v>
      </c>
      <c r="D226" t="s">
        <v>366</v>
      </c>
    </row>
    <row r="227" spans="2:4" ht="14.25">
      <c r="B227">
        <v>225</v>
      </c>
      <c r="C227" t="s">
        <v>358</v>
      </c>
      <c r="D227" t="s">
        <v>359</v>
      </c>
    </row>
    <row r="228" spans="2:4" ht="14.25">
      <c r="B228">
        <v>226</v>
      </c>
      <c r="C228" t="s">
        <v>368</v>
      </c>
      <c r="D228" t="s">
        <v>369</v>
      </c>
    </row>
    <row r="229" spans="2:4" ht="14.25">
      <c r="B229">
        <v>227</v>
      </c>
      <c r="C229" s="246" t="s">
        <v>360</v>
      </c>
      <c r="D229" t="s">
        <v>361</v>
      </c>
    </row>
    <row r="230" spans="2:4" ht="14.25">
      <c r="B230">
        <v>228</v>
      </c>
      <c r="C230" t="s">
        <v>398</v>
      </c>
      <c r="D230" t="s">
        <v>370</v>
      </c>
    </row>
    <row r="231" spans="2:4" ht="14.25">
      <c r="B231">
        <v>229</v>
      </c>
      <c r="C231" t="s">
        <v>371</v>
      </c>
      <c r="D231" t="s">
        <v>372</v>
      </c>
    </row>
    <row r="232" spans="2:4" ht="14.25">
      <c r="B232">
        <v>230</v>
      </c>
      <c r="C232" s="223" t="s">
        <v>17</v>
      </c>
      <c r="D232" t="s">
        <v>18</v>
      </c>
    </row>
    <row r="233" spans="2:4" ht="14.25">
      <c r="B233">
        <v>231</v>
      </c>
      <c r="C233" s="221" t="s">
        <v>373</v>
      </c>
      <c r="D233" t="s">
        <v>374</v>
      </c>
    </row>
    <row r="234" spans="2:4" ht="14.25">
      <c r="B234">
        <v>232</v>
      </c>
      <c r="C234" s="221" t="s">
        <v>26</v>
      </c>
      <c r="D234" t="s">
        <v>27</v>
      </c>
    </row>
    <row r="235" spans="2:4" ht="14.25">
      <c r="B235">
        <v>233</v>
      </c>
      <c r="C235" s="221" t="s">
        <v>375</v>
      </c>
      <c r="D235" t="s">
        <v>376</v>
      </c>
    </row>
    <row r="236" spans="2:4" ht="14.25">
      <c r="B236">
        <v>234</v>
      </c>
      <c r="C236" s="221" t="s">
        <v>377</v>
      </c>
      <c r="D236" t="s">
        <v>378</v>
      </c>
    </row>
    <row r="237" spans="2:4" ht="14.25">
      <c r="B237">
        <v>235</v>
      </c>
      <c r="C237" s="221" t="s">
        <v>32</v>
      </c>
      <c r="D237" t="s">
        <v>32</v>
      </c>
    </row>
    <row r="238" spans="2:4" ht="14.25">
      <c r="B238">
        <v>236</v>
      </c>
      <c r="C238" s="221" t="s">
        <v>379</v>
      </c>
      <c r="D238" t="s">
        <v>380</v>
      </c>
    </row>
    <row r="239" spans="2:4" ht="14.25">
      <c r="B239">
        <v>237</v>
      </c>
      <c r="C239" s="221" t="s">
        <v>34</v>
      </c>
      <c r="D239" t="s">
        <v>34</v>
      </c>
    </row>
    <row r="240" spans="2:4" ht="14.25">
      <c r="B240">
        <v>238</v>
      </c>
      <c r="C240" s="221" t="s">
        <v>381</v>
      </c>
      <c r="D240" t="s">
        <v>38</v>
      </c>
    </row>
    <row r="241" spans="2:4" ht="14.25">
      <c r="B241">
        <v>239</v>
      </c>
      <c r="C241" s="221" t="s">
        <v>382</v>
      </c>
      <c r="D241" t="s">
        <v>383</v>
      </c>
    </row>
    <row r="242" spans="2:4" ht="14.25">
      <c r="B242">
        <v>240</v>
      </c>
      <c r="C242" s="221" t="s">
        <v>384</v>
      </c>
      <c r="D242" t="s">
        <v>385</v>
      </c>
    </row>
    <row r="243" spans="2:4" ht="14.25">
      <c r="B243">
        <v>241</v>
      </c>
      <c r="C243" s="221" t="s">
        <v>386</v>
      </c>
      <c r="D243" t="s">
        <v>387</v>
      </c>
    </row>
    <row r="244" spans="2:4" ht="14.25">
      <c r="B244">
        <v>242</v>
      </c>
      <c r="C244" s="221" t="s">
        <v>388</v>
      </c>
      <c r="D244" t="s">
        <v>389</v>
      </c>
    </row>
    <row r="245" spans="2:4" ht="14.25">
      <c r="B245">
        <v>243</v>
      </c>
      <c r="C245" t="s">
        <v>390</v>
      </c>
      <c r="D245" t="s">
        <v>391</v>
      </c>
    </row>
    <row r="246" spans="2:4" ht="14.25">
      <c r="B246">
        <v>244</v>
      </c>
      <c r="C246" t="s">
        <v>392</v>
      </c>
      <c r="D246" t="s">
        <v>393</v>
      </c>
    </row>
    <row r="247" spans="2:4" ht="15">
      <c r="B247">
        <v>245</v>
      </c>
      <c r="C247" s="243" t="s">
        <v>394</v>
      </c>
      <c r="D247" s="243" t="s">
        <v>395</v>
      </c>
    </row>
    <row r="248" spans="2:4" ht="14.25">
      <c r="B248">
        <v>246</v>
      </c>
      <c r="C248" s="221" t="s">
        <v>396</v>
      </c>
      <c r="D248" t="s">
        <v>396</v>
      </c>
    </row>
    <row r="249" spans="2:4" ht="14.25">
      <c r="B249">
        <v>247</v>
      </c>
      <c r="C249" t="s">
        <v>400</v>
      </c>
      <c r="D249" t="s">
        <v>401</v>
      </c>
    </row>
    <row r="250" spans="2:4" ht="14.25">
      <c r="B250">
        <v>248</v>
      </c>
      <c r="C250" t="s">
        <v>402</v>
      </c>
      <c r="D250" t="s">
        <v>403</v>
      </c>
    </row>
    <row r="251" spans="2:4" ht="14.25">
      <c r="B251">
        <v>249</v>
      </c>
      <c r="C251" t="s">
        <v>404</v>
      </c>
      <c r="D251" t="s">
        <v>405</v>
      </c>
    </row>
    <row r="252" spans="2:4" ht="14.25">
      <c r="B252">
        <v>250</v>
      </c>
      <c r="C252" t="s">
        <v>406</v>
      </c>
      <c r="D252" t="s">
        <v>407</v>
      </c>
    </row>
    <row r="253" spans="2:4" ht="14.25">
      <c r="B253">
        <v>251</v>
      </c>
      <c r="C253" t="s">
        <v>408</v>
      </c>
      <c r="D253" t="s">
        <v>409</v>
      </c>
    </row>
    <row r="254" spans="2:4" ht="14.25">
      <c r="B254">
        <v>252</v>
      </c>
      <c r="C254" t="s">
        <v>410</v>
      </c>
      <c r="D254" t="s">
        <v>411</v>
      </c>
    </row>
    <row r="255" spans="2:4" ht="14.25">
      <c r="B255">
        <v>253</v>
      </c>
      <c r="C255" t="s">
        <v>412</v>
      </c>
      <c r="D255" t="s">
        <v>413</v>
      </c>
    </row>
    <row r="256" spans="2:4" ht="14.25">
      <c r="B256">
        <v>254</v>
      </c>
      <c r="C256" t="s">
        <v>414</v>
      </c>
      <c r="D256" t="s">
        <v>415</v>
      </c>
    </row>
    <row r="257" spans="2:4" ht="14.25">
      <c r="B257">
        <v>255</v>
      </c>
      <c r="C257" t="s">
        <v>416</v>
      </c>
      <c r="D257" t="s">
        <v>417</v>
      </c>
    </row>
    <row r="258" spans="2:4" ht="14.25">
      <c r="B258">
        <v>256</v>
      </c>
      <c r="C258" t="s">
        <v>434</v>
      </c>
      <c r="D258" t="s">
        <v>435</v>
      </c>
    </row>
    <row r="259" spans="2:4" ht="14.25">
      <c r="B259">
        <v>257</v>
      </c>
      <c r="C259" t="s">
        <v>431</v>
      </c>
      <c r="D259" t="s">
        <v>432</v>
      </c>
    </row>
    <row r="260" spans="2:4" ht="14.25">
      <c r="B260">
        <v>258</v>
      </c>
      <c r="C260" t="s">
        <v>428</v>
      </c>
      <c r="D260" t="s">
        <v>429</v>
      </c>
    </row>
    <row r="1000" ht="14.25">
      <c r="A1000" t="s">
        <v>397</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I1" sqref="I1:I16384"/>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6.5">
      <c r="A1" s="29" t="str">
        <f>HLOOKUP(INDICE!$F$2,Nombres!$C$3:$D$636,14,FALSE)</f>
        <v>Argentina</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5">
        <f>+España!B6</f>
        <v>2019</v>
      </c>
      <c r="C6" s="305"/>
      <c r="D6" s="305"/>
      <c r="E6" s="306"/>
      <c r="F6" s="305">
        <f>+España!F6</f>
        <v>2020</v>
      </c>
      <c r="G6" s="305"/>
      <c r="H6" s="305"/>
      <c r="I6" s="305"/>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218.80300000000005</v>
      </c>
      <c r="C8" s="41">
        <v>307.63999999999993</v>
      </c>
      <c r="D8" s="41">
        <v>215.182</v>
      </c>
      <c r="E8" s="42">
        <v>298.85300000000007</v>
      </c>
      <c r="F8" s="52">
        <v>241.80299999999994</v>
      </c>
      <c r="G8" s="52">
        <v>199.958</v>
      </c>
      <c r="H8" s="52">
        <v>170.69600000000008</v>
      </c>
      <c r="I8" s="52">
        <v>0</v>
      </c>
    </row>
    <row r="9" spans="1:9" ht="14.25">
      <c r="A9" s="43" t="str">
        <f>HLOOKUP(INDICE!$F$2,Nombres!$C$3:$D$636,34,FALSE)</f>
        <v>Comisiones netas</v>
      </c>
      <c r="B9" s="44">
        <v>31.99135007999999</v>
      </c>
      <c r="C9" s="44">
        <v>53.868073810000006</v>
      </c>
      <c r="D9" s="44">
        <v>17.358043630000004</v>
      </c>
      <c r="E9" s="45">
        <v>30.810872999999987</v>
      </c>
      <c r="F9" s="44">
        <v>26.540583739999988</v>
      </c>
      <c r="G9" s="44">
        <v>39.096000010000004</v>
      </c>
      <c r="H9" s="44">
        <v>35.084584650000004</v>
      </c>
      <c r="I9" s="44">
        <v>0</v>
      </c>
    </row>
    <row r="10" spans="1:9" ht="14.25">
      <c r="A10" s="43" t="str">
        <f>HLOOKUP(INDICE!$F$2,Nombres!$C$3:$D$636,35,FALSE)</f>
        <v>Resultados de operaciones financieras</v>
      </c>
      <c r="B10" s="44">
        <v>136.71650434999998</v>
      </c>
      <c r="C10" s="44">
        <v>41.24706275000001</v>
      </c>
      <c r="D10" s="44">
        <v>36.24441836000001</v>
      </c>
      <c r="E10" s="45">
        <v>83.88556699999998</v>
      </c>
      <c r="F10" s="44">
        <v>25.751163390000002</v>
      </c>
      <c r="G10" s="44">
        <v>22.934604999999998</v>
      </c>
      <c r="H10" s="44">
        <v>20.087802110000002</v>
      </c>
      <c r="I10" s="44">
        <v>0</v>
      </c>
    </row>
    <row r="11" spans="1:9" ht="14.25">
      <c r="A11" s="43" t="str">
        <f>HLOOKUP(INDICE!$F$2,Nombres!$C$3:$D$636,36,FALSE)</f>
        <v>Otros ingresos y cargas de explotación</v>
      </c>
      <c r="B11" s="44">
        <v>-108.839</v>
      </c>
      <c r="C11" s="44">
        <v>-106.079</v>
      </c>
      <c r="D11" s="44">
        <v>-85.68499999999997</v>
      </c>
      <c r="E11" s="45">
        <v>-141.24200000000002</v>
      </c>
      <c r="F11" s="44">
        <v>-84.321</v>
      </c>
      <c r="G11" s="44">
        <v>-65.797</v>
      </c>
      <c r="H11" s="44">
        <v>-67.18100000000001</v>
      </c>
      <c r="I11" s="44">
        <v>0</v>
      </c>
    </row>
    <row r="12" spans="1:9" ht="14.25">
      <c r="A12" s="41" t="str">
        <f>HLOOKUP(INDICE!$F$2,Nombres!$C$3:$D$636,37,FALSE)</f>
        <v>Margen bruto</v>
      </c>
      <c r="B12" s="41">
        <f>+SUM(B8:B11)</f>
        <v>278.67185443</v>
      </c>
      <c r="C12" s="41">
        <f aca="true" t="shared" si="0" ref="C12:I12">+SUM(C8:C11)</f>
        <v>296.6761365599999</v>
      </c>
      <c r="D12" s="41">
        <f t="shared" si="0"/>
        <v>183.09946199000004</v>
      </c>
      <c r="E12" s="42">
        <f t="shared" si="0"/>
        <v>272.30744000000004</v>
      </c>
      <c r="F12" s="52">
        <f t="shared" si="0"/>
        <v>209.77374712999992</v>
      </c>
      <c r="G12" s="52">
        <f t="shared" si="0"/>
        <v>196.19160501000002</v>
      </c>
      <c r="H12" s="52">
        <f t="shared" si="0"/>
        <v>158.6873867600001</v>
      </c>
      <c r="I12" s="52">
        <f t="shared" si="0"/>
        <v>0</v>
      </c>
    </row>
    <row r="13" spans="1:9" ht="14.25">
      <c r="A13" s="43" t="str">
        <f>HLOOKUP(INDICE!$F$2,Nombres!$C$3:$D$636,38,FALSE)</f>
        <v>Gastos de explotación</v>
      </c>
      <c r="B13" s="44">
        <v>-104.91064276</v>
      </c>
      <c r="C13" s="44">
        <v>-135.33064227</v>
      </c>
      <c r="D13" s="44">
        <v>-96.90064227</v>
      </c>
      <c r="E13" s="45">
        <v>-145.91062627</v>
      </c>
      <c r="F13" s="44">
        <v>-117.91999933</v>
      </c>
      <c r="G13" s="44">
        <v>-98.427</v>
      </c>
      <c r="H13" s="44">
        <v>-93.79025886999997</v>
      </c>
      <c r="I13" s="44">
        <v>0</v>
      </c>
    </row>
    <row r="14" spans="1:9" ht="14.25">
      <c r="A14" s="43" t="str">
        <f>HLOOKUP(INDICE!$F$2,Nombres!$C$3:$D$636,39,FALSE)</f>
        <v>  Gastos de administración</v>
      </c>
      <c r="B14" s="44">
        <v>-94.68664276000001</v>
      </c>
      <c r="C14" s="44">
        <v>-122.40764227</v>
      </c>
      <c r="D14" s="44">
        <v>-89.45064227</v>
      </c>
      <c r="E14" s="45">
        <v>-128.76862626999997</v>
      </c>
      <c r="F14" s="44">
        <v>-105.94299932999999</v>
      </c>
      <c r="G14" s="44">
        <v>-88.497</v>
      </c>
      <c r="H14" s="44">
        <v>-85.48925886999999</v>
      </c>
      <c r="I14" s="44">
        <v>0</v>
      </c>
    </row>
    <row r="15" spans="1:9" ht="14.25">
      <c r="A15" s="46" t="str">
        <f>HLOOKUP(INDICE!$F$2,Nombres!$C$3:$D$636,40,FALSE)</f>
        <v>  Gastos de personal</v>
      </c>
      <c r="B15" s="44">
        <v>-59.402</v>
      </c>
      <c r="C15" s="44">
        <v>-76.21700000000001</v>
      </c>
      <c r="D15" s="44">
        <v>-47.13999999999999</v>
      </c>
      <c r="E15" s="45">
        <v>-71.88399999999999</v>
      </c>
      <c r="F15" s="44">
        <v>-64.475</v>
      </c>
      <c r="G15" s="44">
        <v>-48.109</v>
      </c>
      <c r="H15" s="44">
        <v>-47.056</v>
      </c>
      <c r="I15" s="44">
        <v>0</v>
      </c>
    </row>
    <row r="16" spans="1:9" ht="14.25">
      <c r="A16" s="46" t="str">
        <f>HLOOKUP(INDICE!$F$2,Nombres!$C$3:$D$636,41,FALSE)</f>
        <v>  Otros gastos de administración</v>
      </c>
      <c r="B16" s="44">
        <v>-35.28464276</v>
      </c>
      <c r="C16" s="44">
        <v>-46.19064227</v>
      </c>
      <c r="D16" s="44">
        <v>-42.31064227</v>
      </c>
      <c r="E16" s="45">
        <v>-56.88462627</v>
      </c>
      <c r="F16" s="44">
        <v>-41.46799932999999</v>
      </c>
      <c r="G16" s="44">
        <v>-40.388000000000005</v>
      </c>
      <c r="H16" s="44">
        <v>-38.43325886999999</v>
      </c>
      <c r="I16" s="44">
        <v>0</v>
      </c>
    </row>
    <row r="17" spans="1:9" ht="14.25">
      <c r="A17" s="43" t="str">
        <f>HLOOKUP(INDICE!$F$2,Nombres!$C$3:$D$636,42,FALSE)</f>
        <v>  Amortización</v>
      </c>
      <c r="B17" s="44">
        <v>-10.224</v>
      </c>
      <c r="C17" s="44">
        <v>-12.923</v>
      </c>
      <c r="D17" s="44">
        <v>-7.45</v>
      </c>
      <c r="E17" s="45">
        <v>-17.142</v>
      </c>
      <c r="F17" s="44">
        <v>-11.977</v>
      </c>
      <c r="G17" s="44">
        <v>-9.93</v>
      </c>
      <c r="H17" s="44">
        <v>-8.300999999999998</v>
      </c>
      <c r="I17" s="44">
        <v>0</v>
      </c>
    </row>
    <row r="18" spans="1:9" ht="14.25">
      <c r="A18" s="41" t="str">
        <f>HLOOKUP(INDICE!$F$2,Nombres!$C$3:$D$636,43,FALSE)</f>
        <v>Margen neto</v>
      </c>
      <c r="B18" s="41">
        <f>+B12+B13</f>
        <v>173.76121167</v>
      </c>
      <c r="C18" s="41">
        <f aca="true" t="shared" si="1" ref="C18:I18">+C12+C13</f>
        <v>161.34549428999992</v>
      </c>
      <c r="D18" s="41">
        <f t="shared" si="1"/>
        <v>86.19881972000003</v>
      </c>
      <c r="E18" s="42">
        <f t="shared" si="1"/>
        <v>126.39681373000005</v>
      </c>
      <c r="F18" s="52">
        <f t="shared" si="1"/>
        <v>91.85374779999992</v>
      </c>
      <c r="G18" s="52">
        <f t="shared" si="1"/>
        <v>97.76460501000001</v>
      </c>
      <c r="H18" s="52">
        <f t="shared" si="1"/>
        <v>64.89712789000012</v>
      </c>
      <c r="I18" s="52">
        <f t="shared" si="1"/>
        <v>0</v>
      </c>
    </row>
    <row r="19" spans="1:9" ht="14.25">
      <c r="A19" s="43" t="str">
        <f>HLOOKUP(INDICE!$F$2,Nombres!$C$3:$D$636,44,FALSE)</f>
        <v>Deterioro de activos financieros no valorados a valor razonable con cambios en resultados</v>
      </c>
      <c r="B19" s="44">
        <v>-23.132999999999996</v>
      </c>
      <c r="C19" s="44">
        <v>-41.50199999999999</v>
      </c>
      <c r="D19" s="44">
        <v>-103.51800000000001</v>
      </c>
      <c r="E19" s="45">
        <v>-69.67899999999997</v>
      </c>
      <c r="F19" s="44">
        <v>-63.730999999999995</v>
      </c>
      <c r="G19" s="44">
        <v>-24.230000000000004</v>
      </c>
      <c r="H19" s="44">
        <v>35.42999999999999</v>
      </c>
      <c r="I19" s="44">
        <v>0</v>
      </c>
    </row>
    <row r="20" spans="1:9" ht="14.25">
      <c r="A20" s="43" t="str">
        <f>HLOOKUP(INDICE!$F$2,Nombres!$C$3:$D$636,45,FALSE)</f>
        <v>Provisiones o reversión de provisiones y otros resultados</v>
      </c>
      <c r="B20" s="44">
        <v>-5.202999999999992</v>
      </c>
      <c r="C20" s="44">
        <v>-10.908999999999986</v>
      </c>
      <c r="D20" s="44">
        <v>-14.277000000000013</v>
      </c>
      <c r="E20" s="45">
        <v>-49.57500000000001</v>
      </c>
      <c r="F20" s="44">
        <v>-10.753</v>
      </c>
      <c r="G20" s="44">
        <v>5.590000000000004</v>
      </c>
      <c r="H20" s="44">
        <v>-6.144</v>
      </c>
      <c r="I20" s="44">
        <v>0</v>
      </c>
    </row>
    <row r="21" spans="1:9" ht="14.25">
      <c r="A21" s="41" t="str">
        <f>HLOOKUP(INDICE!$F$2,Nombres!$C$3:$D$636,46,FALSE)</f>
        <v>Resultado antes de impuestos</v>
      </c>
      <c r="B21" s="41">
        <f>+B18+B19+B20</f>
        <v>145.42521166999998</v>
      </c>
      <c r="C21" s="41">
        <f aca="true" t="shared" si="2" ref="C21:I21">+C18+C19+C20</f>
        <v>108.93449428999995</v>
      </c>
      <c r="D21" s="41">
        <f t="shared" si="2"/>
        <v>-31.59618028</v>
      </c>
      <c r="E21" s="42">
        <f t="shared" si="2"/>
        <v>7.142813730000064</v>
      </c>
      <c r="F21" s="52">
        <f t="shared" si="2"/>
        <v>17.369747799999928</v>
      </c>
      <c r="G21" s="52">
        <f t="shared" si="2"/>
        <v>79.12460501000001</v>
      </c>
      <c r="H21" s="52">
        <f t="shared" si="2"/>
        <v>94.18312789000011</v>
      </c>
      <c r="I21" s="52">
        <f t="shared" si="2"/>
        <v>0</v>
      </c>
    </row>
    <row r="22" spans="1:9" ht="14.25">
      <c r="A22" s="43" t="str">
        <f>HLOOKUP(INDICE!$F$2,Nombres!$C$3:$D$636,47,FALSE)</f>
        <v>Impuesto sobre beneficios</v>
      </c>
      <c r="B22" s="44">
        <v>-53.987151989999994</v>
      </c>
      <c r="C22" s="44">
        <v>-41.19070916</v>
      </c>
      <c r="D22" s="44">
        <v>47.65246832</v>
      </c>
      <c r="E22" s="45">
        <v>10.287332990000012</v>
      </c>
      <c r="F22" s="44">
        <v>-6.914934339999994</v>
      </c>
      <c r="G22" s="44">
        <v>-28.53657149999999</v>
      </c>
      <c r="H22" s="44">
        <v>-34.22763836</v>
      </c>
      <c r="I22" s="44">
        <v>0</v>
      </c>
    </row>
    <row r="23" spans="1:9" ht="14.25">
      <c r="A23" s="41" t="str">
        <f>HLOOKUP(INDICE!$F$2,Nombres!$C$3:$D$636,48,FALSE)</f>
        <v>Resultado del ejercicio</v>
      </c>
      <c r="B23" s="41">
        <f>+B21+B22</f>
        <v>91.43805967999998</v>
      </c>
      <c r="C23" s="41">
        <f aca="true" t="shared" si="3" ref="C23:I23">+C21+C22</f>
        <v>67.74378512999995</v>
      </c>
      <c r="D23" s="41">
        <f t="shared" si="3"/>
        <v>16.05628804</v>
      </c>
      <c r="E23" s="42">
        <f t="shared" si="3"/>
        <v>17.430146720000074</v>
      </c>
      <c r="F23" s="52">
        <f t="shared" si="3"/>
        <v>10.454813459999933</v>
      </c>
      <c r="G23" s="52">
        <f t="shared" si="3"/>
        <v>50.58803351000002</v>
      </c>
      <c r="H23" s="52">
        <f t="shared" si="3"/>
        <v>59.95548953000011</v>
      </c>
      <c r="I23" s="52">
        <f t="shared" si="3"/>
        <v>0</v>
      </c>
    </row>
    <row r="24" spans="1:9" ht="14.25">
      <c r="A24" s="43" t="str">
        <f>HLOOKUP(INDICE!$F$2,Nombres!$C$3:$D$636,49,FALSE)</f>
        <v>Minoritarios</v>
      </c>
      <c r="B24" s="44">
        <v>-31.903411449999997</v>
      </c>
      <c r="C24" s="44">
        <v>-17.315130720000003</v>
      </c>
      <c r="D24" s="44">
        <v>-8.739709660000003</v>
      </c>
      <c r="E24" s="45">
        <v>-2.0607148499999983</v>
      </c>
      <c r="F24" s="44">
        <v>-2.6900366600000076</v>
      </c>
      <c r="G24" s="44">
        <v>-15.640754219999994</v>
      </c>
      <c r="H24" s="44">
        <v>-18.49806356</v>
      </c>
      <c r="I24" s="44">
        <v>0</v>
      </c>
    </row>
    <row r="25" spans="1:9" ht="14.25">
      <c r="A25" s="47" t="str">
        <f>HLOOKUP(INDICE!$F$2,Nombres!$C$3:$D$636,50,FALSE)</f>
        <v>Resultado atribuido</v>
      </c>
      <c r="B25" s="47">
        <f>+B23+B24</f>
        <v>59.53464822999999</v>
      </c>
      <c r="C25" s="47">
        <f aca="true" t="shared" si="4" ref="C25:I25">+C23+C24</f>
        <v>50.42865440999995</v>
      </c>
      <c r="D25" s="47">
        <f t="shared" si="4"/>
        <v>7.316578379999996</v>
      </c>
      <c r="E25" s="47">
        <f t="shared" si="4"/>
        <v>15.369431870000076</v>
      </c>
      <c r="F25" s="53">
        <f t="shared" si="4"/>
        <v>7.764776799999925</v>
      </c>
      <c r="G25" s="53">
        <f t="shared" si="4"/>
        <v>34.947279290000026</v>
      </c>
      <c r="H25" s="53">
        <f t="shared" si="4"/>
        <v>41.45742597000011</v>
      </c>
      <c r="I25" s="53">
        <f t="shared" si="4"/>
        <v>0</v>
      </c>
    </row>
    <row r="26" spans="1:9" ht="14.25">
      <c r="A26" s="65"/>
      <c r="B26" s="66">
        <v>0</v>
      </c>
      <c r="C26" s="66">
        <v>0</v>
      </c>
      <c r="D26" s="66">
        <v>-1.4210854715202004E-14</v>
      </c>
      <c r="E26" s="66">
        <v>-1.5987211554602254E-14</v>
      </c>
      <c r="F26" s="66">
        <v>-6.394884621840902E-14</v>
      </c>
      <c r="G26" s="66">
        <v>0</v>
      </c>
      <c r="H26" s="66">
        <v>5.684341886080802E-14</v>
      </c>
      <c r="I26" s="66">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4"/>
      <c r="D29" s="54"/>
      <c r="E29" s="54"/>
      <c r="F29" s="30"/>
      <c r="G29" s="60"/>
      <c r="H29" s="60"/>
      <c r="I29" s="60"/>
    </row>
    <row r="30" spans="1:9" ht="14.25">
      <c r="A30" s="30"/>
      <c r="B30" s="55">
        <f>+España!B30</f>
        <v>43555</v>
      </c>
      <c r="C30" s="55">
        <f>+España!C30</f>
        <v>43646</v>
      </c>
      <c r="D30" s="55">
        <f>+España!D30</f>
        <v>43738</v>
      </c>
      <c r="E30" s="71">
        <f>+España!E30</f>
        <v>43830</v>
      </c>
      <c r="F30" s="80">
        <f>+España!F30</f>
        <v>43921</v>
      </c>
      <c r="G30" s="80">
        <f>+España!G30</f>
        <v>44012</v>
      </c>
      <c r="H30" s="80">
        <f>+España!H30</f>
        <v>44104</v>
      </c>
      <c r="I30" s="80">
        <f>+España!I30</f>
        <v>44196</v>
      </c>
    </row>
    <row r="31" spans="1:9" ht="14.25">
      <c r="A31" s="43" t="str">
        <f>HLOOKUP(INDICE!$F$2,Nombres!$C$3:$D$636,52,FALSE)</f>
        <v>Efectivo, saldos en efectivo en bancos centrales y otros depósitos a la vista</v>
      </c>
      <c r="B31" s="44">
        <v>2123.2569999999996</v>
      </c>
      <c r="C31" s="44">
        <v>1865.655</v>
      </c>
      <c r="D31" s="44">
        <v>1510.362</v>
      </c>
      <c r="E31" s="45">
        <v>2323.167</v>
      </c>
      <c r="F31" s="44">
        <v>2075.984</v>
      </c>
      <c r="G31" s="44">
        <v>1429.8010000000002</v>
      </c>
      <c r="H31" s="44">
        <v>1496.7959999999998</v>
      </c>
      <c r="I31" s="44">
        <v>0</v>
      </c>
    </row>
    <row r="32" spans="1:9" ht="14.25">
      <c r="A32" s="43" t="str">
        <f>HLOOKUP(INDICE!$F$2,Nombres!$C$3:$D$636,53,FALSE)</f>
        <v>Activos financieros a valor razonable</v>
      </c>
      <c r="B32" s="60">
        <v>991.193</v>
      </c>
      <c r="C32" s="60">
        <v>1717.322</v>
      </c>
      <c r="D32" s="60">
        <v>1226.1090000000002</v>
      </c>
      <c r="E32" s="68">
        <v>877.162</v>
      </c>
      <c r="F32" s="44">
        <v>1172.92</v>
      </c>
      <c r="G32" s="44">
        <v>1286.2289999999998</v>
      </c>
      <c r="H32" s="44">
        <v>1421.06</v>
      </c>
      <c r="I32" s="44">
        <v>0</v>
      </c>
    </row>
    <row r="33" spans="1:9" ht="14.25">
      <c r="A33" s="43" t="str">
        <f>HLOOKUP(INDICE!$F$2,Nombres!$C$3:$D$636,54,FALSE)</f>
        <v>Activos financieros a coste amortizado</v>
      </c>
      <c r="B33" s="44">
        <v>4387.527</v>
      </c>
      <c r="C33" s="44">
        <v>4120.665</v>
      </c>
      <c r="D33" s="44">
        <v>3516.2899999999995</v>
      </c>
      <c r="E33" s="45">
        <v>3045.659</v>
      </c>
      <c r="F33" s="44">
        <v>3307.5209999999993</v>
      </c>
      <c r="G33" s="44">
        <v>3680.711999999999</v>
      </c>
      <c r="H33" s="44">
        <v>3188.999</v>
      </c>
      <c r="I33" s="44">
        <v>0</v>
      </c>
    </row>
    <row r="34" spans="1:9" ht="14.25">
      <c r="A34" s="43" t="str">
        <f>HLOOKUP(INDICE!$F$2,Nombres!$C$3:$D$636,55,FALSE)</f>
        <v>    de los que préstamos y anticipos a la clientela</v>
      </c>
      <c r="B34" s="44">
        <v>3981.712</v>
      </c>
      <c r="C34" s="44">
        <v>3831.908</v>
      </c>
      <c r="D34" s="44">
        <v>3280.766</v>
      </c>
      <c r="E34" s="45">
        <v>2877.765000000001</v>
      </c>
      <c r="F34" s="44">
        <v>3089.0679999999993</v>
      </c>
      <c r="G34" s="44">
        <v>3103.6030000000005</v>
      </c>
      <c r="H34" s="44">
        <v>2833.8469999999993</v>
      </c>
      <c r="I34" s="44">
        <v>0</v>
      </c>
    </row>
    <row r="35" spans="1:9" ht="14.25">
      <c r="A35" s="43" t="str">
        <f>HLOOKUP(INDICE!$F$2,Nombres!$C$3:$D$636,56,FALSE)</f>
        <v>Activos tangibles</v>
      </c>
      <c r="B35" s="44">
        <v>406.925</v>
      </c>
      <c r="C35" s="44">
        <v>442.015</v>
      </c>
      <c r="D35" s="44">
        <v>395.43100000000004</v>
      </c>
      <c r="E35" s="45">
        <v>405.624</v>
      </c>
      <c r="F35" s="44">
        <v>399.99144176000004</v>
      </c>
      <c r="G35" s="44">
        <v>365.42600000000004</v>
      </c>
      <c r="H35" s="44">
        <v>336.80591768</v>
      </c>
      <c r="I35" s="44">
        <v>0</v>
      </c>
    </row>
    <row r="36" spans="1:9" ht="14.25">
      <c r="A36" s="43" t="str">
        <f>HLOOKUP(INDICE!$F$2,Nombres!$C$3:$D$636,57,FALSE)</f>
        <v>Otros activos</v>
      </c>
      <c r="B36" s="60">
        <f>+B37-B35-B33-B32-B31</f>
        <v>162.85299999999916</v>
      </c>
      <c r="C36" s="60">
        <f aca="true" t="shared" si="5" ref="C36:I36">+C37-C35-C33-C32-C31</f>
        <v>192.2769999999989</v>
      </c>
      <c r="D36" s="60">
        <f t="shared" si="5"/>
        <v>185.45700000000102</v>
      </c>
      <c r="E36" s="68">
        <f t="shared" si="5"/>
        <v>251.7103810399999</v>
      </c>
      <c r="F36" s="44">
        <f t="shared" si="5"/>
        <v>292.6261178900004</v>
      </c>
      <c r="G36" s="44">
        <f t="shared" si="5"/>
        <v>255.6750000200011</v>
      </c>
      <c r="H36" s="44">
        <f t="shared" si="5"/>
        <v>248.7959577700003</v>
      </c>
      <c r="I36" s="44">
        <f t="shared" si="5"/>
        <v>0</v>
      </c>
    </row>
    <row r="37" spans="1:9" ht="14.25">
      <c r="A37" s="47" t="str">
        <f>HLOOKUP(INDICE!$F$2,Nombres!$C$3:$D$636,58,FALSE)</f>
        <v>Total activo / pasivo</v>
      </c>
      <c r="B37" s="47">
        <v>8071.754999999999</v>
      </c>
      <c r="C37" s="47">
        <v>8337.934</v>
      </c>
      <c r="D37" s="47">
        <v>6833.649</v>
      </c>
      <c r="E37" s="47">
        <v>6903.3223810399995</v>
      </c>
      <c r="F37" s="53">
        <v>7249.04255965</v>
      </c>
      <c r="G37" s="53">
        <v>7017.8430000200005</v>
      </c>
      <c r="H37" s="53">
        <v>6692.45687545</v>
      </c>
      <c r="I37" s="53">
        <v>0</v>
      </c>
    </row>
    <row r="38" spans="1:9" ht="14.25">
      <c r="A38" s="43" t="str">
        <f>HLOOKUP(INDICE!$F$2,Nombres!$C$3:$D$636,59,FALSE)</f>
        <v>Pasivos financieros mantenidos para negociar y designados a valor razonable con cambios en resultados</v>
      </c>
      <c r="B38" s="60">
        <v>62.144999999999996</v>
      </c>
      <c r="C38" s="60">
        <v>70.654</v>
      </c>
      <c r="D38" s="60">
        <v>65.14699999999999</v>
      </c>
      <c r="E38" s="68">
        <v>46.093</v>
      </c>
      <c r="F38" s="44">
        <v>4.695</v>
      </c>
      <c r="G38" s="44">
        <v>2.9130000000000003</v>
      </c>
      <c r="H38" s="44">
        <v>0.403</v>
      </c>
      <c r="I38" s="44">
        <v>0</v>
      </c>
    </row>
    <row r="39" spans="1:9" ht="14.25">
      <c r="A39" s="43" t="str">
        <f>HLOOKUP(INDICE!$F$2,Nombres!$C$3:$D$636,60,FALSE)</f>
        <v>Depósitos de bancos centrales y entidades de crédito</v>
      </c>
      <c r="B39" s="60">
        <v>162.027</v>
      </c>
      <c r="C39" s="60">
        <v>105.42399999999999</v>
      </c>
      <c r="D39" s="60">
        <v>200.54</v>
      </c>
      <c r="E39" s="68">
        <v>117.57600000000002</v>
      </c>
      <c r="F39" s="44">
        <v>109.653</v>
      </c>
      <c r="G39" s="44">
        <v>83.065</v>
      </c>
      <c r="H39" s="44">
        <v>51.71700000000002</v>
      </c>
      <c r="I39" s="44">
        <v>0</v>
      </c>
    </row>
    <row r="40" spans="1:9" ht="15.75" customHeight="1">
      <c r="A40" s="43" t="str">
        <f>HLOOKUP(INDICE!$F$2,Nombres!$C$3:$D$636,61,FALSE)</f>
        <v>Depósitos de la clientela</v>
      </c>
      <c r="B40" s="60">
        <v>5681.7</v>
      </c>
      <c r="C40" s="60">
        <v>5841.286</v>
      </c>
      <c r="D40" s="60">
        <v>4403.508</v>
      </c>
      <c r="E40" s="68">
        <v>4365.661</v>
      </c>
      <c r="F40" s="44">
        <v>4638.339</v>
      </c>
      <c r="G40" s="44">
        <v>4730.674000000001</v>
      </c>
      <c r="H40" s="44">
        <v>4477.334000000001</v>
      </c>
      <c r="I40" s="44">
        <v>0</v>
      </c>
    </row>
    <row r="41" spans="1:9" ht="14.25">
      <c r="A41" s="43" t="str">
        <f>HLOOKUP(INDICE!$F$2,Nombres!$C$3:$D$636,62,FALSE)</f>
        <v>Valores representativos de deuda emitidos</v>
      </c>
      <c r="B41" s="44">
        <v>83.658</v>
      </c>
      <c r="C41" s="44">
        <v>85.98800000000001</v>
      </c>
      <c r="D41" s="44">
        <v>137.787</v>
      </c>
      <c r="E41" s="45">
        <v>105.92699999999999</v>
      </c>
      <c r="F41" s="44">
        <v>103.155</v>
      </c>
      <c r="G41" s="44">
        <v>51.92</v>
      </c>
      <c r="H41" s="44">
        <v>45.02</v>
      </c>
      <c r="I41" s="44">
        <v>0</v>
      </c>
    </row>
    <row r="42" spans="1:9" ht="14.25">
      <c r="A42" s="43" t="str">
        <f>HLOOKUP(INDICE!$F$2,Nombres!$C$3:$D$636,63,FALSE)</f>
        <v>Otros pasivos</v>
      </c>
      <c r="B42" s="60">
        <f>+B37-B38-B39-B40-B41-B43</f>
        <v>1656.840729999999</v>
      </c>
      <c r="C42" s="60">
        <f aca="true" t="shared" si="6" ref="C42:I42">+C37-C38-C39-C40-C41-C43</f>
        <v>1739.5436699999989</v>
      </c>
      <c r="D42" s="60">
        <f t="shared" si="6"/>
        <v>1641.1631808400007</v>
      </c>
      <c r="E42" s="68">
        <f t="shared" si="6"/>
        <v>1827.7547079199994</v>
      </c>
      <c r="F42" s="44">
        <f t="shared" si="6"/>
        <v>1902.50869965</v>
      </c>
      <c r="G42" s="44">
        <f t="shared" si="6"/>
        <v>1677.2117500200004</v>
      </c>
      <c r="H42" s="44">
        <f t="shared" si="6"/>
        <v>1680.8769652899991</v>
      </c>
      <c r="I42" s="44">
        <f t="shared" si="6"/>
        <v>0</v>
      </c>
    </row>
    <row r="43" spans="1:9" ht="14.25">
      <c r="A43" s="43" t="str">
        <f>HLOOKUP(INDICE!$F$2,Nombres!$C$3:$D$636,64,FALSE)</f>
        <v>Dotación de capital económico</v>
      </c>
      <c r="B43" s="44">
        <v>425.3842700000001</v>
      </c>
      <c r="C43" s="44">
        <v>495.0383300000001</v>
      </c>
      <c r="D43" s="44">
        <v>385.50381916</v>
      </c>
      <c r="E43" s="45">
        <v>440.31067312</v>
      </c>
      <c r="F43" s="44">
        <v>490.69185999999996</v>
      </c>
      <c r="G43" s="44">
        <v>472.05924999999996</v>
      </c>
      <c r="H43" s="44">
        <v>437.10591015999995</v>
      </c>
      <c r="I43" s="44">
        <v>0</v>
      </c>
    </row>
    <row r="44" spans="1:9" ht="14.25">
      <c r="A44" s="65"/>
      <c r="B44" s="60"/>
      <c r="C44" s="60"/>
      <c r="D44" s="60"/>
      <c r="E44" s="60"/>
      <c r="F44" s="44"/>
      <c r="G44" s="44"/>
      <c r="H44" s="44"/>
      <c r="I44" s="44"/>
    </row>
    <row r="45" spans="1:9" ht="14.25">
      <c r="A45" s="43"/>
      <c r="B45" s="60"/>
      <c r="C45" s="60"/>
      <c r="D45" s="60"/>
      <c r="E45" s="60"/>
      <c r="F45" s="44"/>
      <c r="G45" s="44"/>
      <c r="H45" s="44"/>
      <c r="I45" s="44"/>
    </row>
    <row r="46" spans="1:9" ht="16.5">
      <c r="A46" s="33" t="str">
        <f>HLOOKUP(INDICE!$F$2,Nombres!$C$3:$D$636,65,FALSE)</f>
        <v>Indicadores relevantes y de gestión</v>
      </c>
      <c r="B46" s="34"/>
      <c r="C46" s="34"/>
      <c r="D46" s="34"/>
      <c r="E46" s="34"/>
      <c r="F46" s="72"/>
      <c r="G46" s="72"/>
      <c r="H46" s="72"/>
      <c r="I46" s="72"/>
    </row>
    <row r="47" spans="1:9" ht="14.25">
      <c r="A47" s="35" t="str">
        <f>HLOOKUP(INDICE!$F$2,Nombres!$C$3:$D$636,32,FALSE)</f>
        <v>(Millones de euros)</v>
      </c>
      <c r="B47" s="30"/>
      <c r="C47" s="30"/>
      <c r="D47" s="30"/>
      <c r="E47" s="30"/>
      <c r="F47" s="73"/>
      <c r="G47" s="44"/>
      <c r="H47" s="44"/>
      <c r="I47" s="44"/>
    </row>
    <row r="48" spans="1:9" ht="14.25">
      <c r="A48" s="30"/>
      <c r="B48" s="55">
        <f aca="true" t="shared" si="7" ref="B48:I48">+B$30</f>
        <v>43555</v>
      </c>
      <c r="C48" s="55">
        <f t="shared" si="7"/>
        <v>43646</v>
      </c>
      <c r="D48" s="55">
        <f t="shared" si="7"/>
        <v>43738</v>
      </c>
      <c r="E48" s="71">
        <f t="shared" si="7"/>
        <v>43830</v>
      </c>
      <c r="F48" s="55">
        <f t="shared" si="7"/>
        <v>43921</v>
      </c>
      <c r="G48" s="55">
        <f t="shared" si="7"/>
        <v>44012</v>
      </c>
      <c r="H48" s="55">
        <f t="shared" si="7"/>
        <v>44104</v>
      </c>
      <c r="I48" s="55">
        <f t="shared" si="7"/>
        <v>44196</v>
      </c>
    </row>
    <row r="49" spans="1:9" ht="14.25">
      <c r="A49" s="43" t="str">
        <f>HLOOKUP(INDICE!$F$2,Nombres!$C$3:$D$636,66,FALSE)</f>
        <v>Préstamos y anticipos a la clientela bruto (*)</v>
      </c>
      <c r="B49" s="44">
        <v>3805.0707322599997</v>
      </c>
      <c r="C49" s="44">
        <v>3832.6923465</v>
      </c>
      <c r="D49" s="44">
        <v>3450.6767045300007</v>
      </c>
      <c r="E49" s="45">
        <v>3044.82152225</v>
      </c>
      <c r="F49" s="44">
        <v>3256.68866218</v>
      </c>
      <c r="G49" s="44">
        <v>3239.52912875</v>
      </c>
      <c r="H49" s="44">
        <v>2953.827407529999</v>
      </c>
      <c r="I49" s="44">
        <v>0</v>
      </c>
    </row>
    <row r="50" spans="1:9" ht="14.25">
      <c r="A50" s="43" t="str">
        <f>HLOOKUP(INDICE!$F$2,Nombres!$C$3:$D$636,67,FALSE)</f>
        <v>Depósitos de clientes en gestión (**)</v>
      </c>
      <c r="B50" s="44">
        <v>5683.25962831</v>
      </c>
      <c r="C50" s="44">
        <v>5840.041223629999</v>
      </c>
      <c r="D50" s="44">
        <v>4391.866179029999</v>
      </c>
      <c r="E50" s="45">
        <v>4365.70994146</v>
      </c>
      <c r="F50" s="44">
        <v>4638.36020785</v>
      </c>
      <c r="G50" s="44">
        <v>4730.67369239</v>
      </c>
      <c r="H50" s="44">
        <v>4477.33311385</v>
      </c>
      <c r="I50" s="44">
        <v>0</v>
      </c>
    </row>
    <row r="51" spans="1:9" ht="14.25">
      <c r="A51" s="43" t="str">
        <f>HLOOKUP(INDICE!$F$2,Nombres!$C$3:$D$636,68,FALSE)</f>
        <v>Fondos de inversión</v>
      </c>
      <c r="B51" s="44">
        <v>1032.52086625</v>
      </c>
      <c r="C51" s="44">
        <v>1043.01949552</v>
      </c>
      <c r="D51" s="44">
        <v>657.6726349099999</v>
      </c>
      <c r="E51" s="45">
        <v>644.38993326</v>
      </c>
      <c r="F51" s="44">
        <v>945.89799169</v>
      </c>
      <c r="G51" s="44">
        <v>1455.18131032</v>
      </c>
      <c r="H51" s="44">
        <v>1125.3281869900002</v>
      </c>
      <c r="I51" s="44">
        <v>0</v>
      </c>
    </row>
    <row r="52" spans="1:9" ht="14.25">
      <c r="A52" s="43" t="str">
        <f>HLOOKUP(INDICE!$F$2,Nombres!$C$3:$D$636,69,FALSE)</f>
        <v>Fondos de pensiones</v>
      </c>
      <c r="B52" s="44">
        <v>0</v>
      </c>
      <c r="C52" s="44">
        <v>0</v>
      </c>
      <c r="D52" s="44">
        <v>0</v>
      </c>
      <c r="E52" s="45">
        <v>0</v>
      </c>
      <c r="F52" s="44">
        <v>0</v>
      </c>
      <c r="G52" s="44">
        <v>0</v>
      </c>
      <c r="H52" s="44">
        <v>0</v>
      </c>
      <c r="I52" s="44">
        <v>0</v>
      </c>
    </row>
    <row r="53" spans="1:9" ht="14.25">
      <c r="A53" s="43" t="str">
        <f>HLOOKUP(INDICE!$F$2,Nombres!$C$3:$D$636,70,FALSE)</f>
        <v>Otros recursos fuera de balance</v>
      </c>
      <c r="B53" s="44">
        <v>0</v>
      </c>
      <c r="C53" s="44">
        <v>0</v>
      </c>
      <c r="D53" s="44">
        <v>0</v>
      </c>
      <c r="E53" s="45">
        <v>0</v>
      </c>
      <c r="F53" s="44">
        <v>0</v>
      </c>
      <c r="G53" s="44">
        <v>0</v>
      </c>
      <c r="H53" s="44">
        <v>0</v>
      </c>
      <c r="I53" s="44">
        <v>0</v>
      </c>
    </row>
    <row r="54" spans="1:9" ht="14.25">
      <c r="A54" s="65" t="str">
        <f>HLOOKUP(INDICE!$F$2,Nombres!$C$3:$D$636,71,FALSE)</f>
        <v>(*) No incluye las adquisiciones temporales de activos.</v>
      </c>
      <c r="B54" s="60"/>
      <c r="C54" s="60"/>
      <c r="D54" s="60"/>
      <c r="E54" s="60"/>
      <c r="F54" s="60"/>
      <c r="G54" s="60"/>
      <c r="H54" s="60"/>
      <c r="I54" s="60"/>
    </row>
    <row r="55" spans="1:9" ht="14.25">
      <c r="A55" s="65" t="str">
        <f>HLOOKUP(INDICE!$F$2,Nombres!$C$3:$D$636,72,FALSE)</f>
        <v>(**) No incluye las cesiones temporales de activos.</v>
      </c>
      <c r="B55" s="30"/>
      <c r="C55" s="30"/>
      <c r="D55" s="30"/>
      <c r="E55" s="30"/>
      <c r="F55" s="30"/>
      <c r="G55" s="30"/>
      <c r="H55" s="30"/>
      <c r="I55" s="30"/>
    </row>
    <row r="56" spans="1:9" ht="14.25">
      <c r="A56" s="65"/>
      <c r="B56" s="30"/>
      <c r="C56" s="30"/>
      <c r="D56" s="30"/>
      <c r="E56" s="30"/>
      <c r="F56" s="30"/>
      <c r="G56" s="30"/>
      <c r="H56" s="30"/>
      <c r="I56" s="30"/>
    </row>
    <row r="57" spans="1:9" ht="16.5">
      <c r="A57" s="33" t="str">
        <f>HLOOKUP(INDICE!$F$2,Nombres!$C$3:$D$636,31,FALSE)</f>
        <v>Cuenta de resultados  </v>
      </c>
      <c r="B57" s="34"/>
      <c r="C57" s="34"/>
      <c r="D57" s="34"/>
      <c r="E57" s="34"/>
      <c r="F57" s="34"/>
      <c r="G57" s="34"/>
      <c r="H57" s="34"/>
      <c r="I57" s="34"/>
    </row>
    <row r="58" spans="1:9" ht="14.25">
      <c r="A58" s="35" t="str">
        <f>HLOOKUP(INDICE!$F$2,Nombres!$C$3:$D$636,73,FALSE)</f>
        <v>(Millones de euros constantes)</v>
      </c>
      <c r="B58" s="30"/>
      <c r="C58" s="36"/>
      <c r="D58" s="36"/>
      <c r="E58" s="36"/>
      <c r="F58" s="30"/>
      <c r="G58" s="30"/>
      <c r="H58" s="30"/>
      <c r="I58" s="30"/>
    </row>
    <row r="59" spans="1:9" ht="14.25">
      <c r="A59" s="37"/>
      <c r="B59" s="30"/>
      <c r="C59" s="36"/>
      <c r="D59" s="36"/>
      <c r="E59" s="36"/>
      <c r="F59" s="30"/>
      <c r="G59" s="30"/>
      <c r="H59" s="30"/>
      <c r="I59" s="30"/>
    </row>
    <row r="60" spans="1:9" ht="14.25">
      <c r="A60" s="38"/>
      <c r="B60" s="305">
        <f>+B$6</f>
        <v>2019</v>
      </c>
      <c r="C60" s="305"/>
      <c r="D60" s="305"/>
      <c r="E60" s="306"/>
      <c r="F60" s="305">
        <f>+F$6</f>
        <v>2020</v>
      </c>
      <c r="G60" s="305"/>
      <c r="H60" s="305"/>
      <c r="I60" s="305"/>
    </row>
    <row r="61" spans="1:9" ht="14.25">
      <c r="A61" s="38"/>
      <c r="B61" s="39" t="str">
        <f>+B$7</f>
        <v>1er Trim.</v>
      </c>
      <c r="C61" s="39" t="str">
        <f aca="true" t="shared" si="8" ref="C61:I61">+C$7</f>
        <v>2º Trim.</v>
      </c>
      <c r="D61" s="39" t="str">
        <f t="shared" si="8"/>
        <v>3er Trim.</v>
      </c>
      <c r="E61" s="40" t="str">
        <f t="shared" si="8"/>
        <v>4º Trim.</v>
      </c>
      <c r="F61" s="39" t="str">
        <f t="shared" si="8"/>
        <v>1er Trim.</v>
      </c>
      <c r="G61" s="39" t="str">
        <f t="shared" si="8"/>
        <v>2º Trim.</v>
      </c>
      <c r="H61" s="39" t="str">
        <f t="shared" si="8"/>
        <v>3er Trim.</v>
      </c>
      <c r="I61" s="39" t="str">
        <f t="shared" si="8"/>
        <v>4º Trim.</v>
      </c>
    </row>
    <row r="62" spans="1:9" ht="14.25">
      <c r="A62" s="41" t="str">
        <f>HLOOKUP(INDICE!$F$2,Nombres!$C$3:$D$636,33,FALSE)</f>
        <v>Margen de intereses</v>
      </c>
      <c r="B62" s="41">
        <v>123.34094624593757</v>
      </c>
      <c r="C62" s="41">
        <v>180.4606425142892</v>
      </c>
      <c r="D62" s="41">
        <v>241.90943361345006</v>
      </c>
      <c r="E62" s="42">
        <v>282.2703979763387</v>
      </c>
      <c r="F62" s="52">
        <v>192.91561993615016</v>
      </c>
      <c r="G62" s="52">
        <v>200.56756167082304</v>
      </c>
      <c r="H62" s="52">
        <v>218.97381839302682</v>
      </c>
      <c r="I62" s="52">
        <v>0</v>
      </c>
    </row>
    <row r="63" spans="1:9" ht="14.25">
      <c r="A63" s="43" t="str">
        <f>HLOOKUP(INDICE!$F$2,Nombres!$C$3:$D$636,34,FALSE)</f>
        <v>Comisiones netas</v>
      </c>
      <c r="B63" s="44">
        <v>18.001078204008024</v>
      </c>
      <c r="C63" s="44">
        <v>31.15887909560451</v>
      </c>
      <c r="D63" s="44">
        <v>26.648713966204085</v>
      </c>
      <c r="E63" s="45">
        <v>30.696403570320108</v>
      </c>
      <c r="F63" s="44">
        <v>21.1466106179201</v>
      </c>
      <c r="G63" s="44">
        <v>37.16418786061101</v>
      </c>
      <c r="H63" s="44">
        <v>42.41036992146886</v>
      </c>
      <c r="I63" s="44">
        <v>0</v>
      </c>
    </row>
    <row r="64" spans="1:9" ht="14.25">
      <c r="A64" s="43" t="str">
        <f>HLOOKUP(INDICE!$F$2,Nombres!$C$3:$D$636,35,FALSE)</f>
        <v>Resultados de operaciones financieras</v>
      </c>
      <c r="B64" s="44">
        <v>76.70068607460962</v>
      </c>
      <c r="C64" s="44">
        <v>28.192654159304077</v>
      </c>
      <c r="D64" s="44">
        <v>55.111814107959056</v>
      </c>
      <c r="E64" s="45">
        <v>78.9634784864798</v>
      </c>
      <c r="F64" s="44">
        <v>20.536973688143746</v>
      </c>
      <c r="G64" s="44">
        <v>22.82779031326744</v>
      </c>
      <c r="H64" s="44">
        <v>25.408806498588817</v>
      </c>
      <c r="I64" s="44">
        <v>0</v>
      </c>
    </row>
    <row r="65" spans="1:9" ht="14.25">
      <c r="A65" s="43" t="str">
        <f>HLOOKUP(INDICE!$F$2,Nombres!$C$3:$D$636,36,FALSE)</f>
        <v>Otros ingresos y cargas de explotación</v>
      </c>
      <c r="B65" s="44">
        <v>-96.93852971543481</v>
      </c>
      <c r="C65" s="44">
        <v>-101.93459337998857</v>
      </c>
      <c r="D65" s="44">
        <v>-85.83506712883816</v>
      </c>
      <c r="E65" s="45">
        <v>-138.8205503008257</v>
      </c>
      <c r="F65" s="44">
        <v>-80.00655183245146</v>
      </c>
      <c r="G65" s="44">
        <v>-65.94655603052732</v>
      </c>
      <c r="H65" s="44">
        <v>-71.3458921370212</v>
      </c>
      <c r="I65" s="44">
        <v>0</v>
      </c>
    </row>
    <row r="66" spans="1:9" ht="14.25">
      <c r="A66" s="41" t="str">
        <f>HLOOKUP(INDICE!$F$2,Nombres!$C$3:$D$636,37,FALSE)</f>
        <v>Margen bruto</v>
      </c>
      <c r="B66" s="41">
        <f>+SUM(B62:B65)</f>
        <v>121.10418080912041</v>
      </c>
      <c r="C66" s="41">
        <f aca="true" t="shared" si="9" ref="C66:I66">+SUM(C62:C65)</f>
        <v>137.8775823892092</v>
      </c>
      <c r="D66" s="41">
        <f t="shared" si="9"/>
        <v>237.83489455877503</v>
      </c>
      <c r="E66" s="42">
        <f t="shared" si="9"/>
        <v>253.10972973231293</v>
      </c>
      <c r="F66" s="52">
        <f t="shared" si="9"/>
        <v>154.59265240976254</v>
      </c>
      <c r="G66" s="52">
        <f t="shared" si="9"/>
        <v>194.61298381417416</v>
      </c>
      <c r="H66" s="52">
        <f t="shared" si="9"/>
        <v>215.44710267606334</v>
      </c>
      <c r="I66" s="52">
        <f t="shared" si="9"/>
        <v>0</v>
      </c>
    </row>
    <row r="67" spans="1:9" ht="14.25">
      <c r="A67" s="43" t="str">
        <f>HLOOKUP(INDICE!$F$2,Nombres!$C$3:$D$636,38,FALSE)</f>
        <v>Gastos de explotación</v>
      </c>
      <c r="B67" s="44">
        <v>-60.833325393264914</v>
      </c>
      <c r="C67" s="44">
        <v>-82.03914173150288</v>
      </c>
      <c r="D67" s="44">
        <v>-109.43063513141229</v>
      </c>
      <c r="E67" s="45">
        <v>-136.7954341858435</v>
      </c>
      <c r="F67" s="44">
        <v>-95.29440491900786</v>
      </c>
      <c r="G67" s="44">
        <v>-98.66422825003445</v>
      </c>
      <c r="H67" s="44">
        <v>-116.17862503095768</v>
      </c>
      <c r="I67" s="44">
        <v>0</v>
      </c>
    </row>
    <row r="68" spans="1:9" ht="14.25">
      <c r="A68" s="43" t="str">
        <f>HLOOKUP(INDICE!$F$2,Nombres!$C$3:$D$636,39,FALSE)</f>
        <v>  Gastos de administración</v>
      </c>
      <c r="B68" s="44">
        <v>-53.786261222891994</v>
      </c>
      <c r="C68" s="44">
        <v>-72.67888898202214</v>
      </c>
      <c r="D68" s="44">
        <v>-100.66719526108994</v>
      </c>
      <c r="E68" s="45">
        <v>-121.25026280117247</v>
      </c>
      <c r="F68" s="44">
        <v>-84.57915722150824</v>
      </c>
      <c r="G68" s="44">
        <v>-88.72056886796628</v>
      </c>
      <c r="H68" s="44">
        <v>-106.62953211052549</v>
      </c>
      <c r="I68" s="44">
        <v>0</v>
      </c>
    </row>
    <row r="69" spans="1:9" ht="14.25">
      <c r="A69" s="46" t="str">
        <f>HLOOKUP(INDICE!$F$2,Nombres!$C$3:$D$636,40,FALSE)</f>
        <v>  Gastos de personal</v>
      </c>
      <c r="B69" s="44">
        <v>-33.643810779728454</v>
      </c>
      <c r="C69" s="44">
        <v>-45.15576687993631</v>
      </c>
      <c r="D69" s="44">
        <v>-56.560479407325644</v>
      </c>
      <c r="E69" s="45">
        <v>-68.33619782027756</v>
      </c>
      <c r="F69" s="44">
        <v>-51.45083007598541</v>
      </c>
      <c r="G69" s="44">
        <v>-48.87662501665306</v>
      </c>
      <c r="H69" s="44">
        <v>-59.31254490736154</v>
      </c>
      <c r="I69" s="44">
        <v>0</v>
      </c>
    </row>
    <row r="70" spans="1:9" ht="14.25">
      <c r="A70" s="46" t="str">
        <f>HLOOKUP(INDICE!$F$2,Nombres!$C$3:$D$636,41,FALSE)</f>
        <v>  Otros gastos de administración</v>
      </c>
      <c r="B70" s="44">
        <v>-20.142450443163526</v>
      </c>
      <c r="C70" s="44">
        <v>-27.523122102085836</v>
      </c>
      <c r="D70" s="44">
        <v>-44.1067158537643</v>
      </c>
      <c r="E70" s="45">
        <v>-52.914064980894906</v>
      </c>
      <c r="F70" s="44">
        <v>-33.12832714552282</v>
      </c>
      <c r="G70" s="44">
        <v>-39.84394385131321</v>
      </c>
      <c r="H70" s="44">
        <v>-47.316987203163954</v>
      </c>
      <c r="I70" s="44">
        <v>0</v>
      </c>
    </row>
    <row r="71" spans="1:9" ht="14.25">
      <c r="A71" s="43" t="str">
        <f>HLOOKUP(INDICE!$F$2,Nombres!$C$3:$D$636,42,FALSE)</f>
        <v>  Amortización</v>
      </c>
      <c r="B71" s="44">
        <v>-7.047064170372922</v>
      </c>
      <c r="C71" s="44">
        <v>-9.360252749480729</v>
      </c>
      <c r="D71" s="44">
        <v>-8.763439870322346</v>
      </c>
      <c r="E71" s="45">
        <v>-15.54517138467104</v>
      </c>
      <c r="F71" s="44">
        <v>-10.715247697499628</v>
      </c>
      <c r="G71" s="44">
        <v>-9.943659382068176</v>
      </c>
      <c r="H71" s="44">
        <v>-9.549092920432194</v>
      </c>
      <c r="I71" s="44">
        <v>0</v>
      </c>
    </row>
    <row r="72" spans="1:9" ht="14.25">
      <c r="A72" s="41" t="str">
        <f>HLOOKUP(INDICE!$F$2,Nombres!$C$3:$D$636,43,FALSE)</f>
        <v>Margen neto</v>
      </c>
      <c r="B72" s="41">
        <f>+B66+B67</f>
        <v>60.27085541585549</v>
      </c>
      <c r="C72" s="41">
        <f aca="true" t="shared" si="10" ref="C72:I72">+C66+C67</f>
        <v>55.83844065770633</v>
      </c>
      <c r="D72" s="41">
        <f t="shared" si="10"/>
        <v>128.40425942736275</v>
      </c>
      <c r="E72" s="42">
        <f t="shared" si="10"/>
        <v>116.31429554646942</v>
      </c>
      <c r="F72" s="52">
        <f t="shared" si="10"/>
        <v>59.298247490754676</v>
      </c>
      <c r="G72" s="52">
        <f t="shared" si="10"/>
        <v>95.9487555641397</v>
      </c>
      <c r="H72" s="52">
        <f t="shared" si="10"/>
        <v>99.26847764510566</v>
      </c>
      <c r="I72" s="52">
        <f t="shared" si="10"/>
        <v>0</v>
      </c>
    </row>
    <row r="73" spans="1:9" ht="14.25">
      <c r="A73" s="43" t="str">
        <f>HLOOKUP(INDICE!$F$2,Nombres!$C$3:$D$636,44,FALSE)</f>
        <v>Deterioro de activos financieros no valorados a valor razonable con cambios en resultados</v>
      </c>
      <c r="B73" s="44">
        <v>-13.049365947047782</v>
      </c>
      <c r="C73" s="44">
        <v>-24.070458499262713</v>
      </c>
      <c r="D73" s="44">
        <v>-83.66023445133831</v>
      </c>
      <c r="E73" s="45">
        <v>-63.60260261442373</v>
      </c>
      <c r="F73" s="44">
        <v>-50.604260305202146</v>
      </c>
      <c r="G73" s="44">
        <v>-27.93453464495385</v>
      </c>
      <c r="H73" s="44">
        <v>26.007794950156047</v>
      </c>
      <c r="I73" s="44">
        <v>0</v>
      </c>
    </row>
    <row r="74" spans="1:9" ht="14.25">
      <c r="A74" s="43" t="str">
        <f>HLOOKUP(INDICE!$F$2,Nombres!$C$3:$D$636,45,FALSE)</f>
        <v>Provisiones o reversión de provisiones y otros resultados</v>
      </c>
      <c r="B74" s="44">
        <v>-2.8832170067504386</v>
      </c>
      <c r="C74" s="44">
        <v>-6.212725919160167</v>
      </c>
      <c r="D74" s="44">
        <v>-12.8196897530849</v>
      </c>
      <c r="E74" s="45">
        <v>-39.708464552693826</v>
      </c>
      <c r="F74" s="44">
        <v>-8.541413383499442</v>
      </c>
      <c r="G74" s="44">
        <v>3.917898859854212</v>
      </c>
      <c r="H74" s="44">
        <v>-6.6834854763547735</v>
      </c>
      <c r="I74" s="44">
        <v>0</v>
      </c>
    </row>
    <row r="75" spans="1:9" ht="14.25">
      <c r="A75" s="41" t="str">
        <f>HLOOKUP(INDICE!$F$2,Nombres!$C$3:$D$636,46,FALSE)</f>
        <v>Resultado antes de impuestos</v>
      </c>
      <c r="B75" s="41">
        <f>+B72+B73+B74</f>
        <v>44.338272462057276</v>
      </c>
      <c r="C75" s="41">
        <f aca="true" t="shared" si="11" ref="C75:I75">+C72+C73+C74</f>
        <v>25.555256239283448</v>
      </c>
      <c r="D75" s="41">
        <f t="shared" si="11"/>
        <v>31.924335222939533</v>
      </c>
      <c r="E75" s="42">
        <f t="shared" si="11"/>
        <v>13.003228379351867</v>
      </c>
      <c r="F75" s="52">
        <f t="shared" si="11"/>
        <v>0.15257380205308735</v>
      </c>
      <c r="G75" s="52">
        <f t="shared" si="11"/>
        <v>71.93211977904005</v>
      </c>
      <c r="H75" s="52">
        <f t="shared" si="11"/>
        <v>118.59278711890693</v>
      </c>
      <c r="I75" s="52">
        <f t="shared" si="11"/>
        <v>0</v>
      </c>
    </row>
    <row r="76" spans="1:9" ht="14.25">
      <c r="A76" s="43" t="str">
        <f>HLOOKUP(INDICE!$F$2,Nombres!$C$3:$D$636,47,FALSE)</f>
        <v>Impuesto sobre beneficios</v>
      </c>
      <c r="B76" s="44">
        <v>-26.093953459824426</v>
      </c>
      <c r="C76" s="44">
        <v>-19.17553265526699</v>
      </c>
      <c r="D76" s="44">
        <v>34.345235113340976</v>
      </c>
      <c r="E76" s="45">
        <v>5.7767569208016045</v>
      </c>
      <c r="F76" s="44">
        <v>-2.370432148772835</v>
      </c>
      <c r="G76" s="44">
        <v>-25.793320548028987</v>
      </c>
      <c r="H76" s="44">
        <v>-41.515391503198174</v>
      </c>
      <c r="I76" s="44">
        <v>0</v>
      </c>
    </row>
    <row r="77" spans="1:9" ht="14.25">
      <c r="A77" s="41" t="str">
        <f>HLOOKUP(INDICE!$F$2,Nombres!$C$3:$D$636,48,FALSE)</f>
        <v>Resultado del ejercicio</v>
      </c>
      <c r="B77" s="41">
        <f>+B75+B76</f>
        <v>18.24431900223285</v>
      </c>
      <c r="C77" s="41">
        <f aca="true" t="shared" si="12" ref="C77:I77">+C75+C76</f>
        <v>6.379723584016457</v>
      </c>
      <c r="D77" s="41">
        <f t="shared" si="12"/>
        <v>66.26957033628051</v>
      </c>
      <c r="E77" s="42">
        <f t="shared" si="12"/>
        <v>18.77998530015347</v>
      </c>
      <c r="F77" s="52">
        <f t="shared" si="12"/>
        <v>-2.2178583467197477</v>
      </c>
      <c r="G77" s="52">
        <f t="shared" si="12"/>
        <v>46.13879923101106</v>
      </c>
      <c r="H77" s="52">
        <f t="shared" si="12"/>
        <v>77.07739561570875</v>
      </c>
      <c r="I77" s="52">
        <f t="shared" si="12"/>
        <v>0</v>
      </c>
    </row>
    <row r="78" spans="1:9" ht="14.25">
      <c r="A78" s="43" t="str">
        <f>HLOOKUP(INDICE!$F$2,Nombres!$C$3:$D$636,49,FALSE)</f>
        <v>Minoritarios</v>
      </c>
      <c r="B78" s="44">
        <v>-7.592652977483795</v>
      </c>
      <c r="C78" s="44">
        <v>0.5592679536315188</v>
      </c>
      <c r="D78" s="44">
        <v>-23.42333905698715</v>
      </c>
      <c r="E78" s="45">
        <v>-3.0631997773703254</v>
      </c>
      <c r="F78" s="44">
        <v>1.3579051265607216</v>
      </c>
      <c r="G78" s="44">
        <v>-14.162518395048208</v>
      </c>
      <c r="H78" s="44">
        <v>-24.024241171512507</v>
      </c>
      <c r="I78" s="44">
        <v>0</v>
      </c>
    </row>
    <row r="79" spans="1:9" ht="14.25">
      <c r="A79" s="47" t="str">
        <f>HLOOKUP(INDICE!$F$2,Nombres!$C$3:$D$636,50,FALSE)</f>
        <v>Resultado atribuido</v>
      </c>
      <c r="B79" s="47">
        <f>+B77+B78</f>
        <v>10.651666024749055</v>
      </c>
      <c r="C79" s="47">
        <f aca="true" t="shared" si="13" ref="C79:I79">+C77+C78</f>
        <v>6.938991537647976</v>
      </c>
      <c r="D79" s="47">
        <f t="shared" si="13"/>
        <v>42.84623127929336</v>
      </c>
      <c r="E79" s="47">
        <f t="shared" si="13"/>
        <v>15.716785522783145</v>
      </c>
      <c r="F79" s="53">
        <f t="shared" si="13"/>
        <v>-0.8599532201590261</v>
      </c>
      <c r="G79" s="53">
        <f t="shared" si="13"/>
        <v>31.976280835962854</v>
      </c>
      <c r="H79" s="53">
        <f t="shared" si="13"/>
        <v>53.053154444196245</v>
      </c>
      <c r="I79" s="53">
        <f t="shared" si="13"/>
        <v>0</v>
      </c>
    </row>
    <row r="80" spans="1:9" ht="14.25">
      <c r="A80" s="65"/>
      <c r="B80" s="66">
        <v>-3.552713678800501E-14</v>
      </c>
      <c r="C80" s="66">
        <v>0</v>
      </c>
      <c r="D80" s="66">
        <v>0</v>
      </c>
      <c r="E80" s="66">
        <v>2.4868995751603507E-14</v>
      </c>
      <c r="F80" s="66">
        <v>-4.796163466380676E-14</v>
      </c>
      <c r="G80" s="66">
        <v>-4.263256414560601E-14</v>
      </c>
      <c r="H80" s="66">
        <v>0</v>
      </c>
      <c r="I80" s="66">
        <v>0</v>
      </c>
    </row>
    <row r="81" spans="1:9" ht="14.25">
      <c r="A81" s="41"/>
      <c r="B81" s="41"/>
      <c r="C81" s="41"/>
      <c r="D81" s="41"/>
      <c r="E81" s="41"/>
      <c r="F81" s="52"/>
      <c r="G81" s="52"/>
      <c r="H81" s="52"/>
      <c r="I81" s="52"/>
    </row>
    <row r="82" spans="1:9" ht="16.5">
      <c r="A82" s="33" t="str">
        <f>HLOOKUP(INDICE!$F$2,Nombres!$C$3:$D$636,51,FALSE)</f>
        <v>Balances</v>
      </c>
      <c r="B82" s="34"/>
      <c r="C82" s="34"/>
      <c r="D82" s="34"/>
      <c r="E82" s="34"/>
      <c r="F82" s="72"/>
      <c r="G82" s="72"/>
      <c r="H82" s="72"/>
      <c r="I82" s="72"/>
    </row>
    <row r="83" spans="1:9" ht="14.25">
      <c r="A83" s="35" t="str">
        <f>HLOOKUP(INDICE!$F$2,Nombres!$C$3:$D$636,73,FALSE)</f>
        <v>(Millones de euros constantes)</v>
      </c>
      <c r="B83" s="30"/>
      <c r="C83" s="54"/>
      <c r="D83" s="54"/>
      <c r="E83" s="54"/>
      <c r="F83" s="73"/>
      <c r="G83" s="44"/>
      <c r="H83" s="44"/>
      <c r="I83" s="44"/>
    </row>
    <row r="84" spans="1:9" ht="14.25">
      <c r="A84" s="30"/>
      <c r="B84" s="55">
        <f aca="true" t="shared" si="14" ref="B84:I84">+B$30</f>
        <v>43555</v>
      </c>
      <c r="C84" s="55">
        <f t="shared" si="14"/>
        <v>43646</v>
      </c>
      <c r="D84" s="55">
        <f t="shared" si="14"/>
        <v>43738</v>
      </c>
      <c r="E84" s="71">
        <f t="shared" si="14"/>
        <v>43830</v>
      </c>
      <c r="F84" s="55">
        <f t="shared" si="14"/>
        <v>43921</v>
      </c>
      <c r="G84" s="55">
        <f t="shared" si="14"/>
        <v>44012</v>
      </c>
      <c r="H84" s="55">
        <f t="shared" si="14"/>
        <v>44104</v>
      </c>
      <c r="I84" s="55">
        <f t="shared" si="14"/>
        <v>44196</v>
      </c>
    </row>
    <row r="85" spans="1:9" ht="14.25">
      <c r="A85" s="43" t="str">
        <f>HLOOKUP(INDICE!$F$2,Nombres!$C$3:$D$636,52,FALSE)</f>
        <v>Efectivo, saldos en efectivo en bancos centrales y otros depósitos a la vista</v>
      </c>
      <c r="B85" s="44">
        <v>1166.8352612853762</v>
      </c>
      <c r="C85" s="44">
        <v>1020.7127609035148</v>
      </c>
      <c r="D85" s="44">
        <v>1057.7994190677607</v>
      </c>
      <c r="E85" s="45">
        <v>1754.092345288914</v>
      </c>
      <c r="F85" s="44">
        <v>1645.4273335052796</v>
      </c>
      <c r="G85" s="44">
        <v>1264.7506387600006</v>
      </c>
      <c r="H85" s="44">
        <v>1496.7959999999998</v>
      </c>
      <c r="I85" s="44">
        <v>0</v>
      </c>
    </row>
    <row r="86" spans="1:9" ht="14.25">
      <c r="A86" s="43" t="str">
        <f>HLOOKUP(INDICE!$F$2,Nombres!$C$3:$D$636,53,FALSE)</f>
        <v>Activos financieros a valor razonable</v>
      </c>
      <c r="B86" s="60">
        <v>544.7098222868149</v>
      </c>
      <c r="C86" s="60">
        <v>939.5587501335165</v>
      </c>
      <c r="D86" s="60">
        <v>858.7195572410808</v>
      </c>
      <c r="E86" s="68">
        <v>662.2955430144773</v>
      </c>
      <c r="F86" s="44">
        <v>929.6577565217326</v>
      </c>
      <c r="G86" s="44">
        <v>1137.752001391548</v>
      </c>
      <c r="H86" s="44">
        <v>1421.06</v>
      </c>
      <c r="I86" s="44">
        <v>0</v>
      </c>
    </row>
    <row r="87" spans="1:9" ht="14.25">
      <c r="A87" s="43" t="str">
        <f>HLOOKUP(INDICE!$F$2,Nombres!$C$3:$D$636,54,FALSE)</f>
        <v>Activos financieros a coste amortizado</v>
      </c>
      <c r="B87" s="44">
        <v>2411.1641753408285</v>
      </c>
      <c r="C87" s="44">
        <v>2254.444336658429</v>
      </c>
      <c r="D87" s="44">
        <v>2462.6741928582533</v>
      </c>
      <c r="E87" s="45">
        <v>2299.605296674879</v>
      </c>
      <c r="F87" s="44">
        <v>2621.5449924193617</v>
      </c>
      <c r="G87" s="44">
        <v>3255.825707977264</v>
      </c>
      <c r="H87" s="44">
        <v>3188.999</v>
      </c>
      <c r="I87" s="44">
        <v>0</v>
      </c>
    </row>
    <row r="88" spans="1:9" ht="14.25">
      <c r="A88" s="43" t="str">
        <f>HLOOKUP(INDICE!$F$2,Nombres!$C$3:$D$636,55,FALSE)</f>
        <v>    de los que préstamos y anticipos a la clientela</v>
      </c>
      <c r="B88" s="44">
        <v>2188.1486611762575</v>
      </c>
      <c r="C88" s="44">
        <v>2096.4633837490132</v>
      </c>
      <c r="D88" s="44">
        <v>2297.7222473137313</v>
      </c>
      <c r="E88" s="45">
        <v>2172.838008649551</v>
      </c>
      <c r="F88" s="44">
        <v>2448.3988904810863</v>
      </c>
      <c r="G88" s="44">
        <v>2745.33580316943</v>
      </c>
      <c r="H88" s="44">
        <v>2833.8469999999993</v>
      </c>
      <c r="I88" s="44">
        <v>0</v>
      </c>
    </row>
    <row r="89" spans="1:9" ht="14.25">
      <c r="A89" s="43" t="str">
        <f>HLOOKUP(INDICE!$F$2,Nombres!$C$3:$D$636,56,FALSE)</f>
        <v>Activos tangibles</v>
      </c>
      <c r="B89" s="44">
        <v>337.42434458907496</v>
      </c>
      <c r="C89" s="44">
        <v>369.33219576831874</v>
      </c>
      <c r="D89" s="44">
        <v>355.24541866833783</v>
      </c>
      <c r="E89" s="45">
        <v>374.12892393945674</v>
      </c>
      <c r="F89" s="44">
        <v>374.5907351902879</v>
      </c>
      <c r="G89" s="44">
        <v>352.84764315009886</v>
      </c>
      <c r="H89" s="44">
        <v>336.80591768</v>
      </c>
      <c r="I89" s="44">
        <v>0</v>
      </c>
    </row>
    <row r="90" spans="1:9" ht="14.25">
      <c r="A90" s="43" t="str">
        <f>HLOOKUP(INDICE!$F$2,Nombres!$C$3:$D$636,57,FALSE)</f>
        <v>Otros activos</v>
      </c>
      <c r="B90" s="60">
        <f>+B91-B89-B87-B86-B85</f>
        <v>80.6971909369206</v>
      </c>
      <c r="C90" s="60">
        <f aca="true" t="shared" si="15" ref="C90:I90">+C91-C89-C87-C86-C85</f>
        <v>96.5969282896109</v>
      </c>
      <c r="D90" s="60">
        <f t="shared" si="15"/>
        <v>125.62583544893687</v>
      </c>
      <c r="E90" s="68">
        <f t="shared" si="15"/>
        <v>187.11202804085997</v>
      </c>
      <c r="F90" s="44">
        <f t="shared" si="15"/>
        <v>229.64769672846364</v>
      </c>
      <c r="G90" s="44">
        <f t="shared" si="15"/>
        <v>225.05160842844748</v>
      </c>
      <c r="H90" s="44">
        <f t="shared" si="15"/>
        <v>248.7959577700003</v>
      </c>
      <c r="I90" s="44">
        <f t="shared" si="15"/>
        <v>0</v>
      </c>
    </row>
    <row r="91" spans="1:9" ht="14.25">
      <c r="A91" s="47" t="str">
        <f>HLOOKUP(INDICE!$F$2,Nombres!$C$3:$D$636,58,FALSE)</f>
        <v>Total activo / pasivo</v>
      </c>
      <c r="B91" s="47">
        <v>4540.830794439015</v>
      </c>
      <c r="C91" s="47">
        <v>4680.64497175339</v>
      </c>
      <c r="D91" s="47">
        <v>4860.06442328437</v>
      </c>
      <c r="E91" s="47">
        <v>5277.2341369585865</v>
      </c>
      <c r="F91" s="53">
        <v>5800.8685143651255</v>
      </c>
      <c r="G91" s="53">
        <v>6236.227599707358</v>
      </c>
      <c r="H91" s="53">
        <v>6692.45687545</v>
      </c>
      <c r="I91" s="53">
        <v>0</v>
      </c>
    </row>
    <row r="92" spans="1:9" ht="14.25">
      <c r="A92" s="43" t="str">
        <f>HLOOKUP(INDICE!$F$2,Nombres!$C$3:$D$636,59,FALSE)</f>
        <v>Pasivos financieros mantenidos para negociar y designados a valor razonable con cambios en resultados</v>
      </c>
      <c r="B92" s="60">
        <v>34.15176651370027</v>
      </c>
      <c r="C92" s="60">
        <v>38.655292328365604</v>
      </c>
      <c r="D92" s="60">
        <v>45.62645164139949</v>
      </c>
      <c r="E92" s="68">
        <v>34.80222406370352</v>
      </c>
      <c r="F92" s="44">
        <v>3.7212624619492676</v>
      </c>
      <c r="G92" s="44">
        <v>2.576735231481781</v>
      </c>
      <c r="H92" s="44">
        <v>0.403</v>
      </c>
      <c r="I92" s="44">
        <v>0</v>
      </c>
    </row>
    <row r="93" spans="1:9" ht="14.25">
      <c r="A93" s="43" t="str">
        <f>HLOOKUP(INDICE!$F$2,Nombres!$C$3:$D$636,60,FALSE)</f>
        <v>Depósitos de bancos centrales y entidades de crédito</v>
      </c>
      <c r="B93" s="60">
        <v>89.04189030356928</v>
      </c>
      <c r="C93" s="60">
        <v>57.67819993808723</v>
      </c>
      <c r="D93" s="60">
        <v>140.450498291038</v>
      </c>
      <c r="E93" s="68">
        <v>88.77500480580578</v>
      </c>
      <c r="F93" s="44">
        <v>86.91109536530838</v>
      </c>
      <c r="G93" s="44">
        <v>73.47631719980573</v>
      </c>
      <c r="H93" s="44">
        <v>51.71700000000002</v>
      </c>
      <c r="I93" s="44">
        <v>0</v>
      </c>
    </row>
    <row r="94" spans="1:9" ht="14.25">
      <c r="A94" s="43" t="str">
        <f>HLOOKUP(INDICE!$F$2,Nombres!$C$3:$D$636,61,FALSE)</f>
        <v>Depósitos de la clientela</v>
      </c>
      <c r="B94" s="60">
        <v>3122.3765677188967</v>
      </c>
      <c r="C94" s="60">
        <v>3195.807992521151</v>
      </c>
      <c r="D94" s="60">
        <v>3084.0475357962114</v>
      </c>
      <c r="E94" s="68">
        <v>3296.264341834378</v>
      </c>
      <c r="F94" s="44">
        <v>3676.352887432439</v>
      </c>
      <c r="G94" s="44">
        <v>4184.584402490505</v>
      </c>
      <c r="H94" s="44">
        <v>4477.334000000001</v>
      </c>
      <c r="I94" s="44">
        <v>0</v>
      </c>
    </row>
    <row r="95" spans="1:9" ht="14.25">
      <c r="A95" s="43" t="str">
        <f>HLOOKUP(INDICE!$F$2,Nombres!$C$3:$D$636,62,FALSE)</f>
        <v>Valores representativos de deuda emitidos</v>
      </c>
      <c r="B95" s="44">
        <v>45.974229350762535</v>
      </c>
      <c r="C95" s="44">
        <v>47.04462984022846</v>
      </c>
      <c r="D95" s="44">
        <v>96.50071211741925</v>
      </c>
      <c r="E95" s="45">
        <v>79.9795020587925</v>
      </c>
      <c r="F95" s="44">
        <v>81.76077300583103</v>
      </c>
      <c r="G95" s="44">
        <v>45.926568217828375</v>
      </c>
      <c r="H95" s="44">
        <v>45.02</v>
      </c>
      <c r="I95" s="44">
        <v>0</v>
      </c>
    </row>
    <row r="96" spans="1:9" ht="14.25">
      <c r="A96" s="43" t="str">
        <f>HLOOKUP(INDICE!$F$2,Nombres!$C$3:$D$636,63,FALSE)</f>
        <v>Otros pasivos</v>
      </c>
      <c r="B96" s="60">
        <f>+B91-B92-B93-B94-B95-B97</f>
        <v>1015.5165398015712</v>
      </c>
      <c r="C96" s="60">
        <f aca="true" t="shared" si="16" ref="C96:I96">+C91-C92-C93-C94-C95-C97</f>
        <v>1070.6199610984972</v>
      </c>
      <c r="D96" s="60">
        <f t="shared" si="16"/>
        <v>1223.4471864729069</v>
      </c>
      <c r="E96" s="68">
        <f t="shared" si="16"/>
        <v>1444.959314091501</v>
      </c>
      <c r="F96" s="44">
        <f t="shared" si="16"/>
        <v>1563.1536181727092</v>
      </c>
      <c r="G96" s="44">
        <f t="shared" si="16"/>
        <v>1512.0740890964178</v>
      </c>
      <c r="H96" s="44">
        <f t="shared" si="16"/>
        <v>1680.8769652899991</v>
      </c>
      <c r="I96" s="44">
        <f t="shared" si="16"/>
        <v>0</v>
      </c>
    </row>
    <row r="97" spans="1:9" ht="14.25">
      <c r="A97" s="43" t="str">
        <f>HLOOKUP(INDICE!$F$2,Nombres!$C$3:$D$636,64,FALSE)</f>
        <v>Dotación de capital económico</v>
      </c>
      <c r="B97" s="44">
        <v>233.7698007505163</v>
      </c>
      <c r="C97" s="44">
        <v>270.8388960270604</v>
      </c>
      <c r="D97" s="44">
        <v>269.99203896539444</v>
      </c>
      <c r="E97" s="45">
        <v>332.4537501044054</v>
      </c>
      <c r="F97" s="44">
        <v>388.9688779268889</v>
      </c>
      <c r="G97" s="44">
        <v>417.5894874713196</v>
      </c>
      <c r="H97" s="44">
        <v>437.10591015999995</v>
      </c>
      <c r="I97" s="44">
        <v>0</v>
      </c>
    </row>
    <row r="98" spans="1:9" ht="14.25">
      <c r="A98" s="65"/>
      <c r="B98" s="60"/>
      <c r="C98" s="60"/>
      <c r="D98" s="60"/>
      <c r="E98" s="60"/>
      <c r="F98" s="44"/>
      <c r="G98" s="44"/>
      <c r="H98" s="44"/>
      <c r="I98" s="44"/>
    </row>
    <row r="99" spans="1:9" ht="14.25">
      <c r="A99" s="43"/>
      <c r="B99" s="60"/>
      <c r="C99" s="60"/>
      <c r="D99" s="60"/>
      <c r="E99" s="60"/>
      <c r="F99" s="44"/>
      <c r="G99" s="44"/>
      <c r="H99" s="44"/>
      <c r="I99" s="44"/>
    </row>
    <row r="100" spans="1:9" ht="16.5">
      <c r="A100" s="33" t="str">
        <f>HLOOKUP(INDICE!$F$2,Nombres!$C$3:$D$636,65,FALSE)</f>
        <v>Indicadores relevantes y de gestión</v>
      </c>
      <c r="B100" s="34"/>
      <c r="C100" s="34"/>
      <c r="D100" s="34"/>
      <c r="E100" s="34"/>
      <c r="F100" s="72"/>
      <c r="G100" s="72"/>
      <c r="H100" s="72"/>
      <c r="I100" s="72"/>
    </row>
    <row r="101" spans="1:9" ht="14.25">
      <c r="A101" s="35" t="str">
        <f>HLOOKUP(INDICE!$F$2,Nombres!$C$3:$D$636,73,FALSE)</f>
        <v>(Millones de euros constantes)</v>
      </c>
      <c r="B101" s="30"/>
      <c r="C101" s="30"/>
      <c r="D101" s="30"/>
      <c r="E101" s="30"/>
      <c r="F101" s="73"/>
      <c r="G101" s="44"/>
      <c r="H101" s="44"/>
      <c r="I101" s="44"/>
    </row>
    <row r="102" spans="1:9" ht="14.25">
      <c r="A102" s="30"/>
      <c r="B102" s="55">
        <f aca="true" t="shared" si="17" ref="B102:I102">+B$30</f>
        <v>43555</v>
      </c>
      <c r="C102" s="55">
        <f t="shared" si="17"/>
        <v>43646</v>
      </c>
      <c r="D102" s="55">
        <f t="shared" si="17"/>
        <v>43738</v>
      </c>
      <c r="E102" s="71">
        <f t="shared" si="17"/>
        <v>43830</v>
      </c>
      <c r="F102" s="55">
        <f t="shared" si="17"/>
        <v>43921</v>
      </c>
      <c r="G102" s="55">
        <f t="shared" si="17"/>
        <v>44012</v>
      </c>
      <c r="H102" s="55">
        <f t="shared" si="17"/>
        <v>44104</v>
      </c>
      <c r="I102" s="55">
        <f t="shared" si="17"/>
        <v>44196</v>
      </c>
    </row>
    <row r="103" spans="1:9" ht="14.25">
      <c r="A103" s="43" t="str">
        <f>HLOOKUP(INDICE!$F$2,Nombres!$C$3:$D$636,66,FALSE)</f>
        <v>Préstamos y anticipos a la clientela bruto (*)</v>
      </c>
      <c r="B103" s="44">
        <v>2091.0755043246927</v>
      </c>
      <c r="C103" s="44">
        <v>2096.8925051468705</v>
      </c>
      <c r="D103" s="44">
        <v>2416.721165814877</v>
      </c>
      <c r="E103" s="45">
        <v>2298.9729644703384</v>
      </c>
      <c r="F103" s="44">
        <v>2581.255222327202</v>
      </c>
      <c r="G103" s="44">
        <v>2865.5711772954355</v>
      </c>
      <c r="H103" s="44">
        <v>2953.827407529999</v>
      </c>
      <c r="I103" s="44">
        <v>0</v>
      </c>
    </row>
    <row r="104" spans="1:9" ht="14.25">
      <c r="A104" s="43" t="str">
        <f>HLOOKUP(INDICE!$F$2,Nombres!$C$3:$D$636,67,FALSE)</f>
        <v>Depósitos de clientes en gestión (**)</v>
      </c>
      <c r="B104" s="44">
        <v>3123.233660998988</v>
      </c>
      <c r="C104" s="44">
        <v>3195.1269667552237</v>
      </c>
      <c r="D104" s="44">
        <v>3075.89405242007</v>
      </c>
      <c r="E104" s="45">
        <v>3296.301294769897</v>
      </c>
      <c r="F104" s="44">
        <v>3676.369696799021</v>
      </c>
      <c r="G104" s="44">
        <v>4184.584130389741</v>
      </c>
      <c r="H104" s="44">
        <v>4477.33311385</v>
      </c>
      <c r="I104" s="44">
        <v>0</v>
      </c>
    </row>
    <row r="105" spans="1:9" ht="14.25">
      <c r="A105" s="43" t="str">
        <f>HLOOKUP(INDICE!$F$2,Nombres!$C$3:$D$636,68,FALSE)</f>
        <v>Fondos de inversión</v>
      </c>
      <c r="B105" s="44">
        <v>567.4215390569401</v>
      </c>
      <c r="C105" s="44">
        <v>570.6431837335468</v>
      </c>
      <c r="D105" s="44">
        <v>460.60860319881033</v>
      </c>
      <c r="E105" s="45">
        <v>486.5424867487357</v>
      </c>
      <c r="F105" s="44">
        <v>749.719848628157</v>
      </c>
      <c r="G105" s="44">
        <v>1287.201150187218</v>
      </c>
      <c r="H105" s="44">
        <v>1125.3281869900002</v>
      </c>
      <c r="I105" s="44">
        <v>0</v>
      </c>
    </row>
    <row r="106" spans="1:9" ht="14.25">
      <c r="A106" s="43" t="str">
        <f>HLOOKUP(INDICE!$F$2,Nombres!$C$3:$D$636,69,FALSE)</f>
        <v>Fondos de pensiones</v>
      </c>
      <c r="B106" s="44">
        <v>0</v>
      </c>
      <c r="C106" s="44">
        <v>0</v>
      </c>
      <c r="D106" s="44">
        <v>0</v>
      </c>
      <c r="E106" s="45">
        <v>0</v>
      </c>
      <c r="F106" s="44">
        <v>0</v>
      </c>
      <c r="G106" s="44">
        <v>0</v>
      </c>
      <c r="H106" s="44">
        <v>0</v>
      </c>
      <c r="I106" s="44">
        <v>0</v>
      </c>
    </row>
    <row r="107" spans="1:9" ht="14.25">
      <c r="A107" s="43" t="str">
        <f>HLOOKUP(INDICE!$F$2,Nombres!$C$3:$D$636,70,FALSE)</f>
        <v>Otros recursos fuera de balance</v>
      </c>
      <c r="B107" s="44">
        <v>0</v>
      </c>
      <c r="C107" s="44">
        <v>0</v>
      </c>
      <c r="D107" s="44">
        <v>0</v>
      </c>
      <c r="E107" s="45">
        <v>0</v>
      </c>
      <c r="F107" s="44">
        <v>0</v>
      </c>
      <c r="G107" s="44">
        <v>0</v>
      </c>
      <c r="H107" s="44">
        <v>0</v>
      </c>
      <c r="I107" s="44">
        <v>0</v>
      </c>
    </row>
    <row r="108" spans="1:9" ht="14.25">
      <c r="A108" s="65" t="str">
        <f>HLOOKUP(INDICE!$F$2,Nombres!$C$3:$D$636,71,FALSE)</f>
        <v>(*) No incluye las adquisiciones temporales de activos.</v>
      </c>
      <c r="B108" s="60"/>
      <c r="C108" s="60"/>
      <c r="D108" s="60"/>
      <c r="E108" s="60"/>
      <c r="F108" s="60"/>
      <c r="G108" s="60"/>
      <c r="H108" s="60"/>
      <c r="I108" s="60"/>
    </row>
    <row r="109" spans="1:9" ht="14.25">
      <c r="A109" s="65" t="str">
        <f>HLOOKUP(INDICE!$F$2,Nombres!$C$3:$D$636,72,FALSE)</f>
        <v>(**) No incluye las cesiones temporales de activos.</v>
      </c>
      <c r="B109" s="30"/>
      <c r="C109" s="30"/>
      <c r="D109" s="30"/>
      <c r="E109" s="30"/>
      <c r="F109" s="30"/>
      <c r="G109" s="30"/>
      <c r="H109" s="30"/>
      <c r="I109" s="30"/>
    </row>
    <row r="110" spans="1:9" ht="14.25">
      <c r="A110" s="65"/>
      <c r="B110" s="60"/>
      <c r="C110" s="44"/>
      <c r="D110" s="44"/>
      <c r="E110" s="44"/>
      <c r="F110" s="44"/>
      <c r="G110" s="30"/>
      <c r="H110" s="30"/>
      <c r="I110" s="30"/>
    </row>
    <row r="111" spans="1:9" ht="16.5">
      <c r="A111" s="33" t="str">
        <f>HLOOKUP(INDICE!$F$2,Nombres!$C$3:$D$636,31,FALSE)</f>
        <v>Cuenta de resultados  </v>
      </c>
      <c r="B111" s="34"/>
      <c r="C111" s="34"/>
      <c r="D111" s="34"/>
      <c r="E111" s="34"/>
      <c r="F111" s="34"/>
      <c r="G111" s="34"/>
      <c r="H111" s="34"/>
      <c r="I111" s="34"/>
    </row>
    <row r="112" spans="1:9" ht="14.25">
      <c r="A112" s="35" t="str">
        <f>HLOOKUP(INDICE!$F$2,Nombres!$C$3:$D$636,78,FALSE)</f>
        <v>(Millones de pesos argentinos)</v>
      </c>
      <c r="B112" s="30"/>
      <c r="C112" s="36"/>
      <c r="D112" s="36"/>
      <c r="E112" s="36"/>
      <c r="F112" s="30"/>
      <c r="G112" s="30"/>
      <c r="H112" s="30"/>
      <c r="I112" s="30"/>
    </row>
    <row r="113" spans="1:9" ht="14.25">
      <c r="A113" s="37"/>
      <c r="B113" s="30"/>
      <c r="C113" s="36"/>
      <c r="D113" s="36"/>
      <c r="E113" s="36"/>
      <c r="F113" s="30"/>
      <c r="G113" s="30"/>
      <c r="H113" s="30"/>
      <c r="I113" s="30"/>
    </row>
    <row r="114" spans="1:9" ht="14.25">
      <c r="A114" s="38"/>
      <c r="B114" s="305">
        <f>+B$6</f>
        <v>2019</v>
      </c>
      <c r="C114" s="305"/>
      <c r="D114" s="305"/>
      <c r="E114" s="306"/>
      <c r="F114" s="305">
        <f>+F$6</f>
        <v>2020</v>
      </c>
      <c r="G114" s="305"/>
      <c r="H114" s="305"/>
      <c r="I114" s="305"/>
    </row>
    <row r="115" spans="1:9" ht="14.25">
      <c r="A115" s="38"/>
      <c r="B115" s="39" t="str">
        <f>+B$7</f>
        <v>1er Trim.</v>
      </c>
      <c r="C115" s="39" t="str">
        <f aca="true" t="shared" si="18" ref="C115:I115">+C$7</f>
        <v>2º Trim.</v>
      </c>
      <c r="D115" s="39" t="str">
        <f t="shared" si="18"/>
        <v>3er Trim.</v>
      </c>
      <c r="E115" s="40" t="str">
        <f t="shared" si="18"/>
        <v>4º Trim.</v>
      </c>
      <c r="F115" s="39" t="str">
        <f t="shared" si="18"/>
        <v>1er Trim.</v>
      </c>
      <c r="G115" s="39" t="str">
        <f t="shared" si="18"/>
        <v>2º Trim.</v>
      </c>
      <c r="H115" s="39" t="str">
        <f t="shared" si="18"/>
        <v>3er Trim.</v>
      </c>
      <c r="I115" s="39" t="str">
        <f t="shared" si="18"/>
        <v>4º Trim.</v>
      </c>
    </row>
    <row r="116" spans="1:9" ht="14.25">
      <c r="A116" s="41" t="str">
        <f>HLOOKUP(INDICE!$F$2,Nombres!$C$3:$D$636,33,FALSE)</f>
        <v>Margen de intereses</v>
      </c>
      <c r="B116" s="41">
        <v>10715.519182118196</v>
      </c>
      <c r="C116" s="41">
        <v>14951.564631993064</v>
      </c>
      <c r="D116" s="41">
        <v>20619.97659392892</v>
      </c>
      <c r="E116" s="42">
        <v>23722.587040582195</v>
      </c>
      <c r="F116" s="52">
        <v>17079.272024805472</v>
      </c>
      <c r="G116" s="52">
        <v>17744.005887890522</v>
      </c>
      <c r="H116" s="52">
        <v>19756.098347982188</v>
      </c>
      <c r="I116" s="52">
        <v>0</v>
      </c>
    </row>
    <row r="117" spans="1:9" ht="14.25">
      <c r="A117" s="43" t="str">
        <f>HLOOKUP(INDICE!$F$2,Nombres!$C$3:$D$636,34,FALSE)</f>
        <v>Comisiones netas</v>
      </c>
      <c r="B117" s="44">
        <v>1566.72406431401</v>
      </c>
      <c r="C117" s="44">
        <v>2619.4101025681334</v>
      </c>
      <c r="D117" s="44">
        <v>2255.9803172077486</v>
      </c>
      <c r="E117" s="45">
        <v>2576.1221993662766</v>
      </c>
      <c r="F117" s="44">
        <v>1874.6411309726877</v>
      </c>
      <c r="G117" s="44">
        <v>3299.3805621287747</v>
      </c>
      <c r="H117" s="44">
        <v>3801.789747569029</v>
      </c>
      <c r="I117" s="44">
        <v>0</v>
      </c>
    </row>
    <row r="118" spans="1:9" ht="14.25">
      <c r="A118" s="43" t="str">
        <f>HLOOKUP(INDICE!$F$2,Nombres!$C$3:$D$636,35,FALSE)</f>
        <v>Resultados de operaciones financieras</v>
      </c>
      <c r="B118" s="44">
        <v>6695.467269071129</v>
      </c>
      <c r="C118" s="44">
        <v>1981.2665703263228</v>
      </c>
      <c r="D118" s="44">
        <v>4692.634726753385</v>
      </c>
      <c r="E118" s="45">
        <v>6688.167022715069</v>
      </c>
      <c r="F118" s="44">
        <v>1818.8820010215834</v>
      </c>
      <c r="G118" s="44">
        <v>2018.935377692518</v>
      </c>
      <c r="H118" s="44">
        <v>2290.9697542760955</v>
      </c>
      <c r="I118" s="44">
        <v>0</v>
      </c>
    </row>
    <row r="119" spans="1:9" ht="14.25">
      <c r="A119" s="43" t="str">
        <f>HLOOKUP(INDICE!$F$2,Nombres!$C$3:$D$636,36,FALSE)</f>
        <v>Otros ingresos y cargas de explotación</v>
      </c>
      <c r="B119" s="44">
        <v>-5330.212073246537</v>
      </c>
      <c r="C119" s="44">
        <v>-5148.260086438677</v>
      </c>
      <c r="D119" s="44">
        <v>-8283.070695313068</v>
      </c>
      <c r="E119" s="45">
        <v>-10968.458814365751</v>
      </c>
      <c r="F119" s="44">
        <v>-5955.845446101257</v>
      </c>
      <c r="G119" s="44">
        <v>-5877.704445577949</v>
      </c>
      <c r="H119" s="44">
        <v>-7531.146539366741</v>
      </c>
      <c r="I119" s="44">
        <v>0</v>
      </c>
    </row>
    <row r="120" spans="1:9" ht="14.25">
      <c r="A120" s="41" t="str">
        <f>HLOOKUP(INDICE!$F$2,Nombres!$C$3:$D$636,37,FALSE)</f>
        <v>Margen bruto</v>
      </c>
      <c r="B120" s="41">
        <f>+SUM(B116:B119)</f>
        <v>13647.498442256798</v>
      </c>
      <c r="C120" s="41">
        <f aca="true" t="shared" si="19" ref="C120:I120">+SUM(C116:C119)</f>
        <v>14403.981218448844</v>
      </c>
      <c r="D120" s="41">
        <f t="shared" si="19"/>
        <v>19285.520942576986</v>
      </c>
      <c r="E120" s="42">
        <f t="shared" si="19"/>
        <v>22018.41744829779</v>
      </c>
      <c r="F120" s="52">
        <f t="shared" si="19"/>
        <v>14816.949710698484</v>
      </c>
      <c r="G120" s="52">
        <f t="shared" si="19"/>
        <v>17184.617382133867</v>
      </c>
      <c r="H120" s="52">
        <f t="shared" si="19"/>
        <v>18317.71131046057</v>
      </c>
      <c r="I120" s="52">
        <f t="shared" si="19"/>
        <v>0</v>
      </c>
    </row>
    <row r="121" spans="1:9" ht="14.25">
      <c r="A121" s="43" t="str">
        <f>HLOOKUP(INDICE!$F$2,Nombres!$C$3:$D$636,38,FALSE)</f>
        <v>Gastos de explotación</v>
      </c>
      <c r="B121" s="44">
        <v>-5137.827200281208</v>
      </c>
      <c r="C121" s="44">
        <v>-6575.298814263202</v>
      </c>
      <c r="D121" s="44">
        <v>-9328.921860079816</v>
      </c>
      <c r="E121" s="45">
        <v>-11460.64701617834</v>
      </c>
      <c r="F121" s="44">
        <v>-8329.043666629235</v>
      </c>
      <c r="G121" s="44">
        <v>-8725.22704365629</v>
      </c>
      <c r="H121" s="44">
        <v>-10583.748134715668</v>
      </c>
      <c r="I121" s="44">
        <v>0</v>
      </c>
    </row>
    <row r="122" spans="1:9" ht="14.25">
      <c r="A122" s="43" t="str">
        <f>HLOOKUP(INDICE!$F$2,Nombres!$C$3:$D$636,39,FALSE)</f>
        <v>  Gastos de administración</v>
      </c>
      <c r="B122" s="44">
        <v>-4637.123516520125</v>
      </c>
      <c r="C122" s="44">
        <v>-5947.454888795492</v>
      </c>
      <c r="D122" s="44">
        <v>-8547.818112754008</v>
      </c>
      <c r="E122" s="45">
        <v>-10158.129965952805</v>
      </c>
      <c r="F122" s="44">
        <v>-7483.072189678596</v>
      </c>
      <c r="G122" s="44">
        <v>-7844.306492488938</v>
      </c>
      <c r="H122" s="44">
        <v>-9618.640890913235</v>
      </c>
      <c r="I122" s="44">
        <v>0</v>
      </c>
    </row>
    <row r="123" spans="1:9" ht="14.25">
      <c r="A123" s="46" t="str">
        <f>HLOOKUP(INDICE!$F$2,Nombres!$C$3:$D$636,40,FALSE)</f>
        <v>  Gastos de personal</v>
      </c>
      <c r="B123" s="44">
        <v>-2909.115827736297</v>
      </c>
      <c r="C123" s="44">
        <v>-3703.0800601109245</v>
      </c>
      <c r="D123" s="44">
        <v>-4794.346331081503</v>
      </c>
      <c r="E123" s="45">
        <v>-5727.377628737007</v>
      </c>
      <c r="F123" s="44">
        <v>-4554.062868530717</v>
      </c>
      <c r="G123" s="44">
        <v>-4320.744822784194</v>
      </c>
      <c r="H123" s="44">
        <v>-5351.581469482768</v>
      </c>
      <c r="I123" s="44">
        <v>0</v>
      </c>
    </row>
    <row r="124" spans="1:9" ht="14.25">
      <c r="A124" s="46" t="str">
        <f>HLOOKUP(INDICE!$F$2,Nombres!$C$3:$D$636,41,FALSE)</f>
        <v>  Otros gastos de administración</v>
      </c>
      <c r="B124" s="44">
        <v>-1728.0076887838275</v>
      </c>
      <c r="C124" s="44">
        <v>-2244.3748286845675</v>
      </c>
      <c r="D124" s="44">
        <v>-3753.4717816725047</v>
      </c>
      <c r="E124" s="45">
        <v>-4430.752337215797</v>
      </c>
      <c r="F124" s="44">
        <v>-2929.0093211478807</v>
      </c>
      <c r="G124" s="44">
        <v>-3523.5616697047453</v>
      </c>
      <c r="H124" s="44">
        <v>-4267.059421430467</v>
      </c>
      <c r="I124" s="44">
        <v>0</v>
      </c>
    </row>
    <row r="125" spans="1:9" ht="14.25">
      <c r="A125" s="43" t="str">
        <f>HLOOKUP(INDICE!$F$2,Nombres!$C$3:$D$636,42,FALSE)</f>
        <v>  Amortización</v>
      </c>
      <c r="B125" s="44">
        <v>-500.70368376108377</v>
      </c>
      <c r="C125" s="44">
        <v>-627.8439254677089</v>
      </c>
      <c r="D125" s="44">
        <v>-781.1037473258077</v>
      </c>
      <c r="E125" s="45">
        <v>-1302.5170502255369</v>
      </c>
      <c r="F125" s="44">
        <v>-845.9714769506381</v>
      </c>
      <c r="G125" s="44">
        <v>-880.9205511673514</v>
      </c>
      <c r="H125" s="44">
        <v>-965.107243802433</v>
      </c>
      <c r="I125" s="44">
        <v>0</v>
      </c>
    </row>
    <row r="126" spans="1:9" ht="14.25">
      <c r="A126" s="41" t="str">
        <f>HLOOKUP(INDICE!$F$2,Nombres!$C$3:$D$636,43,FALSE)</f>
        <v>Margen neto</v>
      </c>
      <c r="B126" s="41">
        <f>+B120+B121</f>
        <v>8509.67124197559</v>
      </c>
      <c r="C126" s="41">
        <f aca="true" t="shared" si="20" ref="C126:I126">+C120+C121</f>
        <v>7828.682404185642</v>
      </c>
      <c r="D126" s="41">
        <f t="shared" si="20"/>
        <v>9956.59908249717</v>
      </c>
      <c r="E126" s="42">
        <f t="shared" si="20"/>
        <v>10557.77043211945</v>
      </c>
      <c r="F126" s="52">
        <f t="shared" si="20"/>
        <v>6487.906044069248</v>
      </c>
      <c r="G126" s="52">
        <f t="shared" si="20"/>
        <v>8459.390338477577</v>
      </c>
      <c r="H126" s="52">
        <f t="shared" si="20"/>
        <v>7733.963175744902</v>
      </c>
      <c r="I126" s="52">
        <f t="shared" si="20"/>
        <v>0</v>
      </c>
    </row>
    <row r="127" spans="1:9" ht="14.25">
      <c r="A127" s="43" t="str">
        <f>HLOOKUP(INDICE!$F$2,Nombres!$C$3:$D$636,44,FALSE)</f>
        <v>Deterioro de activos financieros no valorados a valor razonable con cambios en resultados</v>
      </c>
      <c r="B127" s="44">
        <v>-1132.9008525474524</v>
      </c>
      <c r="C127" s="44">
        <v>-2018.422201088138</v>
      </c>
      <c r="D127" s="44">
        <v>-7343.614507521573</v>
      </c>
      <c r="E127" s="45">
        <v>-5507.836617634467</v>
      </c>
      <c r="F127" s="44">
        <v>-4501.511914297497</v>
      </c>
      <c r="G127" s="44">
        <v>-2432.306029067025</v>
      </c>
      <c r="H127" s="44">
        <v>2252.4946596896057</v>
      </c>
      <c r="I127" s="44">
        <v>0</v>
      </c>
    </row>
    <row r="128" spans="1:9" ht="14.25">
      <c r="A128" s="43" t="str">
        <f>HLOOKUP(INDICE!$F$2,Nombres!$C$3:$D$636,45,FALSE)</f>
        <v>Provisiones o reversión de provisiones y otros resultados</v>
      </c>
      <c r="B128" s="44">
        <v>-254.80841809555153</v>
      </c>
      <c r="C128" s="44">
        <v>-530.743017507088</v>
      </c>
      <c r="D128" s="44">
        <v>-1111.1180115437394</v>
      </c>
      <c r="E128" s="45">
        <v>-3483.791695310876</v>
      </c>
      <c r="F128" s="44">
        <v>-759.5166812766311</v>
      </c>
      <c r="G128" s="44">
        <v>352.5260599604685</v>
      </c>
      <c r="H128" s="44">
        <v>-600.6376813720062</v>
      </c>
      <c r="I128" s="44">
        <v>0</v>
      </c>
    </row>
    <row r="129" spans="1:9" ht="14.25">
      <c r="A129" s="41" t="str">
        <f>HLOOKUP(INDICE!$F$2,Nombres!$C$3:$D$636,46,FALSE)</f>
        <v>Resultado antes de impuestos</v>
      </c>
      <c r="B129" s="41">
        <f>+B126+B127+B128</f>
        <v>7121.961971332586</v>
      </c>
      <c r="C129" s="41">
        <f aca="true" t="shared" si="21" ref="C129:I129">+C126+C127+C128</f>
        <v>5279.5171855904155</v>
      </c>
      <c r="D129" s="41">
        <f t="shared" si="21"/>
        <v>1501.8665634318584</v>
      </c>
      <c r="E129" s="42">
        <f t="shared" si="21"/>
        <v>1566.1421191741074</v>
      </c>
      <c r="F129" s="52">
        <f t="shared" si="21"/>
        <v>1226.87744849512</v>
      </c>
      <c r="G129" s="52">
        <f t="shared" si="21"/>
        <v>6379.610369371019</v>
      </c>
      <c r="H129" s="52">
        <f t="shared" si="21"/>
        <v>9385.820154062501</v>
      </c>
      <c r="I129" s="52">
        <f t="shared" si="21"/>
        <v>0</v>
      </c>
    </row>
    <row r="130" spans="1:9" ht="14.25">
      <c r="A130" s="43" t="str">
        <f>HLOOKUP(INDICE!$F$2,Nombres!$C$3:$D$636,47,FALSE)</f>
        <v>Impuesto sobre beneficios</v>
      </c>
      <c r="B130" s="44">
        <v>-2643.9324997224694</v>
      </c>
      <c r="C130" s="44">
        <v>-1996.5283657176515</v>
      </c>
      <c r="D130" s="44">
        <v>1674.2572870304805</v>
      </c>
      <c r="E130" s="45">
        <v>460.601882776381</v>
      </c>
      <c r="F130" s="44">
        <v>-488.4225779933611</v>
      </c>
      <c r="G130" s="44">
        <v>-2306.1601042485863</v>
      </c>
      <c r="H130" s="44">
        <v>-3414.9050512868575</v>
      </c>
      <c r="I130" s="44">
        <v>0</v>
      </c>
    </row>
    <row r="131" spans="1:9" ht="14.25">
      <c r="A131" s="41" t="str">
        <f>HLOOKUP(INDICE!$F$2,Nombres!$C$3:$D$636,48,FALSE)</f>
        <v>Resultado del ejercicio</v>
      </c>
      <c r="B131" s="41">
        <f>+B129+B130</f>
        <v>4478.029471610116</v>
      </c>
      <c r="C131" s="41">
        <f aca="true" t="shared" si="22" ref="C131:I131">+C129+C130</f>
        <v>3282.988819872764</v>
      </c>
      <c r="D131" s="41">
        <f t="shared" si="22"/>
        <v>3176.123850462339</v>
      </c>
      <c r="E131" s="42">
        <f t="shared" si="22"/>
        <v>2026.7440019504884</v>
      </c>
      <c r="F131" s="52">
        <f t="shared" si="22"/>
        <v>738.4548705017589</v>
      </c>
      <c r="G131" s="52">
        <f t="shared" si="22"/>
        <v>4073.450265122433</v>
      </c>
      <c r="H131" s="52">
        <f t="shared" si="22"/>
        <v>5970.915102775643</v>
      </c>
      <c r="I131" s="52">
        <f t="shared" si="22"/>
        <v>0</v>
      </c>
    </row>
    <row r="132" spans="1:9" ht="14.25">
      <c r="A132" s="43" t="str">
        <f>HLOOKUP(INDICE!$F$2,Nombres!$C$3:$D$636,49,FALSE)</f>
        <v>Minoritarios</v>
      </c>
      <c r="B132" s="44">
        <v>-1562.4174136894112</v>
      </c>
      <c r="C132" s="44">
        <v>-837.2658323329683</v>
      </c>
      <c r="D132" s="44">
        <v>-1217.666632419711</v>
      </c>
      <c r="E132" s="45">
        <v>-421.08889440790017</v>
      </c>
      <c r="F132" s="44">
        <v>-190.0053674803006</v>
      </c>
      <c r="G132" s="44">
        <v>-1254.980100167937</v>
      </c>
      <c r="H132" s="44">
        <v>-1837.0341741070333</v>
      </c>
      <c r="I132" s="44">
        <v>0</v>
      </c>
    </row>
    <row r="133" spans="1:9" ht="14.25">
      <c r="A133" s="47" t="str">
        <f>HLOOKUP(INDICE!$F$2,Nombres!$C$3:$D$636,50,FALSE)</f>
        <v>Resultado atribuido</v>
      </c>
      <c r="B133" s="47">
        <f>+B131+B132</f>
        <v>2915.612057920705</v>
      </c>
      <c r="C133" s="47">
        <f aca="true" t="shared" si="23" ref="C133:I133">+C131+C132</f>
        <v>2445.7229875397957</v>
      </c>
      <c r="D133" s="47">
        <f t="shared" si="23"/>
        <v>1958.4572180426278</v>
      </c>
      <c r="E133" s="47">
        <f t="shared" si="23"/>
        <v>1605.6551075425882</v>
      </c>
      <c r="F133" s="53">
        <f t="shared" si="23"/>
        <v>548.4495030214583</v>
      </c>
      <c r="G133" s="53">
        <f t="shared" si="23"/>
        <v>2818.470164954496</v>
      </c>
      <c r="H133" s="53">
        <f t="shared" si="23"/>
        <v>4133.88092866861</v>
      </c>
      <c r="I133" s="53">
        <f t="shared" si="23"/>
        <v>0</v>
      </c>
    </row>
    <row r="134" spans="1:9" ht="14.25">
      <c r="A134" s="65"/>
      <c r="B134" s="66">
        <v>0</v>
      </c>
      <c r="C134" s="66">
        <v>0</v>
      </c>
      <c r="D134" s="66">
        <v>2.5011104298755527E-12</v>
      </c>
      <c r="E134" s="66">
        <v>5.4569682106375694E-12</v>
      </c>
      <c r="F134" s="66">
        <v>-3.524291969370097E-12</v>
      </c>
      <c r="G134" s="66">
        <v>0</v>
      </c>
      <c r="H134" s="66">
        <v>0</v>
      </c>
      <c r="I134" s="66">
        <v>0</v>
      </c>
    </row>
    <row r="135" spans="1:9" ht="14.25">
      <c r="A135" s="41"/>
      <c r="B135" s="41"/>
      <c r="C135" s="41"/>
      <c r="D135" s="41"/>
      <c r="E135" s="41"/>
      <c r="F135" s="52"/>
      <c r="G135" s="52"/>
      <c r="H135" s="52"/>
      <c r="I135" s="52"/>
    </row>
    <row r="136" spans="1:9" ht="16.5">
      <c r="A136" s="33" t="str">
        <f>HLOOKUP(INDICE!$F$2,Nombres!$C$3:$D$636,51,FALSE)</f>
        <v>Balances</v>
      </c>
      <c r="B136" s="34"/>
      <c r="C136" s="34"/>
      <c r="D136" s="34"/>
      <c r="E136" s="34"/>
      <c r="F136" s="72"/>
      <c r="G136" s="72"/>
      <c r="H136" s="72"/>
      <c r="I136" s="72"/>
    </row>
    <row r="137" spans="1:9" ht="14.25">
      <c r="A137" s="35" t="str">
        <f>HLOOKUP(INDICE!$F$2,Nombres!$C$3:$D$636,78,FALSE)</f>
        <v>(Millones de pesos argentinos)</v>
      </c>
      <c r="B137" s="30"/>
      <c r="C137" s="54"/>
      <c r="D137" s="54"/>
      <c r="E137" s="54"/>
      <c r="F137" s="73"/>
      <c r="G137" s="44"/>
      <c r="H137" s="44"/>
      <c r="I137" s="44"/>
    </row>
    <row r="138" spans="1:9" ht="14.25">
      <c r="A138" s="30"/>
      <c r="B138" s="55">
        <f aca="true" t="shared" si="24" ref="B138:I138">+B$30</f>
        <v>43555</v>
      </c>
      <c r="C138" s="55">
        <f t="shared" si="24"/>
        <v>43646</v>
      </c>
      <c r="D138" s="55">
        <f t="shared" si="24"/>
        <v>43738</v>
      </c>
      <c r="E138" s="71">
        <f t="shared" si="24"/>
        <v>43830</v>
      </c>
      <c r="F138" s="55">
        <f t="shared" si="24"/>
        <v>43921</v>
      </c>
      <c r="G138" s="55">
        <f t="shared" si="24"/>
        <v>44012</v>
      </c>
      <c r="H138" s="55">
        <f t="shared" si="24"/>
        <v>44104</v>
      </c>
      <c r="I138" s="55">
        <f t="shared" si="24"/>
        <v>44196</v>
      </c>
    </row>
    <row r="139" spans="1:9" ht="14.25">
      <c r="A139" s="43" t="str">
        <f>HLOOKUP(INDICE!$F$2,Nombres!$C$3:$D$636,52,FALSE)</f>
        <v>Efectivo, saldos en efectivo en bancos centrales y otros depósitos a la vista</v>
      </c>
      <c r="B139" s="44">
        <v>103983.04005003006</v>
      </c>
      <c r="C139" s="44">
        <v>90961.26884243068</v>
      </c>
      <c r="D139" s="44">
        <v>94266.26277702124</v>
      </c>
      <c r="E139" s="45">
        <v>156316.7146583337</v>
      </c>
      <c r="F139" s="44">
        <v>146632.9841033559</v>
      </c>
      <c r="G139" s="44">
        <v>112708.81219222759</v>
      </c>
      <c r="H139" s="44">
        <v>133387.63712306015</v>
      </c>
      <c r="I139" s="44">
        <v>0</v>
      </c>
    </row>
    <row r="140" spans="1:9" ht="14.25">
      <c r="A140" s="43" t="str">
        <f>HLOOKUP(INDICE!$F$2,Nombres!$C$3:$D$636,53,FALSE)</f>
        <v>Activos financieros a valor razonable</v>
      </c>
      <c r="B140" s="60">
        <v>48542.056574550064</v>
      </c>
      <c r="C140" s="60">
        <v>83729.19330263138</v>
      </c>
      <c r="D140" s="60">
        <v>76525.17289714041</v>
      </c>
      <c r="E140" s="68">
        <v>59020.76005002364</v>
      </c>
      <c r="F140" s="44">
        <v>82846.8618806832</v>
      </c>
      <c r="G140" s="44">
        <v>101391.27248980572</v>
      </c>
      <c r="H140" s="44">
        <v>126638.39000778718</v>
      </c>
      <c r="I140" s="44">
        <v>0</v>
      </c>
    </row>
    <row r="141" spans="1:9" ht="14.25">
      <c r="A141" s="43" t="str">
        <f>HLOOKUP(INDICE!$F$2,Nombres!$C$3:$D$636,54,FALSE)</f>
        <v>Activos financieros a coste amortizado</v>
      </c>
      <c r="B141" s="44">
        <v>214871.96121882007</v>
      </c>
      <c r="C141" s="44">
        <v>200905.8035245502</v>
      </c>
      <c r="D141" s="44">
        <v>219462.2991972865</v>
      </c>
      <c r="E141" s="45">
        <v>204930.34243753715</v>
      </c>
      <c r="F141" s="44">
        <v>233620.14072098615</v>
      </c>
      <c r="G141" s="44">
        <v>290144.3470396778</v>
      </c>
      <c r="H141" s="44">
        <v>284189.0554209135</v>
      </c>
      <c r="I141" s="44">
        <v>0</v>
      </c>
    </row>
    <row r="142" spans="1:9" ht="14.25">
      <c r="A142" s="43" t="str">
        <f>HLOOKUP(INDICE!$F$2,Nombres!$C$3:$D$636,55,FALSE)</f>
        <v>    de los que préstamos y anticipos a la clientela</v>
      </c>
      <c r="B142" s="44">
        <v>194997.83510130207</v>
      </c>
      <c r="C142" s="44">
        <v>186827.26107852784</v>
      </c>
      <c r="D142" s="44">
        <v>204762.53366141158</v>
      </c>
      <c r="E142" s="45">
        <v>193633.41953408413</v>
      </c>
      <c r="F142" s="44">
        <v>218190.14931626903</v>
      </c>
      <c r="G142" s="44">
        <v>244651.81353645306</v>
      </c>
      <c r="H142" s="44">
        <v>252539.5279639127</v>
      </c>
      <c r="I142" s="44">
        <v>0</v>
      </c>
    </row>
    <row r="143" spans="1:9" ht="14.25">
      <c r="A143" s="43" t="str">
        <f>HLOOKUP(INDICE!$F$2,Nombres!$C$3:$D$636,56,FALSE)</f>
        <v>Activos tangibles</v>
      </c>
      <c r="B143" s="44">
        <v>19928.48655266814</v>
      </c>
      <c r="C143" s="44">
        <v>21550.739685197426</v>
      </c>
      <c r="D143" s="44">
        <v>24680.04528462732</v>
      </c>
      <c r="E143" s="45">
        <v>27292.83390585865</v>
      </c>
      <c r="F143" s="44">
        <v>28252.596706464254</v>
      </c>
      <c r="G143" s="44">
        <v>28805.918029262084</v>
      </c>
      <c r="H143" s="44">
        <v>30014.608222095132</v>
      </c>
      <c r="I143" s="44">
        <v>0</v>
      </c>
    </row>
    <row r="144" spans="1:9" ht="14.25">
      <c r="A144" s="43" t="str">
        <f>HLOOKUP(INDICE!$F$2,Nombres!$C$3:$D$636,57,FALSE)</f>
        <v>Otros activos</v>
      </c>
      <c r="B144" s="60">
        <f>+B145-B143-B141-B140-B139</f>
        <v>7975.459410362324</v>
      </c>
      <c r="C144" s="60">
        <f aca="true" t="shared" si="25" ref="C144:H144">+C145-C143-C141-C140-C139</f>
        <v>9374.594922006494</v>
      </c>
      <c r="D144" s="60">
        <f t="shared" si="25"/>
        <v>11574.93256307955</v>
      </c>
      <c r="E144" s="68">
        <f t="shared" si="25"/>
        <v>16936.595522220334</v>
      </c>
      <c r="F144" s="44">
        <f t="shared" si="25"/>
        <v>20669.06146328256</v>
      </c>
      <c r="G144" s="44">
        <f t="shared" si="25"/>
        <v>20154.430972913033</v>
      </c>
      <c r="H144" s="44">
        <f t="shared" si="25"/>
        <v>22171.561744358623</v>
      </c>
      <c r="I144" s="44">
        <f>+I145-I143-I141-I140-I139</f>
        <v>0</v>
      </c>
    </row>
    <row r="145" spans="1:9" ht="14.25">
      <c r="A145" s="47" t="str">
        <f>HLOOKUP(INDICE!$F$2,Nombres!$C$3:$D$636,58,FALSE)</f>
        <v>Total activo / pasivo</v>
      </c>
      <c r="B145" s="47">
        <v>395301.0038064307</v>
      </c>
      <c r="C145" s="47">
        <v>406521.60027681617</v>
      </c>
      <c r="D145" s="47">
        <v>426508.712719155</v>
      </c>
      <c r="E145" s="47">
        <v>464497.24657397345</v>
      </c>
      <c r="F145" s="53">
        <v>512021.64487477206</v>
      </c>
      <c r="G145" s="53">
        <v>553204.7807238862</v>
      </c>
      <c r="H145" s="53">
        <v>596401.2525182146</v>
      </c>
      <c r="I145" s="53">
        <v>0</v>
      </c>
    </row>
    <row r="146" spans="1:9" ht="14.25">
      <c r="A146" s="43" t="str">
        <f>HLOOKUP(INDICE!$F$2,Nombres!$C$3:$D$636,59,FALSE)</f>
        <v>Pasivos financieros mantenidos para negociar y designados a valor razonable con cambios en resultados</v>
      </c>
      <c r="B146" s="60">
        <v>3043.4497679315873</v>
      </c>
      <c r="C146" s="60">
        <v>3444.7834614615767</v>
      </c>
      <c r="D146" s="60">
        <v>4066.021404891413</v>
      </c>
      <c r="E146" s="68">
        <v>3101.4155800020294</v>
      </c>
      <c r="F146" s="44">
        <v>331.62194909269823</v>
      </c>
      <c r="G146" s="44">
        <v>229.62689906914247</v>
      </c>
      <c r="H146" s="44">
        <v>35.91352312579219</v>
      </c>
      <c r="I146" s="44">
        <v>0</v>
      </c>
    </row>
    <row r="147" spans="1:9" ht="14.25">
      <c r="A147" s="43" t="str">
        <f>HLOOKUP(INDICE!$F$2,Nombres!$C$3:$D$636,60,FALSE)</f>
        <v>Depósitos de bancos centrales y entidades de crédito</v>
      </c>
      <c r="B147" s="60">
        <v>7935.007410872176</v>
      </c>
      <c r="C147" s="60">
        <v>5140.018281217273</v>
      </c>
      <c r="D147" s="60">
        <v>12516.308234253669</v>
      </c>
      <c r="E147" s="68">
        <v>7911.223791775725</v>
      </c>
      <c r="F147" s="44">
        <v>7745.120678138793</v>
      </c>
      <c r="G147" s="44">
        <v>6547.874483755001</v>
      </c>
      <c r="H147" s="44">
        <v>4608.783313887331</v>
      </c>
      <c r="I147" s="44">
        <v>0</v>
      </c>
    </row>
    <row r="148" spans="1:9" ht="14.25">
      <c r="A148" s="43" t="str">
        <f>HLOOKUP(INDICE!$F$2,Nombres!$C$3:$D$636,61,FALSE)</f>
        <v>Depósitos de la clientela</v>
      </c>
      <c r="B148" s="60">
        <v>278251.96792110224</v>
      </c>
      <c r="C148" s="60">
        <v>284795.84179900715</v>
      </c>
      <c r="D148" s="60">
        <v>274836.25929989986</v>
      </c>
      <c r="E148" s="68">
        <v>293748.0537697099</v>
      </c>
      <c r="F148" s="44">
        <v>327619.8125096223</v>
      </c>
      <c r="G148" s="44">
        <v>372911.0886120894</v>
      </c>
      <c r="H148" s="44">
        <v>398999.59838931914</v>
      </c>
      <c r="I148" s="44">
        <v>0</v>
      </c>
    </row>
    <row r="149" spans="1:9" ht="14.25">
      <c r="A149" s="43" t="str">
        <f>HLOOKUP(INDICE!$F$2,Nombres!$C$3:$D$636,62,FALSE)</f>
        <v>Valores representativos de deuda emitidos</v>
      </c>
      <c r="B149" s="44">
        <v>4097.013769178869</v>
      </c>
      <c r="C149" s="44">
        <v>4192.40298191409</v>
      </c>
      <c r="D149" s="44">
        <v>8599.70361360881</v>
      </c>
      <c r="E149" s="45">
        <v>7127.408676867961</v>
      </c>
      <c r="F149" s="44">
        <v>7286.147424634139</v>
      </c>
      <c r="G149" s="44">
        <v>4092.766426251245</v>
      </c>
      <c r="H149" s="44">
        <v>4011.977198816785</v>
      </c>
      <c r="I149" s="44">
        <v>0</v>
      </c>
    </row>
    <row r="150" spans="1:9" ht="14.25">
      <c r="A150" s="43" t="str">
        <f>HLOOKUP(INDICE!$F$2,Nombres!$C$3:$D$636,63,FALSE)</f>
        <v>Otros pasivos</v>
      </c>
      <c r="B150" s="60">
        <f>+B145-B146-B147-B148-B149-B151</f>
        <v>81141.06581733211</v>
      </c>
      <c r="C150" s="60">
        <f aca="true" t="shared" si="26" ref="C150:I150">+C145-C146-C147-C148-C149-C151</f>
        <v>84812.6258231122</v>
      </c>
      <c r="D150" s="60">
        <f t="shared" si="26"/>
        <v>102429.96027775816</v>
      </c>
      <c r="E150" s="68">
        <f t="shared" si="26"/>
        <v>122982.3818706777</v>
      </c>
      <c r="F150" s="44">
        <f t="shared" si="26"/>
        <v>134379.90269302396</v>
      </c>
      <c r="G150" s="44">
        <f t="shared" si="26"/>
        <v>132211.78621332732</v>
      </c>
      <c r="H150" s="44">
        <f t="shared" si="26"/>
        <v>149792.0937085703</v>
      </c>
      <c r="I150" s="44">
        <f t="shared" si="26"/>
        <v>0</v>
      </c>
    </row>
    <row r="151" spans="1:9" ht="14.25">
      <c r="A151" s="43" t="str">
        <f>HLOOKUP(INDICE!$F$2,Nombres!$C$3:$D$636,64,FALSE)</f>
        <v>Dotación de capital económico</v>
      </c>
      <c r="B151" s="44">
        <v>20832.499120013643</v>
      </c>
      <c r="C151" s="44">
        <v>24135.92793010387</v>
      </c>
      <c r="D151" s="44">
        <v>24060.45988874312</v>
      </c>
      <c r="E151" s="45">
        <v>29626.7628849402</v>
      </c>
      <c r="F151" s="44">
        <v>34659.03962026014</v>
      </c>
      <c r="G151" s="44">
        <v>37211.638089394124</v>
      </c>
      <c r="H151" s="44">
        <v>38952.886384495294</v>
      </c>
      <c r="I151" s="44">
        <v>0</v>
      </c>
    </row>
    <row r="152" spans="1:9" ht="14.25">
      <c r="A152" s="65"/>
      <c r="B152" s="60"/>
      <c r="C152" s="60"/>
      <c r="D152" s="60"/>
      <c r="E152" s="60"/>
      <c r="F152" s="44"/>
      <c r="G152" s="44"/>
      <c r="H152" s="44"/>
      <c r="I152" s="44"/>
    </row>
    <row r="153" spans="1:9" ht="14.25">
      <c r="A153" s="43"/>
      <c r="B153" s="60"/>
      <c r="C153" s="60"/>
      <c r="D153" s="60"/>
      <c r="E153" s="60"/>
      <c r="F153" s="44"/>
      <c r="G153" s="44"/>
      <c r="H153" s="44"/>
      <c r="I153" s="44"/>
    </row>
    <row r="154" spans="1:9" ht="16.5">
      <c r="A154" s="33" t="str">
        <f>HLOOKUP(INDICE!$F$2,Nombres!$C$3:$D$636,65,FALSE)</f>
        <v>Indicadores relevantes y de gestión</v>
      </c>
      <c r="B154" s="34"/>
      <c r="C154" s="34"/>
      <c r="D154" s="34"/>
      <c r="E154" s="34"/>
      <c r="F154" s="72"/>
      <c r="G154" s="72"/>
      <c r="H154" s="72"/>
      <c r="I154" s="72"/>
    </row>
    <row r="155" spans="1:9" ht="14.25">
      <c r="A155" s="35" t="str">
        <f>HLOOKUP(INDICE!$F$2,Nombres!$C$3:$D$636,78,FALSE)</f>
        <v>(Millones de pesos argentinos)</v>
      </c>
      <c r="B155" s="30"/>
      <c r="C155" s="30"/>
      <c r="D155" s="30"/>
      <c r="E155" s="30"/>
      <c r="F155" s="73"/>
      <c r="G155" s="44"/>
      <c r="H155" s="44"/>
      <c r="I155" s="44"/>
    </row>
    <row r="156" spans="1:9" ht="15.75" customHeight="1">
      <c r="A156" s="30"/>
      <c r="B156" s="55">
        <f aca="true" t="shared" si="27" ref="B156:I156">+B$30</f>
        <v>43555</v>
      </c>
      <c r="C156" s="55">
        <f t="shared" si="27"/>
        <v>43646</v>
      </c>
      <c r="D156" s="55">
        <f t="shared" si="27"/>
        <v>43738</v>
      </c>
      <c r="E156" s="71">
        <f t="shared" si="27"/>
        <v>43830</v>
      </c>
      <c r="F156" s="55">
        <f t="shared" si="27"/>
        <v>43921</v>
      </c>
      <c r="G156" s="55">
        <f t="shared" si="27"/>
        <v>44012</v>
      </c>
      <c r="H156" s="55">
        <f t="shared" si="27"/>
        <v>44104</v>
      </c>
      <c r="I156" s="55">
        <f t="shared" si="27"/>
        <v>44196</v>
      </c>
    </row>
    <row r="157" spans="1:9" ht="15.75" customHeight="1">
      <c r="A157" s="43" t="str">
        <f>HLOOKUP(INDICE!$F$2,Nombres!$C$3:$D$636,66,FALSE)</f>
        <v>Préstamos y anticipos a la clientela bruto (*)</v>
      </c>
      <c r="B157" s="44">
        <v>186347.11782218958</v>
      </c>
      <c r="C157" s="44">
        <v>186865.50242156937</v>
      </c>
      <c r="D157" s="44">
        <v>215367.17488110185</v>
      </c>
      <c r="E157" s="45">
        <v>204873.99187363902</v>
      </c>
      <c r="F157" s="44">
        <v>230029.70005116577</v>
      </c>
      <c r="G157" s="44">
        <v>255366.6420456654</v>
      </c>
      <c r="H157" s="44">
        <v>263231.63501222694</v>
      </c>
      <c r="I157" s="44">
        <v>0</v>
      </c>
    </row>
    <row r="158" spans="1:9" ht="15.75" customHeight="1">
      <c r="A158" s="43" t="str">
        <f>HLOOKUP(INDICE!$F$2,Nombres!$C$3:$D$636,67,FALSE)</f>
        <v>Depósitos de clientes en gestión (**)</v>
      </c>
      <c r="B158" s="44">
        <v>278328.3481675924</v>
      </c>
      <c r="C158" s="44">
        <v>284735.1518868635</v>
      </c>
      <c r="D158" s="44">
        <v>274109.65802499943</v>
      </c>
      <c r="E158" s="45">
        <v>293751.34684689186</v>
      </c>
      <c r="F158" s="44">
        <v>327621.310483755</v>
      </c>
      <c r="G158" s="44">
        <v>372911.0643637096</v>
      </c>
      <c r="H158" s="44">
        <v>398999.5194196703</v>
      </c>
      <c r="I158" s="44">
        <v>0</v>
      </c>
    </row>
    <row r="159" spans="1:9" ht="15.75" customHeight="1">
      <c r="A159" s="43" t="str">
        <f>HLOOKUP(INDICE!$F$2,Nombres!$C$3:$D$636,68,FALSE)</f>
        <v>Fondos de inversión</v>
      </c>
      <c r="B159" s="44">
        <v>50566.02125308689</v>
      </c>
      <c r="C159" s="44">
        <v>50853.11954240798</v>
      </c>
      <c r="D159" s="44">
        <v>41047.33926282707</v>
      </c>
      <c r="E159" s="45">
        <v>43358.448758141836</v>
      </c>
      <c r="F159" s="44">
        <v>66811.6156862847</v>
      </c>
      <c r="G159" s="44">
        <v>114709.49944117854</v>
      </c>
      <c r="H159" s="44">
        <v>100284.1187780922</v>
      </c>
      <c r="I159" s="44">
        <v>0</v>
      </c>
    </row>
    <row r="160" spans="1:9" ht="15.75" customHeight="1">
      <c r="A160" s="43" t="str">
        <f>HLOOKUP(INDICE!$F$2,Nombres!$C$3:$D$636,69,FALSE)</f>
        <v>Fondos de pensiones</v>
      </c>
      <c r="B160" s="44">
        <v>0</v>
      </c>
      <c r="C160" s="44">
        <v>0</v>
      </c>
      <c r="D160" s="44">
        <v>0</v>
      </c>
      <c r="E160" s="45">
        <v>0</v>
      </c>
      <c r="F160" s="44">
        <v>0</v>
      </c>
      <c r="G160" s="44">
        <v>0</v>
      </c>
      <c r="H160" s="44">
        <v>0</v>
      </c>
      <c r="I160" s="44">
        <v>0</v>
      </c>
    </row>
    <row r="161" spans="1:9" ht="14.25">
      <c r="A161" s="43" t="str">
        <f>HLOOKUP(INDICE!$F$2,Nombres!$C$3:$D$636,70,FALSE)</f>
        <v>Otros recursos fuera de balance</v>
      </c>
      <c r="B161" s="44">
        <v>0</v>
      </c>
      <c r="C161" s="44">
        <v>0</v>
      </c>
      <c r="D161" s="44">
        <v>0</v>
      </c>
      <c r="E161" s="45">
        <v>0</v>
      </c>
      <c r="F161" s="44">
        <v>0</v>
      </c>
      <c r="G161" s="44">
        <v>0</v>
      </c>
      <c r="H161" s="44">
        <v>0</v>
      </c>
      <c r="I161" s="44">
        <v>0</v>
      </c>
    </row>
    <row r="162" spans="1:9" ht="14.25">
      <c r="A162" s="65" t="str">
        <f>HLOOKUP(INDICE!$F$2,Nombres!$C$3:$D$636,71,FALSE)</f>
        <v>(*) No incluye las adquisiciones temporales de activos.</v>
      </c>
      <c r="B162" s="60"/>
      <c r="C162" s="60"/>
      <c r="D162" s="60"/>
      <c r="E162" s="60"/>
      <c r="F162" s="60"/>
      <c r="G162" s="60"/>
      <c r="H162" s="60"/>
      <c r="I162" s="60"/>
    </row>
    <row r="163" spans="1:9" ht="14.25">
      <c r="A163" s="65" t="str">
        <f>HLOOKUP(INDICE!$F$2,Nombres!$C$3:$D$636,72,FALSE)</f>
        <v>(**) No incluye las cesiones temporales de activos.</v>
      </c>
      <c r="B163" s="30"/>
      <c r="C163" s="30"/>
      <c r="D163" s="30"/>
      <c r="E163" s="30"/>
      <c r="F163" s="30"/>
      <c r="G163" s="30"/>
      <c r="H163" s="30"/>
      <c r="I163" s="30"/>
    </row>
    <row r="164" spans="1:9" ht="14.25">
      <c r="A164" s="30"/>
      <c r="B164" s="30"/>
      <c r="C164" s="30"/>
      <c r="D164" s="30"/>
      <c r="E164" s="30"/>
      <c r="F164" s="30"/>
      <c r="G164" s="30"/>
      <c r="H164" s="30"/>
      <c r="I164" s="30"/>
    </row>
    <row r="165" spans="1:9" ht="14.25">
      <c r="A165" s="30"/>
      <c r="B165" s="30"/>
      <c r="C165" s="30"/>
      <c r="D165" s="30"/>
      <c r="E165" s="30"/>
      <c r="F165" s="30"/>
      <c r="G165" s="30"/>
      <c r="H165" s="30"/>
      <c r="I165" s="30"/>
    </row>
    <row r="166" spans="1:9" ht="14.25">
      <c r="A166" s="77"/>
      <c r="B166" s="78"/>
      <c r="C166" s="79"/>
      <c r="D166" s="79"/>
      <c r="E166" s="79"/>
      <c r="F166" s="78"/>
      <c r="G166" s="78"/>
      <c r="H166" s="78"/>
      <c r="I166" s="78"/>
    </row>
    <row r="167" spans="1:15" ht="14.25">
      <c r="A167" s="77"/>
      <c r="B167" s="78"/>
      <c r="C167" s="79"/>
      <c r="D167" s="79"/>
      <c r="E167" s="79"/>
      <c r="F167" s="78"/>
      <c r="G167" s="78"/>
      <c r="H167" s="78"/>
      <c r="I167" s="78"/>
      <c r="J167" s="78"/>
      <c r="K167" s="78"/>
      <c r="L167" s="78"/>
      <c r="M167" s="78"/>
      <c r="N167" s="78"/>
      <c r="O167" s="78"/>
    </row>
    <row r="168" spans="1:15" ht="14.25">
      <c r="A168" s="78"/>
      <c r="B168" s="78"/>
      <c r="C168" s="78"/>
      <c r="D168" s="78"/>
      <c r="E168" s="78"/>
      <c r="F168" s="78"/>
      <c r="G168" s="78"/>
      <c r="H168" s="78"/>
      <c r="I168" s="78"/>
      <c r="J168" s="78"/>
      <c r="K168" s="78"/>
      <c r="L168" s="78"/>
      <c r="M168" s="78"/>
      <c r="N168" s="78"/>
      <c r="O168" s="78"/>
    </row>
    <row r="169" spans="1:15" ht="14.25">
      <c r="A169" s="78"/>
      <c r="B169" s="78"/>
      <c r="C169" s="78"/>
      <c r="D169" s="78"/>
      <c r="E169" s="78"/>
      <c r="F169" s="78"/>
      <c r="G169" s="78"/>
      <c r="H169" s="78"/>
      <c r="I169" s="78"/>
      <c r="J169" s="78"/>
      <c r="K169" s="78"/>
      <c r="L169" s="78"/>
      <c r="M169" s="78"/>
      <c r="N169" s="78"/>
      <c r="O169" s="78"/>
    </row>
    <row r="170" spans="1:15" ht="14.25">
      <c r="A170" s="78"/>
      <c r="B170" s="78"/>
      <c r="C170" s="78"/>
      <c r="D170" s="78"/>
      <c r="E170" s="78"/>
      <c r="F170" s="78"/>
      <c r="G170" s="78"/>
      <c r="H170" s="78"/>
      <c r="I170" s="78"/>
      <c r="J170" s="78"/>
      <c r="K170" s="78"/>
      <c r="L170" s="78"/>
      <c r="M170" s="78"/>
      <c r="N170" s="78"/>
      <c r="O170" s="78"/>
    </row>
    <row r="171" spans="1:15" ht="14.25">
      <c r="A171" s="78"/>
      <c r="B171" s="78"/>
      <c r="C171" s="78"/>
      <c r="D171" s="78"/>
      <c r="E171" s="78"/>
      <c r="F171" s="78"/>
      <c r="G171" s="78"/>
      <c r="H171" s="78"/>
      <c r="I171" s="78"/>
      <c r="J171" s="78"/>
      <c r="K171" s="78"/>
      <c r="L171" s="78"/>
      <c r="M171" s="78"/>
      <c r="N171" s="78"/>
      <c r="O171" s="78"/>
    </row>
    <row r="172" spans="1:15" ht="14.25">
      <c r="A172" s="78"/>
      <c r="B172" s="78"/>
      <c r="C172" s="78"/>
      <c r="D172" s="78"/>
      <c r="E172" s="78"/>
      <c r="F172" s="78"/>
      <c r="G172" s="78"/>
      <c r="H172" s="78"/>
      <c r="I172" s="78"/>
      <c r="J172" s="78"/>
      <c r="K172" s="78"/>
      <c r="L172" s="78"/>
      <c r="M172" s="78"/>
      <c r="N172" s="78"/>
      <c r="O172" s="78"/>
    </row>
    <row r="173" spans="1:15" ht="14.25">
      <c r="A173" s="78"/>
      <c r="B173" s="78"/>
      <c r="C173" s="78"/>
      <c r="D173" s="78"/>
      <c r="E173" s="78"/>
      <c r="F173" s="78"/>
      <c r="G173" s="78"/>
      <c r="H173" s="78"/>
      <c r="I173" s="78"/>
      <c r="J173" s="78"/>
      <c r="K173" s="78"/>
      <c r="L173" s="78"/>
      <c r="M173" s="78"/>
      <c r="N173" s="78"/>
      <c r="O173" s="78"/>
    </row>
    <row r="174" spans="1:15" ht="14.25">
      <c r="A174" s="78"/>
      <c r="B174" s="78"/>
      <c r="C174" s="78"/>
      <c r="D174" s="78"/>
      <c r="E174" s="78"/>
      <c r="F174" s="78"/>
      <c r="G174" s="78"/>
      <c r="H174" s="78"/>
      <c r="I174" s="78"/>
      <c r="J174" s="78"/>
      <c r="K174" s="78"/>
      <c r="L174" s="78"/>
      <c r="M174" s="78"/>
      <c r="N174" s="78"/>
      <c r="O174" s="78"/>
    </row>
    <row r="1000" ht="14.25">
      <c r="A1000" s="31" t="s">
        <v>397</v>
      </c>
    </row>
  </sheetData>
  <sheetProtection/>
  <mergeCells count="6">
    <mergeCell ref="B6:E6"/>
    <mergeCell ref="B60:E60"/>
    <mergeCell ref="B114:E114"/>
    <mergeCell ref="F6:I6"/>
    <mergeCell ref="F60:I60"/>
    <mergeCell ref="F114:I114"/>
  </mergeCells>
  <conditionalFormatting sqref="B26:I26">
    <cfRule type="cellIs" priority="3" dxfId="98" operator="notBetween">
      <formula>0.5</formula>
      <formula>-0.5</formula>
    </cfRule>
  </conditionalFormatting>
  <conditionalFormatting sqref="B80:I80">
    <cfRule type="cellIs" priority="2" dxfId="98" operator="notBetween">
      <formula>0.5</formula>
      <formula>-0.5</formula>
    </cfRule>
  </conditionalFormatting>
  <conditionalFormatting sqref="B134:I134">
    <cfRule type="cellIs" priority="1" dxfId="98" operator="notBetween">
      <formula>0.5</formula>
      <formula>-0.5</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I1" sqref="I1:I16384"/>
    </sheetView>
  </sheetViews>
  <sheetFormatPr defaultColWidth="11.421875" defaultRowHeight="15"/>
  <cols>
    <col min="1" max="1" width="62.00390625" style="31" customWidth="1"/>
    <col min="2" max="2" width="12.8515625" style="31" customWidth="1"/>
    <col min="3" max="3" width="13.00390625" style="31" customWidth="1"/>
    <col min="4" max="8" width="11.421875" style="31" customWidth="1"/>
    <col min="9" max="9" width="0" style="31" hidden="1" customWidth="1"/>
    <col min="10" max="16384" width="11.421875" style="31" customWidth="1"/>
  </cols>
  <sheetData>
    <row r="1" spans="1:9" ht="16.5">
      <c r="A1" s="29" t="str">
        <f>HLOOKUP(INDICE!$F$2,Nombres!$C$3:$D$636,15,FALSE)</f>
        <v>Chile</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5">
        <f>+España!B6</f>
        <v>2019</v>
      </c>
      <c r="C6" s="305"/>
      <c r="D6" s="305"/>
      <c r="E6" s="306"/>
      <c r="F6" s="305">
        <f>+España!F6</f>
        <v>2020</v>
      </c>
      <c r="G6" s="305"/>
      <c r="H6" s="305"/>
      <c r="I6" s="305"/>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52">
        <v>46.31</v>
      </c>
      <c r="C8" s="52">
        <v>46.683</v>
      </c>
      <c r="D8" s="52">
        <v>46.277000000000015</v>
      </c>
      <c r="E8" s="290">
        <v>41.771</v>
      </c>
      <c r="F8" s="52">
        <v>37.97200000000001</v>
      </c>
      <c r="G8" s="52">
        <v>34.04399999999999</v>
      </c>
      <c r="H8" s="52">
        <v>29.413999999999994</v>
      </c>
      <c r="I8" s="52">
        <v>0</v>
      </c>
    </row>
    <row r="9" spans="1:9" ht="14.25">
      <c r="A9" s="43" t="str">
        <f>HLOOKUP(INDICE!$F$2,Nombres!$C$3:$D$636,34,FALSE)</f>
        <v>Comisiones netas</v>
      </c>
      <c r="B9" s="44">
        <v>5.179</v>
      </c>
      <c r="C9" s="44">
        <v>4.452999999999999</v>
      </c>
      <c r="D9" s="44">
        <v>4.7310000000000025</v>
      </c>
      <c r="E9" s="45">
        <v>3.2279999999999944</v>
      </c>
      <c r="F9" s="44">
        <v>1.278</v>
      </c>
      <c r="G9" s="44">
        <v>-1.0029999999999992</v>
      </c>
      <c r="H9" s="44">
        <v>-2.5320000000000022</v>
      </c>
      <c r="I9" s="44">
        <v>0</v>
      </c>
    </row>
    <row r="10" spans="1:9" ht="14.25">
      <c r="A10" s="43" t="str">
        <f>HLOOKUP(INDICE!$F$2,Nombres!$C$3:$D$636,35,FALSE)</f>
        <v>Resultados de operaciones financieras</v>
      </c>
      <c r="B10" s="44">
        <v>0.374</v>
      </c>
      <c r="C10" s="44">
        <v>0.36499999999999994</v>
      </c>
      <c r="D10" s="44">
        <v>0.343</v>
      </c>
      <c r="E10" s="45">
        <v>0.28800000000000003</v>
      </c>
      <c r="F10" s="44">
        <v>0.34600000000000003</v>
      </c>
      <c r="G10" s="44">
        <v>0.062000000000000006</v>
      </c>
      <c r="H10" s="44">
        <v>-0.006999999999999951</v>
      </c>
      <c r="I10" s="44">
        <v>0</v>
      </c>
    </row>
    <row r="11" spans="1:9" ht="14.25">
      <c r="A11" s="43" t="str">
        <f>HLOOKUP(INDICE!$F$2,Nombres!$C$3:$D$636,36,FALSE)</f>
        <v>Otros ingresos y cargas de explotación</v>
      </c>
      <c r="B11" s="44">
        <v>0.053000000000000005</v>
      </c>
      <c r="C11" s="44">
        <v>-0.03999999999999999</v>
      </c>
      <c r="D11" s="44">
        <v>-0.03599999999999999</v>
      </c>
      <c r="E11" s="45">
        <v>-0.192</v>
      </c>
      <c r="F11" s="44">
        <v>0.04500000000000001</v>
      </c>
      <c r="G11" s="44">
        <v>-0.093</v>
      </c>
      <c r="H11" s="44">
        <v>-0.026000000000000002</v>
      </c>
      <c r="I11" s="44">
        <v>0</v>
      </c>
    </row>
    <row r="12" spans="1:9" ht="14.25">
      <c r="A12" s="41" t="str">
        <f>HLOOKUP(INDICE!$F$2,Nombres!$C$3:$D$636,37,FALSE)</f>
        <v>Margen bruto</v>
      </c>
      <c r="B12" s="52">
        <f aca="true" t="shared" si="0" ref="B12:I12">+SUM(B8:B11)</f>
        <v>51.916000000000004</v>
      </c>
      <c r="C12" s="52">
        <f t="shared" si="0"/>
        <v>51.461</v>
      </c>
      <c r="D12" s="52">
        <f t="shared" si="0"/>
        <v>51.31500000000002</v>
      </c>
      <c r="E12" s="290">
        <f t="shared" si="0"/>
        <v>45.09499999999999</v>
      </c>
      <c r="F12" s="52">
        <f t="shared" si="0"/>
        <v>39.641000000000005</v>
      </c>
      <c r="G12" s="52">
        <f t="shared" si="0"/>
        <v>33.009999999999984</v>
      </c>
      <c r="H12" s="52">
        <f t="shared" si="0"/>
        <v>26.84899999999999</v>
      </c>
      <c r="I12" s="52">
        <f t="shared" si="0"/>
        <v>0</v>
      </c>
    </row>
    <row r="13" spans="1:9" ht="14.25">
      <c r="A13" s="43" t="str">
        <f>HLOOKUP(INDICE!$F$2,Nombres!$C$3:$D$636,38,FALSE)</f>
        <v>Gastos de explotación</v>
      </c>
      <c r="B13" s="44">
        <v>-16.61</v>
      </c>
      <c r="C13" s="44">
        <v>-17.019000000000002</v>
      </c>
      <c r="D13" s="44">
        <v>-17.613</v>
      </c>
      <c r="E13" s="45">
        <v>-14.694</v>
      </c>
      <c r="F13" s="44">
        <v>-13.061000000000002</v>
      </c>
      <c r="G13" s="44">
        <v>-9.141</v>
      </c>
      <c r="H13" s="44">
        <v>-11.742999999999999</v>
      </c>
      <c r="I13" s="44">
        <v>0</v>
      </c>
    </row>
    <row r="14" spans="1:9" ht="14.25">
      <c r="A14" s="43" t="str">
        <f>HLOOKUP(INDICE!$F$2,Nombres!$C$3:$D$636,39,FALSE)</f>
        <v>  Gastos de administración</v>
      </c>
      <c r="B14" s="44">
        <v>-15.439999999999998</v>
      </c>
      <c r="C14" s="44">
        <v>-15.911999999999999</v>
      </c>
      <c r="D14" s="44">
        <v>-16.583</v>
      </c>
      <c r="E14" s="45">
        <v>-13.777</v>
      </c>
      <c r="F14" s="44">
        <v>-12.239</v>
      </c>
      <c r="G14" s="44">
        <v>-8.343</v>
      </c>
      <c r="H14" s="44">
        <v>-10.924</v>
      </c>
      <c r="I14" s="44">
        <v>0</v>
      </c>
    </row>
    <row r="15" spans="1:9" ht="14.25">
      <c r="A15" s="46" t="str">
        <f>HLOOKUP(INDICE!$F$2,Nombres!$C$3:$D$636,40,FALSE)</f>
        <v>  Gastos de personal</v>
      </c>
      <c r="B15" s="44">
        <v>-6.602</v>
      </c>
      <c r="C15" s="44">
        <v>-6.782</v>
      </c>
      <c r="D15" s="44">
        <v>-7.768999999999998</v>
      </c>
      <c r="E15" s="45">
        <v>-6.751000000000001</v>
      </c>
      <c r="F15" s="44">
        <v>-5.5200000000000005</v>
      </c>
      <c r="G15" s="44">
        <v>-4.043</v>
      </c>
      <c r="H15" s="44">
        <v>-4.703999999999999</v>
      </c>
      <c r="I15" s="44">
        <v>0</v>
      </c>
    </row>
    <row r="16" spans="1:9" ht="14.25">
      <c r="A16" s="46" t="str">
        <f>HLOOKUP(INDICE!$F$2,Nombres!$C$3:$D$636,41,FALSE)</f>
        <v>  Otros gastos de administración</v>
      </c>
      <c r="B16" s="44">
        <v>-8.838</v>
      </c>
      <c r="C16" s="44">
        <v>-9.129999999999999</v>
      </c>
      <c r="D16" s="44">
        <v>-8.814</v>
      </c>
      <c r="E16" s="45">
        <v>-7.026000000000001</v>
      </c>
      <c r="F16" s="44">
        <v>-6.719</v>
      </c>
      <c r="G16" s="44">
        <v>-4.3</v>
      </c>
      <c r="H16" s="44">
        <v>-6.220000000000001</v>
      </c>
      <c r="I16" s="44">
        <v>0</v>
      </c>
    </row>
    <row r="17" spans="1:9" ht="14.25">
      <c r="A17" s="43" t="str">
        <f>HLOOKUP(INDICE!$F$2,Nombres!$C$3:$D$636,42,FALSE)</f>
        <v>  Amortización</v>
      </c>
      <c r="B17" s="44">
        <v>-1.17</v>
      </c>
      <c r="C17" s="44">
        <v>-1.107</v>
      </c>
      <c r="D17" s="44">
        <v>-1.03</v>
      </c>
      <c r="E17" s="45">
        <v>-0.9169999999999998</v>
      </c>
      <c r="F17" s="44">
        <v>-0.822</v>
      </c>
      <c r="G17" s="44">
        <v>-0.798</v>
      </c>
      <c r="H17" s="44">
        <v>-0.8190000000000001</v>
      </c>
      <c r="I17" s="44">
        <v>0</v>
      </c>
    </row>
    <row r="18" spans="1:9" ht="14.25">
      <c r="A18" s="41" t="str">
        <f>HLOOKUP(INDICE!$F$2,Nombres!$C$3:$D$636,43,FALSE)</f>
        <v>Margen neto</v>
      </c>
      <c r="B18" s="52">
        <f aca="true" t="shared" si="1" ref="B18:I18">+B12+B13</f>
        <v>35.306000000000004</v>
      </c>
      <c r="C18" s="52">
        <f t="shared" si="1"/>
        <v>34.44199999999999</v>
      </c>
      <c r="D18" s="52">
        <f t="shared" si="1"/>
        <v>33.70200000000002</v>
      </c>
      <c r="E18" s="290">
        <f t="shared" si="1"/>
        <v>30.40099999999999</v>
      </c>
      <c r="F18" s="52">
        <f t="shared" si="1"/>
        <v>26.580000000000005</v>
      </c>
      <c r="G18" s="52">
        <f t="shared" si="1"/>
        <v>23.868999999999986</v>
      </c>
      <c r="H18" s="52">
        <f t="shared" si="1"/>
        <v>15.105999999999991</v>
      </c>
      <c r="I18" s="52">
        <f t="shared" si="1"/>
        <v>0</v>
      </c>
    </row>
    <row r="19" spans="1:9" ht="14.25">
      <c r="A19" s="43" t="str">
        <f>HLOOKUP(INDICE!$F$2,Nombres!$C$3:$D$636,44,FALSE)</f>
        <v>Deterioro de activos financieros no valorados a valor razonable con cambios en resultados</v>
      </c>
      <c r="B19" s="44">
        <v>-12.503</v>
      </c>
      <c r="C19" s="44">
        <v>-11.61</v>
      </c>
      <c r="D19" s="44">
        <v>-13.782</v>
      </c>
      <c r="E19" s="45">
        <v>-20.267</v>
      </c>
      <c r="F19" s="44">
        <v>-18.37</v>
      </c>
      <c r="G19" s="44">
        <v>-23.144</v>
      </c>
      <c r="H19" s="44">
        <v>1.0580000000000003</v>
      </c>
      <c r="I19" s="44">
        <v>0</v>
      </c>
    </row>
    <row r="20" spans="1:9" ht="14.25">
      <c r="A20" s="43" t="str">
        <f>HLOOKUP(INDICE!$F$2,Nombres!$C$3:$D$636,45,FALSE)</f>
        <v>Provisiones o reversión de provisiones y otros resultados</v>
      </c>
      <c r="B20" s="44">
        <v>-0.553</v>
      </c>
      <c r="C20" s="44">
        <v>-0.2849999999999999</v>
      </c>
      <c r="D20" s="44">
        <v>-0.377</v>
      </c>
      <c r="E20" s="45">
        <v>-0.45999999999999996</v>
      </c>
      <c r="F20" s="44">
        <v>-0.256</v>
      </c>
      <c r="G20" s="44">
        <v>-0.2</v>
      </c>
      <c r="H20" s="44">
        <v>-0.13599999999999995</v>
      </c>
      <c r="I20" s="44">
        <v>0</v>
      </c>
    </row>
    <row r="21" spans="1:9" ht="14.25">
      <c r="A21" s="41" t="str">
        <f>HLOOKUP(INDICE!$F$2,Nombres!$C$3:$D$636,46,FALSE)</f>
        <v>Resultado antes de impuestos</v>
      </c>
      <c r="B21" s="52">
        <f aca="true" t="shared" si="2" ref="B21:I21">+B18+B19+B20</f>
        <v>22.250000000000004</v>
      </c>
      <c r="C21" s="52">
        <f t="shared" si="2"/>
        <v>22.546999999999993</v>
      </c>
      <c r="D21" s="52">
        <f t="shared" si="2"/>
        <v>19.54300000000002</v>
      </c>
      <c r="E21" s="290">
        <f t="shared" si="2"/>
        <v>9.673999999999989</v>
      </c>
      <c r="F21" s="52">
        <f t="shared" si="2"/>
        <v>7.954000000000004</v>
      </c>
      <c r="G21" s="52">
        <f t="shared" si="2"/>
        <v>0.5249999999999873</v>
      </c>
      <c r="H21" s="52">
        <f t="shared" si="2"/>
        <v>16.02799999999999</v>
      </c>
      <c r="I21" s="52">
        <f t="shared" si="2"/>
        <v>0</v>
      </c>
    </row>
    <row r="22" spans="1:9" ht="14.25">
      <c r="A22" s="43" t="str">
        <f>HLOOKUP(INDICE!$F$2,Nombres!$C$3:$D$636,47,FALSE)</f>
        <v>Impuesto sobre beneficios</v>
      </c>
      <c r="B22" s="44">
        <v>-5.583</v>
      </c>
      <c r="C22" s="44">
        <v>-5.790000000000001</v>
      </c>
      <c r="D22" s="44">
        <v>-5.564</v>
      </c>
      <c r="E22" s="45">
        <v>-2.3970000000000002</v>
      </c>
      <c r="F22" s="44">
        <v>-1.3370000000000002</v>
      </c>
      <c r="G22" s="44">
        <v>0.052000000000000074</v>
      </c>
      <c r="H22" s="44">
        <v>-4.55</v>
      </c>
      <c r="I22" s="44">
        <v>0</v>
      </c>
    </row>
    <row r="23" spans="1:9" ht="14.25">
      <c r="A23" s="41" t="str">
        <f>HLOOKUP(INDICE!$F$2,Nombres!$C$3:$D$636,48,FALSE)</f>
        <v>Resultado del ejercicio</v>
      </c>
      <c r="B23" s="52">
        <f aca="true" t="shared" si="3" ref="B23:I23">+B21+B22</f>
        <v>16.667</v>
      </c>
      <c r="C23" s="52">
        <f t="shared" si="3"/>
        <v>16.75699999999999</v>
      </c>
      <c r="D23" s="52">
        <f t="shared" si="3"/>
        <v>13.97900000000002</v>
      </c>
      <c r="E23" s="290">
        <f t="shared" si="3"/>
        <v>7.276999999999989</v>
      </c>
      <c r="F23" s="52">
        <f t="shared" si="3"/>
        <v>6.617000000000004</v>
      </c>
      <c r="G23" s="52">
        <f t="shared" si="3"/>
        <v>0.5769999999999873</v>
      </c>
      <c r="H23" s="52">
        <f t="shared" si="3"/>
        <v>11.47799999999999</v>
      </c>
      <c r="I23" s="52">
        <f t="shared" si="3"/>
        <v>0</v>
      </c>
    </row>
    <row r="24" spans="1:9" ht="14.25">
      <c r="A24" s="43" t="str">
        <f>HLOOKUP(INDICE!$F$2,Nombres!$C$3:$D$636,49,FALSE)</f>
        <v>Minoritarios</v>
      </c>
      <c r="B24" s="44">
        <v>0</v>
      </c>
      <c r="C24" s="44">
        <v>0</v>
      </c>
      <c r="D24" s="44">
        <v>0</v>
      </c>
      <c r="E24" s="45">
        <v>0</v>
      </c>
      <c r="F24" s="44">
        <v>0</v>
      </c>
      <c r="G24" s="44">
        <v>0</v>
      </c>
      <c r="H24" s="44">
        <v>0</v>
      </c>
      <c r="I24" s="44">
        <v>0</v>
      </c>
    </row>
    <row r="25" spans="1:9" ht="14.25">
      <c r="A25" s="47" t="str">
        <f>HLOOKUP(INDICE!$F$2,Nombres!$C$3:$D$636,50,FALSE)</f>
        <v>Resultado atribuido</v>
      </c>
      <c r="B25" s="53">
        <f aca="true" t="shared" si="4" ref="B25:I25">+B23+B24</f>
        <v>16.667</v>
      </c>
      <c r="C25" s="53">
        <f t="shared" si="4"/>
        <v>16.75699999999999</v>
      </c>
      <c r="D25" s="53">
        <f t="shared" si="4"/>
        <v>13.97900000000002</v>
      </c>
      <c r="E25" s="84">
        <f t="shared" si="4"/>
        <v>7.276999999999989</v>
      </c>
      <c r="F25" s="53">
        <f t="shared" si="4"/>
        <v>6.617000000000004</v>
      </c>
      <c r="G25" s="53">
        <f t="shared" si="4"/>
        <v>0.5769999999999873</v>
      </c>
      <c r="H25" s="53">
        <f t="shared" si="4"/>
        <v>11.47799999999999</v>
      </c>
      <c r="I25" s="53">
        <f t="shared" si="4"/>
        <v>0</v>
      </c>
    </row>
    <row r="26" spans="1:9" ht="14.25">
      <c r="A26" s="48"/>
      <c r="B26" s="280"/>
      <c r="C26" s="280"/>
      <c r="D26" s="280"/>
      <c r="E26" s="291"/>
      <c r="F26" s="280"/>
      <c r="G26" s="280"/>
      <c r="H26" s="280"/>
      <c r="I26" s="280"/>
    </row>
    <row r="27" spans="1:9" ht="14.25">
      <c r="A27" s="47" t="str">
        <f>HLOOKUP(INDICE!$F$2,Nombres!$C$3:$D$636,254,FALSE)</f>
        <v>Resultado atribuido sin BBVA Chile (*)</v>
      </c>
      <c r="B27" s="47">
        <f aca="true" t="shared" si="5" ref="B27:I27">+B25</f>
        <v>16.667</v>
      </c>
      <c r="C27" s="47">
        <f t="shared" si="5"/>
        <v>16.75699999999999</v>
      </c>
      <c r="D27" s="47">
        <f t="shared" si="5"/>
        <v>13.97900000000002</v>
      </c>
      <c r="E27" s="74">
        <f t="shared" si="5"/>
        <v>7.276999999999989</v>
      </c>
      <c r="F27" s="47">
        <f t="shared" si="5"/>
        <v>6.617000000000004</v>
      </c>
      <c r="G27" s="47">
        <f t="shared" si="5"/>
        <v>0.5769999999999873</v>
      </c>
      <c r="H27" s="47">
        <f t="shared" si="5"/>
        <v>11.47799999999999</v>
      </c>
      <c r="I27" s="47">
        <f t="shared" si="5"/>
        <v>0</v>
      </c>
    </row>
    <row r="28" spans="1:9" ht="14.25">
      <c r="A28" s="49" t="str">
        <f>HLOOKUP(INDICE!$F$2,Nombres!$C$3:$D$636,251,FALSE)</f>
        <v>(*) Resultados generados por BBVA Chile hasta su venta el 6 de julio del 2018 y las plusvalías de la operación</v>
      </c>
      <c r="B28" s="48"/>
      <c r="C28" s="48"/>
      <c r="D28" s="48"/>
      <c r="E28" s="48"/>
      <c r="F28" s="280"/>
      <c r="G28" s="280"/>
      <c r="H28" s="280"/>
      <c r="I28" s="280"/>
    </row>
    <row r="29" spans="1:9" ht="14.25">
      <c r="A29" s="49"/>
      <c r="B29" s="66"/>
      <c r="C29" s="66"/>
      <c r="D29" s="66"/>
      <c r="E29" s="66"/>
      <c r="F29" s="66">
        <v>0</v>
      </c>
      <c r="G29" s="66">
        <v>-4.884981308350689E-15</v>
      </c>
      <c r="H29" s="66">
        <v>0</v>
      </c>
      <c r="I29" s="66">
        <v>0</v>
      </c>
    </row>
    <row r="30" spans="1:9" ht="14.25">
      <c r="A30" s="41"/>
      <c r="B30" s="41"/>
      <c r="C30" s="41"/>
      <c r="D30" s="41"/>
      <c r="E30" s="41"/>
      <c r="F30" s="41"/>
      <c r="G30" s="41"/>
      <c r="H30" s="41"/>
      <c r="I30" s="41"/>
    </row>
    <row r="31" spans="1:9" ht="16.5">
      <c r="A31" s="33" t="str">
        <f>HLOOKUP(INDICE!$F$2,Nombres!$C$3:$D$636,51,FALSE)</f>
        <v>Balances</v>
      </c>
      <c r="B31" s="34"/>
      <c r="C31" s="34"/>
      <c r="D31" s="34"/>
      <c r="E31" s="34"/>
      <c r="F31" s="34"/>
      <c r="G31" s="34"/>
      <c r="H31" s="34"/>
      <c r="I31" s="34"/>
    </row>
    <row r="32" spans="1:9" ht="14.25">
      <c r="A32" s="35" t="str">
        <f>HLOOKUP(INDICE!$F$2,Nombres!$C$3:$D$636,32,FALSE)</f>
        <v>(Millones de euros)</v>
      </c>
      <c r="B32" s="30"/>
      <c r="C32" s="54"/>
      <c r="D32" s="54"/>
      <c r="E32" s="54"/>
      <c r="F32" s="30"/>
      <c r="G32" s="60"/>
      <c r="H32" s="60"/>
      <c r="I32" s="60"/>
    </row>
    <row r="33" spans="1:9" ht="14.25">
      <c r="A33" s="30"/>
      <c r="B33" s="55">
        <f>+España!B30</f>
        <v>43555</v>
      </c>
      <c r="C33" s="55">
        <f>+España!C30</f>
        <v>43646</v>
      </c>
      <c r="D33" s="55">
        <f>+España!D30</f>
        <v>43738</v>
      </c>
      <c r="E33" s="71">
        <f>+España!E30</f>
        <v>43830</v>
      </c>
      <c r="F33" s="80">
        <f>+España!F30</f>
        <v>43921</v>
      </c>
      <c r="G33" s="80">
        <f>+España!G30</f>
        <v>44012</v>
      </c>
      <c r="H33" s="80">
        <f>+España!H30</f>
        <v>44104</v>
      </c>
      <c r="I33" s="80">
        <f>+España!I30</f>
        <v>44196</v>
      </c>
    </row>
    <row r="34" spans="1:9" ht="14.25">
      <c r="A34" s="43" t="str">
        <f>HLOOKUP(INDICE!$F$2,Nombres!$C$3:$D$636,52,FALSE)</f>
        <v>Efectivo, saldos en efectivo en bancos centrales y otros depósitos a la vista</v>
      </c>
      <c r="B34" s="44">
        <v>26.067999999999998</v>
      </c>
      <c r="C34" s="44">
        <v>37.254</v>
      </c>
      <c r="D34" s="44">
        <v>24.968</v>
      </c>
      <c r="E34" s="45">
        <v>28.694000000000003</v>
      </c>
      <c r="F34" s="44">
        <v>8.73</v>
      </c>
      <c r="G34" s="44">
        <v>10.648</v>
      </c>
      <c r="H34" s="44">
        <v>24.927</v>
      </c>
      <c r="I34" s="44">
        <v>0</v>
      </c>
    </row>
    <row r="35" spans="1:9" ht="14.25">
      <c r="A35" s="43" t="str">
        <f>HLOOKUP(INDICE!$F$2,Nombres!$C$3:$D$636,53,FALSE)</f>
        <v>Activos financieros a valor razonable</v>
      </c>
      <c r="B35" s="60">
        <v>0</v>
      </c>
      <c r="C35" s="60">
        <v>0</v>
      </c>
      <c r="D35" s="60">
        <v>0</v>
      </c>
      <c r="E35" s="68">
        <v>0</v>
      </c>
      <c r="F35" s="44">
        <v>0</v>
      </c>
      <c r="G35" s="44">
        <v>0</v>
      </c>
      <c r="H35" s="44">
        <v>163.319</v>
      </c>
      <c r="I35" s="44">
        <v>0</v>
      </c>
    </row>
    <row r="36" spans="1:9" ht="14.25">
      <c r="A36" s="43" t="str">
        <f>HLOOKUP(INDICE!$F$2,Nombres!$C$3:$D$636,54,FALSE)</f>
        <v>Activos financieros a coste amortizado</v>
      </c>
      <c r="B36" s="44">
        <v>2203.2079999999996</v>
      </c>
      <c r="C36" s="44">
        <v>2075.379</v>
      </c>
      <c r="D36" s="44">
        <v>2076.5119999999997</v>
      </c>
      <c r="E36" s="45">
        <v>1867.973</v>
      </c>
      <c r="F36" s="44">
        <v>1715.863</v>
      </c>
      <c r="G36" s="44">
        <v>1664.4769999999999</v>
      </c>
      <c r="H36" s="44">
        <v>1604.7350000000001</v>
      </c>
      <c r="I36" s="44">
        <v>0</v>
      </c>
    </row>
    <row r="37" spans="1:9" ht="14.25">
      <c r="A37" s="43" t="str">
        <f>HLOOKUP(INDICE!$F$2,Nombres!$C$3:$D$636,55,FALSE)</f>
        <v>    de los que préstamos y anticipos a la clientela</v>
      </c>
      <c r="B37" s="44">
        <v>2130.033</v>
      </c>
      <c r="C37" s="44">
        <v>2074.513</v>
      </c>
      <c r="D37" s="44">
        <v>2043.33</v>
      </c>
      <c r="E37" s="45">
        <v>1838.739</v>
      </c>
      <c r="F37" s="44">
        <v>1632.586</v>
      </c>
      <c r="G37" s="44">
        <v>1509.729</v>
      </c>
      <c r="H37" s="44">
        <v>1503.2589999999998</v>
      </c>
      <c r="I37" s="44">
        <v>0</v>
      </c>
    </row>
    <row r="38" spans="1:9" ht="14.25">
      <c r="A38" s="43" t="str">
        <f>HLOOKUP(INDICE!$F$2,Nombres!$C$3:$D$636,56,FALSE)</f>
        <v>Activos tangibles</v>
      </c>
      <c r="B38" s="44">
        <v>15.241000000000001</v>
      </c>
      <c r="C38" s="44">
        <v>14.600000000000001</v>
      </c>
      <c r="D38" s="44">
        <v>14.113999999999999</v>
      </c>
      <c r="E38" s="45">
        <v>13.004999999999999</v>
      </c>
      <c r="F38" s="44">
        <v>11.372</v>
      </c>
      <c r="G38" s="44">
        <v>10.92</v>
      </c>
      <c r="H38" s="44">
        <v>10.417</v>
      </c>
      <c r="I38" s="44">
        <v>0</v>
      </c>
    </row>
    <row r="39" spans="1:9" ht="14.25">
      <c r="A39" s="43" t="str">
        <f>HLOOKUP(INDICE!$F$2,Nombres!$C$3:$D$636,57,FALSE)</f>
        <v>Otros activos</v>
      </c>
      <c r="B39" s="60">
        <f>+B40-B38-B36-B35-B34</f>
        <v>1168.8700000000006</v>
      </c>
      <c r="C39" s="60">
        <f aca="true" t="shared" si="6" ref="C39:I39">+C40-C38-C36-C35-C34</f>
        <v>1160.2350000000006</v>
      </c>
      <c r="D39" s="60">
        <f t="shared" si="6"/>
        <v>1183.2180028</v>
      </c>
      <c r="E39" s="68">
        <f t="shared" si="6"/>
        <v>193.28400000000005</v>
      </c>
      <c r="F39" s="44">
        <f t="shared" si="6"/>
        <v>188.924</v>
      </c>
      <c r="G39" s="44">
        <f t="shared" si="6"/>
        <v>162.15199999999996</v>
      </c>
      <c r="H39" s="44">
        <f t="shared" si="6"/>
        <v>162.24300944999993</v>
      </c>
      <c r="I39" s="44">
        <f t="shared" si="6"/>
        <v>0</v>
      </c>
    </row>
    <row r="40" spans="1:9" ht="15.75" customHeight="1">
      <c r="A40" s="47" t="str">
        <f>HLOOKUP(INDICE!$F$2,Nombres!$C$3:$D$636,58,FALSE)</f>
        <v>Total activo / pasivo</v>
      </c>
      <c r="B40" s="47">
        <v>3413.387</v>
      </c>
      <c r="C40" s="47">
        <v>3287.4680000000003</v>
      </c>
      <c r="D40" s="47">
        <v>3298.8120028</v>
      </c>
      <c r="E40" s="47">
        <v>2102.956</v>
      </c>
      <c r="F40" s="53">
        <v>1924.8890000000001</v>
      </c>
      <c r="G40" s="53">
        <v>1848.197</v>
      </c>
      <c r="H40" s="53">
        <v>1965.64100945</v>
      </c>
      <c r="I40" s="53">
        <v>0</v>
      </c>
    </row>
    <row r="41" spans="1:9" ht="14.25">
      <c r="A41" s="43" t="str">
        <f>HLOOKUP(INDICE!$F$2,Nombres!$C$3:$D$636,59,FALSE)</f>
        <v>Pasivos financieros mantenidos para negociar y designados a valor razonable con cambios en resultados</v>
      </c>
      <c r="B41" s="60">
        <v>0</v>
      </c>
      <c r="C41" s="60">
        <v>0</v>
      </c>
      <c r="D41" s="60">
        <v>0</v>
      </c>
      <c r="E41" s="68">
        <v>0</v>
      </c>
      <c r="F41" s="44">
        <v>0</v>
      </c>
      <c r="G41" s="44">
        <v>0</v>
      </c>
      <c r="H41" s="44">
        <v>0</v>
      </c>
      <c r="I41" s="44">
        <v>0</v>
      </c>
    </row>
    <row r="42" spans="1:9" ht="14.25">
      <c r="A42" s="43" t="str">
        <f>HLOOKUP(INDICE!$F$2,Nombres!$C$3:$D$636,60,FALSE)</f>
        <v>Depósitos de bancos centrales y entidades de crédito</v>
      </c>
      <c r="B42" s="60">
        <v>549.569</v>
      </c>
      <c r="C42" s="60">
        <v>512.402</v>
      </c>
      <c r="D42" s="60">
        <v>542.526</v>
      </c>
      <c r="E42" s="68">
        <v>533.471</v>
      </c>
      <c r="F42" s="44">
        <v>579.9309999999999</v>
      </c>
      <c r="G42" s="44">
        <v>587.071</v>
      </c>
      <c r="H42" s="44">
        <v>589.679</v>
      </c>
      <c r="I42" s="44">
        <v>0</v>
      </c>
    </row>
    <row r="43" spans="1:9" ht="14.25">
      <c r="A43" s="43" t="str">
        <f>HLOOKUP(INDICE!$F$2,Nombres!$C$3:$D$636,61,FALSE)</f>
        <v>Depósitos de la clientela</v>
      </c>
      <c r="B43" s="60">
        <v>10.806</v>
      </c>
      <c r="C43" s="60">
        <v>7.268</v>
      </c>
      <c r="D43" s="60">
        <v>9.172</v>
      </c>
      <c r="E43" s="68">
        <v>5.854</v>
      </c>
      <c r="F43" s="44">
        <v>4.079000000000001</v>
      </c>
      <c r="G43" s="44">
        <v>3.553</v>
      </c>
      <c r="H43" s="44">
        <v>4.577999999999999</v>
      </c>
      <c r="I43" s="44">
        <v>0</v>
      </c>
    </row>
    <row r="44" spans="1:9" ht="14.25">
      <c r="A44" s="43" t="str">
        <f>HLOOKUP(INDICE!$F$2,Nombres!$C$3:$D$636,62,FALSE)</f>
        <v>Valores representativos de deuda emitidos</v>
      </c>
      <c r="B44" s="44">
        <v>1125.34</v>
      </c>
      <c r="C44" s="44">
        <v>1058.501</v>
      </c>
      <c r="D44" s="44">
        <v>1041.367</v>
      </c>
      <c r="E44" s="45">
        <v>986.123</v>
      </c>
      <c r="F44" s="44">
        <v>902.711</v>
      </c>
      <c r="G44" s="44">
        <v>863.894</v>
      </c>
      <c r="H44" s="44">
        <v>856.477</v>
      </c>
      <c r="I44" s="44">
        <v>0</v>
      </c>
    </row>
    <row r="45" spans="1:9" ht="14.25">
      <c r="A45" s="43" t="str">
        <f>HLOOKUP(INDICE!$F$2,Nombres!$C$3:$D$636,63,FALSE)</f>
        <v>Otros pasivos</v>
      </c>
      <c r="B45" s="60">
        <f>+B40-B41-B42-B43-B44-B46</f>
        <v>1669.6641300000003</v>
      </c>
      <c r="C45" s="60">
        <f aca="true" t="shared" si="7" ref="C45:I45">+C40-C41-C42-C43-C44-C46</f>
        <v>1654.5344800000003</v>
      </c>
      <c r="D45" s="60">
        <f t="shared" si="7"/>
        <v>1650.51489244</v>
      </c>
      <c r="E45" s="68">
        <f t="shared" si="7"/>
        <v>532.5898313</v>
      </c>
      <c r="F45" s="44">
        <f t="shared" si="7"/>
        <v>391.29335000000015</v>
      </c>
      <c r="G45" s="44">
        <f t="shared" si="7"/>
        <v>348.3115699999996</v>
      </c>
      <c r="H45" s="44">
        <f t="shared" si="7"/>
        <v>470.8192429700001</v>
      </c>
      <c r="I45" s="44">
        <f t="shared" si="7"/>
        <v>0</v>
      </c>
    </row>
    <row r="46" spans="1:9" ht="14.25">
      <c r="A46" s="43" t="str">
        <f>HLOOKUP(INDICE!$F$2,Nombres!$C$3:$D$636,64,FALSE)</f>
        <v>Dotación de capital económico</v>
      </c>
      <c r="B46" s="44">
        <v>58.007870000000004</v>
      </c>
      <c r="C46" s="44">
        <v>54.76252</v>
      </c>
      <c r="D46" s="44">
        <v>55.23211036</v>
      </c>
      <c r="E46" s="45">
        <v>44.9181687</v>
      </c>
      <c r="F46" s="44">
        <v>46.87465</v>
      </c>
      <c r="G46" s="44">
        <v>45.36743</v>
      </c>
      <c r="H46" s="44">
        <v>44.08776648</v>
      </c>
      <c r="I46" s="44">
        <v>0</v>
      </c>
    </row>
    <row r="47" spans="1:9" ht="14.25">
      <c r="A47" s="65"/>
      <c r="B47" s="60"/>
      <c r="C47" s="60"/>
      <c r="D47" s="60"/>
      <c r="E47" s="60"/>
      <c r="F47" s="44"/>
      <c r="G47" s="44"/>
      <c r="H47" s="44"/>
      <c r="I47" s="44"/>
    </row>
    <row r="48" spans="1:9" ht="14.25">
      <c r="A48" s="43"/>
      <c r="B48" s="60"/>
      <c r="C48" s="60"/>
      <c r="D48" s="60"/>
      <c r="E48" s="60"/>
      <c r="F48" s="44"/>
      <c r="G48" s="44"/>
      <c r="H48" s="44"/>
      <c r="I48" s="44"/>
    </row>
    <row r="49" spans="1:9" ht="16.5">
      <c r="A49" s="33" t="str">
        <f>HLOOKUP(INDICE!$F$2,Nombres!$C$3:$D$636,65,FALSE)</f>
        <v>Indicadores relevantes y de gestión</v>
      </c>
      <c r="B49" s="34"/>
      <c r="C49" s="34"/>
      <c r="D49" s="34"/>
      <c r="E49" s="34"/>
      <c r="F49" s="72"/>
      <c r="G49" s="72"/>
      <c r="H49" s="72"/>
      <c r="I49" s="72"/>
    </row>
    <row r="50" spans="1:9" ht="14.25">
      <c r="A50" s="35" t="str">
        <f>HLOOKUP(INDICE!$F$2,Nombres!$C$3:$D$636,32,FALSE)</f>
        <v>(Millones de euros)</v>
      </c>
      <c r="B50" s="30"/>
      <c r="C50" s="30"/>
      <c r="D50" s="30"/>
      <c r="E50" s="30"/>
      <c r="F50" s="73"/>
      <c r="G50" s="44"/>
      <c r="H50" s="44"/>
      <c r="I50" s="44"/>
    </row>
    <row r="51" spans="1:9" ht="14.25">
      <c r="A51" s="30"/>
      <c r="B51" s="55">
        <f aca="true" t="shared" si="8" ref="B51:I51">+B$33</f>
        <v>43555</v>
      </c>
      <c r="C51" s="55">
        <f t="shared" si="8"/>
        <v>43646</v>
      </c>
      <c r="D51" s="55">
        <f t="shared" si="8"/>
        <v>43738</v>
      </c>
      <c r="E51" s="71">
        <f t="shared" si="8"/>
        <v>43830</v>
      </c>
      <c r="F51" s="55">
        <f t="shared" si="8"/>
        <v>43921</v>
      </c>
      <c r="G51" s="55">
        <f t="shared" si="8"/>
        <v>44012</v>
      </c>
      <c r="H51" s="55">
        <f t="shared" si="8"/>
        <v>44104</v>
      </c>
      <c r="I51" s="55">
        <f t="shared" si="8"/>
        <v>44196</v>
      </c>
    </row>
    <row r="52" spans="1:9" ht="14.25">
      <c r="A52" s="43" t="str">
        <f>HLOOKUP(INDICE!$F$2,Nombres!$C$3:$D$636,66,FALSE)</f>
        <v>Préstamos y anticipos a la clientela bruto (*)</v>
      </c>
      <c r="B52" s="44">
        <v>2185.3759999999997</v>
      </c>
      <c r="C52" s="44">
        <v>2131.284</v>
      </c>
      <c r="D52" s="44">
        <v>2103.848</v>
      </c>
      <c r="E52" s="45">
        <v>1880.0230000000001</v>
      </c>
      <c r="F52" s="299">
        <v>1633.3490000000002</v>
      </c>
      <c r="G52" s="44">
        <v>1526.683</v>
      </c>
      <c r="H52" s="44">
        <v>1524.5109999999997</v>
      </c>
      <c r="I52" s="44">
        <v>0</v>
      </c>
    </row>
    <row r="53" spans="1:9" ht="14.25">
      <c r="A53" s="43" t="str">
        <f>HLOOKUP(INDICE!$F$2,Nombres!$C$3:$D$636,67,FALSE)</f>
        <v>Depósitos de clientes en gestión (**)</v>
      </c>
      <c r="B53" s="44">
        <v>10.806</v>
      </c>
      <c r="C53" s="44">
        <v>7.268</v>
      </c>
      <c r="D53" s="44">
        <v>9.171999999999999</v>
      </c>
      <c r="E53" s="45">
        <v>5.853999999999999</v>
      </c>
      <c r="F53" s="299">
        <v>4.079</v>
      </c>
      <c r="G53" s="44">
        <v>3.553</v>
      </c>
      <c r="H53" s="44">
        <v>4.577999999999999</v>
      </c>
      <c r="I53" s="44">
        <v>0</v>
      </c>
    </row>
    <row r="54" spans="1:9" ht="14.25">
      <c r="A54" s="43" t="str">
        <f>HLOOKUP(INDICE!$F$2,Nombres!$C$3:$D$636,68,FALSE)</f>
        <v>Fondos de inversión</v>
      </c>
      <c r="B54" s="44">
        <v>0</v>
      </c>
      <c r="C54" s="44">
        <v>0</v>
      </c>
      <c r="D54" s="44">
        <v>0</v>
      </c>
      <c r="E54" s="45">
        <v>0</v>
      </c>
      <c r="F54" s="299">
        <v>0</v>
      </c>
      <c r="G54" s="44">
        <v>0</v>
      </c>
      <c r="H54" s="44">
        <v>0</v>
      </c>
      <c r="I54" s="44">
        <v>0</v>
      </c>
    </row>
    <row r="55" spans="1:9" ht="14.25">
      <c r="A55" s="43" t="str">
        <f>HLOOKUP(INDICE!$F$2,Nombres!$C$3:$D$636,69,FALSE)</f>
        <v>Fondos de pensiones</v>
      </c>
      <c r="B55" s="44">
        <v>0</v>
      </c>
      <c r="C55" s="44">
        <v>0</v>
      </c>
      <c r="D55" s="44">
        <v>0</v>
      </c>
      <c r="E55" s="45">
        <v>0</v>
      </c>
      <c r="F55" s="299">
        <v>0</v>
      </c>
      <c r="G55" s="44">
        <v>0</v>
      </c>
      <c r="H55" s="44">
        <v>0</v>
      </c>
      <c r="I55" s="44">
        <v>0</v>
      </c>
    </row>
    <row r="56" spans="1:9" ht="14.25">
      <c r="A56" s="43" t="str">
        <f>HLOOKUP(INDICE!$F$2,Nombres!$C$3:$D$636,70,FALSE)</f>
        <v>Otros recursos fuera de balance</v>
      </c>
      <c r="B56" s="44">
        <v>0</v>
      </c>
      <c r="C56" s="44">
        <v>0</v>
      </c>
      <c r="D56" s="44">
        <v>0</v>
      </c>
      <c r="E56" s="45">
        <v>0</v>
      </c>
      <c r="F56" s="299">
        <v>0</v>
      </c>
      <c r="G56" s="44">
        <v>0</v>
      </c>
      <c r="H56" s="44">
        <v>0</v>
      </c>
      <c r="I56" s="44">
        <v>0</v>
      </c>
    </row>
    <row r="57" spans="1:9" ht="14.25">
      <c r="A57" s="65" t="str">
        <f>HLOOKUP(INDICE!$F$2,Nombres!$C$3:$D$636,71,FALSE)</f>
        <v>(*) No incluye las adquisiciones temporales de activos.</v>
      </c>
      <c r="B57" s="60"/>
      <c r="C57" s="60"/>
      <c r="D57" s="60"/>
      <c r="E57" s="60"/>
      <c r="F57" s="60"/>
      <c r="G57" s="60"/>
      <c r="H57" s="60"/>
      <c r="I57" s="60"/>
    </row>
    <row r="58" spans="1:9" ht="14.25">
      <c r="A58" s="65" t="str">
        <f>HLOOKUP(INDICE!$F$2,Nombres!$C$3:$D$636,72,FALSE)</f>
        <v>(**) No incluye las cesiones temporales de activos.</v>
      </c>
      <c r="B58" s="30"/>
      <c r="C58" s="30"/>
      <c r="D58" s="30"/>
      <c r="E58" s="30"/>
      <c r="F58" s="30"/>
      <c r="G58" s="30"/>
      <c r="H58" s="30"/>
      <c r="I58" s="30"/>
    </row>
    <row r="59" spans="1:9" ht="14.25">
      <c r="A59" s="65"/>
      <c r="B59" s="30"/>
      <c r="C59" s="30"/>
      <c r="D59" s="30"/>
      <c r="E59" s="30"/>
      <c r="F59" s="30"/>
      <c r="G59" s="30"/>
      <c r="H59" s="30"/>
      <c r="I59" s="30"/>
    </row>
    <row r="60" spans="1:9" ht="16.5">
      <c r="A60" s="33" t="str">
        <f>HLOOKUP(INDICE!$F$2,Nombres!$C$3:$D$636,31,FALSE)</f>
        <v>Cuenta de resultados  </v>
      </c>
      <c r="B60" s="34"/>
      <c r="C60" s="34"/>
      <c r="D60" s="34"/>
      <c r="E60" s="34"/>
      <c r="F60" s="34"/>
      <c r="G60" s="34"/>
      <c r="H60" s="34"/>
      <c r="I60" s="34"/>
    </row>
    <row r="61" spans="1:9" ht="14.25">
      <c r="A61" s="35" t="str">
        <f>HLOOKUP(INDICE!$F$2,Nombres!$C$3:$D$636,73,FALSE)</f>
        <v>(Millones de euros constantes)</v>
      </c>
      <c r="B61" s="30"/>
      <c r="C61" s="36"/>
      <c r="D61" s="36"/>
      <c r="E61" s="36"/>
      <c r="F61" s="30"/>
      <c r="G61" s="30"/>
      <c r="H61" s="30"/>
      <c r="I61" s="30"/>
    </row>
    <row r="62" spans="1:9" ht="14.25">
      <c r="A62" s="37"/>
      <c r="B62" s="30"/>
      <c r="C62" s="36"/>
      <c r="D62" s="36"/>
      <c r="E62" s="36"/>
      <c r="F62" s="30"/>
      <c r="G62" s="30"/>
      <c r="H62" s="30"/>
      <c r="I62" s="30"/>
    </row>
    <row r="63" spans="1:9" ht="14.25">
      <c r="A63" s="38"/>
      <c r="B63" s="305">
        <f>+B$6</f>
        <v>2019</v>
      </c>
      <c r="C63" s="305"/>
      <c r="D63" s="305"/>
      <c r="E63" s="306"/>
      <c r="F63" s="305">
        <f>+F$6</f>
        <v>2020</v>
      </c>
      <c r="G63" s="305"/>
      <c r="H63" s="305"/>
      <c r="I63" s="305"/>
    </row>
    <row r="64" spans="1:9" ht="14.25">
      <c r="A64" s="38"/>
      <c r="B64" s="39" t="str">
        <f>+B$7</f>
        <v>1er Trim.</v>
      </c>
      <c r="C64" s="39" t="str">
        <f aca="true" t="shared" si="9" ref="C64:I64">+C$7</f>
        <v>2º Trim.</v>
      </c>
      <c r="D64" s="39" t="str">
        <f t="shared" si="9"/>
        <v>3er Trim.</v>
      </c>
      <c r="E64" s="40" t="str">
        <f t="shared" si="9"/>
        <v>4º Trim.</v>
      </c>
      <c r="F64" s="39" t="str">
        <f t="shared" si="9"/>
        <v>1er Trim.</v>
      </c>
      <c r="G64" s="39" t="str">
        <f t="shared" si="9"/>
        <v>2º Trim.</v>
      </c>
      <c r="H64" s="39" t="str">
        <f t="shared" si="9"/>
        <v>3er Trim.</v>
      </c>
      <c r="I64" s="39" t="str">
        <f t="shared" si="9"/>
        <v>4º Trim.</v>
      </c>
    </row>
    <row r="65" spans="1:9" ht="14.25">
      <c r="A65" s="41" t="str">
        <f>HLOOKUP(INDICE!$F$2,Nombres!$C$3:$D$636,33,FALSE)</f>
        <v>Margen de intereses</v>
      </c>
      <c r="B65" s="52">
        <v>38.94643982765838</v>
      </c>
      <c r="C65" s="52">
        <v>39.8097065473049</v>
      </c>
      <c r="D65" s="52">
        <v>40.29781378690814</v>
      </c>
      <c r="E65" s="290">
        <v>38.98340536699119</v>
      </c>
      <c r="F65" s="52">
        <v>37.30075963003896</v>
      </c>
      <c r="G65" s="52">
        <v>34.24904104017843</v>
      </c>
      <c r="H65" s="52">
        <v>29.880199329782595</v>
      </c>
      <c r="I65" s="52">
        <v>0</v>
      </c>
    </row>
    <row r="66" spans="1:9" ht="14.25">
      <c r="A66" s="43" t="str">
        <f>HLOOKUP(INDICE!$F$2,Nombres!$C$3:$D$636,34,FALSE)</f>
        <v>Comisiones netas</v>
      </c>
      <c r="B66" s="44">
        <v>4.355508785736186</v>
      </c>
      <c r="C66" s="44">
        <v>3.801870822230502</v>
      </c>
      <c r="D66" s="44">
        <v>4.120727879682908</v>
      </c>
      <c r="E66" s="45">
        <v>3.077725152571246</v>
      </c>
      <c r="F66" s="44">
        <v>1.2554084801219259</v>
      </c>
      <c r="G66" s="44">
        <v>-0.9821887069561035</v>
      </c>
      <c r="H66" s="44">
        <v>-2.5302197731658236</v>
      </c>
      <c r="I66" s="44">
        <v>0</v>
      </c>
    </row>
    <row r="67" spans="1:9" ht="14.25">
      <c r="A67" s="43" t="str">
        <f>HLOOKUP(INDICE!$F$2,Nombres!$C$3:$D$636,35,FALSE)</f>
        <v>Resultados de operaciones financieras</v>
      </c>
      <c r="B67" s="44">
        <v>0.31453181808560204</v>
      </c>
      <c r="C67" s="44">
        <v>0.3113302593944002</v>
      </c>
      <c r="D67" s="44">
        <v>0.29907785858049063</v>
      </c>
      <c r="E67" s="45">
        <v>0.27098358830438446</v>
      </c>
      <c r="F67" s="44">
        <v>0.33988367302205524</v>
      </c>
      <c r="G67" s="44">
        <v>0.06547511771123594</v>
      </c>
      <c r="H67" s="44">
        <v>-0.004358790733291096</v>
      </c>
      <c r="I67" s="44">
        <v>0</v>
      </c>
    </row>
    <row r="68" spans="1:9" ht="14.25">
      <c r="A68" s="43" t="str">
        <f>HLOOKUP(INDICE!$F$2,Nombres!$C$3:$D$636,36,FALSE)</f>
        <v>Otros ingresos y cargas de explotación</v>
      </c>
      <c r="B68" s="44">
        <v>0.044572690798227024</v>
      </c>
      <c r="C68" s="44">
        <v>-0.03356293842036503</v>
      </c>
      <c r="D68" s="44">
        <v>-0.03067113734033089</v>
      </c>
      <c r="E68" s="45">
        <v>-0.16802004404369794</v>
      </c>
      <c r="F68" s="44">
        <v>0.04420452394795517</v>
      </c>
      <c r="G68" s="44">
        <v>-0.0918937934459894</v>
      </c>
      <c r="H68" s="44">
        <v>-0.026310730501965758</v>
      </c>
      <c r="I68" s="44">
        <v>0</v>
      </c>
    </row>
    <row r="69" spans="1:9" ht="14.25">
      <c r="A69" s="41" t="str">
        <f>HLOOKUP(INDICE!$F$2,Nombres!$C$3:$D$636,37,FALSE)</f>
        <v>Margen bruto</v>
      </c>
      <c r="B69" s="52">
        <f>+SUM(B65:B68)</f>
        <v>43.661053122278396</v>
      </c>
      <c r="C69" s="52">
        <f>+SUM(C65:C68)</f>
        <v>43.88934469050944</v>
      </c>
      <c r="D69" s="52">
        <f aca="true" t="shared" si="10" ref="D69:I69">+SUM(D65:D68)</f>
        <v>44.68694838783121</v>
      </c>
      <c r="E69" s="290">
        <f t="shared" si="10"/>
        <v>42.16409406382312</v>
      </c>
      <c r="F69" s="52">
        <f t="shared" si="10"/>
        <v>38.9402563071309</v>
      </c>
      <c r="G69" s="52">
        <f t="shared" si="10"/>
        <v>33.24043365748758</v>
      </c>
      <c r="H69" s="52">
        <f t="shared" si="10"/>
        <v>27.319310035381516</v>
      </c>
      <c r="I69" s="52">
        <f t="shared" si="10"/>
        <v>0</v>
      </c>
    </row>
    <row r="70" spans="1:9" ht="14.25">
      <c r="A70" s="43" t="str">
        <f>HLOOKUP(INDICE!$F$2,Nombres!$C$3:$D$636,38,FALSE)</f>
        <v>Gastos de explotación</v>
      </c>
      <c r="B70" s="44">
        <v>-13.96891309733115</v>
      </c>
      <c r="C70" s="44">
        <v>-14.511622496139752</v>
      </c>
      <c r="D70" s="44">
        <v>-15.323320417260868</v>
      </c>
      <c r="E70" s="45">
        <v>-13.754110049503664</v>
      </c>
      <c r="F70" s="44">
        <v>-12.830117495205382</v>
      </c>
      <c r="G70" s="44">
        <v>-9.228156700531208</v>
      </c>
      <c r="H70" s="44">
        <v>-11.886725804263403</v>
      </c>
      <c r="I70" s="44">
        <v>0</v>
      </c>
    </row>
    <row r="71" spans="1:9" ht="14.25">
      <c r="A71" s="43" t="str">
        <f>HLOOKUP(INDICE!$F$2,Nombres!$C$3:$D$636,39,FALSE)</f>
        <v>  Gastos de administración</v>
      </c>
      <c r="B71" s="44">
        <v>-12.984949923106136</v>
      </c>
      <c r="C71" s="44">
        <v>-13.567185196180779</v>
      </c>
      <c r="D71" s="44">
        <v>-14.424755670971608</v>
      </c>
      <c r="E71" s="45">
        <v>-12.893789892665055</v>
      </c>
      <c r="F71" s="44">
        <v>-12.022648191089404</v>
      </c>
      <c r="G71" s="44">
        <v>-8.426113159088535</v>
      </c>
      <c r="H71" s="44">
        <v>-11.057238649822061</v>
      </c>
      <c r="I71" s="44">
        <v>0</v>
      </c>
    </row>
    <row r="72" spans="1:9" ht="14.25">
      <c r="A72" s="46" t="str">
        <f>HLOOKUP(INDICE!$F$2,Nombres!$C$3:$D$636,40,FALSE)</f>
        <v>  Gastos de personal</v>
      </c>
      <c r="B72" s="44">
        <v>-5.55224348396028</v>
      </c>
      <c r="C72" s="44">
        <v>-5.782720041063198</v>
      </c>
      <c r="D72" s="44">
        <v>-6.747526740676712</v>
      </c>
      <c r="E72" s="45">
        <v>-6.275940408662972</v>
      </c>
      <c r="F72" s="44">
        <v>-5.422421604282499</v>
      </c>
      <c r="G72" s="44">
        <v>-4.0786718167529505</v>
      </c>
      <c r="H72" s="44">
        <v>-4.765906578964549</v>
      </c>
      <c r="I72" s="44">
        <v>0</v>
      </c>
    </row>
    <row r="73" spans="1:9" ht="14.25">
      <c r="A73" s="46" t="str">
        <f>HLOOKUP(INDICE!$F$2,Nombres!$C$3:$D$636,41,FALSE)</f>
        <v>  Otros gastos de administración</v>
      </c>
      <c r="B73" s="44">
        <v>-7.432706439145859</v>
      </c>
      <c r="C73" s="44">
        <v>-7.78446515511758</v>
      </c>
      <c r="D73" s="44">
        <v>-7.677228930294898</v>
      </c>
      <c r="E73" s="45">
        <v>-6.617849484002079</v>
      </c>
      <c r="F73" s="44">
        <v>-6.6002265868069045</v>
      </c>
      <c r="G73" s="44">
        <v>-4.347441342335584</v>
      </c>
      <c r="H73" s="44">
        <v>-6.2913320708575124</v>
      </c>
      <c r="I73" s="44">
        <v>0</v>
      </c>
    </row>
    <row r="74" spans="1:9" ht="14.25">
      <c r="A74" s="43" t="str">
        <f>HLOOKUP(INDICE!$F$2,Nombres!$C$3:$D$636,42,FALSE)</f>
        <v>  Amortización</v>
      </c>
      <c r="B74" s="44">
        <v>-0.9839631742250117</v>
      </c>
      <c r="C74" s="44">
        <v>-0.9444372999589735</v>
      </c>
      <c r="D74" s="44">
        <v>-0.8985647462892585</v>
      </c>
      <c r="E74" s="45">
        <v>-0.860320156838611</v>
      </c>
      <c r="F74" s="44">
        <v>-0.8074693041159808</v>
      </c>
      <c r="G74" s="44">
        <v>-0.8020435414426752</v>
      </c>
      <c r="H74" s="44">
        <v>-0.829487154441344</v>
      </c>
      <c r="I74" s="44">
        <v>0</v>
      </c>
    </row>
    <row r="75" spans="1:9" ht="14.25">
      <c r="A75" s="41" t="str">
        <f>HLOOKUP(INDICE!$F$2,Nombres!$C$3:$D$636,43,FALSE)</f>
        <v>Margen neto</v>
      </c>
      <c r="B75" s="52">
        <f aca="true" t="shared" si="11" ref="B75:I75">+B69+B70</f>
        <v>29.692140024947246</v>
      </c>
      <c r="C75" s="52">
        <f t="shared" si="11"/>
        <v>29.37772219436969</v>
      </c>
      <c r="D75" s="52">
        <f t="shared" si="11"/>
        <v>29.36362797057034</v>
      </c>
      <c r="E75" s="290">
        <f t="shared" si="11"/>
        <v>28.409984014319456</v>
      </c>
      <c r="F75" s="52">
        <f t="shared" si="11"/>
        <v>26.11013881192552</v>
      </c>
      <c r="G75" s="52">
        <f t="shared" si="11"/>
        <v>24.01227695695637</v>
      </c>
      <c r="H75" s="52">
        <f t="shared" si="11"/>
        <v>15.432584231118113</v>
      </c>
      <c r="I75" s="52">
        <f t="shared" si="11"/>
        <v>0</v>
      </c>
    </row>
    <row r="76" spans="1:9" ht="14.25">
      <c r="A76" s="43" t="str">
        <f>HLOOKUP(INDICE!$F$2,Nombres!$C$3:$D$636,44,FALSE)</f>
        <v>Deterioro de activos financieros no valorados a valor razonable con cambios en resultados</v>
      </c>
      <c r="B76" s="44">
        <v>-10.514950057551559</v>
      </c>
      <c r="C76" s="44">
        <v>-9.90644679532435</v>
      </c>
      <c r="D76" s="44">
        <v>-11.972871979852721</v>
      </c>
      <c r="E76" s="45">
        <v>-18.37748592939545</v>
      </c>
      <c r="F76" s="44">
        <v>-18.045268998309695</v>
      </c>
      <c r="G76" s="44">
        <v>-23.19998795880268</v>
      </c>
      <c r="H76" s="44">
        <v>0.7892569571123769</v>
      </c>
      <c r="I76" s="44">
        <v>0</v>
      </c>
    </row>
    <row r="77" spans="1:9" ht="14.25">
      <c r="A77" s="43" t="str">
        <f>HLOOKUP(INDICE!$F$2,Nombres!$C$3:$D$636,45,FALSE)</f>
        <v>Provisiones o reversión de provisiones y otros resultados</v>
      </c>
      <c r="B77" s="44">
        <v>-0.46506977380036885</v>
      </c>
      <c r="C77" s="44">
        <v>-0.244635802557198</v>
      </c>
      <c r="D77" s="44">
        <v>-0.32892845535546356</v>
      </c>
      <c r="E77" s="45">
        <v>-0.4235352407768742</v>
      </c>
      <c r="F77" s="44">
        <v>-0.2514746251261449</v>
      </c>
      <c r="G77" s="44">
        <v>-0.20157343510518055</v>
      </c>
      <c r="H77" s="44">
        <v>-0.13895193976867454</v>
      </c>
      <c r="I77" s="44">
        <v>0</v>
      </c>
    </row>
    <row r="78" spans="1:9" ht="14.25">
      <c r="A78" s="41" t="str">
        <f>HLOOKUP(INDICE!$F$2,Nombres!$C$3:$D$636,46,FALSE)</f>
        <v>Resultado antes de impuestos</v>
      </c>
      <c r="B78" s="52">
        <f aca="true" t="shared" si="12" ref="B78:I78">+B75+B76+B77</f>
        <v>18.712120193595318</v>
      </c>
      <c r="C78" s="52">
        <f t="shared" si="12"/>
        <v>19.22663959648814</v>
      </c>
      <c r="D78" s="52">
        <f t="shared" si="12"/>
        <v>17.06182753536216</v>
      </c>
      <c r="E78" s="290">
        <f t="shared" si="12"/>
        <v>9.608962844147129</v>
      </c>
      <c r="F78" s="52">
        <f t="shared" si="12"/>
        <v>7.813395188489681</v>
      </c>
      <c r="G78" s="52">
        <f t="shared" si="12"/>
        <v>0.6107155630485095</v>
      </c>
      <c r="H78" s="52">
        <f t="shared" si="12"/>
        <v>16.082889248461818</v>
      </c>
      <c r="I78" s="52">
        <f t="shared" si="12"/>
        <v>0</v>
      </c>
    </row>
    <row r="79" spans="1:9" ht="14.25">
      <c r="A79" s="43" t="str">
        <f>HLOOKUP(INDICE!$F$2,Nombres!$C$3:$D$636,47,FALSE)</f>
        <v>Impuesto sobre beneficios</v>
      </c>
      <c r="B79" s="44">
        <v>-4.695270428801915</v>
      </c>
      <c r="C79" s="44">
        <v>-4.936569093769216</v>
      </c>
      <c r="D79" s="44">
        <v>-4.846633395226067</v>
      </c>
      <c r="E79" s="45">
        <v>-2.3988887026922443</v>
      </c>
      <c r="F79" s="44">
        <v>-1.313365522631468</v>
      </c>
      <c r="G79" s="44">
        <v>0.03668403711117557</v>
      </c>
      <c r="H79" s="44">
        <v>-4.558318514479707</v>
      </c>
      <c r="I79" s="44">
        <v>0</v>
      </c>
    </row>
    <row r="80" spans="1:9" ht="14.25">
      <c r="A80" s="41" t="str">
        <f>HLOOKUP(INDICE!$F$2,Nombres!$C$3:$D$636,48,FALSE)</f>
        <v>Resultado del ejercicio</v>
      </c>
      <c r="B80" s="52">
        <f aca="true" t="shared" si="13" ref="B80:I80">+B78+B79</f>
        <v>14.016849764793402</v>
      </c>
      <c r="C80" s="52">
        <f t="shared" si="13"/>
        <v>14.290070502718926</v>
      </c>
      <c r="D80" s="52">
        <f t="shared" si="13"/>
        <v>12.215194140136092</v>
      </c>
      <c r="E80" s="290">
        <f t="shared" si="13"/>
        <v>7.210074141454885</v>
      </c>
      <c r="F80" s="52">
        <f t="shared" si="13"/>
        <v>6.500029665858213</v>
      </c>
      <c r="G80" s="52">
        <f t="shared" si="13"/>
        <v>0.6473996001596851</v>
      </c>
      <c r="H80" s="52">
        <f t="shared" si="13"/>
        <v>11.524570733982111</v>
      </c>
      <c r="I80" s="52">
        <f t="shared" si="13"/>
        <v>0</v>
      </c>
    </row>
    <row r="81" spans="1:9" ht="14.25">
      <c r="A81" s="43" t="str">
        <f>HLOOKUP(INDICE!$F$2,Nombres!$C$3:$D$636,49,FALSE)</f>
        <v>Minoritarios</v>
      </c>
      <c r="B81" s="44">
        <v>0</v>
      </c>
      <c r="C81" s="44">
        <v>0</v>
      </c>
      <c r="D81" s="44">
        <v>0</v>
      </c>
      <c r="E81" s="45">
        <v>0</v>
      </c>
      <c r="F81" s="44">
        <v>0</v>
      </c>
      <c r="G81" s="44">
        <v>0</v>
      </c>
      <c r="H81" s="44">
        <v>0</v>
      </c>
      <c r="I81" s="44">
        <v>0</v>
      </c>
    </row>
    <row r="82" spans="1:9" ht="14.25">
      <c r="A82" s="47" t="str">
        <f>HLOOKUP(INDICE!$F$2,Nombres!$C$3:$D$636,50,FALSE)</f>
        <v>Resultado atribuido</v>
      </c>
      <c r="B82" s="53">
        <f aca="true" t="shared" si="14" ref="B82:I82">+B80+B81</f>
        <v>14.016849764793402</v>
      </c>
      <c r="C82" s="53">
        <f t="shared" si="14"/>
        <v>14.290070502718926</v>
      </c>
      <c r="D82" s="53">
        <f t="shared" si="14"/>
        <v>12.215194140136092</v>
      </c>
      <c r="E82" s="84">
        <f t="shared" si="14"/>
        <v>7.210074141454885</v>
      </c>
      <c r="F82" s="53">
        <f t="shared" si="14"/>
        <v>6.500029665858213</v>
      </c>
      <c r="G82" s="53">
        <f t="shared" si="14"/>
        <v>0.6473996001596851</v>
      </c>
      <c r="H82" s="53">
        <f t="shared" si="14"/>
        <v>11.524570733982111</v>
      </c>
      <c r="I82" s="53">
        <f t="shared" si="14"/>
        <v>0</v>
      </c>
    </row>
    <row r="83" spans="1:9" ht="14.25">
      <c r="A83" s="48"/>
      <c r="B83" s="280"/>
      <c r="C83" s="280"/>
      <c r="D83" s="280"/>
      <c r="E83" s="291"/>
      <c r="F83" s="280"/>
      <c r="G83" s="280"/>
      <c r="H83" s="280"/>
      <c r="I83" s="280"/>
    </row>
    <row r="84" spans="1:9" ht="14.25">
      <c r="A84" s="47" t="str">
        <f>HLOOKUP(INDICE!$F$2,Nombres!$C$3:$D$636,254,FALSE)</f>
        <v>Resultado atribuido sin BBVA Chile (*)</v>
      </c>
      <c r="B84" s="47">
        <f aca="true" t="shared" si="15" ref="B84:I84">+B82</f>
        <v>14.016849764793402</v>
      </c>
      <c r="C84" s="47">
        <f t="shared" si="15"/>
        <v>14.290070502718926</v>
      </c>
      <c r="D84" s="47">
        <f t="shared" si="15"/>
        <v>12.215194140136092</v>
      </c>
      <c r="E84" s="74">
        <f t="shared" si="15"/>
        <v>7.210074141454885</v>
      </c>
      <c r="F84" s="47">
        <f t="shared" si="15"/>
        <v>6.500029665858213</v>
      </c>
      <c r="G84" s="47">
        <f t="shared" si="15"/>
        <v>0.6473996001596851</v>
      </c>
      <c r="H84" s="47">
        <f t="shared" si="15"/>
        <v>11.524570733982111</v>
      </c>
      <c r="I84" s="47">
        <f t="shared" si="15"/>
        <v>0</v>
      </c>
    </row>
    <row r="85" spans="1:9" ht="14.25">
      <c r="A85" s="49" t="str">
        <f>HLOOKUP(INDICE!$F$2,Nombres!$C$3:$D$636,251,FALSE)</f>
        <v>(*) Resultados generados por BBVA Chile hasta su venta el 6 de julio del 2018 y las plusvalías de la operación</v>
      </c>
      <c r="B85" s="87"/>
      <c r="C85" s="87"/>
      <c r="D85" s="87"/>
      <c r="E85" s="87"/>
      <c r="F85" s="66">
        <v>0</v>
      </c>
      <c r="G85" s="66">
        <v>1.9984014443252818E-15</v>
      </c>
      <c r="H85" s="66">
        <v>0</v>
      </c>
      <c r="I85" s="66">
        <v>0</v>
      </c>
    </row>
    <row r="86" spans="2:9" ht="14.25">
      <c r="B86" s="87"/>
      <c r="C86" s="87"/>
      <c r="D86" s="87"/>
      <c r="E86" s="87"/>
      <c r="F86" s="66"/>
      <c r="G86" s="66"/>
      <c r="H86" s="66"/>
      <c r="I86" s="66"/>
    </row>
    <row r="87" spans="1:9" ht="14.25">
      <c r="A87" s="41"/>
      <c r="B87" s="41"/>
      <c r="C87" s="41"/>
      <c r="D87" s="41"/>
      <c r="E87" s="41"/>
      <c r="F87" s="52"/>
      <c r="G87" s="52"/>
      <c r="H87" s="52"/>
      <c r="I87" s="52"/>
    </row>
    <row r="88" spans="1:9" ht="16.5">
      <c r="A88" s="33" t="str">
        <f>HLOOKUP(INDICE!$F$2,Nombres!$C$3:$D$636,51,FALSE)</f>
        <v>Balances</v>
      </c>
      <c r="B88" s="34"/>
      <c r="C88" s="34"/>
      <c r="D88" s="34"/>
      <c r="E88" s="34"/>
      <c r="F88" s="72"/>
      <c r="G88" s="72"/>
      <c r="H88" s="72"/>
      <c r="I88" s="72"/>
    </row>
    <row r="89" spans="1:9" ht="14.25">
      <c r="A89" s="35" t="str">
        <f>HLOOKUP(INDICE!$F$2,Nombres!$C$3:$D$636,73,FALSE)</f>
        <v>(Millones de euros constantes)</v>
      </c>
      <c r="B89" s="30"/>
      <c r="C89" s="54"/>
      <c r="D89" s="54"/>
      <c r="E89" s="54"/>
      <c r="F89" s="73"/>
      <c r="G89" s="44"/>
      <c r="H89" s="44"/>
      <c r="I89" s="44"/>
    </row>
    <row r="90" spans="1:9" ht="14.25">
      <c r="A90" s="30"/>
      <c r="B90" s="55">
        <f aca="true" t="shared" si="16" ref="B90:I90">+B$33</f>
        <v>43555</v>
      </c>
      <c r="C90" s="55">
        <f t="shared" si="16"/>
        <v>43646</v>
      </c>
      <c r="D90" s="55">
        <f t="shared" si="16"/>
        <v>43738</v>
      </c>
      <c r="E90" s="71">
        <f t="shared" si="16"/>
        <v>43830</v>
      </c>
      <c r="F90" s="55">
        <f t="shared" si="16"/>
        <v>43921</v>
      </c>
      <c r="G90" s="55">
        <f t="shared" si="16"/>
        <v>44012</v>
      </c>
      <c r="H90" s="55">
        <f t="shared" si="16"/>
        <v>44104</v>
      </c>
      <c r="I90" s="55">
        <f t="shared" si="16"/>
        <v>44196</v>
      </c>
    </row>
    <row r="91" spans="1:9" ht="14.25">
      <c r="A91" s="43" t="str">
        <f>HLOOKUP(INDICE!$F$2,Nombres!$C$3:$D$636,52,FALSE)</f>
        <v>Efectivo, saldos en efectivo en bancos centrales y otros depósitos a la vista</v>
      </c>
      <c r="B91" s="44">
        <v>21.718597449191485</v>
      </c>
      <c r="C91" s="44">
        <v>31.3820380749152</v>
      </c>
      <c r="D91" s="44">
        <v>21.48143996984902</v>
      </c>
      <c r="E91" s="45">
        <v>26.278648834494366</v>
      </c>
      <c r="F91" s="44">
        <v>8.813270321250654</v>
      </c>
      <c r="G91" s="44">
        <v>10.59831212684786</v>
      </c>
      <c r="H91" s="44">
        <v>24.927</v>
      </c>
      <c r="I91" s="44">
        <v>0</v>
      </c>
    </row>
    <row r="92" spans="1:9" ht="14.25">
      <c r="A92" s="43" t="str">
        <f>HLOOKUP(INDICE!$F$2,Nombres!$C$3:$D$636,53,FALSE)</f>
        <v>Activos financieros a valor razonable</v>
      </c>
      <c r="B92" s="60">
        <v>0</v>
      </c>
      <c r="C92" s="60">
        <v>0</v>
      </c>
      <c r="D92" s="60">
        <v>0</v>
      </c>
      <c r="E92" s="68">
        <v>0</v>
      </c>
      <c r="F92" s="44">
        <v>0</v>
      </c>
      <c r="G92" s="44">
        <v>0</v>
      </c>
      <c r="H92" s="44">
        <v>163.319</v>
      </c>
      <c r="I92" s="44">
        <v>0</v>
      </c>
    </row>
    <row r="93" spans="1:9" ht="14.25">
      <c r="A93" s="43" t="str">
        <f>HLOOKUP(INDICE!$F$2,Nombres!$C$3:$D$636,54,FALSE)</f>
        <v>Activos financieros a coste amortizado</v>
      </c>
      <c r="B93" s="44">
        <v>1835.6064005231806</v>
      </c>
      <c r="C93" s="44">
        <v>1748.2585171492842</v>
      </c>
      <c r="D93" s="44">
        <v>1786.5454932181642</v>
      </c>
      <c r="E93" s="45">
        <v>1710.734177853103</v>
      </c>
      <c r="F93" s="44">
        <v>1732.229605181227</v>
      </c>
      <c r="G93" s="44">
        <v>1656.7098773440403</v>
      </c>
      <c r="H93" s="44">
        <v>1604.7350000000001</v>
      </c>
      <c r="I93" s="44">
        <v>0</v>
      </c>
    </row>
    <row r="94" spans="1:9" ht="14.25">
      <c r="A94" s="43" t="str">
        <f>HLOOKUP(INDICE!$F$2,Nombres!$C$3:$D$636,55,FALSE)</f>
        <v>    de los que préstamos y anticipos a la clientela</v>
      </c>
      <c r="B94" s="44">
        <v>1774.6405278691764</v>
      </c>
      <c r="C94" s="44">
        <v>1747.5290157541892</v>
      </c>
      <c r="D94" s="44">
        <v>1757.997065587616</v>
      </c>
      <c r="E94" s="45">
        <v>1683.9609841531094</v>
      </c>
      <c r="F94" s="44">
        <v>1648.1582749930494</v>
      </c>
      <c r="G94" s="44">
        <v>1502.6839940790658</v>
      </c>
      <c r="H94" s="44">
        <v>1503.2589999999998</v>
      </c>
      <c r="I94" s="44">
        <v>0</v>
      </c>
    </row>
    <row r="95" spans="1:9" ht="14.25">
      <c r="A95" s="43" t="str">
        <f>HLOOKUP(INDICE!$F$2,Nombres!$C$3:$D$636,56,FALSE)</f>
        <v>Activos tangibles</v>
      </c>
      <c r="B95" s="44">
        <v>12.698064436210199</v>
      </c>
      <c r="C95" s="44">
        <v>12.29875331222854</v>
      </c>
      <c r="D95" s="44">
        <v>12.143104923680273</v>
      </c>
      <c r="E95" s="45">
        <v>11.910288844099783</v>
      </c>
      <c r="F95" s="44">
        <v>11.480470801060989</v>
      </c>
      <c r="G95" s="44">
        <v>10.869042864874025</v>
      </c>
      <c r="H95" s="44">
        <v>10.417</v>
      </c>
      <c r="I95" s="44">
        <v>0</v>
      </c>
    </row>
    <row r="96" spans="1:9" ht="14.25">
      <c r="A96" s="43" t="str">
        <f>HLOOKUP(INDICE!$F$2,Nombres!$C$3:$D$636,57,FALSE)</f>
        <v>Otros activos</v>
      </c>
      <c r="B96" s="60">
        <f>+B97-B95-B93-B92-B91</f>
        <v>973.8459797620242</v>
      </c>
      <c r="C96" s="60">
        <f aca="true" t="shared" si="17" ref="C96:I96">+C97-C95-C93-C92-C91</f>
        <v>977.3591814529779</v>
      </c>
      <c r="D96" s="60">
        <f t="shared" si="17"/>
        <v>1017.9920898106719</v>
      </c>
      <c r="E96" s="68">
        <f t="shared" si="17"/>
        <v>177.01409219092486</v>
      </c>
      <c r="F96" s="44">
        <f t="shared" si="17"/>
        <v>190.7260346130536</v>
      </c>
      <c r="G96" s="44">
        <f t="shared" si="17"/>
        <v>161.39533320742305</v>
      </c>
      <c r="H96" s="44">
        <f t="shared" si="17"/>
        <v>162.24300944999993</v>
      </c>
      <c r="I96" s="44">
        <f t="shared" si="17"/>
        <v>0</v>
      </c>
    </row>
    <row r="97" spans="1:9" ht="14.25">
      <c r="A97" s="47" t="str">
        <f>HLOOKUP(INDICE!$F$2,Nombres!$C$3:$D$636,58,FALSE)</f>
        <v>Total activo / pasivo</v>
      </c>
      <c r="B97" s="47">
        <v>2843.8690421706065</v>
      </c>
      <c r="C97" s="47">
        <v>2769.298489989406</v>
      </c>
      <c r="D97" s="47">
        <v>2838.1621279223655</v>
      </c>
      <c r="E97" s="47">
        <v>1925.937207722622</v>
      </c>
      <c r="F97" s="53">
        <v>1943.2493809165924</v>
      </c>
      <c r="G97" s="53">
        <v>1839.5725655431852</v>
      </c>
      <c r="H97" s="53">
        <v>1965.64100945</v>
      </c>
      <c r="I97" s="53">
        <v>0</v>
      </c>
    </row>
    <row r="98" spans="1:9" ht="14.25">
      <c r="A98" s="43" t="str">
        <f>HLOOKUP(INDICE!$F$2,Nombres!$C$3:$D$636,59,FALSE)</f>
        <v>Pasivos financieros mantenidos para negociar y designados a valor razonable con cambios en resultados</v>
      </c>
      <c r="B98" s="60">
        <v>0</v>
      </c>
      <c r="C98" s="60">
        <v>0</v>
      </c>
      <c r="D98" s="60">
        <v>0</v>
      </c>
      <c r="E98" s="68">
        <v>0</v>
      </c>
      <c r="F98" s="44">
        <v>0</v>
      </c>
      <c r="G98" s="44">
        <v>0</v>
      </c>
      <c r="H98" s="44">
        <v>0</v>
      </c>
      <c r="I98" s="44">
        <v>0</v>
      </c>
    </row>
    <row r="99" spans="1:9" ht="14.25">
      <c r="A99" s="43" t="str">
        <f>HLOOKUP(INDICE!$F$2,Nombres!$C$3:$D$636,60,FALSE)</f>
        <v>Depósitos de bancos centrales y entidades de crédito</v>
      </c>
      <c r="B99" s="60">
        <v>457.8743241351356</v>
      </c>
      <c r="C99" s="60">
        <v>431.6373831981183</v>
      </c>
      <c r="D99" s="60">
        <v>466.76704986712224</v>
      </c>
      <c r="E99" s="68">
        <v>488.5654517455406</v>
      </c>
      <c r="F99" s="44">
        <v>585.4626197792912</v>
      </c>
      <c r="G99" s="44">
        <v>584.3314893520568</v>
      </c>
      <c r="H99" s="44">
        <v>589.679</v>
      </c>
      <c r="I99" s="44">
        <v>0</v>
      </c>
    </row>
    <row r="100" spans="1:9" ht="14.25">
      <c r="A100" s="43" t="str">
        <f>HLOOKUP(INDICE!$F$2,Nombres!$C$3:$D$636,61,FALSE)</f>
        <v>Depósitos de la clientela</v>
      </c>
      <c r="B100" s="60">
        <v>9.003036828140372</v>
      </c>
      <c r="C100" s="60">
        <v>6.122420484471028</v>
      </c>
      <c r="D100" s="60">
        <v>7.8912114467901</v>
      </c>
      <c r="E100" s="68">
        <v>5.361232671538649</v>
      </c>
      <c r="F100" s="44">
        <v>4.117907175301423</v>
      </c>
      <c r="G100" s="44">
        <v>3.536420265466796</v>
      </c>
      <c r="H100" s="44">
        <v>4.577999999999999</v>
      </c>
      <c r="I100" s="44">
        <v>0</v>
      </c>
    </row>
    <row r="101" spans="1:9" ht="14.25">
      <c r="A101" s="43" t="str">
        <f>HLOOKUP(INDICE!$F$2,Nombres!$C$3:$D$636,62,FALSE)</f>
        <v>Valores representativos de deuda emitidos</v>
      </c>
      <c r="B101" s="44">
        <v>937.5788880417809</v>
      </c>
      <c r="C101" s="44">
        <v>891.6604575169328</v>
      </c>
      <c r="D101" s="44">
        <v>895.9493230167319</v>
      </c>
      <c r="E101" s="45">
        <v>903.114937778563</v>
      </c>
      <c r="F101" s="44">
        <v>911.3214278312141</v>
      </c>
      <c r="G101" s="44">
        <v>859.8627213102089</v>
      </c>
      <c r="H101" s="44">
        <v>856.477</v>
      </c>
      <c r="I101" s="44">
        <v>0</v>
      </c>
    </row>
    <row r="102" spans="1:9" ht="14.25">
      <c r="A102" s="43" t="str">
        <f>HLOOKUP(INDICE!$F$2,Nombres!$C$3:$D$636,63,FALSE)</f>
        <v>Otros pasivos</v>
      </c>
      <c r="B102" s="60">
        <f>+B97-B98-B99-B100-B101-B103</f>
        <v>1391.083440034698</v>
      </c>
      <c r="C102" s="60">
        <f aca="true" t="shared" si="18" ref="C102:I102">+C97-C98-C99-C100-C101-C103</f>
        <v>1393.7473572668714</v>
      </c>
      <c r="D102" s="60">
        <f t="shared" si="18"/>
        <v>1420.0351081901504</v>
      </c>
      <c r="E102" s="68">
        <f t="shared" si="18"/>
        <v>487.75845645623747</v>
      </c>
      <c r="F102" s="44">
        <f t="shared" si="18"/>
        <v>395.02566649000534</v>
      </c>
      <c r="G102" s="44">
        <f t="shared" si="18"/>
        <v>346.6862073865906</v>
      </c>
      <c r="H102" s="44">
        <f t="shared" si="18"/>
        <v>470.8192429700001</v>
      </c>
      <c r="I102" s="44">
        <f t="shared" si="18"/>
        <v>0</v>
      </c>
    </row>
    <row r="103" spans="1:9" ht="14.25">
      <c r="A103" s="43" t="str">
        <f>HLOOKUP(INDICE!$F$2,Nombres!$C$3:$D$636,64,FALSE)</f>
        <v>Dotación de capital económico</v>
      </c>
      <c r="B103" s="44">
        <v>48.32935313085129</v>
      </c>
      <c r="C103" s="44">
        <v>46.13087152301244</v>
      </c>
      <c r="D103" s="44">
        <v>47.519435401570654</v>
      </c>
      <c r="E103" s="45">
        <v>41.13712907074218</v>
      </c>
      <c r="F103" s="44">
        <v>47.321759640780286</v>
      </c>
      <c r="G103" s="44">
        <v>45.15572722886189</v>
      </c>
      <c r="H103" s="44">
        <v>44.08776648</v>
      </c>
      <c r="I103" s="44">
        <v>0</v>
      </c>
    </row>
    <row r="104" spans="1:9" ht="14.25">
      <c r="A104" s="65"/>
      <c r="B104" s="60"/>
      <c r="C104" s="60"/>
      <c r="D104" s="60"/>
      <c r="E104" s="60"/>
      <c r="F104" s="44"/>
      <c r="G104" s="44"/>
      <c r="H104" s="44"/>
      <c r="I104" s="44"/>
    </row>
    <row r="105" spans="1:9" ht="14.25">
      <c r="A105" s="43"/>
      <c r="B105" s="60"/>
      <c r="C105" s="60"/>
      <c r="D105" s="60"/>
      <c r="E105" s="60"/>
      <c r="F105" s="44"/>
      <c r="G105" s="44"/>
      <c r="H105" s="44"/>
      <c r="I105" s="44"/>
    </row>
    <row r="106" spans="1:9" ht="16.5">
      <c r="A106" s="33" t="str">
        <f>HLOOKUP(INDICE!$F$2,Nombres!$C$3:$D$636,65,FALSE)</f>
        <v>Indicadores relevantes y de gestión</v>
      </c>
      <c r="B106" s="34"/>
      <c r="C106" s="34"/>
      <c r="D106" s="34"/>
      <c r="E106" s="34"/>
      <c r="F106" s="72"/>
      <c r="G106" s="72"/>
      <c r="H106" s="72"/>
      <c r="I106" s="72"/>
    </row>
    <row r="107" spans="1:9" ht="14.25">
      <c r="A107" s="35" t="str">
        <f>HLOOKUP(INDICE!$F$2,Nombres!$C$3:$D$636,73,FALSE)</f>
        <v>(Millones de euros constantes)</v>
      </c>
      <c r="B107" s="30"/>
      <c r="C107" s="30"/>
      <c r="D107" s="30"/>
      <c r="E107" s="30"/>
      <c r="F107" s="73"/>
      <c r="G107" s="44"/>
      <c r="H107" s="44"/>
      <c r="I107" s="44"/>
    </row>
    <row r="108" spans="1:9" ht="14.25">
      <c r="A108" s="30"/>
      <c r="B108" s="55">
        <f aca="true" t="shared" si="19" ref="B108:I108">+B$33</f>
        <v>43555</v>
      </c>
      <c r="C108" s="55">
        <f t="shared" si="19"/>
        <v>43646</v>
      </c>
      <c r="D108" s="55">
        <f t="shared" si="19"/>
        <v>43738</v>
      </c>
      <c r="E108" s="71">
        <f t="shared" si="19"/>
        <v>43830</v>
      </c>
      <c r="F108" s="55">
        <f t="shared" si="19"/>
        <v>43921</v>
      </c>
      <c r="G108" s="55">
        <f t="shared" si="19"/>
        <v>44012</v>
      </c>
      <c r="H108" s="55">
        <f t="shared" si="19"/>
        <v>44104</v>
      </c>
      <c r="I108" s="55">
        <f t="shared" si="19"/>
        <v>44196</v>
      </c>
    </row>
    <row r="109" spans="1:9" ht="14.25">
      <c r="A109" s="43" t="str">
        <f>HLOOKUP(INDICE!$F$2,Nombres!$C$3:$D$636,66,FALSE)</f>
        <v>Préstamos y anticipos a la clientela bruto (*)</v>
      </c>
      <c r="B109" s="44">
        <v>1820.749640138265</v>
      </c>
      <c r="C109" s="44">
        <v>1795.3517913903895</v>
      </c>
      <c r="D109" s="44">
        <v>1810.0642629640706</v>
      </c>
      <c r="E109" s="45">
        <v>1721.7698549443294</v>
      </c>
      <c r="F109" s="44">
        <v>1648.9285528000498</v>
      </c>
      <c r="G109" s="44">
        <v>1519.5588798602996</v>
      </c>
      <c r="H109" s="44">
        <v>1524.5109999999997</v>
      </c>
      <c r="I109" s="44">
        <v>0</v>
      </c>
    </row>
    <row r="110" spans="1:9" ht="14.25">
      <c r="A110" s="43" t="str">
        <f>HLOOKUP(INDICE!$F$2,Nombres!$C$3:$D$636,67,FALSE)</f>
        <v>Depósitos de clientes en gestión (**)</v>
      </c>
      <c r="B110" s="44">
        <v>9.003036828140372</v>
      </c>
      <c r="C110" s="44">
        <v>6.122420484471028</v>
      </c>
      <c r="D110" s="44">
        <v>7.8912114467901</v>
      </c>
      <c r="E110" s="45">
        <v>5.361232671538649</v>
      </c>
      <c r="F110" s="44">
        <v>4.117907175301422</v>
      </c>
      <c r="G110" s="44">
        <v>3.5364202654667967</v>
      </c>
      <c r="H110" s="44">
        <v>4.577999999999999</v>
      </c>
      <c r="I110" s="44">
        <v>0</v>
      </c>
    </row>
    <row r="111" spans="1:9" ht="14.25">
      <c r="A111" s="43" t="str">
        <f>HLOOKUP(INDICE!$F$2,Nombres!$C$3:$D$636,68,FALSE)</f>
        <v>Fondos de inversión</v>
      </c>
      <c r="B111" s="44">
        <v>0</v>
      </c>
      <c r="C111" s="44">
        <v>0</v>
      </c>
      <c r="D111" s="44">
        <v>0</v>
      </c>
      <c r="E111" s="45">
        <v>0</v>
      </c>
      <c r="F111" s="44">
        <v>0</v>
      </c>
      <c r="G111" s="44">
        <v>0</v>
      </c>
      <c r="H111" s="44">
        <v>0</v>
      </c>
      <c r="I111" s="44">
        <v>0</v>
      </c>
    </row>
    <row r="112" spans="1:9" ht="14.25">
      <c r="A112" s="43" t="str">
        <f>HLOOKUP(INDICE!$F$2,Nombres!$C$3:$D$636,69,FALSE)</f>
        <v>Fondos de pensiones</v>
      </c>
      <c r="B112" s="44">
        <v>0</v>
      </c>
      <c r="C112" s="44">
        <v>0</v>
      </c>
      <c r="D112" s="44">
        <v>0</v>
      </c>
      <c r="E112" s="45">
        <v>0</v>
      </c>
      <c r="F112" s="44">
        <v>0</v>
      </c>
      <c r="G112" s="44">
        <v>0</v>
      </c>
      <c r="H112" s="44">
        <v>0</v>
      </c>
      <c r="I112" s="44">
        <v>0</v>
      </c>
    </row>
    <row r="113" spans="1:9" ht="14.25">
      <c r="A113" s="43" t="str">
        <f>HLOOKUP(INDICE!$F$2,Nombres!$C$3:$D$636,70,FALSE)</f>
        <v>Otros recursos fuera de balance</v>
      </c>
      <c r="B113" s="44">
        <v>0</v>
      </c>
      <c r="C113" s="44">
        <v>0</v>
      </c>
      <c r="D113" s="44">
        <v>0</v>
      </c>
      <c r="E113" s="45">
        <v>0</v>
      </c>
      <c r="F113" s="44">
        <v>0</v>
      </c>
      <c r="G113" s="44">
        <v>0</v>
      </c>
      <c r="H113" s="44">
        <v>0</v>
      </c>
      <c r="I113" s="44">
        <v>0</v>
      </c>
    </row>
    <row r="114" spans="1:9" ht="14.25">
      <c r="A114" s="65" t="str">
        <f>HLOOKUP(INDICE!$F$2,Nombres!$C$3:$D$636,71,FALSE)</f>
        <v>(*) No incluye las adquisiciones temporales de activos.</v>
      </c>
      <c r="B114" s="60"/>
      <c r="C114" s="60"/>
      <c r="D114" s="60"/>
      <c r="E114" s="60"/>
      <c r="F114" s="60"/>
      <c r="G114" s="60"/>
      <c r="H114" s="60"/>
      <c r="I114" s="60"/>
    </row>
    <row r="115" spans="1:9" ht="14.25">
      <c r="A115" s="65" t="str">
        <f>HLOOKUP(INDICE!$F$2,Nombres!$C$3:$D$636,72,FALSE)</f>
        <v>(**) No incluye las cesiones temporales de activos.</v>
      </c>
      <c r="B115" s="30"/>
      <c r="C115" s="30"/>
      <c r="D115" s="30"/>
      <c r="E115" s="30"/>
      <c r="F115" s="30"/>
      <c r="G115" s="30"/>
      <c r="H115" s="30"/>
      <c r="I115" s="30"/>
    </row>
    <row r="116" spans="1:9" ht="14.25">
      <c r="A116" s="65"/>
      <c r="B116" s="60"/>
      <c r="C116" s="44"/>
      <c r="D116" s="44"/>
      <c r="E116" s="44"/>
      <c r="F116" s="44"/>
      <c r="G116" s="30"/>
      <c r="H116" s="30"/>
      <c r="I116" s="30"/>
    </row>
    <row r="117" spans="1:9" ht="16.5">
      <c r="A117" s="33" t="str">
        <f>HLOOKUP(INDICE!$F$2,Nombres!$C$3:$D$636,31,FALSE)</f>
        <v>Cuenta de resultados  </v>
      </c>
      <c r="B117" s="34"/>
      <c r="C117" s="34"/>
      <c r="D117" s="34"/>
      <c r="E117" s="34"/>
      <c r="F117" s="34"/>
      <c r="G117" s="34"/>
      <c r="H117" s="34"/>
      <c r="I117" s="34"/>
    </row>
    <row r="118" spans="1:9" ht="14.25">
      <c r="A118" s="35" t="str">
        <f>HLOOKUP(INDICE!$F$2,Nombres!$C$3:$D$636,81,FALSE)</f>
        <v>(Millones de pesos chilenos)</v>
      </c>
      <c r="B118" s="30"/>
      <c r="C118" s="36"/>
      <c r="D118" s="36"/>
      <c r="E118" s="36"/>
      <c r="F118" s="30"/>
      <c r="G118" s="30"/>
      <c r="H118" s="30"/>
      <c r="I118" s="30"/>
    </row>
    <row r="119" spans="1:9" ht="14.25">
      <c r="A119" s="37"/>
      <c r="B119" s="30"/>
      <c r="C119" s="36"/>
      <c r="D119" s="36"/>
      <c r="E119" s="36"/>
      <c r="F119" s="30"/>
      <c r="G119" s="30"/>
      <c r="H119" s="30"/>
      <c r="I119" s="30"/>
    </row>
    <row r="120" spans="1:9" ht="14.25">
      <c r="A120" s="38"/>
      <c r="B120" s="305">
        <f>+B$6</f>
        <v>2019</v>
      </c>
      <c r="C120" s="305"/>
      <c r="D120" s="305"/>
      <c r="E120" s="306"/>
      <c r="F120" s="305">
        <f>+F$6</f>
        <v>2020</v>
      </c>
      <c r="G120" s="305"/>
      <c r="H120" s="305"/>
      <c r="I120" s="305"/>
    </row>
    <row r="121" spans="1:9" ht="14.25">
      <c r="A121" s="38"/>
      <c r="B121" s="39" t="str">
        <f>+B$7</f>
        <v>1er Trim.</v>
      </c>
      <c r="C121" s="39" t="str">
        <f aca="true" t="shared" si="20" ref="C121:I121">+C$7</f>
        <v>2º Trim.</v>
      </c>
      <c r="D121" s="39" t="str">
        <f t="shared" si="20"/>
        <v>3er Trim.</v>
      </c>
      <c r="E121" s="40" t="str">
        <f t="shared" si="20"/>
        <v>4º Trim.</v>
      </c>
      <c r="F121" s="39" t="str">
        <f t="shared" si="20"/>
        <v>1er Trim.</v>
      </c>
      <c r="G121" s="39" t="str">
        <f t="shared" si="20"/>
        <v>2º Trim.</v>
      </c>
      <c r="H121" s="39" t="str">
        <f t="shared" si="20"/>
        <v>3er Trim.</v>
      </c>
      <c r="I121" s="39" t="str">
        <f t="shared" si="20"/>
        <v>4º Trim.</v>
      </c>
    </row>
    <row r="122" spans="1:9" ht="14.25">
      <c r="A122" s="41" t="str">
        <f>HLOOKUP(INDICE!$F$2,Nombres!$C$3:$D$636,33,FALSE)</f>
        <v>Margen de intereses</v>
      </c>
      <c r="B122" s="52">
        <v>35101.1250565458</v>
      </c>
      <c r="C122" s="52">
        <v>35879.1585101183</v>
      </c>
      <c r="D122" s="52">
        <v>36319.07325801654</v>
      </c>
      <c r="E122" s="290">
        <v>35134.44086216619</v>
      </c>
      <c r="F122" s="52">
        <v>33617.92847489838</v>
      </c>
      <c r="G122" s="52">
        <v>30867.516464607048</v>
      </c>
      <c r="H122" s="52">
        <v>26930.025389493356</v>
      </c>
      <c r="I122" s="52">
        <v>0</v>
      </c>
    </row>
    <row r="123" spans="1:9" ht="14.25">
      <c r="A123" s="43" t="str">
        <f>HLOOKUP(INDICE!$F$2,Nombres!$C$3:$D$636,34,FALSE)</f>
        <v>Comisiones netas</v>
      </c>
      <c r="B123" s="44">
        <v>3925.4745555571303</v>
      </c>
      <c r="C123" s="44">
        <v>3426.4991555190677</v>
      </c>
      <c r="D123" s="44">
        <v>3713.874368717645</v>
      </c>
      <c r="E123" s="45">
        <v>2773.850856410231</v>
      </c>
      <c r="F123" s="44">
        <v>1131.4577212398638</v>
      </c>
      <c r="G123" s="44">
        <v>-885.2138676744896</v>
      </c>
      <c r="H123" s="44">
        <v>-2280.402549538465</v>
      </c>
      <c r="I123" s="44">
        <v>0</v>
      </c>
    </row>
    <row r="124" spans="1:9" ht="14.25">
      <c r="A124" s="43" t="str">
        <f>HLOOKUP(INDICE!$F$2,Nombres!$C$3:$D$636,35,FALSE)</f>
        <v>Resultados de operaciones financieras</v>
      </c>
      <c r="B124" s="44">
        <v>283.47701945903975</v>
      </c>
      <c r="C124" s="44">
        <v>280.5915615714117</v>
      </c>
      <c r="D124" s="44">
        <v>269.5488820578264</v>
      </c>
      <c r="E124" s="45">
        <v>244.22845485837595</v>
      </c>
      <c r="F124" s="44">
        <v>306.32579933411034</v>
      </c>
      <c r="G124" s="44">
        <v>59.010536137426726</v>
      </c>
      <c r="H124" s="44">
        <v>-3.92843246524194</v>
      </c>
      <c r="I124" s="44">
        <v>0</v>
      </c>
    </row>
    <row r="125" spans="1:9" ht="14.25">
      <c r="A125" s="43" t="str">
        <f>HLOOKUP(INDICE!$F$2,Nombres!$C$3:$D$636,36,FALSE)</f>
        <v>Otros ingresos y cargas de explotación</v>
      </c>
      <c r="B125" s="44">
        <v>40.17187708911527</v>
      </c>
      <c r="C125" s="44">
        <v>-30.249155095345472</v>
      </c>
      <c r="D125" s="44">
        <v>-27.642871393982688</v>
      </c>
      <c r="E125" s="45">
        <v>-151.43085232134223</v>
      </c>
      <c r="F125" s="44">
        <v>39.84006060703748</v>
      </c>
      <c r="G125" s="44">
        <v>-82.82080595663008</v>
      </c>
      <c r="H125" s="44">
        <v>-23.71298238722993</v>
      </c>
      <c r="I125" s="44">
        <v>0</v>
      </c>
    </row>
    <row r="126" spans="1:9" ht="14.25">
      <c r="A126" s="41" t="str">
        <f>HLOOKUP(INDICE!$F$2,Nombres!$C$3:$D$636,37,FALSE)</f>
        <v>Margen bruto</v>
      </c>
      <c r="B126" s="52">
        <f aca="true" t="shared" si="21" ref="B126:I126">+SUM(B122:B125)</f>
        <v>39350.248508651086</v>
      </c>
      <c r="C126" s="52">
        <f t="shared" si="21"/>
        <v>39556.000072113435</v>
      </c>
      <c r="D126" s="52">
        <f t="shared" si="21"/>
        <v>40274.85363739803</v>
      </c>
      <c r="E126" s="290">
        <f t="shared" si="21"/>
        <v>38001.08932111346</v>
      </c>
      <c r="F126" s="52">
        <f t="shared" si="21"/>
        <v>35095.55205607939</v>
      </c>
      <c r="G126" s="52">
        <f t="shared" si="21"/>
        <v>29958.492327113352</v>
      </c>
      <c r="H126" s="52">
        <f t="shared" si="21"/>
        <v>24621.981425102418</v>
      </c>
      <c r="I126" s="52">
        <f t="shared" si="21"/>
        <v>0</v>
      </c>
    </row>
    <row r="127" spans="1:9" ht="14.25">
      <c r="A127" s="43" t="str">
        <f>HLOOKUP(INDICE!$F$2,Nombres!$C$3:$D$636,38,FALSE)</f>
        <v>Gastos de explotación</v>
      </c>
      <c r="B127" s="44">
        <v>-12589.714687739706</v>
      </c>
      <c r="C127" s="44">
        <v>-13078.840537528296</v>
      </c>
      <c r="D127" s="44">
        <v>-13810.396755849866</v>
      </c>
      <c r="E127" s="45">
        <v>-12396.119877079627</v>
      </c>
      <c r="F127" s="44">
        <v>-11563.356257522588</v>
      </c>
      <c r="G127" s="44">
        <v>-8317.029331053554</v>
      </c>
      <c r="H127" s="44">
        <v>-10713.108844213602</v>
      </c>
      <c r="I127" s="44">
        <v>0</v>
      </c>
    </row>
    <row r="128" spans="1:9" ht="14.25">
      <c r="A128" s="43" t="str">
        <f>HLOOKUP(INDICE!$F$2,Nombres!$C$3:$D$636,39,FALSE)</f>
        <v>  Gastos de administración</v>
      </c>
      <c r="B128" s="44">
        <v>-11702.901551998859</v>
      </c>
      <c r="C128" s="44">
        <v>-12227.650751745006</v>
      </c>
      <c r="D128" s="44">
        <v>-13000.550370134692</v>
      </c>
      <c r="E128" s="45">
        <v>-11620.742062124293</v>
      </c>
      <c r="F128" s="44">
        <v>-10835.611150434037</v>
      </c>
      <c r="G128" s="44">
        <v>-7594.174282593356</v>
      </c>
      <c r="H128" s="44">
        <v>-9965.519784220322</v>
      </c>
      <c r="I128" s="44">
        <v>0</v>
      </c>
    </row>
    <row r="129" spans="1:9" ht="14.25">
      <c r="A129" s="46" t="str">
        <f>HLOOKUP(INDICE!$F$2,Nombres!$C$3:$D$636,40,FALSE)</f>
        <v>  Gastos de personal</v>
      </c>
      <c r="B129" s="44">
        <v>-5004.051557402621</v>
      </c>
      <c r="C129" s="44">
        <v>-5211.772378336977</v>
      </c>
      <c r="D129" s="44">
        <v>-6081.320423508405</v>
      </c>
      <c r="E129" s="45">
        <v>-5656.295417674208</v>
      </c>
      <c r="F129" s="44">
        <v>-4887.047434463264</v>
      </c>
      <c r="G129" s="44">
        <v>-3675.970644248279</v>
      </c>
      <c r="H129" s="44">
        <v>-4295.3523756296345</v>
      </c>
      <c r="I129" s="44">
        <v>0</v>
      </c>
    </row>
    <row r="130" spans="1:9" ht="14.25">
      <c r="A130" s="46" t="str">
        <f>HLOOKUP(INDICE!$F$2,Nombres!$C$3:$D$636,41,FALSE)</f>
        <v>  Otros gastos de administración</v>
      </c>
      <c r="B130" s="44">
        <v>-6698.849994596238</v>
      </c>
      <c r="C130" s="44">
        <v>-7015.878373408028</v>
      </c>
      <c r="D130" s="44">
        <v>-6919.229946626287</v>
      </c>
      <c r="E130" s="45">
        <v>-5964.446644450085</v>
      </c>
      <c r="F130" s="44">
        <v>-5948.563715970773</v>
      </c>
      <c r="G130" s="44">
        <v>-3918.2036383450777</v>
      </c>
      <c r="H130" s="44">
        <v>-5670.167408590687</v>
      </c>
      <c r="I130" s="44">
        <v>0</v>
      </c>
    </row>
    <row r="131" spans="1:9" ht="14.25">
      <c r="A131" s="43" t="str">
        <f>HLOOKUP(INDICE!$F$2,Nombres!$C$3:$D$636,42,FALSE)</f>
        <v>  Amortización</v>
      </c>
      <c r="B131" s="44">
        <v>-886.8131357408462</v>
      </c>
      <c r="C131" s="44">
        <v>-851.1897857832919</v>
      </c>
      <c r="D131" s="44">
        <v>-809.8463857151733</v>
      </c>
      <c r="E131" s="45">
        <v>-775.377814955335</v>
      </c>
      <c r="F131" s="44">
        <v>-727.7451070885513</v>
      </c>
      <c r="G131" s="44">
        <v>-722.855048460199</v>
      </c>
      <c r="H131" s="44">
        <v>-747.5890599932793</v>
      </c>
      <c r="I131" s="44">
        <v>0</v>
      </c>
    </row>
    <row r="132" spans="1:9" ht="14.25">
      <c r="A132" s="41" t="str">
        <f>HLOOKUP(INDICE!$F$2,Nombres!$C$3:$D$636,43,FALSE)</f>
        <v>Margen neto</v>
      </c>
      <c r="B132" s="52">
        <f aca="true" t="shared" si="22" ref="B132:I132">+B126+B127</f>
        <v>26760.53382091138</v>
      </c>
      <c r="C132" s="52">
        <f t="shared" si="22"/>
        <v>26477.15953458514</v>
      </c>
      <c r="D132" s="52">
        <f t="shared" si="22"/>
        <v>26464.456881548165</v>
      </c>
      <c r="E132" s="290">
        <f t="shared" si="22"/>
        <v>25604.969444033835</v>
      </c>
      <c r="F132" s="52">
        <f t="shared" si="22"/>
        <v>23532.1957985568</v>
      </c>
      <c r="G132" s="52">
        <f t="shared" si="22"/>
        <v>21641.462996059796</v>
      </c>
      <c r="H132" s="52">
        <f t="shared" si="22"/>
        <v>13908.872580888816</v>
      </c>
      <c r="I132" s="52">
        <f t="shared" si="22"/>
        <v>0</v>
      </c>
    </row>
    <row r="133" spans="1:9" ht="14.25">
      <c r="A133" s="43" t="str">
        <f>HLOOKUP(INDICE!$F$2,Nombres!$C$3:$D$636,44,FALSE)</f>
        <v>Deterioro de activos financieros no valorados a valor razonable con cambios en resultados</v>
      </c>
      <c r="B133" s="44">
        <v>-9476.773193305813</v>
      </c>
      <c r="C133" s="44">
        <v>-8928.349532522709</v>
      </c>
      <c r="D133" s="44">
        <v>-10790.749514217954</v>
      </c>
      <c r="E133" s="45">
        <v>-16563.01409543767</v>
      </c>
      <c r="F133" s="44">
        <v>-16263.598074472859</v>
      </c>
      <c r="G133" s="44">
        <v>-20909.37405975604</v>
      </c>
      <c r="H133" s="44">
        <v>711.3309271898011</v>
      </c>
      <c r="I133" s="44">
        <v>0</v>
      </c>
    </row>
    <row r="134" spans="1:9" ht="14.25">
      <c r="A134" s="43" t="str">
        <f>HLOOKUP(INDICE!$F$2,Nombres!$C$3:$D$636,45,FALSE)</f>
        <v>Provisiones o reversión de provisiones y otros resultados</v>
      </c>
      <c r="B134" s="44">
        <v>-419.1518496279384</v>
      </c>
      <c r="C134" s="44">
        <v>-220.48207581660608</v>
      </c>
      <c r="D134" s="44">
        <v>-296.4522276536603</v>
      </c>
      <c r="E134" s="45">
        <v>-381.71816263949233</v>
      </c>
      <c r="F134" s="44">
        <v>-226.64567812003543</v>
      </c>
      <c r="G134" s="44">
        <v>-181.67140270109428</v>
      </c>
      <c r="H134" s="44">
        <v>-125.2327410734506</v>
      </c>
      <c r="I134" s="44">
        <v>0</v>
      </c>
    </row>
    <row r="135" spans="1:9" ht="14.25">
      <c r="A135" s="41" t="str">
        <f>HLOOKUP(INDICE!$F$2,Nombres!$C$3:$D$636,46,FALSE)</f>
        <v>Resultado antes de impuestos</v>
      </c>
      <c r="B135" s="52">
        <f aca="true" t="shared" si="23" ref="B135:I135">+B132+B133+B134</f>
        <v>16864.608777977628</v>
      </c>
      <c r="C135" s="52">
        <f t="shared" si="23"/>
        <v>17328.327926245824</v>
      </c>
      <c r="D135" s="52">
        <f t="shared" si="23"/>
        <v>15377.25513967655</v>
      </c>
      <c r="E135" s="290">
        <f t="shared" si="23"/>
        <v>8660.237185956674</v>
      </c>
      <c r="F135" s="52">
        <f t="shared" si="23"/>
        <v>7041.952045963906</v>
      </c>
      <c r="G135" s="52">
        <f t="shared" si="23"/>
        <v>550.4175336026625</v>
      </c>
      <c r="H135" s="52">
        <f t="shared" si="23"/>
        <v>14494.970767005167</v>
      </c>
      <c r="I135" s="52">
        <f t="shared" si="23"/>
        <v>0</v>
      </c>
    </row>
    <row r="136" spans="1:9" ht="14.25">
      <c r="A136" s="43" t="str">
        <f>HLOOKUP(INDICE!$F$2,Nombres!$C$3:$D$636,47,FALSE)</f>
        <v>Impuesto sobre beneficios</v>
      </c>
      <c r="B136" s="44">
        <v>-4231.690373368499</v>
      </c>
      <c r="C136" s="44">
        <v>-4449.164798565635</v>
      </c>
      <c r="D136" s="44">
        <v>-4368.108758127014</v>
      </c>
      <c r="E136" s="45">
        <v>-2162.038243355353</v>
      </c>
      <c r="F136" s="44">
        <v>-1183.6924673690917</v>
      </c>
      <c r="G136" s="44">
        <v>33.06209707270621</v>
      </c>
      <c r="H136" s="44">
        <v>-4108.2601884111755</v>
      </c>
      <c r="I136" s="44">
        <v>0</v>
      </c>
    </row>
    <row r="137" spans="1:9" ht="14.25">
      <c r="A137" s="41" t="str">
        <f>HLOOKUP(INDICE!$F$2,Nombres!$C$3:$D$636,48,FALSE)</f>
        <v>Resultado del ejercicio</v>
      </c>
      <c r="B137" s="52">
        <f aca="true" t="shared" si="24" ref="B137:I137">+B135+B136</f>
        <v>12632.918404609129</v>
      </c>
      <c r="C137" s="52">
        <f t="shared" si="24"/>
        <v>12879.163127680189</v>
      </c>
      <c r="D137" s="52">
        <f t="shared" si="24"/>
        <v>11009.146381549537</v>
      </c>
      <c r="E137" s="290">
        <f t="shared" si="24"/>
        <v>6498.198942601321</v>
      </c>
      <c r="F137" s="52">
        <f t="shared" si="24"/>
        <v>5858.259578594814</v>
      </c>
      <c r="G137" s="52">
        <f t="shared" si="24"/>
        <v>583.4796306753688</v>
      </c>
      <c r="H137" s="52">
        <f t="shared" si="24"/>
        <v>10386.710578593991</v>
      </c>
      <c r="I137" s="52">
        <f t="shared" si="24"/>
        <v>0</v>
      </c>
    </row>
    <row r="138" spans="1:9" ht="14.25">
      <c r="A138" s="43" t="str">
        <f>HLOOKUP(INDICE!$F$2,Nombres!$C$3:$D$636,49,FALSE)</f>
        <v>Minoritarios</v>
      </c>
      <c r="B138" s="44">
        <v>0</v>
      </c>
      <c r="C138" s="44">
        <v>0</v>
      </c>
      <c r="D138" s="44">
        <v>0</v>
      </c>
      <c r="E138" s="45">
        <v>0</v>
      </c>
      <c r="F138" s="44">
        <v>0</v>
      </c>
      <c r="G138" s="44">
        <v>0</v>
      </c>
      <c r="H138" s="44">
        <v>0</v>
      </c>
      <c r="I138" s="44">
        <v>0</v>
      </c>
    </row>
    <row r="139" spans="1:9" ht="14.25">
      <c r="A139" s="47" t="str">
        <f>HLOOKUP(INDICE!$F$2,Nombres!$C$3:$D$636,50,FALSE)</f>
        <v>Resultado atribuido</v>
      </c>
      <c r="B139" s="53">
        <f aca="true" t="shared" si="25" ref="B139:I139">+B137+B138</f>
        <v>12632.918404609129</v>
      </c>
      <c r="C139" s="53">
        <f t="shared" si="25"/>
        <v>12879.163127680189</v>
      </c>
      <c r="D139" s="53">
        <f t="shared" si="25"/>
        <v>11009.146381549537</v>
      </c>
      <c r="E139" s="84">
        <f t="shared" si="25"/>
        <v>6498.198942601321</v>
      </c>
      <c r="F139" s="53">
        <f t="shared" si="25"/>
        <v>5858.259578594814</v>
      </c>
      <c r="G139" s="53">
        <f t="shared" si="25"/>
        <v>583.4796306753688</v>
      </c>
      <c r="H139" s="53">
        <f t="shared" si="25"/>
        <v>10386.710578593991</v>
      </c>
      <c r="I139" s="53">
        <f t="shared" si="25"/>
        <v>0</v>
      </c>
    </row>
    <row r="140" spans="1:9" ht="14.25">
      <c r="A140" s="48"/>
      <c r="B140" s="280"/>
      <c r="C140" s="280"/>
      <c r="D140" s="280"/>
      <c r="E140" s="291"/>
      <c r="F140" s="280"/>
      <c r="G140" s="280"/>
      <c r="H140" s="280"/>
      <c r="I140" s="280"/>
    </row>
    <row r="141" spans="1:9" ht="14.25">
      <c r="A141" s="47" t="str">
        <f>HLOOKUP(INDICE!$F$2,Nombres!$C$3:$D$636,254,FALSE)</f>
        <v>Resultado atribuido sin BBVA Chile (*)</v>
      </c>
      <c r="B141" s="47">
        <f aca="true" t="shared" si="26" ref="B141:I141">+B139</f>
        <v>12632.918404609129</v>
      </c>
      <c r="C141" s="47">
        <f t="shared" si="26"/>
        <v>12879.163127680189</v>
      </c>
      <c r="D141" s="47">
        <f t="shared" si="26"/>
        <v>11009.146381549537</v>
      </c>
      <c r="E141" s="74">
        <f t="shared" si="26"/>
        <v>6498.198942601321</v>
      </c>
      <c r="F141" s="47">
        <f t="shared" si="26"/>
        <v>5858.259578594814</v>
      </c>
      <c r="G141" s="47">
        <f t="shared" si="26"/>
        <v>583.4796306753688</v>
      </c>
      <c r="H141" s="47">
        <f t="shared" si="26"/>
        <v>10386.710578593991</v>
      </c>
      <c r="I141" s="47">
        <f t="shared" si="26"/>
        <v>0</v>
      </c>
    </row>
    <row r="142" spans="1:9" ht="14.25">
      <c r="A142" s="49" t="str">
        <f>HLOOKUP(INDICE!$F$2,Nombres!$C$3:$D$636,251,FALSE)</f>
        <v>(*) Resultados generados por BBVA Chile hasta su venta el 6 de julio del 2018 y las plusvalías de la operación</v>
      </c>
      <c r="B142" s="48"/>
      <c r="C142" s="48"/>
      <c r="D142" s="48"/>
      <c r="E142" s="48"/>
      <c r="F142" s="280"/>
      <c r="G142" s="280"/>
      <c r="H142" s="280"/>
      <c r="I142" s="280"/>
    </row>
    <row r="143" spans="1:9" ht="14.25">
      <c r="A143" s="65"/>
      <c r="B143" s="87"/>
      <c r="C143" s="87"/>
      <c r="D143" s="87"/>
      <c r="E143" s="87"/>
      <c r="F143" s="66">
        <v>0</v>
      </c>
      <c r="G143" s="66">
        <v>-6.139089236967266E-12</v>
      </c>
      <c r="H143" s="66">
        <v>0</v>
      </c>
      <c r="I143" s="66">
        <v>0</v>
      </c>
    </row>
    <row r="144" spans="1:9" ht="14.25">
      <c r="A144" s="41"/>
      <c r="B144" s="41"/>
      <c r="C144" s="41"/>
      <c r="D144" s="41"/>
      <c r="E144" s="41"/>
      <c r="F144" s="52"/>
      <c r="G144" s="52"/>
      <c r="H144" s="52"/>
      <c r="I144" s="52"/>
    </row>
    <row r="145" spans="1:9" ht="16.5">
      <c r="A145" s="33" t="str">
        <f>HLOOKUP(INDICE!$F$2,Nombres!$C$3:$D$636,51,FALSE)</f>
        <v>Balances</v>
      </c>
      <c r="B145" s="34"/>
      <c r="C145" s="34"/>
      <c r="D145" s="34"/>
      <c r="E145" s="34"/>
      <c r="F145" s="72"/>
      <c r="G145" s="72"/>
      <c r="H145" s="72"/>
      <c r="I145" s="72"/>
    </row>
    <row r="146" spans="1:9" ht="14.25">
      <c r="A146" s="35" t="str">
        <f>HLOOKUP(INDICE!$F$2,Nombres!$C$3:$D$636,81,FALSE)</f>
        <v>(Millones de pesos chilenos)</v>
      </c>
      <c r="B146" s="30"/>
      <c r="C146" s="54"/>
      <c r="D146" s="54"/>
      <c r="E146" s="54"/>
      <c r="F146" s="73"/>
      <c r="G146" s="44"/>
      <c r="H146" s="44"/>
      <c r="I146" s="44"/>
    </row>
    <row r="147" spans="1:9" ht="14.25">
      <c r="A147" s="30"/>
      <c r="B147" s="55">
        <f aca="true" t="shared" si="27" ref="B147:I147">+B$33</f>
        <v>43555</v>
      </c>
      <c r="C147" s="55">
        <f t="shared" si="27"/>
        <v>43646</v>
      </c>
      <c r="D147" s="55">
        <f t="shared" si="27"/>
        <v>43738</v>
      </c>
      <c r="E147" s="71">
        <f t="shared" si="27"/>
        <v>43830</v>
      </c>
      <c r="F147" s="55">
        <f t="shared" si="27"/>
        <v>43921</v>
      </c>
      <c r="G147" s="55">
        <f t="shared" si="27"/>
        <v>44012</v>
      </c>
      <c r="H147" s="55">
        <f t="shared" si="27"/>
        <v>44104</v>
      </c>
      <c r="I147" s="55">
        <f t="shared" si="27"/>
        <v>44196</v>
      </c>
    </row>
    <row r="148" spans="1:9" ht="14.25">
      <c r="A148" s="43" t="str">
        <f>HLOOKUP(INDICE!$F$2,Nombres!$C$3:$D$636,52,FALSE)</f>
        <v>Efectivo, saldos en efectivo en bancos centrales y otros depósitos a la vista</v>
      </c>
      <c r="B148" s="44">
        <v>19947.353907175053</v>
      </c>
      <c r="C148" s="44">
        <v>28822.700051106636</v>
      </c>
      <c r="D148" s="44">
        <v>19729.537623999095</v>
      </c>
      <c r="E148" s="45">
        <v>24135.51380241389</v>
      </c>
      <c r="F148" s="44">
        <v>8094.510825980325</v>
      </c>
      <c r="G148" s="44">
        <v>9733.974917464544</v>
      </c>
      <c r="H148" s="44">
        <v>22894.097650981723</v>
      </c>
      <c r="I148" s="44">
        <v>0</v>
      </c>
    </row>
    <row r="149" spans="1:9" ht="14.25">
      <c r="A149" s="43" t="str">
        <f>HLOOKUP(INDICE!$F$2,Nombres!$C$3:$D$636,53,FALSE)</f>
        <v>Activos financieros a valor razonable</v>
      </c>
      <c r="B149" s="60">
        <v>0</v>
      </c>
      <c r="C149" s="60">
        <v>0</v>
      </c>
      <c r="D149" s="60">
        <v>0</v>
      </c>
      <c r="E149" s="68">
        <v>0</v>
      </c>
      <c r="F149" s="44">
        <v>0</v>
      </c>
      <c r="G149" s="44">
        <v>0</v>
      </c>
      <c r="H149" s="44">
        <v>149999.64433187645</v>
      </c>
      <c r="I149" s="44">
        <v>0</v>
      </c>
    </row>
    <row r="150" spans="1:9" ht="14.25">
      <c r="A150" s="43" t="str">
        <f>HLOOKUP(INDICE!$F$2,Nombres!$C$3:$D$636,54,FALSE)</f>
        <v>Activos financieros a coste amortizado</v>
      </c>
      <c r="B150" s="44">
        <v>1685904.9296884811</v>
      </c>
      <c r="C150" s="44">
        <v>1605680.6358878417</v>
      </c>
      <c r="D150" s="44">
        <v>1640845.147015604</v>
      </c>
      <c r="E150" s="45">
        <v>1571216.5652762416</v>
      </c>
      <c r="F150" s="44">
        <v>1590958.9495302497</v>
      </c>
      <c r="G150" s="44">
        <v>1521598.1751217728</v>
      </c>
      <c r="H150" s="44">
        <v>1473862.0689994046</v>
      </c>
      <c r="I150" s="44">
        <v>0</v>
      </c>
    </row>
    <row r="151" spans="1:9" ht="14.25">
      <c r="A151" s="43" t="str">
        <f>HLOOKUP(INDICE!$F$2,Nombres!$C$3:$D$636,55,FALSE)</f>
        <v>    de los que préstamos y anticipos a la clientela</v>
      </c>
      <c r="B151" s="44">
        <v>1629911.0819764382</v>
      </c>
      <c r="C151" s="44">
        <v>1605010.628418999</v>
      </c>
      <c r="D151" s="44">
        <v>1614624.9644843824</v>
      </c>
      <c r="E151" s="45">
        <v>1546626.8388351821</v>
      </c>
      <c r="F151" s="44">
        <v>1513743.9921356146</v>
      </c>
      <c r="G151" s="44">
        <v>1380133.7545237443</v>
      </c>
      <c r="H151" s="44">
        <v>1380661.8662782179</v>
      </c>
      <c r="I151" s="44">
        <v>0</v>
      </c>
    </row>
    <row r="152" spans="1:9" ht="14.25">
      <c r="A152" s="43" t="str">
        <f>HLOOKUP(INDICE!$F$2,Nombres!$C$3:$D$636,56,FALSE)</f>
        <v>Activos tangibles</v>
      </c>
      <c r="B152" s="44">
        <v>11662.483539176577</v>
      </c>
      <c r="C152" s="44">
        <v>11295.737927367716</v>
      </c>
      <c r="D152" s="44">
        <v>11152.78332365921</v>
      </c>
      <c r="E152" s="45">
        <v>10938.954380720452</v>
      </c>
      <c r="F152" s="44">
        <v>10544.189818218587</v>
      </c>
      <c r="G152" s="44">
        <v>9982.626417985803</v>
      </c>
      <c r="H152" s="44">
        <v>9567.449561931908</v>
      </c>
      <c r="I152" s="44">
        <v>0</v>
      </c>
    </row>
    <row r="153" spans="1:9" ht="14.25">
      <c r="A153" s="43" t="str">
        <f>HLOOKUP(INDICE!$F$2,Nombres!$C$3:$D$636,57,FALSE)</f>
        <v>Otros activos</v>
      </c>
      <c r="B153" s="60">
        <f>+B154-B152-B150-B149-B148</f>
        <v>894424.7184854884</v>
      </c>
      <c r="C153" s="60">
        <f aca="true" t="shared" si="28" ref="C153:I153">+C154-C152-C150-C149-C148</f>
        <v>897651.4037095535</v>
      </c>
      <c r="D153" s="60">
        <f t="shared" si="28"/>
        <v>934970.5264192432</v>
      </c>
      <c r="E153" s="68">
        <f t="shared" si="28"/>
        <v>162577.8437926317</v>
      </c>
      <c r="F153" s="44">
        <f t="shared" si="28"/>
        <v>175171.51927691966</v>
      </c>
      <c r="G153" s="44">
        <f t="shared" si="28"/>
        <v>148232.86070780538</v>
      </c>
      <c r="H153" s="44">
        <f t="shared" si="28"/>
        <v>149011.40536516462</v>
      </c>
      <c r="I153" s="44">
        <f t="shared" si="28"/>
        <v>0</v>
      </c>
    </row>
    <row r="154" spans="1:9" ht="14.25">
      <c r="A154" s="47" t="str">
        <f>HLOOKUP(INDICE!$F$2,Nombres!$C$3:$D$636,58,FALSE)</f>
        <v>Total activo / pasivo</v>
      </c>
      <c r="B154" s="47">
        <v>2611939.4856203212</v>
      </c>
      <c r="C154" s="47">
        <v>2543450.4775758698</v>
      </c>
      <c r="D154" s="47">
        <v>2606697.9943825053</v>
      </c>
      <c r="E154" s="47">
        <v>1768868.8772520076</v>
      </c>
      <c r="F154" s="53">
        <v>1784769.1694513683</v>
      </c>
      <c r="G154" s="53">
        <v>1689547.6371650286</v>
      </c>
      <c r="H154" s="53">
        <v>1805334.6659093592</v>
      </c>
      <c r="I154" s="53">
        <v>0</v>
      </c>
    </row>
    <row r="155" spans="1:9" ht="14.25">
      <c r="A155" s="43" t="str">
        <f>HLOOKUP(INDICE!$F$2,Nombres!$C$3:$D$636,59,FALSE)</f>
        <v>Pasivos financieros mantenidos para negociar y designados a valor razonable con cambios en resultados</v>
      </c>
      <c r="B155" s="60">
        <v>0</v>
      </c>
      <c r="C155" s="60">
        <v>0</v>
      </c>
      <c r="D155" s="60">
        <v>0</v>
      </c>
      <c r="E155" s="68">
        <v>0</v>
      </c>
      <c r="F155" s="44">
        <v>0</v>
      </c>
      <c r="G155" s="44">
        <v>0</v>
      </c>
      <c r="H155" s="44">
        <v>0</v>
      </c>
      <c r="I155" s="44">
        <v>0</v>
      </c>
    </row>
    <row r="156" spans="1:9" ht="15.75" customHeight="1">
      <c r="A156" s="43" t="str">
        <f>HLOOKUP(INDICE!$F$2,Nombres!$C$3:$D$636,60,FALSE)</f>
        <v>Depósitos de bancos centrales y entidades de crédito</v>
      </c>
      <c r="B156" s="60">
        <v>420532.7351316666</v>
      </c>
      <c r="C156" s="60">
        <v>396435.5277711694</v>
      </c>
      <c r="D156" s="60">
        <v>428700.2214433567</v>
      </c>
      <c r="E156" s="68">
        <v>448720.87139079743</v>
      </c>
      <c r="F156" s="44">
        <v>537715.6652716604</v>
      </c>
      <c r="G156" s="44">
        <v>536676.7833180717</v>
      </c>
      <c r="H156" s="44">
        <v>541588.1818403038</v>
      </c>
      <c r="I156" s="44">
        <v>0</v>
      </c>
    </row>
    <row r="157" spans="1:9" ht="15.75" customHeight="1">
      <c r="A157" s="43" t="str">
        <f>HLOOKUP(INDICE!$F$2,Nombres!$C$3:$D$636,61,FALSE)</f>
        <v>Depósitos de la clientela</v>
      </c>
      <c r="B157" s="60">
        <v>8268.801071080772</v>
      </c>
      <c r="C157" s="60">
        <v>5623.111181925244</v>
      </c>
      <c r="D157" s="60">
        <v>7247.649755179417</v>
      </c>
      <c r="E157" s="68">
        <v>4924.001456727222</v>
      </c>
      <c r="F157" s="44">
        <v>3782.07441685839</v>
      </c>
      <c r="G157" s="44">
        <v>3248.0102255589336</v>
      </c>
      <c r="H157" s="44">
        <v>4204.644724443147</v>
      </c>
      <c r="I157" s="44">
        <v>0</v>
      </c>
    </row>
    <row r="158" spans="1:9" ht="15.75" customHeight="1">
      <c r="A158" s="43" t="str">
        <f>HLOOKUP(INDICE!$F$2,Nombres!$C$3:$D$636,62,FALSE)</f>
        <v>Valores representativos de deuda emitidos</v>
      </c>
      <c r="B158" s="44">
        <v>861115.3615889355</v>
      </c>
      <c r="C158" s="44">
        <v>818941.7734148394</v>
      </c>
      <c r="D158" s="44">
        <v>822880.8637812826</v>
      </c>
      <c r="E158" s="45">
        <v>829462.0923321181</v>
      </c>
      <c r="F158" s="44">
        <v>836999.3083884908</v>
      </c>
      <c r="G158" s="44">
        <v>789737.2771739402</v>
      </c>
      <c r="H158" s="44">
        <v>786627.6757660318</v>
      </c>
      <c r="I158" s="44">
        <v>0</v>
      </c>
    </row>
    <row r="159" spans="1:9" ht="15.75" customHeight="1">
      <c r="A159" s="43" t="str">
        <f>HLOOKUP(INDICE!$F$2,Nombres!$C$3:$D$636,63,FALSE)</f>
        <v>Otros pasivos</v>
      </c>
      <c r="B159" s="60">
        <f>+B154-B155-B156-B157-B158-B160</f>
        <v>1277634.6979908526</v>
      </c>
      <c r="C159" s="60">
        <f aca="true" t="shared" si="29" ref="C159:I159">+C154-C155-C156-C157-C158-C160</f>
        <v>1280081.3614981938</v>
      </c>
      <c r="D159" s="60">
        <f t="shared" si="29"/>
        <v>1304225.2350755278</v>
      </c>
      <c r="E159" s="68">
        <f t="shared" si="29"/>
        <v>447979.6899827989</v>
      </c>
      <c r="F159" s="44">
        <f t="shared" si="29"/>
        <v>362809.65151307115</v>
      </c>
      <c r="G159" s="44">
        <f t="shared" si="29"/>
        <v>318412.47988755663</v>
      </c>
      <c r="H159" s="44">
        <f t="shared" si="29"/>
        <v>432421.94104852073</v>
      </c>
      <c r="I159" s="44">
        <f t="shared" si="29"/>
        <v>0</v>
      </c>
    </row>
    <row r="160" spans="1:9" ht="15.75" customHeight="1">
      <c r="A160" s="43" t="str">
        <f>HLOOKUP(INDICE!$F$2,Nombres!$C$3:$D$636,64,FALSE)</f>
        <v>Dotación de capital económico</v>
      </c>
      <c r="B160" s="44">
        <v>44387.889837785886</v>
      </c>
      <c r="C160" s="44">
        <v>42368.703709741996</v>
      </c>
      <c r="D160" s="44">
        <v>43644.02432715836</v>
      </c>
      <c r="E160" s="45">
        <v>37782.22208956597</v>
      </c>
      <c r="F160" s="44">
        <v>43462.46986128736</v>
      </c>
      <c r="G160" s="44">
        <v>41473.086559901254</v>
      </c>
      <c r="H160" s="44">
        <v>40492.22253005972</v>
      </c>
      <c r="I160" s="44">
        <v>0</v>
      </c>
    </row>
    <row r="161" spans="1:9" ht="14.25">
      <c r="A161" s="65"/>
      <c r="B161" s="60"/>
      <c r="C161" s="60"/>
      <c r="D161" s="60"/>
      <c r="E161" s="60"/>
      <c r="F161" s="44"/>
      <c r="G161" s="44"/>
      <c r="H161" s="44"/>
      <c r="I161" s="44"/>
    </row>
    <row r="162" spans="1:9" ht="14.25">
      <c r="A162" s="43"/>
      <c r="B162" s="60"/>
      <c r="C162" s="60"/>
      <c r="D162" s="60"/>
      <c r="E162" s="60"/>
      <c r="F162" s="44"/>
      <c r="G162" s="44"/>
      <c r="H162" s="44"/>
      <c r="I162" s="44"/>
    </row>
    <row r="163" spans="1:9" ht="16.5">
      <c r="A163" s="33" t="str">
        <f>HLOOKUP(INDICE!$F$2,Nombres!$C$3:$D$636,65,FALSE)</f>
        <v>Indicadores relevantes y de gestión</v>
      </c>
      <c r="B163" s="34"/>
      <c r="C163" s="34"/>
      <c r="D163" s="34"/>
      <c r="E163" s="34"/>
      <c r="F163" s="72"/>
      <c r="G163" s="72"/>
      <c r="H163" s="72"/>
      <c r="I163" s="72"/>
    </row>
    <row r="164" spans="1:9" ht="14.25">
      <c r="A164" s="35" t="str">
        <f>HLOOKUP(INDICE!$F$2,Nombres!$C$3:$D$636,81,FALSE)</f>
        <v>(Millones de pesos chilenos)</v>
      </c>
      <c r="B164" s="30"/>
      <c r="C164" s="30"/>
      <c r="D164" s="30"/>
      <c r="E164" s="30"/>
      <c r="F164" s="73"/>
      <c r="G164" s="44"/>
      <c r="H164" s="44"/>
      <c r="I164" s="44"/>
    </row>
    <row r="165" spans="1:9" ht="14.25">
      <c r="A165" s="30"/>
      <c r="B165" s="55">
        <f aca="true" t="shared" si="30" ref="B165:I165">+B$33</f>
        <v>43555</v>
      </c>
      <c r="C165" s="55">
        <f t="shared" si="30"/>
        <v>43646</v>
      </c>
      <c r="D165" s="55">
        <f t="shared" si="30"/>
        <v>43738</v>
      </c>
      <c r="E165" s="71">
        <f t="shared" si="30"/>
        <v>43830</v>
      </c>
      <c r="F165" s="55">
        <f t="shared" si="30"/>
        <v>43921</v>
      </c>
      <c r="G165" s="55">
        <f t="shared" si="30"/>
        <v>44012</v>
      </c>
      <c r="H165" s="55">
        <f t="shared" si="30"/>
        <v>44104</v>
      </c>
      <c r="I165" s="55">
        <f t="shared" si="30"/>
        <v>44196</v>
      </c>
    </row>
    <row r="166" spans="1:9" ht="14.25">
      <c r="A166" s="43" t="str">
        <f>HLOOKUP(INDICE!$F$2,Nombres!$C$3:$D$636,66,FALSE)</f>
        <v>Préstamos y anticipos a la clientela bruto (*)</v>
      </c>
      <c r="B166" s="44">
        <v>1672259.800991506</v>
      </c>
      <c r="C166" s="44">
        <v>1648933.2543008204</v>
      </c>
      <c r="D166" s="44">
        <v>1662445.8615497933</v>
      </c>
      <c r="E166" s="45">
        <v>1581352.236194172</v>
      </c>
      <c r="F166" s="44">
        <v>1514451.4505273928</v>
      </c>
      <c r="G166" s="44">
        <v>1395632.421949617</v>
      </c>
      <c r="H166" s="44">
        <v>1400180.6757329723</v>
      </c>
      <c r="I166" s="44">
        <v>0</v>
      </c>
    </row>
    <row r="167" spans="1:9" ht="14.25">
      <c r="A167" s="43" t="str">
        <f>HLOOKUP(INDICE!$F$2,Nombres!$C$3:$D$636,67,FALSE)</f>
        <v>Depósitos de clientes en gestión (**)</v>
      </c>
      <c r="B167" s="44">
        <v>8268.801071080774</v>
      </c>
      <c r="C167" s="44">
        <v>5623.111181925244</v>
      </c>
      <c r="D167" s="44">
        <v>7247.649755179417</v>
      </c>
      <c r="E167" s="45">
        <v>4924.001456727222</v>
      </c>
      <c r="F167" s="44">
        <v>3782.07441685839</v>
      </c>
      <c r="G167" s="44">
        <v>3248.010225558934</v>
      </c>
      <c r="H167" s="44">
        <v>4204.644724443147</v>
      </c>
      <c r="I167" s="44">
        <v>0</v>
      </c>
    </row>
    <row r="168" spans="1:9" ht="14.25">
      <c r="A168" s="43" t="str">
        <f>HLOOKUP(INDICE!$F$2,Nombres!$C$3:$D$636,68,FALSE)</f>
        <v>Fondos de inversión</v>
      </c>
      <c r="B168" s="44">
        <v>0</v>
      </c>
      <c r="C168" s="44">
        <v>0</v>
      </c>
      <c r="D168" s="44">
        <v>0</v>
      </c>
      <c r="E168" s="45">
        <v>0</v>
      </c>
      <c r="F168" s="44">
        <v>0</v>
      </c>
      <c r="G168" s="44">
        <v>0</v>
      </c>
      <c r="H168" s="44">
        <v>0</v>
      </c>
      <c r="I168" s="44">
        <v>0</v>
      </c>
    </row>
    <row r="169" spans="1:9" ht="14.25">
      <c r="A169" s="43" t="str">
        <f>HLOOKUP(INDICE!$F$2,Nombres!$C$3:$D$636,69,FALSE)</f>
        <v>Fondos de pensiones</v>
      </c>
      <c r="B169" s="44">
        <v>0</v>
      </c>
      <c r="C169" s="44">
        <v>0</v>
      </c>
      <c r="D169" s="44">
        <v>0</v>
      </c>
      <c r="E169" s="45">
        <v>0</v>
      </c>
      <c r="F169" s="44">
        <v>0</v>
      </c>
      <c r="G169" s="44">
        <v>0</v>
      </c>
      <c r="H169" s="44">
        <v>0</v>
      </c>
      <c r="I169" s="44">
        <v>0</v>
      </c>
    </row>
    <row r="170" spans="1:9" ht="14.25">
      <c r="A170" s="43" t="str">
        <f>HLOOKUP(INDICE!$F$2,Nombres!$C$3:$D$636,70,FALSE)</f>
        <v>Otros recursos fuera de balance</v>
      </c>
      <c r="B170" s="44">
        <v>0</v>
      </c>
      <c r="C170" s="44">
        <v>0</v>
      </c>
      <c r="D170" s="44">
        <v>0</v>
      </c>
      <c r="E170" s="45">
        <v>0</v>
      </c>
      <c r="F170" s="44">
        <v>0</v>
      </c>
      <c r="G170" s="44">
        <v>0</v>
      </c>
      <c r="H170" s="44">
        <v>0</v>
      </c>
      <c r="I170" s="44">
        <v>0</v>
      </c>
    </row>
    <row r="171" spans="1:9" ht="14.25">
      <c r="A171" s="65" t="str">
        <f>HLOOKUP(INDICE!$F$2,Nombres!$C$3:$D$636,71,FALSE)</f>
        <v>(*) No incluye las adquisiciones temporales de activos.</v>
      </c>
      <c r="B171" s="44"/>
      <c r="C171" s="60"/>
      <c r="D171" s="60"/>
      <c r="E171" s="60"/>
      <c r="F171" s="44"/>
      <c r="G171" s="44"/>
      <c r="H171" s="44"/>
      <c r="I171" s="44"/>
    </row>
    <row r="172" spans="1:9" ht="14.25">
      <c r="A172" s="65" t="str">
        <f>HLOOKUP(INDICE!$F$2,Nombres!$C$3:$D$636,72,FALSE)</f>
        <v>(**) No incluye las cesiones temporales de activos.</v>
      </c>
      <c r="B172" s="30"/>
      <c r="C172" s="30"/>
      <c r="D172" s="30"/>
      <c r="E172" s="30"/>
      <c r="F172" s="30"/>
      <c r="G172" s="30"/>
      <c r="H172" s="30"/>
      <c r="I172" s="30"/>
    </row>
    <row r="173" spans="1:9" ht="14.25">
      <c r="A173" s="30"/>
      <c r="B173" s="30"/>
      <c r="C173" s="30"/>
      <c r="D173" s="30"/>
      <c r="E173" s="30"/>
      <c r="F173" s="30"/>
      <c r="G173" s="30"/>
      <c r="H173" s="30"/>
      <c r="I173" s="30"/>
    </row>
    <row r="174" spans="1:9" ht="14.25">
      <c r="A174" s="30"/>
      <c r="B174" s="30"/>
      <c r="C174" s="30"/>
      <c r="D174" s="30"/>
      <c r="E174" s="30"/>
      <c r="F174" s="30"/>
      <c r="G174" s="30"/>
      <c r="H174" s="30"/>
      <c r="I174" s="30"/>
    </row>
    <row r="175" spans="1:9" ht="14.25">
      <c r="A175" s="77"/>
      <c r="B175" s="78"/>
      <c r="C175" s="79"/>
      <c r="D175" s="79"/>
      <c r="E175" s="79"/>
      <c r="F175" s="78"/>
      <c r="G175" s="78"/>
      <c r="H175" s="78"/>
      <c r="I175" s="78"/>
    </row>
    <row r="176" spans="1:15" ht="14.25">
      <c r="A176" s="77"/>
      <c r="B176" s="78"/>
      <c r="C176" s="79"/>
      <c r="D176" s="79"/>
      <c r="E176" s="79"/>
      <c r="F176" s="78"/>
      <c r="G176" s="78"/>
      <c r="H176" s="78"/>
      <c r="I176" s="78"/>
      <c r="J176" s="78"/>
      <c r="K176" s="78"/>
      <c r="L176" s="78"/>
      <c r="M176" s="78"/>
      <c r="N176" s="78"/>
      <c r="O176" s="78"/>
    </row>
    <row r="177" spans="1:15" ht="14.25">
      <c r="A177" s="78"/>
      <c r="B177" s="78"/>
      <c r="C177" s="78"/>
      <c r="D177" s="78"/>
      <c r="E177" s="78"/>
      <c r="F177" s="78"/>
      <c r="G177" s="78"/>
      <c r="H177" s="78"/>
      <c r="I177" s="78"/>
      <c r="J177" s="78"/>
      <c r="K177" s="78"/>
      <c r="L177" s="78"/>
      <c r="M177" s="78"/>
      <c r="N177" s="78"/>
      <c r="O177" s="78"/>
    </row>
    <row r="178" spans="1:15" ht="14.25">
      <c r="A178" s="78"/>
      <c r="B178" s="78"/>
      <c r="C178" s="78"/>
      <c r="D178" s="78"/>
      <c r="E178" s="78"/>
      <c r="F178" s="78"/>
      <c r="G178" s="78"/>
      <c r="H178" s="78"/>
      <c r="I178" s="78"/>
      <c r="J178" s="78"/>
      <c r="K178" s="78"/>
      <c r="L178" s="78"/>
      <c r="M178" s="78"/>
      <c r="N178" s="78"/>
      <c r="O178" s="78"/>
    </row>
    <row r="179" spans="1:15" ht="14.25">
      <c r="A179" s="78"/>
      <c r="B179" s="78"/>
      <c r="C179" s="78"/>
      <c r="D179" s="78"/>
      <c r="E179" s="78"/>
      <c r="F179" s="78"/>
      <c r="G179" s="78"/>
      <c r="H179" s="78"/>
      <c r="I179" s="78"/>
      <c r="J179" s="78"/>
      <c r="K179" s="78"/>
      <c r="L179" s="78"/>
      <c r="M179" s="78"/>
      <c r="N179" s="78"/>
      <c r="O179" s="78"/>
    </row>
    <row r="180" spans="1:15" ht="14.25">
      <c r="A180" s="78"/>
      <c r="B180" s="78"/>
      <c r="C180" s="78"/>
      <c r="D180" s="78"/>
      <c r="E180" s="78"/>
      <c r="F180" s="78"/>
      <c r="G180" s="78"/>
      <c r="H180" s="78"/>
      <c r="I180" s="78"/>
      <c r="J180" s="78"/>
      <c r="K180" s="78"/>
      <c r="L180" s="78"/>
      <c r="M180" s="78"/>
      <c r="N180" s="78"/>
      <c r="O180" s="78"/>
    </row>
    <row r="181" spans="1:15" ht="14.25">
      <c r="A181" s="78"/>
      <c r="B181" s="78"/>
      <c r="C181" s="78"/>
      <c r="D181" s="78"/>
      <c r="E181" s="78"/>
      <c r="F181" s="78"/>
      <c r="G181" s="78"/>
      <c r="H181" s="78"/>
      <c r="I181" s="78"/>
      <c r="J181" s="78"/>
      <c r="K181" s="78"/>
      <c r="L181" s="78"/>
      <c r="M181" s="78"/>
      <c r="N181" s="78"/>
      <c r="O181" s="78"/>
    </row>
    <row r="182" spans="1:15" ht="14.25">
      <c r="A182" s="78"/>
      <c r="B182" s="78"/>
      <c r="C182" s="78"/>
      <c r="D182" s="78"/>
      <c r="E182" s="78"/>
      <c r="F182" s="78"/>
      <c r="G182" s="78"/>
      <c r="H182" s="78"/>
      <c r="I182" s="78"/>
      <c r="J182" s="78"/>
      <c r="K182" s="78"/>
      <c r="L182" s="78"/>
      <c r="M182" s="78"/>
      <c r="N182" s="78"/>
      <c r="O182" s="78"/>
    </row>
    <row r="183" spans="1:15" ht="14.25">
      <c r="A183" s="78"/>
      <c r="B183" s="78"/>
      <c r="C183" s="78"/>
      <c r="D183" s="78"/>
      <c r="E183" s="78"/>
      <c r="F183" s="78"/>
      <c r="G183" s="78"/>
      <c r="H183" s="78"/>
      <c r="I183" s="78"/>
      <c r="J183" s="78"/>
      <c r="K183" s="78"/>
      <c r="L183" s="78"/>
      <c r="M183" s="78"/>
      <c r="N183" s="78"/>
      <c r="O183" s="78"/>
    </row>
    <row r="1000" ht="14.25">
      <c r="A1000" s="31" t="s">
        <v>397</v>
      </c>
    </row>
  </sheetData>
  <sheetProtection/>
  <mergeCells count="6">
    <mergeCell ref="B120:E120"/>
    <mergeCell ref="F120:I120"/>
    <mergeCell ref="B6:E6"/>
    <mergeCell ref="F6:I6"/>
    <mergeCell ref="B63:E63"/>
    <mergeCell ref="F63:I63"/>
  </mergeCells>
  <conditionalFormatting sqref="G29:I29">
    <cfRule type="cellIs" priority="8" dxfId="98" operator="notBetween">
      <formula>0.5</formula>
      <formula>-0.5</formula>
    </cfRule>
  </conditionalFormatting>
  <conditionalFormatting sqref="B29">
    <cfRule type="cellIs" priority="7" dxfId="98" operator="notBetween">
      <formula>0.5</formula>
      <formula>-0.5</formula>
    </cfRule>
  </conditionalFormatting>
  <conditionalFormatting sqref="C29">
    <cfRule type="cellIs" priority="6" dxfId="98" operator="notBetween">
      <formula>0.5</formula>
      <formula>-0.5</formula>
    </cfRule>
  </conditionalFormatting>
  <conditionalFormatting sqref="D29">
    <cfRule type="cellIs" priority="5" dxfId="98" operator="notBetween">
      <formula>0.5</formula>
      <formula>-0.5</formula>
    </cfRule>
  </conditionalFormatting>
  <conditionalFormatting sqref="E29">
    <cfRule type="cellIs" priority="4" dxfId="98" operator="notBetween">
      <formula>0.5</formula>
      <formula>-0.5</formula>
    </cfRule>
  </conditionalFormatting>
  <conditionalFormatting sqref="F29:I29">
    <cfRule type="cellIs" priority="3" dxfId="98" operator="notBetween">
      <formula>0.5</formula>
      <formula>-0.5</formula>
    </cfRule>
  </conditionalFormatting>
  <conditionalFormatting sqref="F85:I86">
    <cfRule type="cellIs" priority="2" dxfId="98" operator="notBetween">
      <formula>0.5</formula>
      <formula>-0.5</formula>
    </cfRule>
  </conditionalFormatting>
  <conditionalFormatting sqref="F143:I143">
    <cfRule type="cellIs" priority="1" dxfId="98" operator="notBetween">
      <formula>0.5</formula>
      <formula>-0.5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I1" sqref="I1:I16384"/>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6.5">
      <c r="A1" s="29" t="str">
        <f>HLOOKUP(INDICE!$F$2,Nombres!$C$3:$D$636,16,FALSE)</f>
        <v>Colombia</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5">
        <f>+España!B6</f>
        <v>2019</v>
      </c>
      <c r="C6" s="305"/>
      <c r="D6" s="305"/>
      <c r="E6" s="306"/>
      <c r="F6" s="305">
        <f>+España!F6</f>
        <v>2020</v>
      </c>
      <c r="G6" s="305"/>
      <c r="H6" s="305"/>
      <c r="I6" s="305"/>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211.75300000000004</v>
      </c>
      <c r="C8" s="41">
        <v>206.11800000000002</v>
      </c>
      <c r="D8" s="41">
        <v>205.30499999999995</v>
      </c>
      <c r="E8" s="42">
        <v>205.65500000000003</v>
      </c>
      <c r="F8" s="52">
        <v>209.53199999999998</v>
      </c>
      <c r="G8" s="52">
        <v>193.10299999999992</v>
      </c>
      <c r="H8" s="52">
        <v>184.44100000000006</v>
      </c>
      <c r="I8" s="52">
        <v>0</v>
      </c>
    </row>
    <row r="9" spans="1:9" ht="14.25">
      <c r="A9" s="43" t="str">
        <f>HLOOKUP(INDICE!$F$2,Nombres!$C$3:$D$636,34,FALSE)</f>
        <v>Comisiones netas</v>
      </c>
      <c r="B9" s="44">
        <v>22.351000000000006</v>
      </c>
      <c r="C9" s="44">
        <v>23.25911577</v>
      </c>
      <c r="D9" s="44">
        <v>21.55852691000001</v>
      </c>
      <c r="E9" s="45">
        <v>20.29930999</v>
      </c>
      <c r="F9" s="44">
        <v>17.594351990000003</v>
      </c>
      <c r="G9" s="44">
        <v>11.690391200000002</v>
      </c>
      <c r="H9" s="44">
        <v>21.645565540000003</v>
      </c>
      <c r="I9" s="44">
        <v>0</v>
      </c>
    </row>
    <row r="10" spans="1:9" ht="14.25">
      <c r="A10" s="43" t="str">
        <f>HLOOKUP(INDICE!$F$2,Nombres!$C$3:$D$636,35,FALSE)</f>
        <v>Resultados de operaciones financieras</v>
      </c>
      <c r="B10" s="44">
        <v>20.199326500000012</v>
      </c>
      <c r="C10" s="44">
        <v>18.005204459999995</v>
      </c>
      <c r="D10" s="44">
        <v>12.435440569999995</v>
      </c>
      <c r="E10" s="45">
        <v>17.778436109999987</v>
      </c>
      <c r="F10" s="44">
        <v>4.7974516400000065</v>
      </c>
      <c r="G10" s="44">
        <v>24.985644229999995</v>
      </c>
      <c r="H10" s="44">
        <v>27.707858250000008</v>
      </c>
      <c r="I10" s="44">
        <v>0</v>
      </c>
    </row>
    <row r="11" spans="1:9" ht="14.25">
      <c r="A11" s="43" t="str">
        <f>HLOOKUP(INDICE!$F$2,Nombres!$C$3:$D$636,36,FALSE)</f>
        <v>Otros ingresos y cargas de explotación</v>
      </c>
      <c r="B11" s="44">
        <v>8.365</v>
      </c>
      <c r="C11" s="44">
        <v>1.647999999999997</v>
      </c>
      <c r="D11" s="44">
        <v>2.4290000000000047</v>
      </c>
      <c r="E11" s="45">
        <v>5.097999999999997</v>
      </c>
      <c r="F11" s="44">
        <v>-1.344999999999998</v>
      </c>
      <c r="G11" s="44">
        <v>-1.801000000000002</v>
      </c>
      <c r="H11" s="44">
        <v>-6.543000000000001</v>
      </c>
      <c r="I11" s="44">
        <v>0</v>
      </c>
    </row>
    <row r="12" spans="1:9" ht="14.25">
      <c r="A12" s="41" t="str">
        <f>HLOOKUP(INDICE!$F$2,Nombres!$C$3:$D$636,37,FALSE)</f>
        <v>Margen bruto</v>
      </c>
      <c r="B12" s="41">
        <f>+SUM(B8:B11)</f>
        <v>262.66832650000003</v>
      </c>
      <c r="C12" s="41">
        <f aca="true" t="shared" si="0" ref="C12:I12">+SUM(C8:C11)</f>
        <v>249.03032023</v>
      </c>
      <c r="D12" s="41">
        <f t="shared" si="0"/>
        <v>241.72796747999996</v>
      </c>
      <c r="E12" s="42">
        <f t="shared" si="0"/>
        <v>248.83074610000003</v>
      </c>
      <c r="F12" s="52">
        <f t="shared" si="0"/>
        <v>230.57880363</v>
      </c>
      <c r="G12" s="52">
        <f t="shared" si="0"/>
        <v>227.97803542999992</v>
      </c>
      <c r="H12" s="52">
        <f t="shared" si="0"/>
        <v>227.25142379000008</v>
      </c>
      <c r="I12" s="52">
        <f t="shared" si="0"/>
        <v>0</v>
      </c>
    </row>
    <row r="13" spans="1:9" ht="14.25">
      <c r="A13" s="43" t="str">
        <f>HLOOKUP(INDICE!$F$2,Nombres!$C$3:$D$636,38,FALSE)</f>
        <v>Gastos de explotación</v>
      </c>
      <c r="B13" s="44">
        <v>-93.46352601999999</v>
      </c>
      <c r="C13" s="44">
        <v>-87.35852535000001</v>
      </c>
      <c r="D13" s="44">
        <v>-89.59488135000001</v>
      </c>
      <c r="E13" s="45">
        <v>-92.74852535</v>
      </c>
      <c r="F13" s="44">
        <v>-90.64852578</v>
      </c>
      <c r="G13" s="44">
        <v>-72.52252535</v>
      </c>
      <c r="H13" s="44">
        <v>-76.02766968</v>
      </c>
      <c r="I13" s="44">
        <v>0</v>
      </c>
    </row>
    <row r="14" spans="1:9" ht="14.25">
      <c r="A14" s="43" t="str">
        <f>HLOOKUP(INDICE!$F$2,Nombres!$C$3:$D$636,39,FALSE)</f>
        <v>  Gastos de administración</v>
      </c>
      <c r="B14" s="44">
        <v>-86.01652602</v>
      </c>
      <c r="C14" s="44">
        <v>-80.04252535</v>
      </c>
      <c r="D14" s="44">
        <v>-81.69388135</v>
      </c>
      <c r="E14" s="45">
        <v>-83.69652535</v>
      </c>
      <c r="F14" s="44">
        <v>-83.07252578</v>
      </c>
      <c r="G14" s="44">
        <v>-65.36352535</v>
      </c>
      <c r="H14" s="44">
        <v>-69.08866968000001</v>
      </c>
      <c r="I14" s="44">
        <v>0</v>
      </c>
    </row>
    <row r="15" spans="1:9" ht="14.25">
      <c r="A15" s="46" t="str">
        <f>HLOOKUP(INDICE!$F$2,Nombres!$C$3:$D$636,40,FALSE)</f>
        <v>  Gastos de personal</v>
      </c>
      <c r="B15" s="44">
        <v>-44.96</v>
      </c>
      <c r="C15" s="44">
        <v>-41.422000000000004</v>
      </c>
      <c r="D15" s="44">
        <v>-42.39</v>
      </c>
      <c r="E15" s="45">
        <v>-40.967</v>
      </c>
      <c r="F15" s="44">
        <v>-42.222</v>
      </c>
      <c r="G15" s="44">
        <v>-32.86</v>
      </c>
      <c r="H15" s="44">
        <v>-34.266000000000005</v>
      </c>
      <c r="I15" s="44">
        <v>0</v>
      </c>
    </row>
    <row r="16" spans="1:9" ht="14.25">
      <c r="A16" s="46" t="str">
        <f>HLOOKUP(INDICE!$F$2,Nombres!$C$3:$D$636,41,FALSE)</f>
        <v>  Otros gastos de administración</v>
      </c>
      <c r="B16" s="44">
        <v>-41.05652602000001</v>
      </c>
      <c r="C16" s="44">
        <v>-38.620525349999994</v>
      </c>
      <c r="D16" s="44">
        <v>-39.303881350000005</v>
      </c>
      <c r="E16" s="45">
        <v>-42.729525349999996</v>
      </c>
      <c r="F16" s="44">
        <v>-40.85052578</v>
      </c>
      <c r="G16" s="44">
        <v>-32.503525350000004</v>
      </c>
      <c r="H16" s="44">
        <v>-34.822669680000004</v>
      </c>
      <c r="I16" s="44">
        <v>0</v>
      </c>
    </row>
    <row r="17" spans="1:9" ht="14.25">
      <c r="A17" s="43" t="str">
        <f>HLOOKUP(INDICE!$F$2,Nombres!$C$3:$D$636,42,FALSE)</f>
        <v>  Amortización</v>
      </c>
      <c r="B17" s="44">
        <v>-7.447</v>
      </c>
      <c r="C17" s="44">
        <v>-7.316</v>
      </c>
      <c r="D17" s="44">
        <v>-7.901</v>
      </c>
      <c r="E17" s="45">
        <v>-9.052000000000001</v>
      </c>
      <c r="F17" s="44">
        <v>-7.5760000000000005</v>
      </c>
      <c r="G17" s="44">
        <v>-7.158999999999999</v>
      </c>
      <c r="H17" s="44">
        <v>-6.939</v>
      </c>
      <c r="I17" s="44">
        <v>0</v>
      </c>
    </row>
    <row r="18" spans="1:9" ht="14.25">
      <c r="A18" s="41" t="str">
        <f>HLOOKUP(INDICE!$F$2,Nombres!$C$3:$D$636,43,FALSE)</f>
        <v>Margen neto</v>
      </c>
      <c r="B18" s="41">
        <f>+B12+B13</f>
        <v>169.20480048000005</v>
      </c>
      <c r="C18" s="41">
        <f aca="true" t="shared" si="1" ref="C18:I18">+C12+C13</f>
        <v>161.67179488</v>
      </c>
      <c r="D18" s="41">
        <f t="shared" si="1"/>
        <v>152.13308612999995</v>
      </c>
      <c r="E18" s="42">
        <f t="shared" si="1"/>
        <v>156.08222075000003</v>
      </c>
      <c r="F18" s="52">
        <f t="shared" si="1"/>
        <v>139.93027785</v>
      </c>
      <c r="G18" s="52">
        <f t="shared" si="1"/>
        <v>155.45551007999993</v>
      </c>
      <c r="H18" s="52">
        <f t="shared" si="1"/>
        <v>151.22375411000007</v>
      </c>
      <c r="I18" s="52">
        <f t="shared" si="1"/>
        <v>0</v>
      </c>
    </row>
    <row r="19" spans="1:9" ht="14.25">
      <c r="A19" s="43" t="str">
        <f>HLOOKUP(INDICE!$F$2,Nombres!$C$3:$D$636,44,FALSE)</f>
        <v>Deterioro de activos financieros no valorados a valor razonable con cambios en resultados</v>
      </c>
      <c r="B19" s="44">
        <v>-72.647</v>
      </c>
      <c r="C19" s="44">
        <v>-46.35899999999998</v>
      </c>
      <c r="D19" s="44">
        <v>-39.92099999999999</v>
      </c>
      <c r="E19" s="45">
        <v>-58.51799999999999</v>
      </c>
      <c r="F19" s="44">
        <v>-129.68</v>
      </c>
      <c r="G19" s="44">
        <v>-85.786</v>
      </c>
      <c r="H19" s="44">
        <v>-63.172</v>
      </c>
      <c r="I19" s="44">
        <v>0</v>
      </c>
    </row>
    <row r="20" spans="1:9" ht="14.25">
      <c r="A20" s="43" t="str">
        <f>HLOOKUP(INDICE!$F$2,Nombres!$C$3:$D$636,45,FALSE)</f>
        <v>Provisiones o reversión de provisiones y otros resultados</v>
      </c>
      <c r="B20" s="44">
        <v>-1.3059999999999996</v>
      </c>
      <c r="C20" s="44">
        <v>-6.365000000000002</v>
      </c>
      <c r="D20" s="44">
        <v>-2.9369999999999994</v>
      </c>
      <c r="E20" s="45">
        <v>-6.8420000000000005</v>
      </c>
      <c r="F20" s="44">
        <v>-2.51</v>
      </c>
      <c r="G20" s="44">
        <v>-9.828</v>
      </c>
      <c r="H20" s="44">
        <v>-4.501</v>
      </c>
      <c r="I20" s="44">
        <v>0</v>
      </c>
    </row>
    <row r="21" spans="1:9" ht="14.25">
      <c r="A21" s="41" t="str">
        <f>HLOOKUP(INDICE!$F$2,Nombres!$C$3:$D$636,46,FALSE)</f>
        <v>Resultado antes de impuestos</v>
      </c>
      <c r="B21" s="41">
        <f>+B18+B19+B20</f>
        <v>95.25180048000004</v>
      </c>
      <c r="C21" s="41">
        <f aca="true" t="shared" si="2" ref="C21:I21">+C18+C19+C20</f>
        <v>108.94779488</v>
      </c>
      <c r="D21" s="41">
        <f t="shared" si="2"/>
        <v>109.27508612999996</v>
      </c>
      <c r="E21" s="42">
        <f t="shared" si="2"/>
        <v>90.72222075000005</v>
      </c>
      <c r="F21" s="52">
        <f t="shared" si="2"/>
        <v>7.740277850000004</v>
      </c>
      <c r="G21" s="52">
        <f t="shared" si="2"/>
        <v>59.84151007999992</v>
      </c>
      <c r="H21" s="52">
        <f t="shared" si="2"/>
        <v>83.55075411000007</v>
      </c>
      <c r="I21" s="52">
        <f t="shared" si="2"/>
        <v>0</v>
      </c>
    </row>
    <row r="22" spans="1:9" ht="14.25">
      <c r="A22" s="43" t="str">
        <f>HLOOKUP(INDICE!$F$2,Nombres!$C$3:$D$636,47,FALSE)</f>
        <v>Impuesto sobre beneficios</v>
      </c>
      <c r="B22" s="44">
        <v>-34.47516521</v>
      </c>
      <c r="C22" s="44">
        <v>-34.18067436</v>
      </c>
      <c r="D22" s="44">
        <v>-38.62450827</v>
      </c>
      <c r="E22" s="45">
        <v>-19.38991336</v>
      </c>
      <c r="F22" s="44">
        <v>0.4505506300000022</v>
      </c>
      <c r="G22" s="44">
        <v>-18.38248883</v>
      </c>
      <c r="H22" s="44">
        <v>-26.776504420000002</v>
      </c>
      <c r="I22" s="44">
        <v>0</v>
      </c>
    </row>
    <row r="23" spans="1:9" ht="14.25">
      <c r="A23" s="41" t="str">
        <f>HLOOKUP(INDICE!$F$2,Nombres!$C$3:$D$636,48,FALSE)</f>
        <v>Resultado del ejercicio</v>
      </c>
      <c r="B23" s="41">
        <f>+B21+B22</f>
        <v>60.77663527000004</v>
      </c>
      <c r="C23" s="41">
        <f aca="true" t="shared" si="3" ref="C23:I23">+C21+C22</f>
        <v>74.76712052</v>
      </c>
      <c r="D23" s="41">
        <f t="shared" si="3"/>
        <v>70.65057785999997</v>
      </c>
      <c r="E23" s="42">
        <f t="shared" si="3"/>
        <v>71.33230739000004</v>
      </c>
      <c r="F23" s="52">
        <f t="shared" si="3"/>
        <v>8.190828480000006</v>
      </c>
      <c r="G23" s="52">
        <f t="shared" si="3"/>
        <v>41.45902124999992</v>
      </c>
      <c r="H23" s="52">
        <f t="shared" si="3"/>
        <v>56.77424969000007</v>
      </c>
      <c r="I23" s="52">
        <f t="shared" si="3"/>
        <v>0</v>
      </c>
    </row>
    <row r="24" spans="1:9" ht="14.25">
      <c r="A24" s="43" t="str">
        <f>HLOOKUP(INDICE!$F$2,Nombres!$C$3:$D$636,49,FALSE)</f>
        <v>Minoritarios</v>
      </c>
      <c r="B24" s="44">
        <v>-2.3369181799999996</v>
      </c>
      <c r="C24" s="44">
        <v>-2.84925305</v>
      </c>
      <c r="D24" s="44">
        <v>-2.69956607</v>
      </c>
      <c r="E24" s="45">
        <v>-2.7404781100000015</v>
      </c>
      <c r="F24" s="44">
        <v>0.10030966000000041</v>
      </c>
      <c r="G24" s="44">
        <v>-1.5098544500000002</v>
      </c>
      <c r="H24" s="44">
        <v>-2.0975925699999998</v>
      </c>
      <c r="I24" s="44">
        <v>0</v>
      </c>
    </row>
    <row r="25" spans="1:9" ht="14.25">
      <c r="A25" s="47" t="str">
        <f>HLOOKUP(INDICE!$F$2,Nombres!$C$3:$D$636,50,FALSE)</f>
        <v>Resultado atribuido</v>
      </c>
      <c r="B25" s="47">
        <f>+B23+B24</f>
        <v>58.439717090000045</v>
      </c>
      <c r="C25" s="47">
        <f aca="true" t="shared" si="4" ref="C25:I25">+C23+C24</f>
        <v>71.91786747</v>
      </c>
      <c r="D25" s="47">
        <f t="shared" si="4"/>
        <v>67.95101178999997</v>
      </c>
      <c r="E25" s="47">
        <f t="shared" si="4"/>
        <v>68.59182928000004</v>
      </c>
      <c r="F25" s="53">
        <f t="shared" si="4"/>
        <v>8.291138140000006</v>
      </c>
      <c r="G25" s="53">
        <f t="shared" si="4"/>
        <v>39.94916679999992</v>
      </c>
      <c r="H25" s="53">
        <f t="shared" si="4"/>
        <v>54.67665712000007</v>
      </c>
      <c r="I25" s="53">
        <f t="shared" si="4"/>
        <v>0</v>
      </c>
    </row>
    <row r="26" spans="1:9" ht="14.25">
      <c r="A26" s="65"/>
      <c r="B26" s="66">
        <v>0</v>
      </c>
      <c r="C26" s="66">
        <v>0</v>
      </c>
      <c r="D26" s="66">
        <v>0</v>
      </c>
      <c r="E26" s="66">
        <v>0</v>
      </c>
      <c r="F26" s="66">
        <v>0</v>
      </c>
      <c r="G26" s="66">
        <v>0</v>
      </c>
      <c r="H26" s="66">
        <v>0</v>
      </c>
      <c r="I26" s="66">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4"/>
      <c r="D29" s="54"/>
      <c r="E29" s="54"/>
      <c r="F29" s="30"/>
      <c r="G29" s="60"/>
      <c r="H29" s="60"/>
      <c r="I29" s="60"/>
    </row>
    <row r="30" spans="1:9" ht="14.25">
      <c r="A30" s="30"/>
      <c r="B30" s="55">
        <f>+España!B30</f>
        <v>43555</v>
      </c>
      <c r="C30" s="55">
        <f>+España!C30</f>
        <v>43646</v>
      </c>
      <c r="D30" s="55">
        <f>+España!D30</f>
        <v>43738</v>
      </c>
      <c r="E30" s="71">
        <f>+España!E30</f>
        <v>43830</v>
      </c>
      <c r="F30" s="80">
        <f>+España!F30</f>
        <v>43921</v>
      </c>
      <c r="G30" s="80">
        <f>+España!G30</f>
        <v>44012</v>
      </c>
      <c r="H30" s="80">
        <f>+España!H30</f>
        <v>44104</v>
      </c>
      <c r="I30" s="80">
        <f>+España!I30</f>
        <v>44196</v>
      </c>
    </row>
    <row r="31" spans="1:9" ht="14.25">
      <c r="A31" s="43" t="str">
        <f>HLOOKUP(INDICE!$F$2,Nombres!$C$3:$D$636,52,FALSE)</f>
        <v>Efectivo, saldos en efectivo en bancos centrales y otros depósitos a la vista</v>
      </c>
      <c r="B31" s="44">
        <v>1839.493</v>
      </c>
      <c r="C31" s="44">
        <v>1543.89</v>
      </c>
      <c r="D31" s="44">
        <v>1244.52</v>
      </c>
      <c r="E31" s="45">
        <v>1420.728</v>
      </c>
      <c r="F31" s="44">
        <v>1290.4769999999999</v>
      </c>
      <c r="G31" s="44">
        <v>2220.575</v>
      </c>
      <c r="H31" s="44">
        <v>1261.511</v>
      </c>
      <c r="I31" s="44">
        <v>0</v>
      </c>
    </row>
    <row r="32" spans="1:9" ht="14.25">
      <c r="A32" s="43" t="str">
        <f>HLOOKUP(INDICE!$F$2,Nombres!$C$3:$D$636,53,FALSE)</f>
        <v>Activos financieros a valor razonable</v>
      </c>
      <c r="B32" s="60">
        <v>2989.481</v>
      </c>
      <c r="C32" s="60">
        <v>3034.1270000000004</v>
      </c>
      <c r="D32" s="60">
        <v>2883.9139999999998</v>
      </c>
      <c r="E32" s="68">
        <v>2718.419</v>
      </c>
      <c r="F32" s="44">
        <v>3441.6409999999996</v>
      </c>
      <c r="G32" s="44">
        <v>3078.967</v>
      </c>
      <c r="H32" s="44">
        <v>2668.4839999999995</v>
      </c>
      <c r="I32" s="44">
        <v>0</v>
      </c>
    </row>
    <row r="33" spans="1:9" ht="14.25">
      <c r="A33" s="43" t="str">
        <f>HLOOKUP(INDICE!$F$2,Nombres!$C$3:$D$636,54,FALSE)</f>
        <v>Activos financieros a coste amortizado</v>
      </c>
      <c r="B33" s="44">
        <v>12810.716999999999</v>
      </c>
      <c r="C33" s="44">
        <v>12871.119999999999</v>
      </c>
      <c r="D33" s="44">
        <v>12859.889000000001</v>
      </c>
      <c r="E33" s="45">
        <v>13488.793</v>
      </c>
      <c r="F33" s="44">
        <v>11589.315</v>
      </c>
      <c r="G33" s="44">
        <v>12626.788999999999</v>
      </c>
      <c r="H33" s="44">
        <v>11589.310999999998</v>
      </c>
      <c r="I33" s="44">
        <v>0</v>
      </c>
    </row>
    <row r="34" spans="1:9" ht="14.25">
      <c r="A34" s="43" t="str">
        <f>HLOOKUP(INDICE!$F$2,Nombres!$C$3:$D$636,55,FALSE)</f>
        <v>    de los que préstamos y anticipos a la clientela</v>
      </c>
      <c r="B34" s="44">
        <v>12265.270999999999</v>
      </c>
      <c r="C34" s="44">
        <v>12327.101</v>
      </c>
      <c r="D34" s="44">
        <v>12319.801</v>
      </c>
      <c r="E34" s="45">
        <v>12922.985</v>
      </c>
      <c r="F34" s="44">
        <v>11068.159000000001</v>
      </c>
      <c r="G34" s="44">
        <v>11838.746000000001</v>
      </c>
      <c r="H34" s="44">
        <v>10816.897</v>
      </c>
      <c r="I34" s="44">
        <v>0</v>
      </c>
    </row>
    <row r="35" spans="1:9" ht="14.25">
      <c r="A35" s="43" t="str">
        <f>HLOOKUP(INDICE!$F$2,Nombres!$C$3:$D$636,56,FALSE)</f>
        <v>Activos tangibles</v>
      </c>
      <c r="B35" s="44">
        <v>149.563</v>
      </c>
      <c r="C35" s="44">
        <v>149.15000000000003</v>
      </c>
      <c r="D35" s="44">
        <v>144.44599999999997</v>
      </c>
      <c r="E35" s="45">
        <v>144.23700000000002</v>
      </c>
      <c r="F35" s="44">
        <v>115.47800000000001</v>
      </c>
      <c r="G35" s="44">
        <v>121.30600000000001</v>
      </c>
      <c r="H35" s="44">
        <v>109.39200000000002</v>
      </c>
      <c r="I35" s="44">
        <v>0</v>
      </c>
    </row>
    <row r="36" spans="1:9" ht="14.25">
      <c r="A36" s="43" t="str">
        <f>HLOOKUP(INDICE!$F$2,Nombres!$C$3:$D$636,57,FALSE)</f>
        <v>Otros activos</v>
      </c>
      <c r="B36" s="60">
        <f>+B37-B35-B33-B32-B31</f>
        <v>360.4019999999946</v>
      </c>
      <c r="C36" s="60">
        <f aca="true" t="shared" si="5" ref="C36:I36">+C37-C35-C33-C32-C31</f>
        <v>386.822999999996</v>
      </c>
      <c r="D36" s="60">
        <f t="shared" si="5"/>
        <v>468.63000000000056</v>
      </c>
      <c r="E36" s="68">
        <f t="shared" si="5"/>
        <v>367.3630000000003</v>
      </c>
      <c r="F36" s="44">
        <f t="shared" si="5"/>
        <v>662.8820000000023</v>
      </c>
      <c r="G36" s="44">
        <f t="shared" si="5"/>
        <v>477.5240000000008</v>
      </c>
      <c r="H36" s="44">
        <f t="shared" si="5"/>
        <v>475.16898298000297</v>
      </c>
      <c r="I36" s="44">
        <f t="shared" si="5"/>
        <v>0</v>
      </c>
    </row>
    <row r="37" spans="1:9" ht="14.25">
      <c r="A37" s="47" t="str">
        <f>HLOOKUP(INDICE!$F$2,Nombres!$C$3:$D$636,58,FALSE)</f>
        <v>Total activo / pasivo</v>
      </c>
      <c r="B37" s="47">
        <v>18149.65599999999</v>
      </c>
      <c r="C37" s="47">
        <v>17985.109999999997</v>
      </c>
      <c r="D37" s="47">
        <v>17601.399</v>
      </c>
      <c r="E37" s="47">
        <v>18139.54</v>
      </c>
      <c r="F37" s="53">
        <v>17099.793</v>
      </c>
      <c r="G37" s="53">
        <v>18525.161</v>
      </c>
      <c r="H37" s="53">
        <v>16103.86698298</v>
      </c>
      <c r="I37" s="53">
        <v>0</v>
      </c>
    </row>
    <row r="38" spans="1:9" ht="14.25">
      <c r="A38" s="43" t="str">
        <f>HLOOKUP(INDICE!$F$2,Nombres!$C$3:$D$636,59,FALSE)</f>
        <v>Pasivos financieros mantenidos para negociar y designados a valor razonable con cambios en resultados</v>
      </c>
      <c r="B38" s="60">
        <v>2164.126</v>
      </c>
      <c r="C38" s="60">
        <v>1739.6079999999997</v>
      </c>
      <c r="D38" s="60">
        <v>1430.3220000000001</v>
      </c>
      <c r="E38" s="68">
        <v>1665.437</v>
      </c>
      <c r="F38" s="44">
        <v>1737.4940000000001</v>
      </c>
      <c r="G38" s="44">
        <v>1646.095</v>
      </c>
      <c r="H38" s="44">
        <v>1378.6170000000002</v>
      </c>
      <c r="I38" s="44">
        <v>0</v>
      </c>
    </row>
    <row r="39" spans="1:9" ht="14.25">
      <c r="A39" s="43" t="str">
        <f>HLOOKUP(INDICE!$F$2,Nombres!$C$3:$D$636,60,FALSE)</f>
        <v>Depósitos de bancos centrales y entidades de crédito</v>
      </c>
      <c r="B39" s="60">
        <v>250.89600000000002</v>
      </c>
      <c r="C39" s="60">
        <v>314.907</v>
      </c>
      <c r="D39" s="60">
        <v>435.275</v>
      </c>
      <c r="E39" s="68">
        <v>593.751</v>
      </c>
      <c r="F39" s="44">
        <v>541.9019999999999</v>
      </c>
      <c r="G39" s="44">
        <v>446.334</v>
      </c>
      <c r="H39" s="44">
        <v>603.055</v>
      </c>
      <c r="I39" s="44">
        <v>0</v>
      </c>
    </row>
    <row r="40" spans="1:9" ht="15.75" customHeight="1">
      <c r="A40" s="43" t="str">
        <f>HLOOKUP(INDICE!$F$2,Nombres!$C$3:$D$636,61,FALSE)</f>
        <v>Depósitos de la clientela</v>
      </c>
      <c r="B40" s="60">
        <v>12680.987</v>
      </c>
      <c r="C40" s="60">
        <v>12716.057</v>
      </c>
      <c r="D40" s="60">
        <v>12554.905</v>
      </c>
      <c r="E40" s="68">
        <v>12686.045999999998</v>
      </c>
      <c r="F40" s="44">
        <v>12007.403</v>
      </c>
      <c r="G40" s="44">
        <v>13573.682999999999</v>
      </c>
      <c r="H40" s="44">
        <v>11346.935</v>
      </c>
      <c r="I40" s="44">
        <v>0</v>
      </c>
    </row>
    <row r="41" spans="1:9" ht="14.25">
      <c r="A41" s="43" t="str">
        <f>HLOOKUP(INDICE!$F$2,Nombres!$C$3:$D$636,62,FALSE)</f>
        <v>Valores representativos de deuda emitidos</v>
      </c>
      <c r="B41" s="44">
        <v>622.0020000000001</v>
      </c>
      <c r="C41" s="44">
        <v>619.153</v>
      </c>
      <c r="D41" s="44">
        <v>594.026</v>
      </c>
      <c r="E41" s="45">
        <v>579.319</v>
      </c>
      <c r="F41" s="44">
        <v>568.947</v>
      </c>
      <c r="G41" s="44">
        <v>570.3059999999999</v>
      </c>
      <c r="H41" s="44">
        <v>544.624</v>
      </c>
      <c r="I41" s="44">
        <v>0</v>
      </c>
    </row>
    <row r="42" spans="1:9" ht="14.25">
      <c r="A42" s="43" t="str">
        <f>HLOOKUP(INDICE!$F$2,Nombres!$C$3:$D$636,63,FALSE)</f>
        <v>Otros pasivos</v>
      </c>
      <c r="B42" s="60">
        <f>+B37-B38-B39-B40-B41-B43</f>
        <v>1404.638479999992</v>
      </c>
      <c r="C42" s="60">
        <f aca="true" t="shared" si="6" ref="C42:I42">+C37-C38-C39-C40-C41-C43</f>
        <v>1605.2743499999965</v>
      </c>
      <c r="D42" s="60">
        <f t="shared" si="6"/>
        <v>1580.1037625000013</v>
      </c>
      <c r="E42" s="68">
        <f t="shared" si="6"/>
        <v>1584.4327432300042</v>
      </c>
      <c r="F42" s="44">
        <f t="shared" si="6"/>
        <v>1205.5318000000007</v>
      </c>
      <c r="G42" s="44">
        <f t="shared" si="6"/>
        <v>1349.515540000001</v>
      </c>
      <c r="H42" s="44">
        <f t="shared" si="6"/>
        <v>1338.3284945400003</v>
      </c>
      <c r="I42" s="44">
        <f t="shared" si="6"/>
        <v>0</v>
      </c>
    </row>
    <row r="43" spans="1:9" ht="14.25">
      <c r="A43" s="43" t="str">
        <f>HLOOKUP(INDICE!$F$2,Nombres!$C$3:$D$636,64,FALSE)</f>
        <v>Dotación de capital económico</v>
      </c>
      <c r="B43" s="44">
        <v>1027.00652</v>
      </c>
      <c r="C43" s="44">
        <v>990.1106500000001</v>
      </c>
      <c r="D43" s="44">
        <v>1006.7672374999999</v>
      </c>
      <c r="E43" s="45">
        <v>1030.55425677</v>
      </c>
      <c r="F43" s="44">
        <v>1038.5151999999998</v>
      </c>
      <c r="G43" s="44">
        <v>939.2274599999998</v>
      </c>
      <c r="H43" s="44">
        <v>892.30748844</v>
      </c>
      <c r="I43" s="44">
        <v>0</v>
      </c>
    </row>
    <row r="44" spans="1:9" ht="14.25">
      <c r="A44" s="65"/>
      <c r="B44" s="60"/>
      <c r="C44" s="60"/>
      <c r="D44" s="60"/>
      <c r="E44" s="60"/>
      <c r="F44" s="44"/>
      <c r="G44" s="44"/>
      <c r="H44" s="44"/>
      <c r="I44" s="44"/>
    </row>
    <row r="45" spans="1:9" ht="14.25">
      <c r="A45" s="43"/>
      <c r="B45" s="60"/>
      <c r="C45" s="60"/>
      <c r="D45" s="60"/>
      <c r="E45" s="60"/>
      <c r="F45" s="44"/>
      <c r="G45" s="44"/>
      <c r="H45" s="44"/>
      <c r="I45" s="44"/>
    </row>
    <row r="46" spans="1:9" ht="16.5">
      <c r="A46" s="33" t="str">
        <f>HLOOKUP(INDICE!$F$2,Nombres!$C$3:$D$636,65,FALSE)</f>
        <v>Indicadores relevantes y de gestión</v>
      </c>
      <c r="B46" s="34"/>
      <c r="C46" s="34"/>
      <c r="D46" s="34"/>
      <c r="E46" s="34"/>
      <c r="F46" s="72"/>
      <c r="G46" s="72"/>
      <c r="H46" s="72"/>
      <c r="I46" s="72"/>
    </row>
    <row r="47" spans="1:9" ht="14.25">
      <c r="A47" s="35" t="str">
        <f>HLOOKUP(INDICE!$F$2,Nombres!$C$3:$D$636,32,FALSE)</f>
        <v>(Millones de euros)</v>
      </c>
      <c r="B47" s="30"/>
      <c r="C47" s="30"/>
      <c r="D47" s="30"/>
      <c r="E47" s="30"/>
      <c r="F47" s="73"/>
      <c r="G47" s="44"/>
      <c r="H47" s="44"/>
      <c r="I47" s="44"/>
    </row>
    <row r="48" spans="1:9" ht="14.25">
      <c r="A48" s="30"/>
      <c r="B48" s="55">
        <f aca="true" t="shared" si="7" ref="B48:I48">+B$30</f>
        <v>43555</v>
      </c>
      <c r="C48" s="55">
        <f t="shared" si="7"/>
        <v>43646</v>
      </c>
      <c r="D48" s="55">
        <f t="shared" si="7"/>
        <v>43738</v>
      </c>
      <c r="E48" s="71">
        <f t="shared" si="7"/>
        <v>43830</v>
      </c>
      <c r="F48" s="55">
        <f t="shared" si="7"/>
        <v>43921</v>
      </c>
      <c r="G48" s="55">
        <f t="shared" si="7"/>
        <v>44012</v>
      </c>
      <c r="H48" s="55">
        <f t="shared" si="7"/>
        <v>44104</v>
      </c>
      <c r="I48" s="55">
        <f t="shared" si="7"/>
        <v>44196</v>
      </c>
    </row>
    <row r="49" spans="1:9" ht="14.25">
      <c r="A49" s="43" t="str">
        <f>HLOOKUP(INDICE!$F$2,Nombres!$C$3:$D$636,66,FALSE)</f>
        <v>Préstamos y anticipos a la clientela bruto (*)</v>
      </c>
      <c r="B49" s="44">
        <v>12973.509963540002</v>
      </c>
      <c r="C49" s="44">
        <v>13003.4328028</v>
      </c>
      <c r="D49" s="44">
        <v>12942.576376660001</v>
      </c>
      <c r="E49" s="45">
        <v>13593.775513269999</v>
      </c>
      <c r="F49" s="44">
        <v>11721.699299310001</v>
      </c>
      <c r="G49" s="44">
        <v>12571.85612573</v>
      </c>
      <c r="H49" s="44">
        <v>11516.265511460002</v>
      </c>
      <c r="I49" s="44">
        <v>0</v>
      </c>
    </row>
    <row r="50" spans="1:9" ht="14.25">
      <c r="A50" s="43" t="str">
        <f>HLOOKUP(INDICE!$F$2,Nombres!$C$3:$D$636,67,FALSE)</f>
        <v>Depósitos de clientes en gestión (**)</v>
      </c>
      <c r="B50" s="44">
        <v>12798.73539784</v>
      </c>
      <c r="C50" s="44">
        <v>12726.477321519998</v>
      </c>
      <c r="D50" s="44">
        <v>12564.309956219999</v>
      </c>
      <c r="E50" s="45">
        <v>12695.685347200002</v>
      </c>
      <c r="F50" s="44">
        <v>12015.3979488</v>
      </c>
      <c r="G50" s="44">
        <v>13582.158241539999</v>
      </c>
      <c r="H50" s="44">
        <v>11346.93488211</v>
      </c>
      <c r="I50" s="44">
        <v>0</v>
      </c>
    </row>
    <row r="51" spans="1:9" ht="14.25">
      <c r="A51" s="43" t="str">
        <f>HLOOKUP(INDICE!$F$2,Nombres!$C$3:$D$636,68,FALSE)</f>
        <v>Fondos de inversión</v>
      </c>
      <c r="B51" s="44">
        <v>1449.22646717</v>
      </c>
      <c r="C51" s="44">
        <v>1430.7477092600002</v>
      </c>
      <c r="D51" s="44">
        <v>1472.7073664200002</v>
      </c>
      <c r="E51" s="45">
        <v>1389.1121834099997</v>
      </c>
      <c r="F51" s="44">
        <v>688.7781286700001</v>
      </c>
      <c r="G51" s="44">
        <v>1140.1636230000001</v>
      </c>
      <c r="H51" s="44">
        <v>1506.0115078100002</v>
      </c>
      <c r="I51" s="44">
        <v>0</v>
      </c>
    </row>
    <row r="52" spans="1:9" ht="14.25">
      <c r="A52" s="43" t="str">
        <f>HLOOKUP(INDICE!$F$2,Nombres!$C$3:$D$636,69,FALSE)</f>
        <v>Fondos de pensiones</v>
      </c>
      <c r="B52" s="44">
        <v>0</v>
      </c>
      <c r="C52" s="44">
        <v>0</v>
      </c>
      <c r="D52" s="44">
        <v>0</v>
      </c>
      <c r="E52" s="45">
        <v>0</v>
      </c>
      <c r="F52" s="44">
        <v>0</v>
      </c>
      <c r="G52" s="44">
        <v>0</v>
      </c>
      <c r="H52" s="44">
        <v>0</v>
      </c>
      <c r="I52" s="44">
        <v>0</v>
      </c>
    </row>
    <row r="53" spans="1:9" ht="14.25">
      <c r="A53" s="43" t="str">
        <f>HLOOKUP(INDICE!$F$2,Nombres!$C$3:$D$636,70,FALSE)</f>
        <v>Otros recursos fuera de balance</v>
      </c>
      <c r="B53" s="44">
        <v>0</v>
      </c>
      <c r="C53" s="44">
        <v>0</v>
      </c>
      <c r="D53" s="44">
        <v>0</v>
      </c>
      <c r="E53" s="45">
        <v>0</v>
      </c>
      <c r="F53" s="44">
        <v>0</v>
      </c>
      <c r="G53" s="44">
        <v>0</v>
      </c>
      <c r="H53" s="44">
        <v>0</v>
      </c>
      <c r="I53" s="44">
        <v>0</v>
      </c>
    </row>
    <row r="54" spans="1:9" ht="14.25">
      <c r="A54" s="65" t="str">
        <f>HLOOKUP(INDICE!$F$2,Nombres!$C$3:$D$636,71,FALSE)</f>
        <v>(*) No incluye las adquisiciones temporales de activos.</v>
      </c>
      <c r="B54" s="60"/>
      <c r="C54" s="60"/>
      <c r="D54" s="60"/>
      <c r="E54" s="60"/>
      <c r="F54" s="60"/>
      <c r="G54" s="60"/>
      <c r="H54" s="60"/>
      <c r="I54" s="60"/>
    </row>
    <row r="55" spans="1:9" ht="14.25">
      <c r="A55" s="65" t="str">
        <f>HLOOKUP(INDICE!$F$2,Nombres!$C$3:$D$636,72,FALSE)</f>
        <v>(**) No incluye las cesiones temporales de activos.</v>
      </c>
      <c r="B55" s="30"/>
      <c r="C55" s="30"/>
      <c r="D55" s="30"/>
      <c r="E55" s="30"/>
      <c r="F55" s="30"/>
      <c r="G55" s="30"/>
      <c r="H55" s="30"/>
      <c r="I55" s="30"/>
    </row>
    <row r="56" spans="1:9" ht="14.25">
      <c r="A56" s="65"/>
      <c r="B56" s="30"/>
      <c r="C56" s="30"/>
      <c r="D56" s="30"/>
      <c r="E56" s="30"/>
      <c r="F56" s="30"/>
      <c r="G56" s="30"/>
      <c r="H56" s="30"/>
      <c r="I56" s="30"/>
    </row>
    <row r="57" spans="1:9" ht="16.5">
      <c r="A57" s="33" t="str">
        <f>HLOOKUP(INDICE!$F$2,Nombres!$C$3:$D$636,31,FALSE)</f>
        <v>Cuenta de resultados  </v>
      </c>
      <c r="B57" s="34"/>
      <c r="C57" s="34"/>
      <c r="D57" s="34"/>
      <c r="E57" s="34"/>
      <c r="F57" s="34"/>
      <c r="G57" s="34"/>
      <c r="H57" s="34"/>
      <c r="I57" s="34"/>
    </row>
    <row r="58" spans="1:9" ht="14.25">
      <c r="A58" s="35" t="str">
        <f>HLOOKUP(INDICE!$F$2,Nombres!$C$3:$D$636,73,FALSE)</f>
        <v>(Millones de euros constantes)</v>
      </c>
      <c r="B58" s="30"/>
      <c r="C58" s="36"/>
      <c r="D58" s="36"/>
      <c r="E58" s="36"/>
      <c r="F58" s="30"/>
      <c r="G58" s="30"/>
      <c r="H58" s="30"/>
      <c r="I58" s="30"/>
    </row>
    <row r="59" spans="1:9" ht="14.25">
      <c r="A59" s="37"/>
      <c r="B59" s="30"/>
      <c r="C59" s="36"/>
      <c r="D59" s="36"/>
      <c r="E59" s="36"/>
      <c r="F59" s="30"/>
      <c r="G59" s="30"/>
      <c r="H59" s="30"/>
      <c r="I59" s="30"/>
    </row>
    <row r="60" spans="1:9" ht="14.25">
      <c r="A60" s="38"/>
      <c r="B60" s="305">
        <f>+B$6</f>
        <v>2019</v>
      </c>
      <c r="C60" s="305"/>
      <c r="D60" s="305"/>
      <c r="E60" s="306"/>
      <c r="F60" s="305">
        <f>+F$6</f>
        <v>2020</v>
      </c>
      <c r="G60" s="305"/>
      <c r="H60" s="305"/>
      <c r="I60" s="305"/>
    </row>
    <row r="61" spans="1:9" ht="14.25">
      <c r="A61" s="38"/>
      <c r="B61" s="39" t="str">
        <f>+B$7</f>
        <v>1er Trim.</v>
      </c>
      <c r="C61" s="39" t="str">
        <f aca="true" t="shared" si="8" ref="C61:I61">+C$7</f>
        <v>2º Trim.</v>
      </c>
      <c r="D61" s="39" t="str">
        <f t="shared" si="8"/>
        <v>3er Trim.</v>
      </c>
      <c r="E61" s="40" t="str">
        <f t="shared" si="8"/>
        <v>4º Trim.</v>
      </c>
      <c r="F61" s="39" t="str">
        <f t="shared" si="8"/>
        <v>1er Trim.</v>
      </c>
      <c r="G61" s="39" t="str">
        <f t="shared" si="8"/>
        <v>2º Trim.</v>
      </c>
      <c r="H61" s="39" t="str">
        <f t="shared" si="8"/>
        <v>3er Trim.</v>
      </c>
      <c r="I61" s="39" t="str">
        <f t="shared" si="8"/>
        <v>4º Trim.</v>
      </c>
    </row>
    <row r="62" spans="1:9" ht="14.25">
      <c r="A62" s="41" t="str">
        <f>HLOOKUP(INDICE!$F$2,Nombres!$C$3:$D$636,33,FALSE)</f>
        <v>Margen de intereses</v>
      </c>
      <c r="B62" s="41">
        <v>180.9903382808489</v>
      </c>
      <c r="C62" s="41">
        <v>180.2833585534845</v>
      </c>
      <c r="D62" s="41">
        <v>183.07768474607138</v>
      </c>
      <c r="E62" s="42">
        <v>186.41392788732088</v>
      </c>
      <c r="F62" s="52">
        <v>196.1440565983895</v>
      </c>
      <c r="G62" s="52">
        <v>196.79064301868584</v>
      </c>
      <c r="H62" s="52">
        <v>194.14130038292473</v>
      </c>
      <c r="I62" s="52">
        <v>0</v>
      </c>
    </row>
    <row r="63" spans="1:9" ht="14.25">
      <c r="A63" s="43" t="str">
        <f>HLOOKUP(INDICE!$F$2,Nombres!$C$3:$D$636,34,FALSE)</f>
        <v>Comisiones netas</v>
      </c>
      <c r="B63" s="44">
        <v>19.10393265226587</v>
      </c>
      <c r="C63" s="44">
        <v>20.328655723739725</v>
      </c>
      <c r="D63" s="44">
        <v>19.239991186972688</v>
      </c>
      <c r="E63" s="45">
        <v>18.446333100038604</v>
      </c>
      <c r="F63" s="44">
        <v>16.47016958048673</v>
      </c>
      <c r="G63" s="44">
        <v>12.109044270087221</v>
      </c>
      <c r="H63" s="44">
        <v>22.351094879426054</v>
      </c>
      <c r="I63" s="44">
        <v>0</v>
      </c>
    </row>
    <row r="64" spans="1:9" ht="14.25">
      <c r="A64" s="43" t="str">
        <f>HLOOKUP(INDICE!$F$2,Nombres!$C$3:$D$636,35,FALSE)</f>
        <v>Resultados de operaciones financieras</v>
      </c>
      <c r="B64" s="44">
        <v>17.264846005866822</v>
      </c>
      <c r="C64" s="44">
        <v>15.76518511795117</v>
      </c>
      <c r="D64" s="44">
        <v>11.204564665409885</v>
      </c>
      <c r="E64" s="45">
        <v>16.08867738990467</v>
      </c>
      <c r="F64" s="44">
        <v>4.490920842659813</v>
      </c>
      <c r="G64" s="44">
        <v>24.57463935291437</v>
      </c>
      <c r="H64" s="44">
        <v>28.425393924425833</v>
      </c>
      <c r="I64" s="44">
        <v>0</v>
      </c>
    </row>
    <row r="65" spans="1:9" ht="14.25">
      <c r="A65" s="43" t="str">
        <f>HLOOKUP(INDICE!$F$2,Nombres!$C$3:$D$636,36,FALSE)</f>
        <v>Otros ingresos y cargas de explotación</v>
      </c>
      <c r="B65" s="44">
        <v>7.149764960682026</v>
      </c>
      <c r="C65" s="44">
        <v>1.5070538336400947</v>
      </c>
      <c r="D65" s="44">
        <v>2.2114108705292144</v>
      </c>
      <c r="E65" s="45">
        <v>4.596471254954883</v>
      </c>
      <c r="F65" s="44">
        <v>-1.2590618909036966</v>
      </c>
      <c r="G65" s="44">
        <v>-1.8111445367424777</v>
      </c>
      <c r="H65" s="44">
        <v>-6.618793572353827</v>
      </c>
      <c r="I65" s="44">
        <v>0</v>
      </c>
    </row>
    <row r="66" spans="1:9" ht="14.25">
      <c r="A66" s="41" t="str">
        <f>HLOOKUP(INDICE!$F$2,Nombres!$C$3:$D$636,37,FALSE)</f>
        <v>Margen bruto</v>
      </c>
      <c r="B66" s="41">
        <f>+SUM(B62:B65)</f>
        <v>224.50888189966363</v>
      </c>
      <c r="C66" s="41">
        <f aca="true" t="shared" si="9" ref="C66:I66">+SUM(C62:C65)</f>
        <v>217.8842532288155</v>
      </c>
      <c r="D66" s="41">
        <f t="shared" si="9"/>
        <v>215.7336514689832</v>
      </c>
      <c r="E66" s="42">
        <f t="shared" si="9"/>
        <v>225.54540963221902</v>
      </c>
      <c r="F66" s="52">
        <f t="shared" si="9"/>
        <v>215.84608513063236</v>
      </c>
      <c r="G66" s="52">
        <f t="shared" si="9"/>
        <v>231.66318210494495</v>
      </c>
      <c r="H66" s="52">
        <f t="shared" si="9"/>
        <v>238.29899561442278</v>
      </c>
      <c r="I66" s="52">
        <f t="shared" si="9"/>
        <v>0</v>
      </c>
    </row>
    <row r="67" spans="1:9" ht="14.25">
      <c r="A67" s="43" t="str">
        <f>HLOOKUP(INDICE!$F$2,Nombres!$C$3:$D$636,38,FALSE)</f>
        <v>Gastos de explotación</v>
      </c>
      <c r="B67" s="44">
        <v>-79.88550429642427</v>
      </c>
      <c r="C67" s="44">
        <v>-76.44563849072216</v>
      </c>
      <c r="D67" s="44">
        <v>-79.88114865037267</v>
      </c>
      <c r="E67" s="45">
        <v>-83.98412780176118</v>
      </c>
      <c r="F67" s="44">
        <v>-84.85658310498104</v>
      </c>
      <c r="G67" s="44">
        <v>-74.38334378157624</v>
      </c>
      <c r="H67" s="44">
        <v>-79.95879392344274</v>
      </c>
      <c r="I67" s="44">
        <v>0</v>
      </c>
    </row>
    <row r="68" spans="1:9" ht="14.25">
      <c r="A68" s="43" t="str">
        <f>HLOOKUP(INDICE!$F$2,Nombres!$C$3:$D$636,39,FALSE)</f>
        <v>  Gastos de administración</v>
      </c>
      <c r="B68" s="44">
        <v>-73.5203758251512</v>
      </c>
      <c r="C68" s="44">
        <v>-70.04729788573658</v>
      </c>
      <c r="D68" s="44">
        <v>-72.84735385231923</v>
      </c>
      <c r="E68" s="45">
        <v>-75.81796782358897</v>
      </c>
      <c r="F68" s="44">
        <v>-77.7646478741361</v>
      </c>
      <c r="G68" s="44">
        <v>-67.09527528979993</v>
      </c>
      <c r="H68" s="44">
        <v>-72.66479764606399</v>
      </c>
      <c r="I68" s="44">
        <v>0</v>
      </c>
    </row>
    <row r="69" spans="1:9" ht="14.25">
      <c r="A69" s="46" t="str">
        <f>HLOOKUP(INDICE!$F$2,Nombres!$C$3:$D$636,40,FALSE)</f>
        <v>  Gastos de personal</v>
      </c>
      <c r="B69" s="44">
        <v>-38.42838405645714</v>
      </c>
      <c r="C69" s="44">
        <v>-36.253861133908785</v>
      </c>
      <c r="D69" s="44">
        <v>-37.80157335988616</v>
      </c>
      <c r="E69" s="45">
        <v>-37.171989284809925</v>
      </c>
      <c r="F69" s="44">
        <v>-39.524246213930084</v>
      </c>
      <c r="G69" s="44">
        <v>-33.74887489240505</v>
      </c>
      <c r="H69" s="44">
        <v>-36.074878893664874</v>
      </c>
      <c r="I69" s="44">
        <v>0</v>
      </c>
    </row>
    <row r="70" spans="1:9" ht="14.25">
      <c r="A70" s="46" t="str">
        <f>HLOOKUP(INDICE!$F$2,Nombres!$C$3:$D$636,41,FALSE)</f>
        <v>  Otros gastos de administración</v>
      </c>
      <c r="B70" s="44">
        <v>-35.09199176869407</v>
      </c>
      <c r="C70" s="44">
        <v>-33.7934367518278</v>
      </c>
      <c r="D70" s="44">
        <v>-35.04578049243307</v>
      </c>
      <c r="E70" s="45">
        <v>-38.64597853877904</v>
      </c>
      <c r="F70" s="44">
        <v>-38.24040166020602</v>
      </c>
      <c r="G70" s="44">
        <v>-33.34640039739487</v>
      </c>
      <c r="H70" s="44">
        <v>-36.589918752399115</v>
      </c>
      <c r="I70" s="44">
        <v>0</v>
      </c>
    </row>
    <row r="71" spans="1:9" ht="14.25">
      <c r="A71" s="43" t="str">
        <f>HLOOKUP(INDICE!$F$2,Nombres!$C$3:$D$636,42,FALSE)</f>
        <v>  Amortización</v>
      </c>
      <c r="B71" s="44">
        <v>-6.365128471273048</v>
      </c>
      <c r="C71" s="44">
        <v>-6.39834060498557</v>
      </c>
      <c r="D71" s="44">
        <v>-7.033794798053447</v>
      </c>
      <c r="E71" s="45">
        <v>-8.166159978172203</v>
      </c>
      <c r="F71" s="44">
        <v>-7.091935230844923</v>
      </c>
      <c r="G71" s="44">
        <v>-7.288068491776322</v>
      </c>
      <c r="H71" s="44">
        <v>-7.293996277378757</v>
      </c>
      <c r="I71" s="44">
        <v>0</v>
      </c>
    </row>
    <row r="72" spans="1:9" ht="14.25">
      <c r="A72" s="41" t="str">
        <f>HLOOKUP(INDICE!$F$2,Nombres!$C$3:$D$636,43,FALSE)</f>
        <v>Margen neto</v>
      </c>
      <c r="B72" s="41">
        <f>+B66+B67</f>
        <v>144.62337760323936</v>
      </c>
      <c r="C72" s="41">
        <f aca="true" t="shared" si="10" ref="C72:I72">+C66+C67</f>
        <v>141.43861473809335</v>
      </c>
      <c r="D72" s="41">
        <f t="shared" si="10"/>
        <v>135.85250281861053</v>
      </c>
      <c r="E72" s="42">
        <f t="shared" si="10"/>
        <v>141.56128183045786</v>
      </c>
      <c r="F72" s="52">
        <f t="shared" si="10"/>
        <v>130.98950202565132</v>
      </c>
      <c r="G72" s="52">
        <f t="shared" si="10"/>
        <v>157.27983832336872</v>
      </c>
      <c r="H72" s="52">
        <f t="shared" si="10"/>
        <v>158.34020169098005</v>
      </c>
      <c r="I72" s="52">
        <f t="shared" si="10"/>
        <v>0</v>
      </c>
    </row>
    <row r="73" spans="1:9" ht="14.25">
      <c r="A73" s="43" t="str">
        <f>HLOOKUP(INDICE!$F$2,Nombres!$C$3:$D$636,44,FALSE)</f>
        <v>Deterioro de activos financieros no valorados a valor razonable con cambios en resultados</v>
      </c>
      <c r="B73" s="44">
        <v>-62.09312314389325</v>
      </c>
      <c r="C73" s="44">
        <v>-40.794460740766574</v>
      </c>
      <c r="D73" s="44">
        <v>-35.93697293464803</v>
      </c>
      <c r="E73" s="45">
        <v>-52.89276880824414</v>
      </c>
      <c r="F73" s="44">
        <v>-121.39416060400865</v>
      </c>
      <c r="G73" s="44">
        <v>-88.880822911316</v>
      </c>
      <c r="H73" s="44">
        <v>-68.36301648467534</v>
      </c>
      <c r="I73" s="44">
        <v>0</v>
      </c>
    </row>
    <row r="74" spans="1:9" ht="14.25">
      <c r="A74" s="43" t="str">
        <f>HLOOKUP(INDICE!$F$2,Nombres!$C$3:$D$636,45,FALSE)</f>
        <v>Provisiones o reversión de provisiones y otros resultados</v>
      </c>
      <c r="B74" s="44">
        <v>-1.1162693411417484</v>
      </c>
      <c r="C74" s="44">
        <v>-5.515754724697163</v>
      </c>
      <c r="D74" s="44">
        <v>-2.6341855696491923</v>
      </c>
      <c r="E74" s="45">
        <v>-6.119139911297445</v>
      </c>
      <c r="F74" s="44">
        <v>-2.3496247926901734</v>
      </c>
      <c r="G74" s="44">
        <v>-9.69112756086944</v>
      </c>
      <c r="H74" s="44">
        <v>-4.798247646440386</v>
      </c>
      <c r="I74" s="44">
        <v>0</v>
      </c>
    </row>
    <row r="75" spans="1:9" ht="14.25">
      <c r="A75" s="41" t="str">
        <f>HLOOKUP(INDICE!$F$2,Nombres!$C$3:$D$636,46,FALSE)</f>
        <v>Resultado antes de impuestos</v>
      </c>
      <c r="B75" s="41">
        <f>+B72+B73+B74</f>
        <v>81.41398511820437</v>
      </c>
      <c r="C75" s="41">
        <f aca="true" t="shared" si="11" ref="C75:I75">+C72+C73+C74</f>
        <v>95.12839927262962</v>
      </c>
      <c r="D75" s="41">
        <f t="shared" si="11"/>
        <v>97.28134431431332</v>
      </c>
      <c r="E75" s="42">
        <f t="shared" si="11"/>
        <v>82.54937311091626</v>
      </c>
      <c r="F75" s="52">
        <f t="shared" si="11"/>
        <v>7.245716628952499</v>
      </c>
      <c r="G75" s="52">
        <f t="shared" si="11"/>
        <v>58.70788785118328</v>
      </c>
      <c r="H75" s="52">
        <f t="shared" si="11"/>
        <v>85.17893755986432</v>
      </c>
      <c r="I75" s="52">
        <f t="shared" si="11"/>
        <v>0</v>
      </c>
    </row>
    <row r="76" spans="1:9" ht="14.25">
      <c r="A76" s="43" t="str">
        <f>HLOOKUP(INDICE!$F$2,Nombres!$C$3:$D$636,47,FALSE)</f>
        <v>Impuesto sobre beneficios</v>
      </c>
      <c r="B76" s="44">
        <v>-29.466745753996655</v>
      </c>
      <c r="C76" s="44">
        <v>-29.890206441103786</v>
      </c>
      <c r="D76" s="44">
        <v>-34.35366176167966</v>
      </c>
      <c r="E76" s="45">
        <v>-17.972265455519437</v>
      </c>
      <c r="F76" s="44">
        <v>0.4217629205618181</v>
      </c>
      <c r="G76" s="44">
        <v>-17.92168406544232</v>
      </c>
      <c r="H76" s="44">
        <v>-27.208521475119504</v>
      </c>
      <c r="I76" s="44">
        <v>0</v>
      </c>
    </row>
    <row r="77" spans="1:9" ht="14.25">
      <c r="A77" s="41" t="str">
        <f>HLOOKUP(INDICE!$F$2,Nombres!$C$3:$D$636,48,FALSE)</f>
        <v>Resultado del ejercicio</v>
      </c>
      <c r="B77" s="41">
        <f>+B75+B76</f>
        <v>51.94723936420771</v>
      </c>
      <c r="C77" s="41">
        <f aca="true" t="shared" si="12" ref="C77:I77">+C75+C76</f>
        <v>65.23819283152584</v>
      </c>
      <c r="D77" s="41">
        <f t="shared" si="12"/>
        <v>62.927682552633655</v>
      </c>
      <c r="E77" s="42">
        <f t="shared" si="12"/>
        <v>64.57710765539683</v>
      </c>
      <c r="F77" s="52">
        <f t="shared" si="12"/>
        <v>7.667479549514317</v>
      </c>
      <c r="G77" s="52">
        <f t="shared" si="12"/>
        <v>40.78620378574096</v>
      </c>
      <c r="H77" s="52">
        <f t="shared" si="12"/>
        <v>57.97041608474482</v>
      </c>
      <c r="I77" s="52">
        <f t="shared" si="12"/>
        <v>0</v>
      </c>
    </row>
    <row r="78" spans="1:9" ht="14.25">
      <c r="A78" s="43" t="str">
        <f>HLOOKUP(INDICE!$F$2,Nombres!$C$3:$D$636,49,FALSE)</f>
        <v>Minoritarios</v>
      </c>
      <c r="B78" s="44">
        <v>-1.9974196914937017</v>
      </c>
      <c r="C78" s="44">
        <v>-2.4863258966853357</v>
      </c>
      <c r="D78" s="44">
        <v>-2.4045363643273676</v>
      </c>
      <c r="E78" s="45">
        <v>-2.4806600785703363</v>
      </c>
      <c r="F78" s="44">
        <v>0.0939004239371799</v>
      </c>
      <c r="G78" s="44">
        <v>-1.4694863979718853</v>
      </c>
      <c r="H78" s="44">
        <v>-2.1315513859652944</v>
      </c>
      <c r="I78" s="44">
        <v>0</v>
      </c>
    </row>
    <row r="79" spans="1:9" ht="14.25">
      <c r="A79" s="47" t="str">
        <f>HLOOKUP(INDICE!$F$2,Nombres!$C$3:$D$636,50,FALSE)</f>
        <v>Resultado atribuido</v>
      </c>
      <c r="B79" s="47">
        <f>+B77+B78</f>
        <v>49.94981967271401</v>
      </c>
      <c r="C79" s="47">
        <f aca="true" t="shared" si="13" ref="C79:I79">+C77+C78</f>
        <v>62.7518669348405</v>
      </c>
      <c r="D79" s="47">
        <f t="shared" si="13"/>
        <v>60.523146188306285</v>
      </c>
      <c r="E79" s="47">
        <f t="shared" si="13"/>
        <v>62.09644757682649</v>
      </c>
      <c r="F79" s="53">
        <f t="shared" si="13"/>
        <v>7.761379973451497</v>
      </c>
      <c r="G79" s="53">
        <f t="shared" si="13"/>
        <v>39.316717387769074</v>
      </c>
      <c r="H79" s="53">
        <f t="shared" si="13"/>
        <v>55.838864698779524</v>
      </c>
      <c r="I79" s="53">
        <f t="shared" si="13"/>
        <v>0</v>
      </c>
    </row>
    <row r="80" spans="1:9" ht="14.25">
      <c r="A80" s="65"/>
      <c r="B80" s="66">
        <v>0</v>
      </c>
      <c r="C80" s="66">
        <v>0</v>
      </c>
      <c r="D80" s="66">
        <v>5.684341886080802E-14</v>
      </c>
      <c r="E80" s="66">
        <v>0</v>
      </c>
      <c r="F80" s="66">
        <v>7.105427357601002E-15</v>
      </c>
      <c r="G80" s="66">
        <v>0</v>
      </c>
      <c r="H80" s="66">
        <v>0</v>
      </c>
      <c r="I80" s="66">
        <v>0</v>
      </c>
    </row>
    <row r="81" spans="1:9" ht="14.25">
      <c r="A81" s="41"/>
      <c r="B81" s="41"/>
      <c r="C81" s="41"/>
      <c r="D81" s="41"/>
      <c r="E81" s="41"/>
      <c r="F81" s="52"/>
      <c r="G81" s="52"/>
      <c r="H81" s="52"/>
      <c r="I81" s="52"/>
    </row>
    <row r="82" spans="1:9" ht="16.5">
      <c r="A82" s="33" t="str">
        <f>HLOOKUP(INDICE!$F$2,Nombres!$C$3:$D$636,51,FALSE)</f>
        <v>Balances</v>
      </c>
      <c r="B82" s="34"/>
      <c r="C82" s="34"/>
      <c r="D82" s="34"/>
      <c r="E82" s="34"/>
      <c r="F82" s="72"/>
      <c r="G82" s="72"/>
      <c r="H82" s="72"/>
      <c r="I82" s="72"/>
    </row>
    <row r="83" spans="1:9" ht="14.25">
      <c r="A83" s="35" t="str">
        <f>HLOOKUP(INDICE!$F$2,Nombres!$C$3:$D$636,73,FALSE)</f>
        <v>(Millones de euros constantes)</v>
      </c>
      <c r="B83" s="30"/>
      <c r="C83" s="54"/>
      <c r="D83" s="54"/>
      <c r="E83" s="54"/>
      <c r="F83" s="73"/>
      <c r="G83" s="44"/>
      <c r="H83" s="44"/>
      <c r="I83" s="44"/>
    </row>
    <row r="84" spans="1:9" ht="14.25">
      <c r="A84" s="30"/>
      <c r="B84" s="55">
        <f aca="true" t="shared" si="14" ref="B84:I84">+B$30</f>
        <v>43555</v>
      </c>
      <c r="C84" s="55">
        <f t="shared" si="14"/>
        <v>43646</v>
      </c>
      <c r="D84" s="55">
        <f t="shared" si="14"/>
        <v>43738</v>
      </c>
      <c r="E84" s="71">
        <f t="shared" si="14"/>
        <v>43830</v>
      </c>
      <c r="F84" s="55">
        <f t="shared" si="14"/>
        <v>43921</v>
      </c>
      <c r="G84" s="55">
        <f t="shared" si="14"/>
        <v>44012</v>
      </c>
      <c r="H84" s="55">
        <f t="shared" si="14"/>
        <v>44104</v>
      </c>
      <c r="I84" s="55">
        <f t="shared" si="14"/>
        <v>44196</v>
      </c>
    </row>
    <row r="85" spans="1:9" ht="14.25">
      <c r="A85" s="43" t="str">
        <f>HLOOKUP(INDICE!$F$2,Nombres!$C$3:$D$636,52,FALSE)</f>
        <v>Efectivo, saldos en efectivo en bancos centrales y otros depósitos a la vista</v>
      </c>
      <c r="B85" s="44">
        <v>1452.0918194201754</v>
      </c>
      <c r="C85" s="44">
        <v>1236.9060678031651</v>
      </c>
      <c r="D85" s="44">
        <v>1033.0525654003013</v>
      </c>
      <c r="E85" s="45">
        <v>1151.7138222610292</v>
      </c>
      <c r="F85" s="44">
        <v>1265.4551798242571</v>
      </c>
      <c r="G85" s="44">
        <v>2058.1264800510676</v>
      </c>
      <c r="H85" s="44">
        <v>1261.511</v>
      </c>
      <c r="I85" s="44">
        <v>0</v>
      </c>
    </row>
    <row r="86" spans="1:9" ht="14.25">
      <c r="A86" s="43" t="str">
        <f>HLOOKUP(INDICE!$F$2,Nombres!$C$3:$D$636,53,FALSE)</f>
        <v>Activos financieros a valor razonable</v>
      </c>
      <c r="B86" s="60">
        <v>2359.889874227326</v>
      </c>
      <c r="C86" s="60">
        <v>2430.8273884703017</v>
      </c>
      <c r="D86" s="60">
        <v>2393.882586132681</v>
      </c>
      <c r="E86" s="68">
        <v>2203.687642530452</v>
      </c>
      <c r="F86" s="44">
        <v>3374.9089914392403</v>
      </c>
      <c r="G86" s="44">
        <v>2853.7219026168427</v>
      </c>
      <c r="H86" s="44">
        <v>2668.4839999999995</v>
      </c>
      <c r="I86" s="44">
        <v>0</v>
      </c>
    </row>
    <row r="87" spans="1:9" ht="14.25">
      <c r="A87" s="43" t="str">
        <f>HLOOKUP(INDICE!$F$2,Nombres!$C$3:$D$636,54,FALSE)</f>
        <v>Activos financieros a coste amortizado</v>
      </c>
      <c r="B87" s="44">
        <v>10112.75245766468</v>
      </c>
      <c r="C87" s="44">
        <v>10311.852805201583</v>
      </c>
      <c r="D87" s="44">
        <v>10674.75116688612</v>
      </c>
      <c r="E87" s="45">
        <v>10934.696397704427</v>
      </c>
      <c r="F87" s="44">
        <v>11364.602931602007</v>
      </c>
      <c r="G87" s="44">
        <v>11703.062854854054</v>
      </c>
      <c r="H87" s="44">
        <v>11589.310999999998</v>
      </c>
      <c r="I87" s="44">
        <v>0</v>
      </c>
    </row>
    <row r="88" spans="1:9" ht="14.25">
      <c r="A88" s="43" t="str">
        <f>HLOOKUP(INDICE!$F$2,Nombres!$C$3:$D$636,55,FALSE)</f>
        <v>    de los que préstamos y anticipos a la clientela</v>
      </c>
      <c r="B88" s="44">
        <v>9682.178557934996</v>
      </c>
      <c r="C88" s="44">
        <v>9876.005431295274</v>
      </c>
      <c r="D88" s="44">
        <v>10226.434310634779</v>
      </c>
      <c r="E88" s="45">
        <v>10476.023876049421</v>
      </c>
      <c r="F88" s="44">
        <v>10853.5519328655</v>
      </c>
      <c r="G88" s="44">
        <v>10972.669976559517</v>
      </c>
      <c r="H88" s="44">
        <v>10816.897</v>
      </c>
      <c r="I88" s="44">
        <v>0</v>
      </c>
    </row>
    <row r="89" spans="1:9" ht="14.25">
      <c r="A89" s="43" t="str">
        <f>HLOOKUP(INDICE!$F$2,Nombres!$C$3:$D$636,56,FALSE)</f>
        <v>Activos tangibles</v>
      </c>
      <c r="B89" s="44">
        <v>118.06471065013005</v>
      </c>
      <c r="C89" s="44">
        <v>119.4933188328456</v>
      </c>
      <c r="D89" s="44">
        <v>119.90189861296875</v>
      </c>
      <c r="E89" s="45">
        <v>116.92579197528596</v>
      </c>
      <c r="F89" s="44">
        <v>113.2389289043862</v>
      </c>
      <c r="G89" s="44">
        <v>112.43173087559518</v>
      </c>
      <c r="H89" s="44">
        <v>109.39200000000002</v>
      </c>
      <c r="I89" s="44">
        <v>0</v>
      </c>
    </row>
    <row r="90" spans="1:9" ht="14.25">
      <c r="A90" s="43" t="str">
        <f>HLOOKUP(INDICE!$F$2,Nombres!$C$3:$D$636,57,FALSE)</f>
        <v>Otros activos</v>
      </c>
      <c r="B90" s="60">
        <f>+B91-B89-B87-B86-B85</f>
        <v>284.5005639611941</v>
      </c>
      <c r="C90" s="60">
        <f aca="true" t="shared" si="15" ref="C90:I90">+C91-C89-C87-C86-C85</f>
        <v>309.9079052690431</v>
      </c>
      <c r="D90" s="60">
        <f t="shared" si="15"/>
        <v>389.0009190077649</v>
      </c>
      <c r="E90" s="68">
        <f t="shared" si="15"/>
        <v>297.80298895163423</v>
      </c>
      <c r="F90" s="44">
        <f t="shared" si="15"/>
        <v>650.0289896776655</v>
      </c>
      <c r="G90" s="44">
        <f t="shared" si="15"/>
        <v>442.590225171366</v>
      </c>
      <c r="H90" s="44">
        <f t="shared" si="15"/>
        <v>475.16898298000297</v>
      </c>
      <c r="I90" s="44">
        <f t="shared" si="15"/>
        <v>0</v>
      </c>
    </row>
    <row r="91" spans="1:9" ht="14.25">
      <c r="A91" s="47" t="str">
        <f>HLOOKUP(INDICE!$F$2,Nombres!$C$3:$D$636,58,FALSE)</f>
        <v>Total activo / pasivo</v>
      </c>
      <c r="B91" s="47">
        <v>14327.299425923504</v>
      </c>
      <c r="C91" s="47">
        <v>14408.987485576938</v>
      </c>
      <c r="D91" s="47">
        <v>14610.589136039836</v>
      </c>
      <c r="E91" s="47">
        <v>14704.826643422828</v>
      </c>
      <c r="F91" s="53">
        <v>16768.235021447555</v>
      </c>
      <c r="G91" s="53">
        <v>17169.933193568926</v>
      </c>
      <c r="H91" s="53">
        <v>16103.86698298</v>
      </c>
      <c r="I91" s="53">
        <v>0</v>
      </c>
    </row>
    <row r="92" spans="1:9" ht="14.25">
      <c r="A92" s="43" t="str">
        <f>HLOOKUP(INDICE!$F$2,Nombres!$C$3:$D$636,59,FALSE)</f>
        <v>Pasivos financieros mantenidos para negociar y designados a valor razonable con cambios en resultados</v>
      </c>
      <c r="B92" s="60">
        <v>1708.3564116821904</v>
      </c>
      <c r="C92" s="60">
        <v>1393.7079006917124</v>
      </c>
      <c r="D92" s="60">
        <v>1187.2832991422313</v>
      </c>
      <c r="E92" s="68">
        <v>1350.0872883514237</v>
      </c>
      <c r="F92" s="44">
        <v>1703.8047033876373</v>
      </c>
      <c r="G92" s="44">
        <v>1525.6731739210168</v>
      </c>
      <c r="H92" s="44">
        <v>1378.6170000000002</v>
      </c>
      <c r="I92" s="44">
        <v>0</v>
      </c>
    </row>
    <row r="93" spans="1:9" ht="14.25">
      <c r="A93" s="43" t="str">
        <f>HLOOKUP(INDICE!$F$2,Nombres!$C$3:$D$636,60,FALSE)</f>
        <v>Depósitos de bancos centrales y entidades de crédito</v>
      </c>
      <c r="B93" s="60">
        <v>198.05676299134836</v>
      </c>
      <c r="C93" s="60">
        <v>252.29153572708628</v>
      </c>
      <c r="D93" s="60">
        <v>361.31356298381394</v>
      </c>
      <c r="E93" s="68">
        <v>481.32452776415215</v>
      </c>
      <c r="F93" s="44">
        <v>531.394742298487</v>
      </c>
      <c r="G93" s="44">
        <v>413.68196271106046</v>
      </c>
      <c r="H93" s="44">
        <v>603.055</v>
      </c>
      <c r="I93" s="44">
        <v>0</v>
      </c>
    </row>
    <row r="94" spans="1:9" ht="14.25">
      <c r="A94" s="43" t="str">
        <f>HLOOKUP(INDICE!$F$2,Nombres!$C$3:$D$636,61,FALSE)</f>
        <v>Depósitos de la clientela</v>
      </c>
      <c r="B94" s="60">
        <v>10010.343874575003</v>
      </c>
      <c r="C94" s="60">
        <v>10187.622215203748</v>
      </c>
      <c r="D94" s="60">
        <v>10421.589704148644</v>
      </c>
      <c r="E94" s="68">
        <v>10283.949164118141</v>
      </c>
      <c r="F94" s="44">
        <v>11774.584376619907</v>
      </c>
      <c r="G94" s="44">
        <v>12580.685819717422</v>
      </c>
      <c r="H94" s="44">
        <v>11346.935</v>
      </c>
      <c r="I94" s="44">
        <v>0</v>
      </c>
    </row>
    <row r="95" spans="1:9" ht="14.25">
      <c r="A95" s="43" t="str">
        <f>HLOOKUP(INDICE!$F$2,Nombres!$C$3:$D$636,62,FALSE)</f>
        <v>Valores representativos de deuda emitidos</v>
      </c>
      <c r="B95" s="44">
        <v>491.00704153970037</v>
      </c>
      <c r="C95" s="44">
        <v>496.04188290521546</v>
      </c>
      <c r="D95" s="44">
        <v>493.08977213261284</v>
      </c>
      <c r="E95" s="45">
        <v>469.62522016771476</v>
      </c>
      <c r="F95" s="44">
        <v>557.9153508318798</v>
      </c>
      <c r="G95" s="44">
        <v>528.5846595282771</v>
      </c>
      <c r="H95" s="44">
        <v>544.624</v>
      </c>
      <c r="I95" s="44">
        <v>0</v>
      </c>
    </row>
    <row r="96" spans="1:9" ht="14.25">
      <c r="A96" s="43" t="str">
        <f>HLOOKUP(INDICE!$F$2,Nombres!$C$3:$D$636,63,FALSE)</f>
        <v>Otros pasivos</v>
      </c>
      <c r="B96" s="60">
        <f>+B91-B92-B93-B94-B95-B97</f>
        <v>1108.81859623863</v>
      </c>
      <c r="C96" s="60">
        <f aca="true" t="shared" si="16" ref="C96:I96">+C91-C92-C93-C94-C95-C97</f>
        <v>1286.0848791065264</v>
      </c>
      <c r="D96" s="60">
        <f t="shared" si="16"/>
        <v>1311.614313509861</v>
      </c>
      <c r="E96" s="68">
        <f t="shared" si="16"/>
        <v>1284.4211494536253</v>
      </c>
      <c r="F96" s="44">
        <f t="shared" si="16"/>
        <v>1182.1570324406096</v>
      </c>
      <c r="G96" s="44">
        <f t="shared" si="16"/>
        <v>1250.7902989605932</v>
      </c>
      <c r="H96" s="44">
        <f t="shared" si="16"/>
        <v>1338.3284945400003</v>
      </c>
      <c r="I96" s="44">
        <f t="shared" si="16"/>
        <v>0</v>
      </c>
    </row>
    <row r="97" spans="1:9" ht="14.25">
      <c r="A97" s="43" t="str">
        <f>HLOOKUP(INDICE!$F$2,Nombres!$C$3:$D$636,64,FALSE)</f>
        <v>Dotación de capital económico</v>
      </c>
      <c r="B97" s="44">
        <v>810.7167388966323</v>
      </c>
      <c r="C97" s="44">
        <v>793.2390719426488</v>
      </c>
      <c r="D97" s="44">
        <v>835.698484122673</v>
      </c>
      <c r="E97" s="45">
        <v>835.4192935677701</v>
      </c>
      <c r="F97" s="44">
        <v>1018.3788158690347</v>
      </c>
      <c r="G97" s="44">
        <v>870.5172787305561</v>
      </c>
      <c r="H97" s="44">
        <v>892.30748844</v>
      </c>
      <c r="I97" s="44">
        <v>0</v>
      </c>
    </row>
    <row r="98" spans="1:9" ht="14.25">
      <c r="A98" s="65"/>
      <c r="B98" s="60"/>
      <c r="C98" s="60"/>
      <c r="D98" s="60"/>
      <c r="E98" s="60"/>
      <c r="F98" s="44"/>
      <c r="G98" s="44"/>
      <c r="H98" s="44"/>
      <c r="I98" s="44"/>
    </row>
    <row r="99" spans="1:9" ht="14.25">
      <c r="A99" s="43"/>
      <c r="B99" s="60"/>
      <c r="C99" s="60"/>
      <c r="D99" s="60"/>
      <c r="E99" s="60"/>
      <c r="F99" s="44"/>
      <c r="G99" s="44"/>
      <c r="H99" s="44"/>
      <c r="I99" s="44"/>
    </row>
    <row r="100" spans="1:9" ht="16.5">
      <c r="A100" s="33" t="str">
        <f>HLOOKUP(INDICE!$F$2,Nombres!$C$3:$D$636,65,FALSE)</f>
        <v>Indicadores relevantes y de gestión</v>
      </c>
      <c r="B100" s="34"/>
      <c r="C100" s="34"/>
      <c r="D100" s="34"/>
      <c r="E100" s="34"/>
      <c r="F100" s="72"/>
      <c r="G100" s="72"/>
      <c r="H100" s="72"/>
      <c r="I100" s="72"/>
    </row>
    <row r="101" spans="1:9" ht="14.25">
      <c r="A101" s="35" t="str">
        <f>HLOOKUP(INDICE!$F$2,Nombres!$C$3:$D$636,73,FALSE)</f>
        <v>(Millones de euros constantes)</v>
      </c>
      <c r="B101" s="30"/>
      <c r="C101" s="30"/>
      <c r="D101" s="30"/>
      <c r="E101" s="30"/>
      <c r="F101" s="73"/>
      <c r="G101" s="44"/>
      <c r="H101" s="44"/>
      <c r="I101" s="44"/>
    </row>
    <row r="102" spans="1:9" ht="14.25">
      <c r="A102" s="30"/>
      <c r="B102" s="55">
        <f aca="true" t="shared" si="17" ref="B102:I102">+B$30</f>
        <v>43555</v>
      </c>
      <c r="C102" s="55">
        <f t="shared" si="17"/>
        <v>43646</v>
      </c>
      <c r="D102" s="55">
        <f t="shared" si="17"/>
        <v>43738</v>
      </c>
      <c r="E102" s="71">
        <f t="shared" si="17"/>
        <v>43830</v>
      </c>
      <c r="F102" s="55">
        <f t="shared" si="17"/>
        <v>43921</v>
      </c>
      <c r="G102" s="55">
        <f t="shared" si="17"/>
        <v>44012</v>
      </c>
      <c r="H102" s="55">
        <f t="shared" si="17"/>
        <v>44104</v>
      </c>
      <c r="I102" s="55">
        <f t="shared" si="17"/>
        <v>44196</v>
      </c>
    </row>
    <row r="103" spans="1:9" ht="14.25">
      <c r="A103" s="43" t="str">
        <f>HLOOKUP(INDICE!$F$2,Nombres!$C$3:$D$636,66,FALSE)</f>
        <v>Préstamos y anticipos a la clientela bruto (*)</v>
      </c>
      <c r="B103" s="44">
        <v>10241.2608730898</v>
      </c>
      <c r="C103" s="44">
        <v>10417.856800713804</v>
      </c>
      <c r="D103" s="44">
        <v>10743.388397774199</v>
      </c>
      <c r="E103" s="45">
        <v>11019.800521525985</v>
      </c>
      <c r="F103" s="44">
        <v>11494.420353601194</v>
      </c>
      <c r="G103" s="44">
        <v>11652.148653279954</v>
      </c>
      <c r="H103" s="44">
        <v>11516.265511460002</v>
      </c>
      <c r="I103" s="44">
        <v>0</v>
      </c>
    </row>
    <row r="104" spans="1:9" ht="14.25">
      <c r="A104" s="43" t="str">
        <f>HLOOKUP(INDICE!$F$2,Nombres!$C$3:$D$636,67,FALSE)</f>
        <v>Depósitos de clientes en gestión (**)</v>
      </c>
      <c r="B104" s="44">
        <v>10103.294206679173</v>
      </c>
      <c r="C104" s="44">
        <v>10195.970581289768</v>
      </c>
      <c r="D104" s="44">
        <v>10429.396580816392</v>
      </c>
      <c r="E104" s="45">
        <v>10291.763305465265</v>
      </c>
      <c r="F104" s="44">
        <v>11782.424306639106</v>
      </c>
      <c r="G104" s="44">
        <v>12588.541045971118</v>
      </c>
      <c r="H104" s="44">
        <v>11346.93488211</v>
      </c>
      <c r="I104" s="44">
        <v>0</v>
      </c>
    </row>
    <row r="105" spans="1:9" ht="14.25">
      <c r="A105" s="43" t="str">
        <f>HLOOKUP(INDICE!$F$2,Nombres!$C$3:$D$636,68,FALSE)</f>
        <v>Fondos de inversión</v>
      </c>
      <c r="B105" s="44">
        <v>1144.0162574496117</v>
      </c>
      <c r="C105" s="44">
        <v>1146.2607589136355</v>
      </c>
      <c r="D105" s="44">
        <v>1222.4665919102163</v>
      </c>
      <c r="E105" s="45">
        <v>1126.0844456535626</v>
      </c>
      <c r="F105" s="44">
        <v>675.4230030253234</v>
      </c>
      <c r="G105" s="44">
        <v>1056.7537435516758</v>
      </c>
      <c r="H105" s="44">
        <v>1506.0115078100002</v>
      </c>
      <c r="I105" s="44">
        <v>0</v>
      </c>
    </row>
    <row r="106" spans="1:9" ht="14.25">
      <c r="A106" s="43" t="str">
        <f>HLOOKUP(INDICE!$F$2,Nombres!$C$3:$D$636,69,FALSE)</f>
        <v>Fondos de pensiones</v>
      </c>
      <c r="B106" s="44">
        <v>0</v>
      </c>
      <c r="C106" s="44">
        <v>0</v>
      </c>
      <c r="D106" s="44">
        <v>0</v>
      </c>
      <c r="E106" s="45">
        <v>0</v>
      </c>
      <c r="F106" s="44">
        <v>0</v>
      </c>
      <c r="G106" s="44">
        <v>0</v>
      </c>
      <c r="H106" s="44">
        <v>0</v>
      </c>
      <c r="I106" s="44">
        <v>0</v>
      </c>
    </row>
    <row r="107" spans="1:9" ht="14.25">
      <c r="A107" s="43" t="str">
        <f>HLOOKUP(INDICE!$F$2,Nombres!$C$3:$D$636,70,FALSE)</f>
        <v>Otros recursos fuera de balance</v>
      </c>
      <c r="B107" s="44">
        <v>0</v>
      </c>
      <c r="C107" s="44">
        <v>0</v>
      </c>
      <c r="D107" s="44">
        <v>0</v>
      </c>
      <c r="E107" s="45">
        <v>0</v>
      </c>
      <c r="F107" s="44">
        <v>0</v>
      </c>
      <c r="G107" s="44">
        <v>0</v>
      </c>
      <c r="H107" s="44">
        <v>0</v>
      </c>
      <c r="I107" s="44">
        <v>0</v>
      </c>
    </row>
    <row r="108" spans="1:9" ht="14.25">
      <c r="A108" s="65" t="str">
        <f>HLOOKUP(INDICE!$F$2,Nombres!$C$3:$D$636,71,FALSE)</f>
        <v>(*) No incluye las adquisiciones temporales de activos.</v>
      </c>
      <c r="B108" s="60"/>
      <c r="C108" s="60"/>
      <c r="D108" s="60"/>
      <c r="E108" s="60"/>
      <c r="F108" s="60"/>
      <c r="G108" s="60"/>
      <c r="H108" s="60"/>
      <c r="I108" s="60"/>
    </row>
    <row r="109" spans="1:9" ht="14.25">
      <c r="A109" s="65" t="str">
        <f>HLOOKUP(INDICE!$F$2,Nombres!$C$3:$D$636,72,FALSE)</f>
        <v>(**) No incluye las cesiones temporales de activos.</v>
      </c>
      <c r="B109" s="30"/>
      <c r="C109" s="30"/>
      <c r="D109" s="30"/>
      <c r="E109" s="30"/>
      <c r="F109" s="30"/>
      <c r="G109" s="30"/>
      <c r="H109" s="30"/>
      <c r="I109" s="30"/>
    </row>
    <row r="110" spans="1:9" ht="14.25">
      <c r="A110" s="65"/>
      <c r="B110" s="60"/>
      <c r="C110" s="44"/>
      <c r="D110" s="44"/>
      <c r="E110" s="44"/>
      <c r="F110" s="44"/>
      <c r="G110" s="30"/>
      <c r="H110" s="30"/>
      <c r="I110" s="30"/>
    </row>
    <row r="111" spans="1:9" ht="16.5">
      <c r="A111" s="33" t="str">
        <f>HLOOKUP(INDICE!$F$2,Nombres!$C$3:$D$636,31,FALSE)</f>
        <v>Cuenta de resultados  </v>
      </c>
      <c r="B111" s="34"/>
      <c r="C111" s="34"/>
      <c r="D111" s="34"/>
      <c r="E111" s="34"/>
      <c r="F111" s="34"/>
      <c r="G111" s="34"/>
      <c r="H111" s="34"/>
      <c r="I111" s="34"/>
    </row>
    <row r="112" spans="1:9" ht="14.25">
      <c r="A112" s="35" t="str">
        <f>HLOOKUP(INDICE!$F$2,Nombres!$C$3:$D$636,75,FALSE)</f>
        <v>(Millones de pesos colombianos)</v>
      </c>
      <c r="B112" s="30"/>
      <c r="C112" s="36"/>
      <c r="D112" s="36"/>
      <c r="E112" s="36"/>
      <c r="F112" s="30"/>
      <c r="G112" s="30"/>
      <c r="H112" s="30"/>
      <c r="I112" s="30"/>
    </row>
    <row r="113" spans="1:9" ht="14.25">
      <c r="A113" s="37"/>
      <c r="B113" s="30"/>
      <c r="C113" s="36"/>
      <c r="D113" s="36"/>
      <c r="E113" s="36"/>
      <c r="F113" s="30"/>
      <c r="G113" s="30"/>
      <c r="H113" s="30"/>
      <c r="I113" s="30"/>
    </row>
    <row r="114" spans="1:9" ht="14.25">
      <c r="A114" s="38"/>
      <c r="B114" s="305">
        <f>+B$6</f>
        <v>2019</v>
      </c>
      <c r="C114" s="305"/>
      <c r="D114" s="305"/>
      <c r="E114" s="306"/>
      <c r="F114" s="305">
        <f>+F$6</f>
        <v>2020</v>
      </c>
      <c r="G114" s="305"/>
      <c r="H114" s="305"/>
      <c r="I114" s="305"/>
    </row>
    <row r="115" spans="1:9" ht="14.25">
      <c r="A115" s="38"/>
      <c r="B115" s="39" t="str">
        <f>+B$7</f>
        <v>1er Trim.</v>
      </c>
      <c r="C115" s="39" t="str">
        <f aca="true" t="shared" si="18" ref="C115:I115">+C$7</f>
        <v>2º Trim.</v>
      </c>
      <c r="D115" s="39" t="str">
        <f t="shared" si="18"/>
        <v>3er Trim.</v>
      </c>
      <c r="E115" s="40" t="str">
        <f t="shared" si="18"/>
        <v>4º Trim.</v>
      </c>
      <c r="F115" s="39" t="str">
        <f t="shared" si="18"/>
        <v>1er Trim.</v>
      </c>
      <c r="G115" s="39" t="str">
        <f t="shared" si="18"/>
        <v>2º Trim.</v>
      </c>
      <c r="H115" s="39" t="str">
        <f t="shared" si="18"/>
        <v>3er Trim.</v>
      </c>
      <c r="I115" s="39" t="str">
        <f t="shared" si="18"/>
        <v>4º Trim.</v>
      </c>
    </row>
    <row r="116" spans="1:9" ht="14.25">
      <c r="A116" s="41" t="str">
        <f>HLOOKUP(INDICE!$F$2,Nombres!$C$3:$D$636,33,FALSE)</f>
        <v>Margen de intereses</v>
      </c>
      <c r="B116" s="41">
        <v>754126.4126457308</v>
      </c>
      <c r="C116" s="41">
        <v>751180.6637694385</v>
      </c>
      <c r="D116" s="41">
        <v>762823.6896203957</v>
      </c>
      <c r="E116" s="42">
        <v>776724.7027668566</v>
      </c>
      <c r="F116" s="52">
        <v>817266.9058985681</v>
      </c>
      <c r="G116" s="52">
        <v>819961.0159943618</v>
      </c>
      <c r="H116" s="52">
        <v>808922.088299362</v>
      </c>
      <c r="I116" s="52">
        <v>0</v>
      </c>
    </row>
    <row r="117" spans="1:9" ht="14.25">
      <c r="A117" s="43" t="str">
        <f>HLOOKUP(INDICE!$F$2,Nombres!$C$3:$D$636,34,FALSE)</f>
        <v>Comisiones netas</v>
      </c>
      <c r="B117" s="44">
        <v>79599.71971610661</v>
      </c>
      <c r="C117" s="44">
        <v>84702.7325351769</v>
      </c>
      <c r="D117" s="44">
        <v>80166.63027974711</v>
      </c>
      <c r="E117" s="45">
        <v>76859.72157040972</v>
      </c>
      <c r="F117" s="44">
        <v>68625.70687130185</v>
      </c>
      <c r="G117" s="44">
        <v>50454.35133558986</v>
      </c>
      <c r="H117" s="44">
        <v>93129.5623856484</v>
      </c>
      <c r="I117" s="44">
        <v>0</v>
      </c>
    </row>
    <row r="118" spans="1:9" ht="14.25">
      <c r="A118" s="43" t="str">
        <f>HLOOKUP(INDICE!$F$2,Nombres!$C$3:$D$636,35,FALSE)</f>
        <v>Resultados de operaciones financieras</v>
      </c>
      <c r="B118" s="44">
        <v>71936.85865751535</v>
      </c>
      <c r="C118" s="44">
        <v>65688.27159849773</v>
      </c>
      <c r="D118" s="44">
        <v>46685.68630039817</v>
      </c>
      <c r="E118" s="45">
        <v>67036.15607058682</v>
      </c>
      <c r="F118" s="44">
        <v>18712.170255716606</v>
      </c>
      <c r="G118" s="44">
        <v>102394.3310637862</v>
      </c>
      <c r="H118" s="44">
        <v>118439.14184527077</v>
      </c>
      <c r="I118" s="44">
        <v>0</v>
      </c>
    </row>
    <row r="119" spans="1:9" ht="14.25">
      <c r="A119" s="43" t="str">
        <f>HLOOKUP(INDICE!$F$2,Nombres!$C$3:$D$636,36,FALSE)</f>
        <v>Otros ingresos y cargas de explotación</v>
      </c>
      <c r="B119" s="44">
        <v>29790.687460302983</v>
      </c>
      <c r="C119" s="44">
        <v>6279.390999664542</v>
      </c>
      <c r="D119" s="44">
        <v>9214.211998930952</v>
      </c>
      <c r="E119" s="45">
        <v>19151.96364211184</v>
      </c>
      <c r="F119" s="44">
        <v>-5246.09123395745</v>
      </c>
      <c r="G119" s="44">
        <v>-7546.435601203826</v>
      </c>
      <c r="H119" s="44">
        <v>-27578.30666638386</v>
      </c>
      <c r="I119" s="44">
        <v>0</v>
      </c>
    </row>
    <row r="120" spans="1:9" ht="14.25">
      <c r="A120" s="41" t="str">
        <f>HLOOKUP(INDICE!$F$2,Nombres!$C$3:$D$636,37,FALSE)</f>
        <v>Margen bruto</v>
      </c>
      <c r="B120" s="41">
        <f>+SUM(B116:B119)</f>
        <v>935453.6784796558</v>
      </c>
      <c r="C120" s="41">
        <f aca="true" t="shared" si="19" ref="C120:I120">+SUM(C116:C119)</f>
        <v>907851.0589027777</v>
      </c>
      <c r="D120" s="41">
        <f t="shared" si="19"/>
        <v>898890.2181994718</v>
      </c>
      <c r="E120" s="42">
        <f t="shared" si="19"/>
        <v>939772.5440499651</v>
      </c>
      <c r="F120" s="52">
        <f t="shared" si="19"/>
        <v>899358.6917916292</v>
      </c>
      <c r="G120" s="52">
        <f t="shared" si="19"/>
        <v>965263.2627925341</v>
      </c>
      <c r="H120" s="52">
        <f t="shared" si="19"/>
        <v>992912.4858638973</v>
      </c>
      <c r="I120" s="52">
        <f t="shared" si="19"/>
        <v>0</v>
      </c>
    </row>
    <row r="121" spans="1:9" ht="14.25">
      <c r="A121" s="43" t="str">
        <f>HLOOKUP(INDICE!$F$2,Nombres!$C$3:$D$636,38,FALSE)</f>
        <v>Gastos de explotación</v>
      </c>
      <c r="B121" s="44">
        <v>-332856.2692886689</v>
      </c>
      <c r="C121" s="44">
        <v>-318523.49503852346</v>
      </c>
      <c r="D121" s="44">
        <v>-332838.1207633784</v>
      </c>
      <c r="E121" s="45">
        <v>-349933.8672987293</v>
      </c>
      <c r="F121" s="44">
        <v>-353569.0977439589</v>
      </c>
      <c r="G121" s="44">
        <v>-309930.6003812785</v>
      </c>
      <c r="H121" s="44">
        <v>-333161.64273585164</v>
      </c>
      <c r="I121" s="44">
        <v>0</v>
      </c>
    </row>
    <row r="122" spans="1:9" ht="14.25">
      <c r="A122" s="43" t="str">
        <f>HLOOKUP(INDICE!$F$2,Nombres!$C$3:$D$636,39,FALSE)</f>
        <v>  Gastos de administración</v>
      </c>
      <c r="B122" s="44">
        <v>-306334.9005478588</v>
      </c>
      <c r="C122" s="44">
        <v>-291863.74240666797</v>
      </c>
      <c r="D122" s="44">
        <v>-303530.64231604117</v>
      </c>
      <c r="E122" s="45">
        <v>-315908.20058123814</v>
      </c>
      <c r="F122" s="44">
        <v>-324019.3674923144</v>
      </c>
      <c r="G122" s="44">
        <v>-279563.64820568153</v>
      </c>
      <c r="H122" s="44">
        <v>-302769.99145347497</v>
      </c>
      <c r="I122" s="44">
        <v>0</v>
      </c>
    </row>
    <row r="123" spans="1:9" ht="14.25">
      <c r="A123" s="46" t="str">
        <f>HLOOKUP(INDICE!$F$2,Nombres!$C$3:$D$636,40,FALSE)</f>
        <v>  Gastos de personal</v>
      </c>
      <c r="B123" s="44">
        <v>-160118.26756906416</v>
      </c>
      <c r="C123" s="44">
        <v>-151057.7553540272</v>
      </c>
      <c r="D123" s="44">
        <v>-157506.55632246973</v>
      </c>
      <c r="E123" s="45">
        <v>-154883.28933205502</v>
      </c>
      <c r="F123" s="44">
        <v>-164684.35991089355</v>
      </c>
      <c r="G123" s="44">
        <v>-140620.31263760565</v>
      </c>
      <c r="H123" s="44">
        <v>-150311.99601657028</v>
      </c>
      <c r="I123" s="44">
        <v>0</v>
      </c>
    </row>
    <row r="124" spans="1:9" ht="14.25">
      <c r="A124" s="46" t="str">
        <f>HLOOKUP(INDICE!$F$2,Nombres!$C$3:$D$636,41,FALSE)</f>
        <v>  Otros gastos de administración</v>
      </c>
      <c r="B124" s="44">
        <v>-146216.6329787946</v>
      </c>
      <c r="C124" s="44">
        <v>-140805.98705264073</v>
      </c>
      <c r="D124" s="44">
        <v>-146024.08599357147</v>
      </c>
      <c r="E124" s="45">
        <v>-161024.91124918315</v>
      </c>
      <c r="F124" s="44">
        <v>-159335.0075814209</v>
      </c>
      <c r="G124" s="44">
        <v>-138943.33556807588</v>
      </c>
      <c r="H124" s="44">
        <v>-152457.99543690466</v>
      </c>
      <c r="I124" s="44">
        <v>0</v>
      </c>
    </row>
    <row r="125" spans="1:9" ht="14.25">
      <c r="A125" s="43" t="str">
        <f>HLOOKUP(INDICE!$F$2,Nombres!$C$3:$D$636,42,FALSE)</f>
        <v>  Amortización</v>
      </c>
      <c r="B125" s="44">
        <v>-26521.36874081007</v>
      </c>
      <c r="C125" s="44">
        <v>-26659.75263185551</v>
      </c>
      <c r="D125" s="44">
        <v>-29307.478447337195</v>
      </c>
      <c r="E125" s="45">
        <v>-34025.66671749111</v>
      </c>
      <c r="F125" s="44">
        <v>-29549.730251644385</v>
      </c>
      <c r="G125" s="44">
        <v>-30366.95217559697</v>
      </c>
      <c r="H125" s="44">
        <v>-30391.651282376704</v>
      </c>
      <c r="I125" s="44">
        <v>0</v>
      </c>
    </row>
    <row r="126" spans="1:9" ht="14.25">
      <c r="A126" s="41" t="str">
        <f>HLOOKUP(INDICE!$F$2,Nombres!$C$3:$D$636,43,FALSE)</f>
        <v>Margen neto</v>
      </c>
      <c r="B126" s="41">
        <f>+B120+B121</f>
        <v>602597.4091909869</v>
      </c>
      <c r="C126" s="41">
        <f aca="true" t="shared" si="20" ref="C126:I126">+C120+C121</f>
        <v>589327.5638642543</v>
      </c>
      <c r="D126" s="41">
        <f t="shared" si="20"/>
        <v>566052.0974360935</v>
      </c>
      <c r="E126" s="42">
        <f t="shared" si="20"/>
        <v>589838.6767512357</v>
      </c>
      <c r="F126" s="52">
        <f t="shared" si="20"/>
        <v>545789.5940476703</v>
      </c>
      <c r="G126" s="52">
        <f t="shared" si="20"/>
        <v>655332.6624112555</v>
      </c>
      <c r="H126" s="52">
        <f t="shared" si="20"/>
        <v>659750.8431280456</v>
      </c>
      <c r="I126" s="52">
        <f t="shared" si="20"/>
        <v>0</v>
      </c>
    </row>
    <row r="127" spans="1:9" ht="14.25">
      <c r="A127" s="43" t="str">
        <f>HLOOKUP(INDICE!$F$2,Nombres!$C$3:$D$636,44,FALSE)</f>
        <v>Deterioro de activos financieros no valorados a valor razonable con cambios en resultados</v>
      </c>
      <c r="B127" s="44">
        <v>-258721.34751089418</v>
      </c>
      <c r="C127" s="44">
        <v>-169976.92046143117</v>
      </c>
      <c r="D127" s="44">
        <v>-149737.387851606</v>
      </c>
      <c r="E127" s="45">
        <v>-220386.5376192946</v>
      </c>
      <c r="F127" s="44">
        <v>-505809.0046242402</v>
      </c>
      <c r="G127" s="44">
        <v>-370336.763673553</v>
      </c>
      <c r="H127" s="44">
        <v>-284845.9032063385</v>
      </c>
      <c r="I127" s="44">
        <v>0</v>
      </c>
    </row>
    <row r="128" spans="1:9" ht="14.25">
      <c r="A128" s="43" t="str">
        <f>HLOOKUP(INDICE!$F$2,Nombres!$C$3:$D$636,45,FALSE)</f>
        <v>Provisiones o reversión de provisiones y otros resultados</v>
      </c>
      <c r="B128" s="44">
        <v>-4651.122274136962</v>
      </c>
      <c r="C128" s="44">
        <v>-22982.311448664484</v>
      </c>
      <c r="D128" s="44">
        <v>-10975.77325260402</v>
      </c>
      <c r="E128" s="45">
        <v>-25496.416403307754</v>
      </c>
      <c r="F128" s="44">
        <v>-9790.103343667819</v>
      </c>
      <c r="G128" s="44">
        <v>-40379.69833853807</v>
      </c>
      <c r="H128" s="44">
        <v>-19992.69861013785</v>
      </c>
      <c r="I128" s="44">
        <v>0</v>
      </c>
    </row>
    <row r="129" spans="1:9" ht="14.25">
      <c r="A129" s="41" t="str">
        <f>HLOOKUP(INDICE!$F$2,Nombres!$C$3:$D$636,46,FALSE)</f>
        <v>Resultado antes de impuestos</v>
      </c>
      <c r="B129" s="41">
        <f>+B126+B127+B128</f>
        <v>339224.9394059557</v>
      </c>
      <c r="C129" s="41">
        <f aca="true" t="shared" si="21" ref="C129:I129">+C126+C127+C128</f>
        <v>396368.33195415867</v>
      </c>
      <c r="D129" s="41">
        <f t="shared" si="21"/>
        <v>405338.9363318835</v>
      </c>
      <c r="E129" s="42">
        <f t="shared" si="21"/>
        <v>343955.7227286334</v>
      </c>
      <c r="F129" s="52">
        <f t="shared" si="21"/>
        <v>30190.486079762217</v>
      </c>
      <c r="G129" s="52">
        <f t="shared" si="21"/>
        <v>244616.20039916446</v>
      </c>
      <c r="H129" s="52">
        <f t="shared" si="21"/>
        <v>354912.2413115692</v>
      </c>
      <c r="I129" s="52">
        <f t="shared" si="21"/>
        <v>0</v>
      </c>
    </row>
    <row r="130" spans="1:9" ht="14.25">
      <c r="A130" s="43" t="str">
        <f>HLOOKUP(INDICE!$F$2,Nombres!$C$3:$D$636,47,FALSE)</f>
        <v>Impuesto sobre beneficios</v>
      </c>
      <c r="B130" s="44">
        <v>-122778.10781989485</v>
      </c>
      <c r="C130" s="44">
        <v>-124542.52735685962</v>
      </c>
      <c r="D130" s="44">
        <v>-143140.25793674967</v>
      </c>
      <c r="E130" s="45">
        <v>-74884.4397100162</v>
      </c>
      <c r="F130" s="44">
        <v>1757.345509663166</v>
      </c>
      <c r="G130" s="44">
        <v>-74673.68391714999</v>
      </c>
      <c r="H130" s="44">
        <v>-113368.83995203474</v>
      </c>
      <c r="I130" s="44">
        <v>0</v>
      </c>
    </row>
    <row r="131" spans="1:9" ht="14.25">
      <c r="A131" s="41" t="str">
        <f>HLOOKUP(INDICE!$F$2,Nombres!$C$3:$D$636,48,FALSE)</f>
        <v>Resultado del ejercicio</v>
      </c>
      <c r="B131" s="41">
        <f>+B129+B130</f>
        <v>216446.83158606087</v>
      </c>
      <c r="C131" s="41">
        <f aca="true" t="shared" si="22" ref="C131:I131">+C129+C130</f>
        <v>271825.8045972991</v>
      </c>
      <c r="D131" s="41">
        <f t="shared" si="22"/>
        <v>262198.6783951338</v>
      </c>
      <c r="E131" s="42">
        <f t="shared" si="22"/>
        <v>269071.2830186172</v>
      </c>
      <c r="F131" s="52">
        <f t="shared" si="22"/>
        <v>31947.831589425383</v>
      </c>
      <c r="G131" s="52">
        <f t="shared" si="22"/>
        <v>169942.51648201447</v>
      </c>
      <c r="H131" s="52">
        <f t="shared" si="22"/>
        <v>241543.40135953441</v>
      </c>
      <c r="I131" s="52">
        <f t="shared" si="22"/>
        <v>0</v>
      </c>
    </row>
    <row r="132" spans="1:9" ht="14.25">
      <c r="A132" s="43" t="str">
        <f>HLOOKUP(INDICE!$F$2,Nombres!$C$3:$D$636,49,FALSE)</f>
        <v>Minoritarios</v>
      </c>
      <c r="B132" s="44">
        <v>-8322.582082567847</v>
      </c>
      <c r="C132" s="44">
        <v>-10359.691279354276</v>
      </c>
      <c r="D132" s="44">
        <v>-10018.901559776124</v>
      </c>
      <c r="E132" s="45">
        <v>-10336.083703776749</v>
      </c>
      <c r="F132" s="44">
        <v>391.25176803513386</v>
      </c>
      <c r="G132" s="44">
        <v>-6122.860017061439</v>
      </c>
      <c r="H132" s="44">
        <v>-8881.46414519483</v>
      </c>
      <c r="I132" s="44">
        <v>0</v>
      </c>
    </row>
    <row r="133" spans="1:9" ht="14.25">
      <c r="A133" s="47" t="str">
        <f>HLOOKUP(INDICE!$F$2,Nombres!$C$3:$D$636,50,FALSE)</f>
        <v>Resultado atribuido</v>
      </c>
      <c r="B133" s="47">
        <f>+B131+B132</f>
        <v>208124.24950349302</v>
      </c>
      <c r="C133" s="47">
        <f aca="true" t="shared" si="23" ref="C133:I133">+C131+C132</f>
        <v>261466.1133179448</v>
      </c>
      <c r="D133" s="47">
        <f t="shared" si="23"/>
        <v>252179.77683535768</v>
      </c>
      <c r="E133" s="47">
        <f t="shared" si="23"/>
        <v>258735.19931484043</v>
      </c>
      <c r="F133" s="53">
        <f t="shared" si="23"/>
        <v>32339.083357460517</v>
      </c>
      <c r="G133" s="53">
        <f t="shared" si="23"/>
        <v>163819.65646495303</v>
      </c>
      <c r="H133" s="53">
        <f t="shared" si="23"/>
        <v>232661.9372143396</v>
      </c>
      <c r="I133" s="53">
        <f t="shared" si="23"/>
        <v>0</v>
      </c>
    </row>
    <row r="134" spans="1:9" ht="14.25">
      <c r="A134" s="65"/>
      <c r="B134" s="66">
        <v>0</v>
      </c>
      <c r="C134" s="66">
        <v>2.3283064365386963E-10</v>
      </c>
      <c r="D134" s="66">
        <v>0</v>
      </c>
      <c r="E134" s="66">
        <v>0</v>
      </c>
      <c r="F134" s="66">
        <v>-4.729372449219227E-11</v>
      </c>
      <c r="G134" s="66">
        <v>0</v>
      </c>
      <c r="H134" s="66">
        <v>0</v>
      </c>
      <c r="I134" s="66">
        <v>0</v>
      </c>
    </row>
    <row r="135" spans="1:9" ht="14.25">
      <c r="A135" s="41"/>
      <c r="B135" s="41"/>
      <c r="C135" s="41"/>
      <c r="D135" s="41"/>
      <c r="E135" s="41"/>
      <c r="F135" s="52"/>
      <c r="G135" s="52"/>
      <c r="H135" s="52"/>
      <c r="I135" s="52"/>
    </row>
    <row r="136" spans="1:9" ht="16.5">
      <c r="A136" s="33" t="str">
        <f>HLOOKUP(INDICE!$F$2,Nombres!$C$3:$D$636,51,FALSE)</f>
        <v>Balances</v>
      </c>
      <c r="B136" s="34"/>
      <c r="C136" s="34"/>
      <c r="D136" s="34"/>
      <c r="E136" s="34"/>
      <c r="F136" s="72"/>
      <c r="G136" s="72"/>
      <c r="H136" s="72"/>
      <c r="I136" s="72"/>
    </row>
    <row r="137" spans="1:9" ht="14.25">
      <c r="A137" s="35" t="str">
        <f>HLOOKUP(INDICE!$F$2,Nombres!$C$3:$D$636,75,FALSE)</f>
        <v>(Millones de pesos colombianos)</v>
      </c>
      <c r="B137" s="30"/>
      <c r="C137" s="54"/>
      <c r="D137" s="54"/>
      <c r="E137" s="54"/>
      <c r="F137" s="73"/>
      <c r="G137" s="44"/>
      <c r="H137" s="44"/>
      <c r="I137" s="44"/>
    </row>
    <row r="138" spans="1:9" ht="14.25">
      <c r="A138" s="30"/>
      <c r="B138" s="55">
        <f aca="true" t="shared" si="24" ref="B138:I138">+B$30</f>
        <v>43555</v>
      </c>
      <c r="C138" s="55">
        <f t="shared" si="24"/>
        <v>43646</v>
      </c>
      <c r="D138" s="55">
        <f t="shared" si="24"/>
        <v>43738</v>
      </c>
      <c r="E138" s="71">
        <f t="shared" si="24"/>
        <v>43830</v>
      </c>
      <c r="F138" s="55">
        <f t="shared" si="24"/>
        <v>43921</v>
      </c>
      <c r="G138" s="55">
        <f t="shared" si="24"/>
        <v>44012</v>
      </c>
      <c r="H138" s="55">
        <f t="shared" si="24"/>
        <v>44104</v>
      </c>
      <c r="I138" s="55">
        <f t="shared" si="24"/>
        <v>44196</v>
      </c>
    </row>
    <row r="139" spans="1:9" ht="14.25">
      <c r="A139" s="43" t="str">
        <f>HLOOKUP(INDICE!$F$2,Nombres!$C$3:$D$636,52,FALSE)</f>
        <v>Efectivo, saldos en efectivo en bancos centrales y otros depósitos a la vista</v>
      </c>
      <c r="B139" s="44">
        <v>6594621.198551635</v>
      </c>
      <c r="C139" s="44">
        <v>5617363.080117746</v>
      </c>
      <c r="D139" s="44">
        <v>4691569.951635197</v>
      </c>
      <c r="E139" s="45">
        <v>5230465.653322299</v>
      </c>
      <c r="F139" s="44">
        <v>5747017.81462985</v>
      </c>
      <c r="G139" s="44">
        <v>9346905.156496782</v>
      </c>
      <c r="H139" s="44">
        <v>5729105.468088064</v>
      </c>
      <c r="I139" s="44">
        <v>0</v>
      </c>
    </row>
    <row r="140" spans="1:9" ht="14.25">
      <c r="A140" s="43" t="str">
        <f>HLOOKUP(INDICE!$F$2,Nombres!$C$3:$D$636,53,FALSE)</f>
        <v>Activos financieros a valor razonable</v>
      </c>
      <c r="B140" s="60">
        <v>10717352.430950997</v>
      </c>
      <c r="C140" s="60">
        <v>11039512.523682656</v>
      </c>
      <c r="D140" s="60">
        <v>10871729.072654571</v>
      </c>
      <c r="E140" s="68">
        <v>10007965.78292168</v>
      </c>
      <c r="F140" s="44">
        <v>15327024.145769738</v>
      </c>
      <c r="G140" s="44">
        <v>12960072.291628709</v>
      </c>
      <c r="H140" s="44">
        <v>12118821.219874823</v>
      </c>
      <c r="I140" s="44">
        <v>0</v>
      </c>
    </row>
    <row r="141" spans="1:9" ht="14.25">
      <c r="A141" s="43" t="str">
        <f>HLOOKUP(INDICE!$F$2,Nombres!$C$3:$D$636,54,FALSE)</f>
        <v>Activos financieros a coste amortizado</v>
      </c>
      <c r="B141" s="44">
        <v>45926690.61357984</v>
      </c>
      <c r="C141" s="44">
        <v>46830897.465340875</v>
      </c>
      <c r="D141" s="44">
        <v>48478986.92971104</v>
      </c>
      <c r="E141" s="45">
        <v>49659518.56461916</v>
      </c>
      <c r="F141" s="44">
        <v>51611923.16047239</v>
      </c>
      <c r="G141" s="44">
        <v>53149026.36213451</v>
      </c>
      <c r="H141" s="44">
        <v>52632426.52776959</v>
      </c>
      <c r="I141" s="44">
        <v>0</v>
      </c>
    </row>
    <row r="142" spans="1:9" ht="14.25">
      <c r="A142" s="43" t="str">
        <f>HLOOKUP(INDICE!$F$2,Nombres!$C$3:$D$636,55,FALSE)</f>
        <v>    de los que préstamos y anticipos a la clientela</v>
      </c>
      <c r="B142" s="44">
        <v>43971255.2005257</v>
      </c>
      <c r="C142" s="44">
        <v>44851512.76469344</v>
      </c>
      <c r="D142" s="44">
        <v>46442972.53698232</v>
      </c>
      <c r="E142" s="45">
        <v>47576474.30113241</v>
      </c>
      <c r="F142" s="44">
        <v>49291003.98391889</v>
      </c>
      <c r="G142" s="44">
        <v>49831974.166085646</v>
      </c>
      <c r="H142" s="44">
        <v>49124536.964358926</v>
      </c>
      <c r="I142" s="44">
        <v>0</v>
      </c>
    </row>
    <row r="143" spans="1:9" ht="14.25">
      <c r="A143" s="43" t="str">
        <f>HLOOKUP(INDICE!$F$2,Nombres!$C$3:$D$636,56,FALSE)</f>
        <v>Activos tangibles</v>
      </c>
      <c r="B143" s="44">
        <v>536186.5091734398</v>
      </c>
      <c r="C143" s="44">
        <v>542674.4803059555</v>
      </c>
      <c r="D143" s="44">
        <v>544530.0302396888</v>
      </c>
      <c r="E143" s="45">
        <v>531014.152208057</v>
      </c>
      <c r="F143" s="44">
        <v>514270.4001681748</v>
      </c>
      <c r="G143" s="44">
        <v>510604.5402267424</v>
      </c>
      <c r="H143" s="44">
        <v>496799.71507588075</v>
      </c>
      <c r="I143" s="44">
        <v>0</v>
      </c>
    </row>
    <row r="144" spans="1:9" ht="14.25">
      <c r="A144" s="43" t="str">
        <f>HLOOKUP(INDICE!$F$2,Nombres!$C$3:$D$636,57,FALSE)</f>
        <v>Otros activos</v>
      </c>
      <c r="B144" s="60">
        <f>+B145-B143-B141-B140-B139</f>
        <v>1292048.7706125667</v>
      </c>
      <c r="C144" s="60">
        <f aca="true" t="shared" si="25" ref="C144:I144">+C145-C143-C141-C140-C139</f>
        <v>1407435.2698316565</v>
      </c>
      <c r="D144" s="60">
        <f t="shared" si="25"/>
        <v>1766633.2613656782</v>
      </c>
      <c r="E144" s="68">
        <f t="shared" si="25"/>
        <v>1352461.2408578051</v>
      </c>
      <c r="F144" s="44">
        <f t="shared" si="25"/>
        <v>2952082.573341067</v>
      </c>
      <c r="G144" s="44">
        <f t="shared" si="25"/>
        <v>2010007.109848125</v>
      </c>
      <c r="H144" s="44">
        <f t="shared" si="25"/>
        <v>2157962.33140778</v>
      </c>
      <c r="I144" s="44">
        <f t="shared" si="25"/>
        <v>0</v>
      </c>
    </row>
    <row r="145" spans="1:9" ht="14.25">
      <c r="A145" s="47" t="str">
        <f>HLOOKUP(INDICE!$F$2,Nombres!$C$3:$D$636,58,FALSE)</f>
        <v>Total activo / pasivo</v>
      </c>
      <c r="B145" s="47">
        <v>65066899.52286848</v>
      </c>
      <c r="C145" s="47">
        <v>65437882.81927889</v>
      </c>
      <c r="D145" s="47">
        <v>66353449.24560617</v>
      </c>
      <c r="E145" s="47">
        <v>66781425.393929005</v>
      </c>
      <c r="F145" s="53">
        <v>76152318.09438123</v>
      </c>
      <c r="G145" s="53">
        <v>77976615.46033487</v>
      </c>
      <c r="H145" s="53">
        <v>73135115.26221614</v>
      </c>
      <c r="I145" s="53">
        <v>0</v>
      </c>
    </row>
    <row r="146" spans="1:9" ht="14.25">
      <c r="A146" s="43" t="str">
        <f>HLOOKUP(INDICE!$F$2,Nombres!$C$3:$D$636,59,FALSE)</f>
        <v>Pasivos financieros mantenidos para negociar y designados a valor razonable con cambios en resultados</v>
      </c>
      <c r="B146" s="60">
        <v>7758437.349822349</v>
      </c>
      <c r="C146" s="60">
        <v>6329472.7947441</v>
      </c>
      <c r="D146" s="60">
        <v>5392003.114745248</v>
      </c>
      <c r="E146" s="68">
        <v>6131371.399924636</v>
      </c>
      <c r="F146" s="44">
        <v>7737765.9352413695</v>
      </c>
      <c r="G146" s="44">
        <v>6928788.193861306</v>
      </c>
      <c r="H146" s="44">
        <v>6260938.0283637345</v>
      </c>
      <c r="I146" s="44">
        <v>0</v>
      </c>
    </row>
    <row r="147" spans="1:9" ht="14.25">
      <c r="A147" s="43" t="str">
        <f>HLOOKUP(INDICE!$F$2,Nombres!$C$3:$D$636,60,FALSE)</f>
        <v>Depósitos de bancos centrales y entidades de crédito</v>
      </c>
      <c r="B147" s="60">
        <v>899467.4512117258</v>
      </c>
      <c r="C147" s="60">
        <v>1145772.6622172818</v>
      </c>
      <c r="D147" s="60">
        <v>1640892.1597869138</v>
      </c>
      <c r="E147" s="68">
        <v>2185917.5099848583</v>
      </c>
      <c r="F147" s="44">
        <v>2413309.53421374</v>
      </c>
      <c r="G147" s="44">
        <v>1878721.306922682</v>
      </c>
      <c r="H147" s="44">
        <v>2738751.939585027</v>
      </c>
      <c r="I147" s="44">
        <v>0</v>
      </c>
    </row>
    <row r="148" spans="1:9" ht="14.25">
      <c r="A148" s="43" t="str">
        <f>HLOOKUP(INDICE!$F$2,Nombres!$C$3:$D$636,61,FALSE)</f>
        <v>Depósitos de la clientela</v>
      </c>
      <c r="B148" s="60">
        <v>45461605.82766976</v>
      </c>
      <c r="C148" s="60">
        <v>46266708.84355286</v>
      </c>
      <c r="D148" s="60">
        <v>47329263.52620647</v>
      </c>
      <c r="E148" s="68">
        <v>46704174.1131777</v>
      </c>
      <c r="F148" s="44">
        <v>53473838.70339409</v>
      </c>
      <c r="G148" s="44">
        <v>57134718.54152763</v>
      </c>
      <c r="H148" s="44">
        <v>51531684.90369076</v>
      </c>
      <c r="I148" s="44">
        <v>0</v>
      </c>
    </row>
    <row r="149" spans="1:9" ht="14.25">
      <c r="A149" s="43" t="str">
        <f>HLOOKUP(INDICE!$F$2,Nombres!$C$3:$D$636,62,FALSE)</f>
        <v>Valores representativos de deuda emitidos</v>
      </c>
      <c r="B149" s="44">
        <v>2229890.287563755</v>
      </c>
      <c r="C149" s="44">
        <v>2252755.8330866466</v>
      </c>
      <c r="D149" s="44">
        <v>2239348.931387241</v>
      </c>
      <c r="E149" s="45">
        <v>2132785.537989693</v>
      </c>
      <c r="F149" s="44">
        <v>2533751.895291593</v>
      </c>
      <c r="G149" s="44">
        <v>2400547.6474251277</v>
      </c>
      <c r="H149" s="44">
        <v>2473389.7179271476</v>
      </c>
      <c r="I149" s="44">
        <v>0</v>
      </c>
    </row>
    <row r="150" spans="1:9" ht="14.25">
      <c r="A150" s="43" t="str">
        <f>HLOOKUP(INDICE!$F$2,Nombres!$C$3:$D$636,63,FALSE)</f>
        <v>Otros pasivos</v>
      </c>
      <c r="B150" s="60">
        <f>+B145-B146-B147-B148-B149-B151</f>
        <v>5035658.5735902935</v>
      </c>
      <c r="C150" s="60">
        <f aca="true" t="shared" si="26" ref="C150:I150">+C145-C146-C147-C148-C149-C151</f>
        <v>5840706.829599278</v>
      </c>
      <c r="D150" s="60">
        <f t="shared" si="26"/>
        <v>5956647.810088003</v>
      </c>
      <c r="E150" s="68">
        <f t="shared" si="26"/>
        <v>5833151.063021032</v>
      </c>
      <c r="F150" s="44">
        <f t="shared" si="26"/>
        <v>5368722.364445703</v>
      </c>
      <c r="G150" s="44">
        <f t="shared" si="26"/>
        <v>5680417.801514714</v>
      </c>
      <c r="H150" s="44">
        <f t="shared" si="26"/>
        <v>6077969.273488034</v>
      </c>
      <c r="I150" s="44">
        <f t="shared" si="26"/>
        <v>0</v>
      </c>
    </row>
    <row r="151" spans="1:9" ht="14.25">
      <c r="A151" s="43" t="str">
        <f>HLOOKUP(INDICE!$F$2,Nombres!$C$3:$D$636,64,FALSE)</f>
        <v>Dotación de capital económico</v>
      </c>
      <c r="B151" s="44">
        <v>3681840.0330105876</v>
      </c>
      <c r="C151" s="44">
        <v>3602465.8560787267</v>
      </c>
      <c r="D151" s="44">
        <v>3795293.703392291</v>
      </c>
      <c r="E151" s="45">
        <v>3794025.7698310832</v>
      </c>
      <c r="F151" s="44">
        <v>4624929.661794731</v>
      </c>
      <c r="G151" s="44">
        <v>3953421.9690834014</v>
      </c>
      <c r="H151" s="44">
        <v>4052381.3991614287</v>
      </c>
      <c r="I151" s="44">
        <v>0</v>
      </c>
    </row>
    <row r="152" spans="1:9" ht="14.25">
      <c r="A152" s="65"/>
      <c r="B152" s="60"/>
      <c r="C152" s="60"/>
      <c r="D152" s="60"/>
      <c r="E152" s="60"/>
      <c r="F152" s="44"/>
      <c r="G152" s="44"/>
      <c r="H152" s="44"/>
      <c r="I152" s="44"/>
    </row>
    <row r="153" spans="1:9" ht="14.25">
      <c r="A153" s="43"/>
      <c r="B153" s="60"/>
      <c r="C153" s="60"/>
      <c r="D153" s="60"/>
      <c r="E153" s="60"/>
      <c r="F153" s="44"/>
      <c r="G153" s="44"/>
      <c r="H153" s="44"/>
      <c r="I153" s="44"/>
    </row>
    <row r="154" spans="1:9" ht="16.5">
      <c r="A154" s="33" t="str">
        <f>HLOOKUP(INDICE!$F$2,Nombres!$C$3:$D$636,65,FALSE)</f>
        <v>Indicadores relevantes y de gestión</v>
      </c>
      <c r="B154" s="34"/>
      <c r="C154" s="34"/>
      <c r="D154" s="34"/>
      <c r="E154" s="34"/>
      <c r="F154" s="72"/>
      <c r="G154" s="72"/>
      <c r="H154" s="72"/>
      <c r="I154" s="72"/>
    </row>
    <row r="155" spans="1:9" ht="14.25">
      <c r="A155" s="35" t="str">
        <f>HLOOKUP(INDICE!$F$2,Nombres!$C$3:$D$636,75,FALSE)</f>
        <v>(Millones de pesos colombianos)</v>
      </c>
      <c r="B155" s="30"/>
      <c r="C155" s="30"/>
      <c r="D155" s="30"/>
      <c r="E155" s="30"/>
      <c r="F155" s="73"/>
      <c r="G155" s="44"/>
      <c r="H155" s="44"/>
      <c r="I155" s="44"/>
    </row>
    <row r="156" spans="1:9" ht="15.75" customHeight="1">
      <c r="A156" s="30"/>
      <c r="B156" s="55">
        <f aca="true" t="shared" si="27" ref="B156:I156">+B$30</f>
        <v>43555</v>
      </c>
      <c r="C156" s="55">
        <f t="shared" si="27"/>
        <v>43646</v>
      </c>
      <c r="D156" s="55">
        <f t="shared" si="27"/>
        <v>43738</v>
      </c>
      <c r="E156" s="71">
        <f t="shared" si="27"/>
        <v>43830</v>
      </c>
      <c r="F156" s="55">
        <f t="shared" si="27"/>
        <v>43921</v>
      </c>
      <c r="G156" s="55">
        <f t="shared" si="27"/>
        <v>44012</v>
      </c>
      <c r="H156" s="55">
        <f t="shared" si="27"/>
        <v>44104</v>
      </c>
      <c r="I156" s="55">
        <f t="shared" si="27"/>
        <v>44196</v>
      </c>
    </row>
    <row r="157" spans="1:9" ht="15.75" customHeight="1">
      <c r="A157" s="43" t="str">
        <f>HLOOKUP(INDICE!$F$2,Nombres!$C$3:$D$636,66,FALSE)</f>
        <v>Préstamos y anticipos a la clientela bruto (*)</v>
      </c>
      <c r="B157" s="44">
        <v>46510306.82105436</v>
      </c>
      <c r="C157" s="44">
        <v>47312310.68355955</v>
      </c>
      <c r="D157" s="44">
        <v>48790700.3708109</v>
      </c>
      <c r="E157" s="45">
        <v>50046015.78988548</v>
      </c>
      <c r="F157" s="44">
        <v>52201484.17280493</v>
      </c>
      <c r="G157" s="44">
        <v>52917801.40203388</v>
      </c>
      <c r="H157" s="44">
        <v>52300693.14786749</v>
      </c>
      <c r="I157" s="44">
        <v>0</v>
      </c>
    </row>
    <row r="158" spans="1:9" ht="15.75" customHeight="1">
      <c r="A158" s="43" t="str">
        <f>HLOOKUP(INDICE!$F$2,Nombres!$C$3:$D$636,67,FALSE)</f>
        <v>Depósitos de clientes en gestión (**)</v>
      </c>
      <c r="B158" s="44">
        <v>45883736.31715308</v>
      </c>
      <c r="C158" s="44">
        <v>46304622.638829336</v>
      </c>
      <c r="D158" s="44">
        <v>47364718.16735181</v>
      </c>
      <c r="E158" s="45">
        <v>46739661.74659525</v>
      </c>
      <c r="F158" s="44">
        <v>53509443.45511044</v>
      </c>
      <c r="G158" s="44">
        <v>57170392.76052621</v>
      </c>
      <c r="H158" s="44">
        <v>51531684.368297696</v>
      </c>
      <c r="I158" s="44">
        <v>0</v>
      </c>
    </row>
    <row r="159" spans="1:9" ht="15.75" customHeight="1">
      <c r="A159" s="43" t="str">
        <f>HLOOKUP(INDICE!$F$2,Nombres!$C$3:$D$636,68,FALSE)</f>
        <v>Fondos de inversión</v>
      </c>
      <c r="B159" s="44">
        <v>5195507.447922541</v>
      </c>
      <c r="C159" s="44">
        <v>5205700.76816364</v>
      </c>
      <c r="D159" s="44">
        <v>5551786.73532597</v>
      </c>
      <c r="E159" s="45">
        <v>5114070.7890163</v>
      </c>
      <c r="F159" s="44">
        <v>3067408.5441227555</v>
      </c>
      <c r="G159" s="44">
        <v>4799207.974091734</v>
      </c>
      <c r="H159" s="44">
        <v>6839495.465673959</v>
      </c>
      <c r="I159" s="44">
        <v>0</v>
      </c>
    </row>
    <row r="160" spans="1:9" ht="15.75" customHeight="1">
      <c r="A160" s="43" t="str">
        <f>HLOOKUP(INDICE!$F$2,Nombres!$C$3:$D$636,69,FALSE)</f>
        <v>Fondos de pensiones</v>
      </c>
      <c r="B160" s="44">
        <v>0</v>
      </c>
      <c r="C160" s="44">
        <v>0</v>
      </c>
      <c r="D160" s="44">
        <v>0</v>
      </c>
      <c r="E160" s="45">
        <v>0</v>
      </c>
      <c r="F160" s="44">
        <v>0</v>
      </c>
      <c r="G160" s="44">
        <v>0</v>
      </c>
      <c r="H160" s="44">
        <v>0</v>
      </c>
      <c r="I160" s="44">
        <v>0</v>
      </c>
    </row>
    <row r="161" spans="1:9" ht="14.25">
      <c r="A161" s="43" t="str">
        <f>HLOOKUP(INDICE!$F$2,Nombres!$C$3:$D$636,70,FALSE)</f>
        <v>Otros recursos fuera de balance</v>
      </c>
      <c r="B161" s="44">
        <v>0</v>
      </c>
      <c r="C161" s="44">
        <v>0</v>
      </c>
      <c r="D161" s="44">
        <v>0</v>
      </c>
      <c r="E161" s="45">
        <v>0</v>
      </c>
      <c r="F161" s="44">
        <v>0</v>
      </c>
      <c r="G161" s="44">
        <v>0</v>
      </c>
      <c r="H161" s="44">
        <v>0</v>
      </c>
      <c r="I161" s="44">
        <v>0</v>
      </c>
    </row>
    <row r="162" spans="1:9" ht="14.25">
      <c r="A162" s="65" t="str">
        <f>HLOOKUP(INDICE!$F$2,Nombres!$C$3:$D$636,71,FALSE)</f>
        <v>(*) No incluye las adquisiciones temporales de activos.</v>
      </c>
      <c r="B162" s="60"/>
      <c r="C162" s="60"/>
      <c r="D162" s="60"/>
      <c r="E162" s="60"/>
      <c r="F162" s="44"/>
      <c r="G162" s="44"/>
      <c r="H162" s="44"/>
      <c r="I162" s="44"/>
    </row>
    <row r="163" spans="1:9" ht="14.25">
      <c r="A163" s="65" t="str">
        <f>HLOOKUP(INDICE!$F$2,Nombres!$C$3:$D$636,72,FALSE)</f>
        <v>(**) No incluye las cesiones temporales de activos.</v>
      </c>
      <c r="B163" s="30"/>
      <c r="C163" s="30"/>
      <c r="D163" s="30"/>
      <c r="E163" s="30"/>
      <c r="F163" s="30"/>
      <c r="G163" s="30"/>
      <c r="H163" s="30"/>
      <c r="I163" s="30"/>
    </row>
    <row r="164" spans="1:9" ht="14.25">
      <c r="A164" s="30"/>
      <c r="B164" s="30"/>
      <c r="C164" s="30"/>
      <c r="D164" s="30"/>
      <c r="E164" s="30"/>
      <c r="F164" s="30"/>
      <c r="G164" s="30"/>
      <c r="H164" s="30"/>
      <c r="I164" s="30"/>
    </row>
    <row r="165" spans="1:9" ht="14.25">
      <c r="A165" s="30"/>
      <c r="B165" s="30"/>
      <c r="C165" s="30"/>
      <c r="D165" s="30"/>
      <c r="E165" s="30"/>
      <c r="F165" s="30"/>
      <c r="G165" s="30"/>
      <c r="H165" s="30"/>
      <c r="I165" s="30"/>
    </row>
    <row r="166" spans="1:9" ht="14.25">
      <c r="A166" s="77"/>
      <c r="B166" s="78"/>
      <c r="C166" s="79"/>
      <c r="D166" s="79"/>
      <c r="E166" s="79"/>
      <c r="F166" s="78"/>
      <c r="G166" s="78"/>
      <c r="H166" s="78"/>
      <c r="I166" s="78"/>
    </row>
    <row r="167" spans="1:15" ht="14.25">
      <c r="A167" s="77"/>
      <c r="B167" s="78"/>
      <c r="C167" s="79"/>
      <c r="D167" s="79"/>
      <c r="E167" s="79"/>
      <c r="F167" s="78"/>
      <c r="G167" s="78"/>
      <c r="H167" s="78"/>
      <c r="I167" s="78"/>
      <c r="J167" s="78"/>
      <c r="K167" s="78"/>
      <c r="L167" s="78"/>
      <c r="M167" s="78"/>
      <c r="N167" s="78"/>
      <c r="O167" s="78"/>
    </row>
    <row r="168" spans="1:15" ht="14.25">
      <c r="A168" s="78"/>
      <c r="B168" s="78"/>
      <c r="C168" s="78"/>
      <c r="D168" s="78"/>
      <c r="E168" s="78"/>
      <c r="F168" s="78"/>
      <c r="G168" s="78"/>
      <c r="H168" s="78"/>
      <c r="I168" s="78"/>
      <c r="J168" s="78"/>
      <c r="K168" s="78"/>
      <c r="L168" s="78"/>
      <c r="M168" s="78"/>
      <c r="N168" s="78"/>
      <c r="O168" s="78"/>
    </row>
    <row r="169" spans="1:15" ht="14.25">
      <c r="A169" s="78"/>
      <c r="B169" s="78"/>
      <c r="C169" s="78"/>
      <c r="D169" s="78"/>
      <c r="E169" s="78"/>
      <c r="F169" s="78"/>
      <c r="G169" s="78"/>
      <c r="H169" s="78"/>
      <c r="I169" s="78"/>
      <c r="J169" s="78"/>
      <c r="K169" s="78"/>
      <c r="L169" s="78"/>
      <c r="M169" s="78"/>
      <c r="N169" s="78"/>
      <c r="O169" s="78"/>
    </row>
    <row r="170" spans="1:15" ht="14.25">
      <c r="A170" s="78"/>
      <c r="B170" s="78"/>
      <c r="C170" s="78"/>
      <c r="D170" s="78"/>
      <c r="E170" s="78"/>
      <c r="F170" s="78"/>
      <c r="G170" s="78"/>
      <c r="H170" s="78"/>
      <c r="I170" s="78"/>
      <c r="J170" s="78"/>
      <c r="K170" s="78"/>
      <c r="L170" s="78"/>
      <c r="M170" s="78"/>
      <c r="N170" s="78"/>
      <c r="O170" s="78"/>
    </row>
    <row r="171" spans="1:15" ht="14.25">
      <c r="A171" s="78"/>
      <c r="B171" s="78"/>
      <c r="C171" s="78"/>
      <c r="D171" s="78"/>
      <c r="E171" s="78"/>
      <c r="F171" s="78"/>
      <c r="G171" s="78"/>
      <c r="H171" s="78"/>
      <c r="I171" s="78"/>
      <c r="J171" s="78"/>
      <c r="K171" s="78"/>
      <c r="L171" s="78"/>
      <c r="M171" s="78"/>
      <c r="N171" s="78"/>
      <c r="O171" s="78"/>
    </row>
    <row r="172" spans="1:15" ht="14.25">
      <c r="A172" s="78"/>
      <c r="B172" s="78"/>
      <c r="C172" s="78"/>
      <c r="D172" s="78"/>
      <c r="E172" s="78"/>
      <c r="F172" s="78"/>
      <c r="G172" s="78"/>
      <c r="H172" s="78"/>
      <c r="I172" s="78"/>
      <c r="J172" s="78"/>
      <c r="K172" s="78"/>
      <c r="L172" s="78"/>
      <c r="M172" s="78"/>
      <c r="N172" s="78"/>
      <c r="O172" s="78"/>
    </row>
    <row r="173" spans="1:15" ht="14.25">
      <c r="A173" s="78"/>
      <c r="B173" s="78"/>
      <c r="C173" s="78"/>
      <c r="D173" s="78"/>
      <c r="E173" s="78"/>
      <c r="F173" s="78"/>
      <c r="G173" s="78"/>
      <c r="H173" s="78"/>
      <c r="I173" s="78"/>
      <c r="J173" s="78"/>
      <c r="K173" s="78"/>
      <c r="L173" s="78"/>
      <c r="M173" s="78"/>
      <c r="N173" s="78"/>
      <c r="O173" s="78"/>
    </row>
    <row r="174" spans="1:15" ht="14.25">
      <c r="A174" s="78"/>
      <c r="B174" s="78"/>
      <c r="C174" s="78"/>
      <c r="D174" s="78"/>
      <c r="E174" s="78"/>
      <c r="F174" s="78"/>
      <c r="G174" s="78"/>
      <c r="H174" s="78"/>
      <c r="I174" s="78"/>
      <c r="J174" s="78"/>
      <c r="K174" s="78"/>
      <c r="L174" s="78"/>
      <c r="M174" s="78"/>
      <c r="N174" s="78"/>
      <c r="O174" s="78"/>
    </row>
    <row r="1000" ht="14.25">
      <c r="A1000" s="31" t="s">
        <v>397</v>
      </c>
    </row>
  </sheetData>
  <sheetProtection/>
  <mergeCells count="6">
    <mergeCell ref="B6:E6"/>
    <mergeCell ref="B60:E60"/>
    <mergeCell ref="B114:E114"/>
    <mergeCell ref="F6:I6"/>
    <mergeCell ref="F60:I60"/>
    <mergeCell ref="F114:I114"/>
  </mergeCells>
  <conditionalFormatting sqref="B26:I26">
    <cfRule type="cellIs" priority="3" dxfId="98" operator="notBetween">
      <formula>0.5</formula>
      <formula>-0.5</formula>
    </cfRule>
  </conditionalFormatting>
  <conditionalFormatting sqref="B80:I80">
    <cfRule type="cellIs" priority="2" dxfId="98" operator="notBetween">
      <formula>0.5</formula>
      <formula>-0.5</formula>
    </cfRule>
  </conditionalFormatting>
  <conditionalFormatting sqref="B134:I134">
    <cfRule type="cellIs" priority="1" dxfId="98" operator="notBetween">
      <formula>0.5</formula>
      <formula>-0.5</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O174"/>
  <sheetViews>
    <sheetView showGridLines="0" zoomScalePageLayoutView="0" workbookViewId="0" topLeftCell="A1">
      <selection activeCell="I1" sqref="I1:I16384"/>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6.5">
      <c r="A1" s="88" t="str">
        <f>HLOOKUP(INDICE!$F$2,Nombres!$C$3:$D$636,17,FALSE)</f>
        <v>Perú</v>
      </c>
      <c r="B1" s="30"/>
      <c r="C1" s="30"/>
      <c r="D1" s="30"/>
      <c r="E1" s="30"/>
      <c r="F1" s="30"/>
      <c r="G1" s="30"/>
      <c r="H1" s="30"/>
      <c r="I1" s="30"/>
    </row>
    <row r="2" spans="1:9" ht="19.5">
      <c r="A2" s="32"/>
      <c r="B2" s="30"/>
      <c r="C2" s="30"/>
      <c r="D2" s="30"/>
      <c r="E2" s="30"/>
      <c r="F2" s="30"/>
      <c r="G2" s="30"/>
      <c r="H2" s="30"/>
      <c r="I2" s="30"/>
    </row>
    <row r="3" spans="1:9" ht="16.5">
      <c r="A3" s="98" t="str">
        <f>HLOOKUP(INDICE!$F$2,Nombres!$C$3:$D$636,31,FALSE)</f>
        <v>Cuenta de resultados  </v>
      </c>
      <c r="B3" s="34"/>
      <c r="C3" s="34"/>
      <c r="D3" s="34"/>
      <c r="E3" s="34"/>
      <c r="F3" s="34"/>
      <c r="G3" s="34"/>
      <c r="H3" s="34"/>
      <c r="I3" s="34"/>
    </row>
    <row r="4" spans="1:9" ht="14.25">
      <c r="A4" s="89"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5">
        <f>+España!B6</f>
        <v>2019</v>
      </c>
      <c r="C6" s="305"/>
      <c r="D6" s="305"/>
      <c r="E6" s="306"/>
      <c r="F6" s="305">
        <f>+España!F6</f>
        <v>2020</v>
      </c>
      <c r="G6" s="305"/>
      <c r="H6" s="305"/>
      <c r="I6" s="305"/>
    </row>
    <row r="7" spans="1:9" ht="14.25">
      <c r="A7" s="38"/>
      <c r="B7" s="90" t="str">
        <f>+España!B7</f>
        <v>1er Trim.</v>
      </c>
      <c r="C7" s="90" t="str">
        <f>+España!C7</f>
        <v>2º Trim.</v>
      </c>
      <c r="D7" s="90" t="str">
        <f>+España!D7</f>
        <v>3er Trim.</v>
      </c>
      <c r="E7" s="91" t="str">
        <f>+España!E7</f>
        <v>4º Trim.</v>
      </c>
      <c r="F7" s="90" t="str">
        <f>+España!F7</f>
        <v>1er Trim.</v>
      </c>
      <c r="G7" s="90" t="str">
        <f>+España!G7</f>
        <v>2º Trim.</v>
      </c>
      <c r="H7" s="90" t="str">
        <f>+España!H7</f>
        <v>3er Trim.</v>
      </c>
      <c r="I7" s="90" t="str">
        <f>+España!I7</f>
        <v>4º Trim.</v>
      </c>
    </row>
    <row r="8" spans="1:15" ht="14.25">
      <c r="A8" s="41" t="str">
        <f>HLOOKUP(INDICE!$F$2,Nombres!$C$3:$D$636,33,FALSE)</f>
        <v>Margen de intereses</v>
      </c>
      <c r="B8" s="41">
        <v>218.83299999999997</v>
      </c>
      <c r="C8" s="41">
        <v>229.08200000000002</v>
      </c>
      <c r="D8" s="41">
        <v>233.166</v>
      </c>
      <c r="E8" s="42">
        <v>217.00999999999996</v>
      </c>
      <c r="F8" s="52">
        <v>219.20199999999997</v>
      </c>
      <c r="G8" s="52">
        <v>203.419</v>
      </c>
      <c r="H8" s="251">
        <v>197.277</v>
      </c>
      <c r="I8" s="251">
        <v>0</v>
      </c>
      <c r="J8" s="92"/>
      <c r="K8" s="92"/>
      <c r="L8" s="92"/>
      <c r="M8" s="92"/>
      <c r="N8" s="92"/>
      <c r="O8" s="92"/>
    </row>
    <row r="9" spans="1:9" ht="14.25">
      <c r="A9" s="93" t="str">
        <f>HLOOKUP(INDICE!$F$2,Nombres!$C$3:$D$636,34,FALSE)</f>
        <v>Comisiones netas</v>
      </c>
      <c r="B9" s="44">
        <v>54.21246399999999</v>
      </c>
      <c r="C9" s="44">
        <v>59.723424230000006</v>
      </c>
      <c r="D9" s="44">
        <v>60.34376514999999</v>
      </c>
      <c r="E9" s="45">
        <v>57.35718100000001</v>
      </c>
      <c r="F9" s="44">
        <v>53.25286948</v>
      </c>
      <c r="G9" s="44">
        <v>45.76907599999999</v>
      </c>
      <c r="H9" s="44">
        <v>61.25642644999999</v>
      </c>
      <c r="I9" s="44">
        <v>0</v>
      </c>
    </row>
    <row r="10" spans="1:9" ht="14.25">
      <c r="A10" s="93" t="str">
        <f>HLOOKUP(INDICE!$F$2,Nombres!$C$3:$D$636,35,FALSE)</f>
        <v>Resultados de operaciones financieras</v>
      </c>
      <c r="B10" s="44">
        <v>39.00941698</v>
      </c>
      <c r="C10" s="44">
        <v>43.51413657999999</v>
      </c>
      <c r="D10" s="44">
        <v>44.342521190000014</v>
      </c>
      <c r="E10" s="45">
        <v>53.315698019999985</v>
      </c>
      <c r="F10" s="44">
        <v>37.0917533</v>
      </c>
      <c r="G10" s="44">
        <v>35.562653700000006</v>
      </c>
      <c r="H10" s="44">
        <v>43.157862890000004</v>
      </c>
      <c r="I10" s="44">
        <v>0</v>
      </c>
    </row>
    <row r="11" spans="1:9" ht="14.25">
      <c r="A11" s="93" t="str">
        <f>HLOOKUP(INDICE!$F$2,Nombres!$C$3:$D$636,36,FALSE)</f>
        <v>Otros ingresos y cargas de explotación</v>
      </c>
      <c r="B11" s="44">
        <v>-6.357000000000001</v>
      </c>
      <c r="C11" s="44">
        <v>-4.744999999999998</v>
      </c>
      <c r="D11" s="44">
        <v>-5.7669999999999995</v>
      </c>
      <c r="E11" s="45">
        <v>-5.224000000000001</v>
      </c>
      <c r="F11" s="44">
        <v>-6.353000000000001</v>
      </c>
      <c r="G11" s="44">
        <v>-8.053999999999998</v>
      </c>
      <c r="H11" s="44">
        <v>-6.8309999999999995</v>
      </c>
      <c r="I11" s="44">
        <v>0</v>
      </c>
    </row>
    <row r="12" spans="1:9" ht="14.25">
      <c r="A12" s="41" t="str">
        <f>HLOOKUP(INDICE!$F$2,Nombres!$C$3:$D$636,37,FALSE)</f>
        <v>Margen bruto</v>
      </c>
      <c r="B12" s="41">
        <f aca="true" t="shared" si="0" ref="B12:I12">+SUM(B8:B11)</f>
        <v>305.69788098</v>
      </c>
      <c r="C12" s="41">
        <f t="shared" si="0"/>
        <v>327.57456081000004</v>
      </c>
      <c r="D12" s="41">
        <f t="shared" si="0"/>
        <v>332.08528634</v>
      </c>
      <c r="E12" s="42">
        <f t="shared" si="0"/>
        <v>322.45887902</v>
      </c>
      <c r="F12" s="52">
        <f t="shared" si="0"/>
        <v>303.19362277999994</v>
      </c>
      <c r="G12" s="52">
        <f t="shared" si="0"/>
        <v>276.69672970000005</v>
      </c>
      <c r="H12" s="52">
        <f t="shared" si="0"/>
        <v>294.86028933999995</v>
      </c>
      <c r="I12" s="52">
        <f t="shared" si="0"/>
        <v>0</v>
      </c>
    </row>
    <row r="13" spans="1:9" ht="14.25">
      <c r="A13" s="93" t="str">
        <f>HLOOKUP(INDICE!$F$2,Nombres!$C$3:$D$636,38,FALSE)</f>
        <v>Gastos de explotación</v>
      </c>
      <c r="B13" s="44">
        <v>-112.10374906999999</v>
      </c>
      <c r="C13" s="44">
        <v>-111.82075</v>
      </c>
      <c r="D13" s="44">
        <v>-116.947031</v>
      </c>
      <c r="E13" s="45">
        <v>-119.65175000000002</v>
      </c>
      <c r="F13" s="44">
        <v>-119.76099933</v>
      </c>
      <c r="G13" s="44">
        <v>-107.01099999999998</v>
      </c>
      <c r="H13" s="44">
        <v>-103.13842657</v>
      </c>
      <c r="I13" s="44">
        <v>0</v>
      </c>
    </row>
    <row r="14" spans="1:9" ht="14.25">
      <c r="A14" s="93" t="str">
        <f>HLOOKUP(INDICE!$F$2,Nombres!$C$3:$D$636,39,FALSE)</f>
        <v>  Gastos de administración</v>
      </c>
      <c r="B14" s="44">
        <v>-95.06574907</v>
      </c>
      <c r="C14" s="44">
        <v>-95.47075</v>
      </c>
      <c r="D14" s="44">
        <v>-100.374031</v>
      </c>
      <c r="E14" s="45">
        <v>-103.82875000000001</v>
      </c>
      <c r="F14" s="44">
        <v>-101.47299933000001</v>
      </c>
      <c r="G14" s="44">
        <v>-91.223</v>
      </c>
      <c r="H14" s="44">
        <v>-88.39842657</v>
      </c>
      <c r="I14" s="44">
        <v>0</v>
      </c>
    </row>
    <row r="15" spans="1:9" ht="14.25">
      <c r="A15" s="94" t="str">
        <f>HLOOKUP(INDICE!$F$2,Nombres!$C$3:$D$636,40,FALSE)</f>
        <v>  Gastos de personal</v>
      </c>
      <c r="B15" s="44">
        <v>-54.108000000000004</v>
      </c>
      <c r="C15" s="44">
        <v>-53.448</v>
      </c>
      <c r="D15" s="44">
        <v>-56.649</v>
      </c>
      <c r="E15" s="45">
        <v>-62.384</v>
      </c>
      <c r="F15" s="44">
        <v>-58.68299999999999</v>
      </c>
      <c r="G15" s="44">
        <v>-51.48700000000001</v>
      </c>
      <c r="H15" s="44">
        <v>-50.19099999999999</v>
      </c>
      <c r="I15" s="44">
        <v>0</v>
      </c>
    </row>
    <row r="16" spans="1:9" ht="14.25">
      <c r="A16" s="94" t="str">
        <f>HLOOKUP(INDICE!$F$2,Nombres!$C$3:$D$636,41,FALSE)</f>
        <v>  Otros gastos de administración</v>
      </c>
      <c r="B16" s="44">
        <v>-40.957749070000006</v>
      </c>
      <c r="C16" s="44">
        <v>-42.02275000000001</v>
      </c>
      <c r="D16" s="44">
        <v>-43.725030999999994</v>
      </c>
      <c r="E16" s="45">
        <v>-41.44475000000001</v>
      </c>
      <c r="F16" s="44">
        <v>-42.789999330000015</v>
      </c>
      <c r="G16" s="44">
        <v>-39.736</v>
      </c>
      <c r="H16" s="44">
        <v>-38.207426569999996</v>
      </c>
      <c r="I16" s="44">
        <v>0</v>
      </c>
    </row>
    <row r="17" spans="1:9" ht="14.25">
      <c r="A17" s="93" t="str">
        <f>HLOOKUP(INDICE!$F$2,Nombres!$C$3:$D$636,42,FALSE)</f>
        <v>  Amortización</v>
      </c>
      <c r="B17" s="44">
        <v>-17.038</v>
      </c>
      <c r="C17" s="44">
        <v>-16.349999999999998</v>
      </c>
      <c r="D17" s="44">
        <v>-16.573</v>
      </c>
      <c r="E17" s="45">
        <v>-15.823</v>
      </c>
      <c r="F17" s="44">
        <v>-18.288</v>
      </c>
      <c r="G17" s="44">
        <v>-15.788000000000002</v>
      </c>
      <c r="H17" s="44">
        <v>-14.740000000000002</v>
      </c>
      <c r="I17" s="44">
        <v>0</v>
      </c>
    </row>
    <row r="18" spans="1:9" ht="14.25">
      <c r="A18" s="41" t="str">
        <f>HLOOKUP(INDICE!$F$2,Nombres!$C$3:$D$636,43,FALSE)</f>
        <v>Margen neto</v>
      </c>
      <c r="B18" s="41">
        <f aca="true" t="shared" si="1" ref="B18:I18">+B12+B13</f>
        <v>193.59413191</v>
      </c>
      <c r="C18" s="41">
        <f t="shared" si="1"/>
        <v>215.75381081000003</v>
      </c>
      <c r="D18" s="41">
        <f t="shared" si="1"/>
        <v>215.13825534</v>
      </c>
      <c r="E18" s="42">
        <f t="shared" si="1"/>
        <v>202.80712901999996</v>
      </c>
      <c r="F18" s="52">
        <f t="shared" si="1"/>
        <v>183.43262344999994</v>
      </c>
      <c r="G18" s="52">
        <f t="shared" si="1"/>
        <v>169.68572970000008</v>
      </c>
      <c r="H18" s="52">
        <f t="shared" si="1"/>
        <v>191.72186276999997</v>
      </c>
      <c r="I18" s="52">
        <f t="shared" si="1"/>
        <v>0</v>
      </c>
    </row>
    <row r="19" spans="1:9" ht="14.25">
      <c r="A19" s="93" t="str">
        <f>HLOOKUP(INDICE!$F$2,Nombres!$C$3:$D$636,44,FALSE)</f>
        <v>Deterioro de activos financieros no valorados a valor razonable con cambios en resultados</v>
      </c>
      <c r="B19" s="44">
        <v>-56.88899999999998</v>
      </c>
      <c r="C19" s="44">
        <v>-62.55700000000001</v>
      </c>
      <c r="D19" s="44">
        <v>-48.218999999999966</v>
      </c>
      <c r="E19" s="45">
        <v>-52.09900000000008</v>
      </c>
      <c r="F19" s="44">
        <v>-96.36200000000001</v>
      </c>
      <c r="G19" s="44">
        <v>-139.38000000000002</v>
      </c>
      <c r="H19" s="44">
        <v>-40.41399999999998</v>
      </c>
      <c r="I19" s="44">
        <v>0</v>
      </c>
    </row>
    <row r="20" spans="1:9" ht="14.25">
      <c r="A20" s="93" t="str">
        <f>HLOOKUP(INDICE!$F$2,Nombres!$C$3:$D$636,45,FALSE)</f>
        <v>Provisiones o reversión de provisiones y otros resultados</v>
      </c>
      <c r="B20" s="44">
        <v>-3.8140000000000005</v>
      </c>
      <c r="C20" s="44">
        <v>11.482999999999995</v>
      </c>
      <c r="D20" s="44">
        <v>3.803000000000003</v>
      </c>
      <c r="E20" s="45">
        <v>-10.352000000000002</v>
      </c>
      <c r="F20" s="44">
        <v>-3.584</v>
      </c>
      <c r="G20" s="44">
        <v>-22.791</v>
      </c>
      <c r="H20" s="44">
        <v>-18.483999999999995</v>
      </c>
      <c r="I20" s="44">
        <v>0</v>
      </c>
    </row>
    <row r="21" spans="1:9" ht="14.25">
      <c r="A21" s="95" t="str">
        <f>HLOOKUP(INDICE!$F$2,Nombres!$C$3:$D$636,46,FALSE)</f>
        <v>Resultado antes de impuestos</v>
      </c>
      <c r="B21" s="41">
        <f aca="true" t="shared" si="2" ref="B21:I21">+B18+B19+B20</f>
        <v>132.89113191</v>
      </c>
      <c r="C21" s="41">
        <f t="shared" si="2"/>
        <v>164.67981081000002</v>
      </c>
      <c r="D21" s="41">
        <f t="shared" si="2"/>
        <v>170.72225534000003</v>
      </c>
      <c r="E21" s="42">
        <f t="shared" si="2"/>
        <v>140.35612901999988</v>
      </c>
      <c r="F21" s="52">
        <f t="shared" si="2"/>
        <v>83.48662344999993</v>
      </c>
      <c r="G21" s="52">
        <f t="shared" si="2"/>
        <v>7.514729700000057</v>
      </c>
      <c r="H21" s="52">
        <f t="shared" si="2"/>
        <v>132.82386277</v>
      </c>
      <c r="I21" s="52">
        <f t="shared" si="2"/>
        <v>0</v>
      </c>
    </row>
    <row r="22" spans="1:9" ht="14.25">
      <c r="A22" s="43" t="str">
        <f>HLOOKUP(INDICE!$F$2,Nombres!$C$3:$D$636,47,FALSE)</f>
        <v>Impuesto sobre beneficios</v>
      </c>
      <c r="B22" s="44">
        <v>-38.985595939999996</v>
      </c>
      <c r="C22" s="44">
        <v>-46.88877915</v>
      </c>
      <c r="D22" s="44">
        <v>-49.31047920999998</v>
      </c>
      <c r="E22" s="45">
        <v>-35.90114870000001</v>
      </c>
      <c r="F22" s="44">
        <v>-18.682028610000003</v>
      </c>
      <c r="G22" s="44">
        <v>-1.8973019799999964</v>
      </c>
      <c r="H22" s="44">
        <v>-39.41538394</v>
      </c>
      <c r="I22" s="44">
        <v>0</v>
      </c>
    </row>
    <row r="23" spans="1:9" ht="14.25">
      <c r="A23" s="95" t="str">
        <f>HLOOKUP(INDICE!$F$2,Nombres!$C$3:$D$636,48,FALSE)</f>
        <v>Resultado del ejercicio</v>
      </c>
      <c r="B23" s="41">
        <f aca="true" t="shared" si="3" ref="B23:I23">+B21+B22</f>
        <v>93.90553597000002</v>
      </c>
      <c r="C23" s="41">
        <f t="shared" si="3"/>
        <v>117.79103166000002</v>
      </c>
      <c r="D23" s="41">
        <f t="shared" si="3"/>
        <v>121.41177613000005</v>
      </c>
      <c r="E23" s="42">
        <f t="shared" si="3"/>
        <v>104.45498031999988</v>
      </c>
      <c r="F23" s="52">
        <f t="shared" si="3"/>
        <v>64.80459483999992</v>
      </c>
      <c r="G23" s="52">
        <f t="shared" si="3"/>
        <v>5.617427720000061</v>
      </c>
      <c r="H23" s="52">
        <f t="shared" si="3"/>
        <v>93.40847883</v>
      </c>
      <c r="I23" s="52">
        <f t="shared" si="3"/>
        <v>0</v>
      </c>
    </row>
    <row r="24" spans="1:9" ht="14.25">
      <c r="A24" s="93" t="str">
        <f>HLOOKUP(INDICE!$F$2,Nombres!$C$3:$D$636,49,FALSE)</f>
        <v>Minoritarios</v>
      </c>
      <c r="B24" s="44">
        <v>-51.15578842</v>
      </c>
      <c r="C24" s="44">
        <v>-63.033378379999995</v>
      </c>
      <c r="D24" s="44">
        <v>-65.60818381</v>
      </c>
      <c r="E24" s="45">
        <v>-56.03043083999999</v>
      </c>
      <c r="F24" s="44">
        <v>-35.001207810000004</v>
      </c>
      <c r="G24" s="44">
        <v>-3.014897749999996</v>
      </c>
      <c r="H24" s="44">
        <v>-49.344258679999996</v>
      </c>
      <c r="I24" s="44">
        <v>0</v>
      </c>
    </row>
    <row r="25" spans="1:9" ht="14.25">
      <c r="A25" s="96" t="str">
        <f>HLOOKUP(INDICE!$F$2,Nombres!$C$3:$D$636,50,FALSE)</f>
        <v>Resultado atribuido</v>
      </c>
      <c r="B25" s="47">
        <f aca="true" t="shared" si="4" ref="B25:I25">+B23+B24</f>
        <v>42.749747550000016</v>
      </c>
      <c r="C25" s="47">
        <f t="shared" si="4"/>
        <v>54.75765328000002</v>
      </c>
      <c r="D25" s="47">
        <f t="shared" si="4"/>
        <v>55.80359232000005</v>
      </c>
      <c r="E25" s="47">
        <f t="shared" si="4"/>
        <v>48.42454947999989</v>
      </c>
      <c r="F25" s="53">
        <f t="shared" si="4"/>
        <v>29.803387029999918</v>
      </c>
      <c r="G25" s="53">
        <f t="shared" si="4"/>
        <v>2.602529970000065</v>
      </c>
      <c r="H25" s="53">
        <f t="shared" si="4"/>
        <v>44.06422015000001</v>
      </c>
      <c r="I25" s="53">
        <f t="shared" si="4"/>
        <v>0</v>
      </c>
    </row>
    <row r="26" spans="1:9" ht="14.25">
      <c r="A26" s="97" t="s">
        <v>5</v>
      </c>
      <c r="B26" s="66">
        <v>0</v>
      </c>
      <c r="C26" s="66">
        <v>0</v>
      </c>
      <c r="D26" s="66">
        <v>0</v>
      </c>
      <c r="E26" s="66">
        <v>0</v>
      </c>
      <c r="F26" s="66">
        <v>-3.552713678800501E-14</v>
      </c>
      <c r="G26" s="66">
        <v>6.572520305780927E-14</v>
      </c>
      <c r="H26" s="66">
        <v>0</v>
      </c>
      <c r="I26" s="66">
        <v>0</v>
      </c>
    </row>
    <row r="27" spans="1:9" ht="14.25">
      <c r="A27" s="95" t="s">
        <v>5</v>
      </c>
      <c r="B27" s="41"/>
      <c r="C27" s="41"/>
      <c r="D27" s="41"/>
      <c r="E27" s="41"/>
      <c r="F27" s="41"/>
      <c r="G27" s="41"/>
      <c r="H27" s="41"/>
      <c r="I27" s="41"/>
    </row>
    <row r="28" spans="1:9" ht="16.5">
      <c r="A28" s="98" t="str">
        <f>HLOOKUP(INDICE!$F$2,Nombres!$C$3:$D$636,51,FALSE)</f>
        <v>Balances</v>
      </c>
      <c r="B28" s="34"/>
      <c r="C28" s="34"/>
      <c r="D28" s="34"/>
      <c r="E28" s="34"/>
      <c r="F28" s="34"/>
      <c r="G28" s="34"/>
      <c r="H28" s="34"/>
      <c r="I28" s="34"/>
    </row>
    <row r="29" spans="1:9" ht="14.25">
      <c r="A29" s="89" t="str">
        <f>HLOOKUP(INDICE!$F$2,Nombres!$C$3:$D$636,32,FALSE)</f>
        <v>(Millones de euros)</v>
      </c>
      <c r="B29" s="30"/>
      <c r="C29" s="54"/>
      <c r="D29" s="54"/>
      <c r="E29" s="54"/>
      <c r="F29" s="30"/>
      <c r="G29" s="60"/>
      <c r="H29" s="60"/>
      <c r="I29" s="60"/>
    </row>
    <row r="30" spans="1:9" ht="14.25">
      <c r="A30" s="30"/>
      <c r="B30" s="55">
        <f>+España!B30</f>
        <v>43555</v>
      </c>
      <c r="C30" s="55">
        <f>+España!C30</f>
        <v>43646</v>
      </c>
      <c r="D30" s="55">
        <f>+España!D30</f>
        <v>43738</v>
      </c>
      <c r="E30" s="71">
        <f>+España!E30</f>
        <v>43830</v>
      </c>
      <c r="F30" s="80">
        <f>+España!F30</f>
        <v>43921</v>
      </c>
      <c r="G30" s="80">
        <f>+España!G30</f>
        <v>44012</v>
      </c>
      <c r="H30" s="80">
        <f>+España!H30</f>
        <v>44104</v>
      </c>
      <c r="I30" s="80">
        <f>+España!I30</f>
        <v>44196</v>
      </c>
    </row>
    <row r="31" spans="1:9" ht="14.25">
      <c r="A31" s="93" t="str">
        <f>HLOOKUP(INDICE!$F$2,Nombres!$C$3:$D$636,52,FALSE)</f>
        <v>Efectivo, saldos en efectivo en bancos centrales y otros depósitos a la vista</v>
      </c>
      <c r="B31" s="44">
        <v>3349.662</v>
      </c>
      <c r="C31" s="44">
        <v>2659.3909999999996</v>
      </c>
      <c r="D31" s="44">
        <v>2804.511</v>
      </c>
      <c r="E31" s="45">
        <v>3363.766</v>
      </c>
      <c r="F31" s="44">
        <v>3381.091</v>
      </c>
      <c r="G31" s="44">
        <v>3129.6730000000002</v>
      </c>
      <c r="H31" s="44">
        <v>2480.178</v>
      </c>
      <c r="I31" s="44">
        <v>0</v>
      </c>
    </row>
    <row r="32" spans="1:9" ht="14.25">
      <c r="A32" s="93" t="str">
        <f>HLOOKUP(INDICE!$F$2,Nombres!$C$3:$D$636,53,FALSE)</f>
        <v>Activos financieros a valor razonable</v>
      </c>
      <c r="B32" s="60">
        <v>2235.6440000000002</v>
      </c>
      <c r="C32" s="60">
        <v>1982.029</v>
      </c>
      <c r="D32" s="60">
        <v>2339.188</v>
      </c>
      <c r="E32" s="68">
        <v>1934.266</v>
      </c>
      <c r="F32" s="44">
        <v>2243.8010000000004</v>
      </c>
      <c r="G32" s="44">
        <v>3027.178</v>
      </c>
      <c r="H32" s="44">
        <v>2967.7070000000003</v>
      </c>
      <c r="I32" s="44">
        <v>0</v>
      </c>
    </row>
    <row r="33" spans="1:9" ht="14.25">
      <c r="A33" s="43" t="str">
        <f>HLOOKUP(INDICE!$F$2,Nombres!$C$3:$D$636,54,FALSE)</f>
        <v>Activos financieros a coste amortizado</v>
      </c>
      <c r="B33" s="44">
        <v>15134.162</v>
      </c>
      <c r="C33" s="44">
        <v>15548.824</v>
      </c>
      <c r="D33" s="44">
        <v>16249.285999999996</v>
      </c>
      <c r="E33" s="45">
        <v>15911.285999999996</v>
      </c>
      <c r="F33" s="44">
        <v>16307.015999999998</v>
      </c>
      <c r="G33" s="44">
        <v>17648.992000000002</v>
      </c>
      <c r="H33" s="44">
        <v>18860.053</v>
      </c>
      <c r="I33" s="44">
        <v>0</v>
      </c>
    </row>
    <row r="34" spans="1:9" ht="14.25">
      <c r="A34" s="93" t="str">
        <f>HLOOKUP(INDICE!$F$2,Nombres!$C$3:$D$636,55,FALSE)</f>
        <v>    de los que préstamos y anticipos a la clientela</v>
      </c>
      <c r="B34" s="44">
        <v>14344.951</v>
      </c>
      <c r="C34" s="44">
        <v>14559.296</v>
      </c>
      <c r="D34" s="44">
        <v>15242.633</v>
      </c>
      <c r="E34" s="45">
        <v>15059.719</v>
      </c>
      <c r="F34" s="44">
        <v>15505.135999999999</v>
      </c>
      <c r="G34" s="44">
        <v>16097.621000000001</v>
      </c>
      <c r="H34" s="44">
        <v>15923.884999999998</v>
      </c>
      <c r="I34" s="44">
        <v>0</v>
      </c>
    </row>
    <row r="35" spans="1:9" ht="14.25">
      <c r="A35" s="43" t="str">
        <f>HLOOKUP(INDICE!$F$2,Nombres!$C$3:$D$636,56,FALSE)</f>
        <v>Activos tangibles</v>
      </c>
      <c r="B35" s="44">
        <v>309.75300000000004</v>
      </c>
      <c r="C35" s="44">
        <v>307.71000000000004</v>
      </c>
      <c r="D35" s="44">
        <v>313.453</v>
      </c>
      <c r="E35" s="45">
        <v>316.145</v>
      </c>
      <c r="F35" s="44">
        <v>308.021</v>
      </c>
      <c r="G35" s="44">
        <v>288.18399999999997</v>
      </c>
      <c r="H35" s="44">
        <v>270.52299999999997</v>
      </c>
      <c r="I35" s="44">
        <v>0</v>
      </c>
    </row>
    <row r="36" spans="1:9" ht="14.25">
      <c r="A36" s="93" t="str">
        <f>HLOOKUP(INDICE!$F$2,Nombres!$C$3:$D$636,57,FALSE)</f>
        <v>Otros activos</v>
      </c>
      <c r="B36" s="60">
        <f aca="true" t="shared" si="5" ref="B36:I36">+B37-B35-B33-B32-B31</f>
        <v>393.6070000000004</v>
      </c>
      <c r="C36" s="60">
        <f t="shared" si="5"/>
        <v>361.703</v>
      </c>
      <c r="D36" s="60">
        <f t="shared" si="5"/>
        <v>387.4249999999961</v>
      </c>
      <c r="E36" s="68">
        <f t="shared" si="5"/>
        <v>355.5530073999971</v>
      </c>
      <c r="F36" s="44">
        <f t="shared" si="5"/>
        <v>420.69200000000046</v>
      </c>
      <c r="G36" s="44">
        <f t="shared" si="5"/>
        <v>464.51800000999583</v>
      </c>
      <c r="H36" s="44">
        <f t="shared" si="5"/>
        <v>376.17135819000214</v>
      </c>
      <c r="I36" s="44">
        <f t="shared" si="5"/>
        <v>0</v>
      </c>
    </row>
    <row r="37" spans="1:9" ht="14.25">
      <c r="A37" s="96" t="str">
        <f>HLOOKUP(INDICE!$F$2,Nombres!$C$3:$D$636,58,FALSE)</f>
        <v>Total activo / pasivo</v>
      </c>
      <c r="B37" s="47">
        <v>21422.828</v>
      </c>
      <c r="C37" s="47">
        <v>20859.657</v>
      </c>
      <c r="D37" s="47">
        <v>22093.862999999994</v>
      </c>
      <c r="E37" s="47">
        <v>21881.016007399994</v>
      </c>
      <c r="F37" s="53">
        <v>22660.621</v>
      </c>
      <c r="G37" s="53">
        <v>24558.54500001</v>
      </c>
      <c r="H37" s="53">
        <v>24954.632358190003</v>
      </c>
      <c r="I37" s="53">
        <v>0</v>
      </c>
    </row>
    <row r="38" spans="1:9" ht="14.25">
      <c r="A38" s="93" t="str">
        <f>HLOOKUP(INDICE!$F$2,Nombres!$C$3:$D$636,59,FALSE)</f>
        <v>Pasivos financieros mantenidos para negociar y designados a valor razonable con cambios en resultados</v>
      </c>
      <c r="B38" s="60">
        <v>86.65599999999999</v>
      </c>
      <c r="C38" s="60">
        <v>108.926</v>
      </c>
      <c r="D38" s="60">
        <v>133.399</v>
      </c>
      <c r="E38" s="68">
        <v>135.103</v>
      </c>
      <c r="F38" s="44">
        <v>250.91199999999998</v>
      </c>
      <c r="G38" s="44">
        <v>280.795</v>
      </c>
      <c r="H38" s="44">
        <v>226.805</v>
      </c>
      <c r="I38" s="44">
        <v>0</v>
      </c>
    </row>
    <row r="39" spans="1:9" ht="14.25">
      <c r="A39" s="93" t="str">
        <f>HLOOKUP(INDICE!$F$2,Nombres!$C$3:$D$636,60,FALSE)</f>
        <v>Depósitos de bancos centrales y entidades de crédito</v>
      </c>
      <c r="B39" s="60">
        <v>2086.153</v>
      </c>
      <c r="C39" s="60">
        <v>2235.683</v>
      </c>
      <c r="D39" s="60">
        <v>2425.084</v>
      </c>
      <c r="E39" s="68">
        <v>2322.8909999999996</v>
      </c>
      <c r="F39" s="44">
        <v>2750.2699999999995</v>
      </c>
      <c r="G39" s="44">
        <v>3087.928</v>
      </c>
      <c r="H39" s="44">
        <v>4562.022</v>
      </c>
      <c r="I39" s="44">
        <v>0</v>
      </c>
    </row>
    <row r="40" spans="1:9" ht="15.75" customHeight="1">
      <c r="A40" s="93" t="str">
        <f>HLOOKUP(INDICE!$F$2,Nombres!$C$3:$D$636,61,FALSE)</f>
        <v>Depósitos de la clientela</v>
      </c>
      <c r="B40" s="60">
        <v>14368.044000000002</v>
      </c>
      <c r="C40" s="60">
        <v>13809.556</v>
      </c>
      <c r="D40" s="60">
        <v>14629.024000000001</v>
      </c>
      <c r="E40" s="68">
        <v>14642.522</v>
      </c>
      <c r="F40" s="44">
        <v>14764.692</v>
      </c>
      <c r="G40" s="44">
        <v>16406.72</v>
      </c>
      <c r="H40" s="44">
        <v>15659.979</v>
      </c>
      <c r="I40" s="44">
        <v>0</v>
      </c>
    </row>
    <row r="41" spans="1:9" ht="14.25">
      <c r="A41" s="43" t="str">
        <f>HLOOKUP(INDICE!$F$2,Nombres!$C$3:$D$636,62,FALSE)</f>
        <v>Valores representativos de deuda emitidos</v>
      </c>
      <c r="B41" s="44">
        <v>1514.129</v>
      </c>
      <c r="C41" s="44">
        <v>1397.009</v>
      </c>
      <c r="D41" s="44">
        <v>1491.0040000000001</v>
      </c>
      <c r="E41" s="45">
        <v>1506.1310000000003</v>
      </c>
      <c r="F41" s="44">
        <v>1485.7979999999998</v>
      </c>
      <c r="G41" s="44">
        <v>1442.933</v>
      </c>
      <c r="H41" s="44">
        <v>1324.096</v>
      </c>
      <c r="I41" s="44">
        <v>0</v>
      </c>
    </row>
    <row r="42" spans="1:9" ht="14.25">
      <c r="A42" s="93" t="str">
        <f>HLOOKUP(INDICE!$F$2,Nombres!$C$3:$D$636,63,FALSE)</f>
        <v>Otros pasivos</v>
      </c>
      <c r="B42" s="60">
        <f aca="true" t="shared" si="6" ref="B42:I42">+B37-B38-B39-B40-B41-B43</f>
        <v>2760.5414500000024</v>
      </c>
      <c r="C42" s="60">
        <f t="shared" si="6"/>
        <v>2693.201089999998</v>
      </c>
      <c r="D42" s="60">
        <f t="shared" si="6"/>
        <v>2776.6720710499926</v>
      </c>
      <c r="E42" s="68">
        <f t="shared" si="6"/>
        <v>2597.5246953799942</v>
      </c>
      <c r="F42" s="44">
        <f t="shared" si="6"/>
        <v>2757.04137</v>
      </c>
      <c r="G42" s="44">
        <f t="shared" si="6"/>
        <v>2695.4618800099997</v>
      </c>
      <c r="H42" s="44">
        <f t="shared" si="6"/>
        <v>2579.3952436800027</v>
      </c>
      <c r="I42" s="44">
        <f t="shared" si="6"/>
        <v>0</v>
      </c>
    </row>
    <row r="43" spans="1:9" ht="14.25">
      <c r="A43" s="93" t="str">
        <f>HLOOKUP(INDICE!$F$2,Nombres!$C$3:$D$636,64,FALSE)</f>
        <v>Dotación de capital económico</v>
      </c>
      <c r="B43" s="44">
        <v>607.30455</v>
      </c>
      <c r="C43" s="44">
        <v>615.28191</v>
      </c>
      <c r="D43" s="44">
        <v>638.67992895</v>
      </c>
      <c r="E43" s="45">
        <v>676.8443120200001</v>
      </c>
      <c r="F43" s="44">
        <v>651.9076299999999</v>
      </c>
      <c r="G43" s="44">
        <v>644.7071199999999</v>
      </c>
      <c r="H43" s="44">
        <v>602.3351145099999</v>
      </c>
      <c r="I43" s="44">
        <v>0</v>
      </c>
    </row>
    <row r="44" spans="1:9" ht="14.25">
      <c r="A44" s="65"/>
      <c r="B44" s="60"/>
      <c r="C44" s="60"/>
      <c r="D44" s="60"/>
      <c r="E44" s="60"/>
      <c r="F44" s="44"/>
      <c r="G44" s="44"/>
      <c r="H44" s="44"/>
      <c r="I44" s="44"/>
    </row>
    <row r="45" spans="1:9" ht="14.25">
      <c r="A45" s="43"/>
      <c r="B45" s="60"/>
      <c r="C45" s="60"/>
      <c r="D45" s="60"/>
      <c r="E45" s="60"/>
      <c r="F45" s="44"/>
      <c r="G45" s="44"/>
      <c r="H45" s="44"/>
      <c r="I45" s="44"/>
    </row>
    <row r="46" spans="1:9" ht="16.5">
      <c r="A46" s="98" t="str">
        <f>HLOOKUP(INDICE!$F$2,Nombres!$C$3:$D$636,65,FALSE)</f>
        <v>Indicadores relevantes y de gestión</v>
      </c>
      <c r="B46" s="34"/>
      <c r="C46" s="34"/>
      <c r="D46" s="34"/>
      <c r="E46" s="34"/>
      <c r="F46" s="72"/>
      <c r="G46" s="72"/>
      <c r="H46" s="72"/>
      <c r="I46" s="72"/>
    </row>
    <row r="47" spans="1:9" ht="14.25">
      <c r="A47" s="89" t="str">
        <f>HLOOKUP(INDICE!$F$2,Nombres!$C$3:$D$636,32,FALSE)</f>
        <v>(Millones de euros)</v>
      </c>
      <c r="B47" s="30"/>
      <c r="C47" s="30"/>
      <c r="D47" s="30"/>
      <c r="E47" s="30"/>
      <c r="F47" s="73"/>
      <c r="G47" s="44"/>
      <c r="H47" s="44"/>
      <c r="I47" s="44"/>
    </row>
    <row r="48" spans="1:9" ht="14.25">
      <c r="A48" s="30"/>
      <c r="B48" s="55">
        <f aca="true" t="shared" si="7" ref="B48:I48">+B$30</f>
        <v>43555</v>
      </c>
      <c r="C48" s="55">
        <f t="shared" si="7"/>
        <v>43646</v>
      </c>
      <c r="D48" s="55">
        <f t="shared" si="7"/>
        <v>43738</v>
      </c>
      <c r="E48" s="71">
        <f t="shared" si="7"/>
        <v>43830</v>
      </c>
      <c r="F48" s="55">
        <f t="shared" si="7"/>
        <v>43921</v>
      </c>
      <c r="G48" s="55">
        <f t="shared" si="7"/>
        <v>44012</v>
      </c>
      <c r="H48" s="55">
        <f t="shared" si="7"/>
        <v>44104</v>
      </c>
      <c r="I48" s="55">
        <f t="shared" si="7"/>
        <v>44196</v>
      </c>
    </row>
    <row r="49" spans="1:9" ht="14.25">
      <c r="A49" s="93" t="str">
        <f>HLOOKUP(INDICE!$F$2,Nombres!$C$3:$D$636,66,FALSE)</f>
        <v>Préstamos y anticipos a la clientela bruto (*)</v>
      </c>
      <c r="B49" s="44">
        <v>15025.749318839999</v>
      </c>
      <c r="C49" s="44">
        <v>15087.90633808</v>
      </c>
      <c r="D49" s="44">
        <v>15822.812601810001</v>
      </c>
      <c r="E49" s="45">
        <v>15799.345857329998</v>
      </c>
      <c r="F49" s="44">
        <v>16297.38760307</v>
      </c>
      <c r="G49" s="44">
        <v>16892.626638960002</v>
      </c>
      <c r="H49" s="44">
        <v>16798.6447358</v>
      </c>
      <c r="I49" s="44">
        <v>0</v>
      </c>
    </row>
    <row r="50" spans="1:9" ht="14.25">
      <c r="A50" s="93" t="str">
        <f>HLOOKUP(INDICE!$F$2,Nombres!$C$3:$D$636,67,FALSE)</f>
        <v>Depósitos de clientes en gestión (**)</v>
      </c>
      <c r="B50" s="44">
        <v>14368.0421537</v>
      </c>
      <c r="C50" s="44">
        <v>13809.554257720001</v>
      </c>
      <c r="D50" s="44">
        <v>14629.02010927</v>
      </c>
      <c r="E50" s="45">
        <v>14642.522007790001</v>
      </c>
      <c r="F50" s="44">
        <v>14764.69142688</v>
      </c>
      <c r="G50" s="44">
        <v>16406.719858620003</v>
      </c>
      <c r="H50" s="44">
        <v>15659.98047436</v>
      </c>
      <c r="I50" s="44">
        <v>0</v>
      </c>
    </row>
    <row r="51" spans="1:9" ht="14.25">
      <c r="A51" s="43" t="str">
        <f>HLOOKUP(INDICE!$F$2,Nombres!$C$3:$D$636,68,FALSE)</f>
        <v>Fondos de inversión</v>
      </c>
      <c r="B51" s="44">
        <v>1714.26401994</v>
      </c>
      <c r="C51" s="44">
        <v>1686.06447762</v>
      </c>
      <c r="D51" s="44">
        <v>1802.1733370900001</v>
      </c>
      <c r="E51" s="45">
        <v>1820.87751944</v>
      </c>
      <c r="F51" s="44">
        <v>1860.64184488</v>
      </c>
      <c r="G51" s="44">
        <v>1887.0736063</v>
      </c>
      <c r="H51" s="44">
        <v>2043.50743651</v>
      </c>
      <c r="I51" s="44">
        <v>0</v>
      </c>
    </row>
    <row r="52" spans="1:9" ht="14.25">
      <c r="A52" s="93" t="str">
        <f>HLOOKUP(INDICE!$F$2,Nombres!$C$3:$D$636,69,FALSE)</f>
        <v>Fondos de pensiones</v>
      </c>
      <c r="B52" s="44">
        <v>0</v>
      </c>
      <c r="C52" s="44">
        <v>0</v>
      </c>
      <c r="D52" s="44">
        <v>0</v>
      </c>
      <c r="E52" s="45">
        <v>0</v>
      </c>
      <c r="F52" s="44">
        <v>0</v>
      </c>
      <c r="G52" s="44">
        <v>0</v>
      </c>
      <c r="H52" s="44">
        <v>0</v>
      </c>
      <c r="I52" s="44">
        <v>0</v>
      </c>
    </row>
    <row r="53" spans="1:9" ht="14.25">
      <c r="A53" s="93" t="str">
        <f>HLOOKUP(INDICE!$F$2,Nombres!$C$3:$D$636,70,FALSE)</f>
        <v>Otros recursos fuera de balance</v>
      </c>
      <c r="B53" s="44">
        <v>0</v>
      </c>
      <c r="C53" s="44">
        <v>0</v>
      </c>
      <c r="D53" s="44">
        <v>0</v>
      </c>
      <c r="E53" s="45">
        <v>0</v>
      </c>
      <c r="F53" s="44">
        <v>0</v>
      </c>
      <c r="G53" s="44">
        <v>0</v>
      </c>
      <c r="H53" s="44">
        <v>0</v>
      </c>
      <c r="I53" s="44">
        <v>0</v>
      </c>
    </row>
    <row r="54" spans="1:9" ht="14.25">
      <c r="A54" s="97" t="str">
        <f>HLOOKUP(INDICE!$F$2,Nombres!$C$3:$D$636,71,FALSE)</f>
        <v>(*) No incluye las adquisiciones temporales de activos.</v>
      </c>
      <c r="B54" s="60"/>
      <c r="C54" s="60"/>
      <c r="D54" s="60"/>
      <c r="E54" s="60"/>
      <c r="F54" s="60"/>
      <c r="G54" s="60"/>
      <c r="H54" s="60"/>
      <c r="I54" s="60"/>
    </row>
    <row r="55" spans="1:9" ht="14.25">
      <c r="A55" s="97" t="str">
        <f>HLOOKUP(INDICE!$F$2,Nombres!$C$3:$D$636,72,FALSE)</f>
        <v>(**) No incluye las cesiones temporales de activos.</v>
      </c>
      <c r="B55" s="30"/>
      <c r="C55" s="30"/>
      <c r="D55" s="30"/>
      <c r="E55" s="30"/>
      <c r="F55" s="30"/>
      <c r="G55" s="30"/>
      <c r="H55" s="30"/>
      <c r="I55" s="30"/>
    </row>
    <row r="56" spans="1:9" ht="14.25">
      <c r="A56" s="65"/>
      <c r="B56" s="30"/>
      <c r="C56" s="30"/>
      <c r="D56" s="30"/>
      <c r="E56" s="30"/>
      <c r="F56" s="30"/>
      <c r="G56" s="30"/>
      <c r="H56" s="30"/>
      <c r="I56" s="30"/>
    </row>
    <row r="57" spans="1:9" ht="16.5">
      <c r="A57" s="98" t="str">
        <f>HLOOKUP(INDICE!$F$2,Nombres!$C$3:$D$636,31,FALSE)</f>
        <v>Cuenta de resultados  </v>
      </c>
      <c r="B57" s="34"/>
      <c r="C57" s="34"/>
      <c r="D57" s="34"/>
      <c r="E57" s="34"/>
      <c r="F57" s="34"/>
      <c r="G57" s="34"/>
      <c r="H57" s="34"/>
      <c r="I57" s="34"/>
    </row>
    <row r="58" spans="1:9" ht="14.25">
      <c r="A58" s="89" t="str">
        <f>HLOOKUP(INDICE!$F$2,Nombres!$C$3:$D$636,73,FALSE)</f>
        <v>(Millones de euros constantes)</v>
      </c>
      <c r="B58" s="30"/>
      <c r="C58" s="36"/>
      <c r="D58" s="36"/>
      <c r="E58" s="36"/>
      <c r="F58" s="30"/>
      <c r="G58" s="30"/>
      <c r="H58" s="30"/>
      <c r="I58" s="30"/>
    </row>
    <row r="59" spans="1:9" ht="14.25">
      <c r="A59" s="37"/>
      <c r="B59" s="30"/>
      <c r="C59" s="36"/>
      <c r="D59" s="36"/>
      <c r="E59" s="36"/>
      <c r="F59" s="30"/>
      <c r="G59" s="30"/>
      <c r="H59" s="30"/>
      <c r="I59" s="30"/>
    </row>
    <row r="60" spans="1:9" ht="14.25">
      <c r="A60" s="38"/>
      <c r="B60" s="305">
        <f>+B$6</f>
        <v>2019</v>
      </c>
      <c r="C60" s="305"/>
      <c r="D60" s="305"/>
      <c r="E60" s="306"/>
      <c r="F60" s="305">
        <f>+F$6</f>
        <v>2020</v>
      </c>
      <c r="G60" s="305"/>
      <c r="H60" s="305"/>
      <c r="I60" s="305"/>
    </row>
    <row r="61" spans="1:9" ht="14.25">
      <c r="A61" s="38"/>
      <c r="B61" s="90" t="str">
        <f aca="true" t="shared" si="8" ref="B61:I61">+B$7</f>
        <v>1er Trim.</v>
      </c>
      <c r="C61" s="90" t="str">
        <f t="shared" si="8"/>
        <v>2º Trim.</v>
      </c>
      <c r="D61" s="90" t="str">
        <f t="shared" si="8"/>
        <v>3er Trim.</v>
      </c>
      <c r="E61" s="91" t="str">
        <f t="shared" si="8"/>
        <v>4º Trim.</v>
      </c>
      <c r="F61" s="90" t="str">
        <f t="shared" si="8"/>
        <v>1er Trim.</v>
      </c>
      <c r="G61" s="90" t="str">
        <f t="shared" si="8"/>
        <v>2º Trim.</v>
      </c>
      <c r="H61" s="90" t="str">
        <f t="shared" si="8"/>
        <v>3er Trim.</v>
      </c>
      <c r="I61" s="90" t="str">
        <f t="shared" si="8"/>
        <v>4º Trim.</v>
      </c>
    </row>
    <row r="62" spans="1:9" ht="14.25">
      <c r="A62" s="41" t="str">
        <f>HLOOKUP(INDICE!$F$2,Nombres!$C$3:$D$636,33,FALSE)</f>
        <v>Margen de intereses</v>
      </c>
      <c r="B62" s="41">
        <v>212.24592240413455</v>
      </c>
      <c r="C62" s="41">
        <v>219.63744594785015</v>
      </c>
      <c r="D62" s="41">
        <v>222.4063665721033</v>
      </c>
      <c r="E62" s="42">
        <v>207.46977582044485</v>
      </c>
      <c r="F62" s="52">
        <v>211.42191196930028</v>
      </c>
      <c r="G62" s="52">
        <v>197.31569236913026</v>
      </c>
      <c r="H62" s="52">
        <v>211.1603956615695</v>
      </c>
      <c r="I62" s="52">
        <v>0</v>
      </c>
    </row>
    <row r="63" spans="1:9" ht="14.25">
      <c r="A63" s="93" t="str">
        <f>HLOOKUP(INDICE!$F$2,Nombres!$C$3:$D$636,34,FALSE)</f>
        <v>Comisiones netas</v>
      </c>
      <c r="B63" s="44">
        <v>52.58061822248442</v>
      </c>
      <c r="C63" s="44">
        <v>57.27731282458399</v>
      </c>
      <c r="D63" s="44">
        <v>57.566190625188106</v>
      </c>
      <c r="E63" s="45">
        <v>54.84204630595637</v>
      </c>
      <c r="F63" s="44">
        <v>51.36277717955674</v>
      </c>
      <c r="G63" s="44">
        <v>44.406228081483</v>
      </c>
      <c r="H63" s="44">
        <v>64.50936666896027</v>
      </c>
      <c r="I63" s="44">
        <v>0</v>
      </c>
    </row>
    <row r="64" spans="1:9" ht="14.25">
      <c r="A64" s="93" t="str">
        <f>HLOOKUP(INDICE!$F$2,Nombres!$C$3:$D$636,35,FALSE)</f>
        <v>Resultados de operaciones financieras</v>
      </c>
      <c r="B64" s="44">
        <v>37.83519711089098</v>
      </c>
      <c r="C64" s="44">
        <v>41.734699587965295</v>
      </c>
      <c r="D64" s="44">
        <v>42.30572517143087</v>
      </c>
      <c r="E64" s="45">
        <v>51.017054203025886</v>
      </c>
      <c r="F64" s="44">
        <v>35.77526391629458</v>
      </c>
      <c r="G64" s="44">
        <v>34.49239495964698</v>
      </c>
      <c r="H64" s="44">
        <v>45.54461101405846</v>
      </c>
      <c r="I64" s="44">
        <v>0</v>
      </c>
    </row>
    <row r="65" spans="1:9" ht="14.25">
      <c r="A65" s="93" t="str">
        <f>HLOOKUP(INDICE!$F$2,Nombres!$C$3:$D$636,36,FALSE)</f>
        <v>Otros ingresos y cargas de explotación</v>
      </c>
      <c r="B65" s="44">
        <v>-6.165648365297205</v>
      </c>
      <c r="C65" s="44">
        <v>-4.5389923711008455</v>
      </c>
      <c r="D65" s="44">
        <v>-5.500793769093134</v>
      </c>
      <c r="E65" s="45">
        <v>-4.993812420353711</v>
      </c>
      <c r="F65" s="44">
        <v>-6.127514378249125</v>
      </c>
      <c r="G65" s="44">
        <v>-7.8062055876393845</v>
      </c>
      <c r="H65" s="44">
        <v>-7.304280034111491</v>
      </c>
      <c r="I65" s="44">
        <v>0</v>
      </c>
    </row>
    <row r="66" spans="1:9" ht="14.25">
      <c r="A66" s="41" t="str">
        <f>HLOOKUP(INDICE!$F$2,Nombres!$C$3:$D$636,37,FALSE)</f>
        <v>Margen bruto</v>
      </c>
      <c r="B66" s="41">
        <f aca="true" t="shared" si="9" ref="B66:I66">+SUM(B62:B65)</f>
        <v>296.49608937221274</v>
      </c>
      <c r="C66" s="41">
        <f t="shared" si="9"/>
        <v>314.1104659892986</v>
      </c>
      <c r="D66" s="41">
        <f t="shared" si="9"/>
        <v>316.7774885996291</v>
      </c>
      <c r="E66" s="42">
        <f t="shared" si="9"/>
        <v>308.3350639090734</v>
      </c>
      <c r="F66" s="52">
        <f t="shared" si="9"/>
        <v>292.43243868690246</v>
      </c>
      <c r="G66" s="52">
        <f t="shared" si="9"/>
        <v>268.4081098226208</v>
      </c>
      <c r="H66" s="52">
        <f t="shared" si="9"/>
        <v>313.9100933104767</v>
      </c>
      <c r="I66" s="52">
        <f t="shared" si="9"/>
        <v>0</v>
      </c>
    </row>
    <row r="67" spans="1:9" ht="14.25">
      <c r="A67" s="93" t="str">
        <f>HLOOKUP(INDICE!$F$2,Nombres!$C$3:$D$636,38,FALSE)</f>
        <v>Gastos de explotación</v>
      </c>
      <c r="B67" s="44">
        <v>-108.72932156632585</v>
      </c>
      <c r="C67" s="44">
        <v>-107.18054283848858</v>
      </c>
      <c r="D67" s="44">
        <v>-111.55301160063661</v>
      </c>
      <c r="E67" s="45">
        <v>-114.43033584010882</v>
      </c>
      <c r="F67" s="44">
        <v>-115.51034870896567</v>
      </c>
      <c r="G67" s="44">
        <v>-103.8120317150558</v>
      </c>
      <c r="H67" s="44">
        <v>-110.58804547597856</v>
      </c>
      <c r="I67" s="44">
        <v>0</v>
      </c>
    </row>
    <row r="68" spans="1:9" ht="14.25">
      <c r="A68" s="93" t="str">
        <f>HLOOKUP(INDICE!$F$2,Nombres!$C$3:$D$636,39,FALSE)</f>
        <v>  Gastos de administración</v>
      </c>
      <c r="B68" s="44">
        <v>-92.20418127248699</v>
      </c>
      <c r="C68" s="44">
        <v>-91.51269584113145</v>
      </c>
      <c r="D68" s="44">
        <v>-95.75028407003853</v>
      </c>
      <c r="E68" s="45">
        <v>-99.3032850904649</v>
      </c>
      <c r="F68" s="44">
        <v>-97.871440642002</v>
      </c>
      <c r="G68" s="44">
        <v>-88.49436023335443</v>
      </c>
      <c r="H68" s="44">
        <v>-94.72862502464359</v>
      </c>
      <c r="I68" s="44">
        <v>0</v>
      </c>
    </row>
    <row r="69" spans="1:9" ht="14.25">
      <c r="A69" s="94" t="str">
        <f>HLOOKUP(INDICE!$F$2,Nombres!$C$3:$D$636,40,FALSE)</f>
        <v>  Gastos de personal</v>
      </c>
      <c r="B69" s="44">
        <v>-52.47929868640885</v>
      </c>
      <c r="C69" s="44">
        <v>-51.22709106715166</v>
      </c>
      <c r="D69" s="44">
        <v>-54.03937899231535</v>
      </c>
      <c r="E69" s="45">
        <v>-59.67677059600928</v>
      </c>
      <c r="F69" s="44">
        <v>-56.60017727983525</v>
      </c>
      <c r="G69" s="44">
        <v>-49.95066110719447</v>
      </c>
      <c r="H69" s="44">
        <v>-53.810161612970276</v>
      </c>
      <c r="I69" s="44">
        <v>0</v>
      </c>
    </row>
    <row r="70" spans="1:9" ht="14.25">
      <c r="A70" s="94" t="str">
        <f>HLOOKUP(INDICE!$F$2,Nombres!$C$3:$D$636,41,FALSE)</f>
        <v>  Otros gastos de administración</v>
      </c>
      <c r="B70" s="44">
        <v>-39.724882586078124</v>
      </c>
      <c r="C70" s="44">
        <v>-40.285604773979784</v>
      </c>
      <c r="D70" s="44">
        <v>-41.710905077723176</v>
      </c>
      <c r="E70" s="45">
        <v>-39.626514494455634</v>
      </c>
      <c r="F70" s="44">
        <v>-41.27126336216676</v>
      </c>
      <c r="G70" s="44">
        <v>-38.54369912615995</v>
      </c>
      <c r="H70" s="44">
        <v>-40.9184634116733</v>
      </c>
      <c r="I70" s="44">
        <v>0</v>
      </c>
    </row>
    <row r="71" spans="1:9" ht="14.25">
      <c r="A71" s="93" t="str">
        <f>HLOOKUP(INDICE!$F$2,Nombres!$C$3:$D$636,42,FALSE)</f>
        <v>  Amortización</v>
      </c>
      <c r="B71" s="44">
        <v>-16.52514029383888</v>
      </c>
      <c r="C71" s="44">
        <v>-15.667846997357135</v>
      </c>
      <c r="D71" s="44">
        <v>-15.802727530598105</v>
      </c>
      <c r="E71" s="45">
        <v>-15.127050749643908</v>
      </c>
      <c r="F71" s="44">
        <v>-17.638908066963637</v>
      </c>
      <c r="G71" s="44">
        <v>-15.317671481701376</v>
      </c>
      <c r="H71" s="44">
        <v>-15.859420451334989</v>
      </c>
      <c r="I71" s="44">
        <v>0</v>
      </c>
    </row>
    <row r="72" spans="1:9" ht="14.25">
      <c r="A72" s="41" t="str">
        <f>HLOOKUP(INDICE!$F$2,Nombres!$C$3:$D$636,43,FALSE)</f>
        <v>Margen neto</v>
      </c>
      <c r="B72" s="41">
        <f aca="true" t="shared" si="10" ref="B72:I72">+B66+B67</f>
        <v>187.7667678058869</v>
      </c>
      <c r="C72" s="41">
        <f t="shared" si="10"/>
        <v>206.92992315081</v>
      </c>
      <c r="D72" s="41">
        <f t="shared" si="10"/>
        <v>205.22447699899251</v>
      </c>
      <c r="E72" s="42">
        <f t="shared" si="10"/>
        <v>193.9047280689646</v>
      </c>
      <c r="F72" s="52">
        <f t="shared" si="10"/>
        <v>176.9220899779368</v>
      </c>
      <c r="G72" s="52">
        <f t="shared" si="10"/>
        <v>164.596078107565</v>
      </c>
      <c r="H72" s="52">
        <f t="shared" si="10"/>
        <v>203.32204783449816</v>
      </c>
      <c r="I72" s="52">
        <f t="shared" si="10"/>
        <v>0</v>
      </c>
    </row>
    <row r="73" spans="1:9" ht="14.25">
      <c r="A73" s="93" t="str">
        <f>HLOOKUP(INDICE!$F$2,Nombres!$C$3:$D$636,44,FALSE)</f>
        <v>Deterioro de activos financieros no valorados a valor razonable con cambios en resultados</v>
      </c>
      <c r="B73" s="44">
        <v>-55.176587990151425</v>
      </c>
      <c r="C73" s="44">
        <v>-59.99423865367865</v>
      </c>
      <c r="D73" s="44">
        <v>-45.89883820667549</v>
      </c>
      <c r="E73" s="45">
        <v>-49.803973922471314</v>
      </c>
      <c r="F73" s="44">
        <v>-92.94184487908737</v>
      </c>
      <c r="G73" s="44">
        <v>-135.05586541441505</v>
      </c>
      <c r="H73" s="44">
        <v>-48.158289706497584</v>
      </c>
      <c r="I73" s="44">
        <v>0</v>
      </c>
    </row>
    <row r="74" spans="1:9" ht="14.25">
      <c r="A74" s="93" t="str">
        <f>HLOOKUP(INDICE!$F$2,Nombres!$C$3:$D$636,45,FALSE)</f>
        <v>Provisiones o reversión de provisiones y otros resultados</v>
      </c>
      <c r="B74" s="44">
        <v>-3.699195039365037</v>
      </c>
      <c r="C74" s="44">
        <v>11.093708623173061</v>
      </c>
      <c r="D74" s="44">
        <v>3.626219396629164</v>
      </c>
      <c r="E74" s="45">
        <v>-9.946041605026593</v>
      </c>
      <c r="F74" s="44">
        <v>-3.456793881889637</v>
      </c>
      <c r="G74" s="44">
        <v>-22.051768907053894</v>
      </c>
      <c r="H74" s="44">
        <v>-19.35043721105647</v>
      </c>
      <c r="I74" s="44">
        <v>0</v>
      </c>
    </row>
    <row r="75" spans="1:9" ht="14.25">
      <c r="A75" s="95" t="str">
        <f>HLOOKUP(INDICE!$F$2,Nombres!$C$3:$D$636,46,FALSE)</f>
        <v>Resultado antes de impuestos</v>
      </c>
      <c r="B75" s="41">
        <f aca="true" t="shared" si="11" ref="B75:I75">+B72+B73+B74</f>
        <v>128.89098477637043</v>
      </c>
      <c r="C75" s="41">
        <f t="shared" si="11"/>
        <v>158.0293931203044</v>
      </c>
      <c r="D75" s="41">
        <f t="shared" si="11"/>
        <v>162.95185818894618</v>
      </c>
      <c r="E75" s="42">
        <f t="shared" si="11"/>
        <v>134.15471254146667</v>
      </c>
      <c r="F75" s="52">
        <f t="shared" si="11"/>
        <v>80.52345121695978</v>
      </c>
      <c r="G75" s="52">
        <f t="shared" si="11"/>
        <v>7.4884437860960595</v>
      </c>
      <c r="H75" s="52">
        <f t="shared" si="11"/>
        <v>135.81332091694412</v>
      </c>
      <c r="I75" s="52">
        <f t="shared" si="11"/>
        <v>0</v>
      </c>
    </row>
    <row r="76" spans="1:9" ht="14.25">
      <c r="A76" s="43" t="str">
        <f>HLOOKUP(INDICE!$F$2,Nombres!$C$3:$D$636,47,FALSE)</f>
        <v>Impuesto sobre beneficios</v>
      </c>
      <c r="B76" s="44">
        <v>-37.81209310643359</v>
      </c>
      <c r="C76" s="44">
        <v>-44.988693580752525</v>
      </c>
      <c r="D76" s="44">
        <v>-47.066384010129575</v>
      </c>
      <c r="E76" s="45">
        <v>-34.29769705051575</v>
      </c>
      <c r="F76" s="44">
        <v>-18.01895150678994</v>
      </c>
      <c r="G76" s="44">
        <v>-1.8843336689234764</v>
      </c>
      <c r="H76" s="44">
        <v>-40.09142935428659</v>
      </c>
      <c r="I76" s="44">
        <v>0</v>
      </c>
    </row>
    <row r="77" spans="1:9" ht="14.25">
      <c r="A77" s="95" t="str">
        <f>HLOOKUP(INDICE!$F$2,Nombres!$C$3:$D$636,48,FALSE)</f>
        <v>Resultado del ejercicio</v>
      </c>
      <c r="B77" s="41">
        <f aca="true" t="shared" si="12" ref="B77:I77">+B75+B76</f>
        <v>91.07889166993684</v>
      </c>
      <c r="C77" s="41">
        <f t="shared" si="12"/>
        <v>113.04069953955188</v>
      </c>
      <c r="D77" s="41">
        <f t="shared" si="12"/>
        <v>115.8854741788166</v>
      </c>
      <c r="E77" s="42">
        <f t="shared" si="12"/>
        <v>99.85701549095091</v>
      </c>
      <c r="F77" s="52">
        <f t="shared" si="12"/>
        <v>62.504499710169846</v>
      </c>
      <c r="G77" s="52">
        <f t="shared" si="12"/>
        <v>5.604110117172583</v>
      </c>
      <c r="H77" s="52">
        <f t="shared" si="12"/>
        <v>95.72189156265753</v>
      </c>
      <c r="I77" s="52">
        <f t="shared" si="12"/>
        <v>0</v>
      </c>
    </row>
    <row r="78" spans="1:9" ht="14.25">
      <c r="A78" s="93" t="str">
        <f>HLOOKUP(INDICE!$F$2,Nombres!$C$3:$D$636,49,FALSE)</f>
        <v>Minoritarios</v>
      </c>
      <c r="B78" s="44">
        <v>-49.61595143106224</v>
      </c>
      <c r="C78" s="44">
        <v>-60.486192919742315</v>
      </c>
      <c r="D78" s="44">
        <v>-62.62262828368419</v>
      </c>
      <c r="E78" s="45">
        <v>-53.56280129991281</v>
      </c>
      <c r="F78" s="44">
        <v>-33.75891769429569</v>
      </c>
      <c r="G78" s="44">
        <v>-3.0083321888650776</v>
      </c>
      <c r="H78" s="44">
        <v>-50.59311435683924</v>
      </c>
      <c r="I78" s="44">
        <v>0</v>
      </c>
    </row>
    <row r="79" spans="1:9" ht="14.25">
      <c r="A79" s="96" t="str">
        <f>HLOOKUP(INDICE!$F$2,Nombres!$C$3:$D$636,50,FALSE)</f>
        <v>Resultado atribuido</v>
      </c>
      <c r="B79" s="47">
        <f aca="true" t="shared" si="13" ref="B79:I79">+B77+B78</f>
        <v>41.462940238874594</v>
      </c>
      <c r="C79" s="47">
        <f t="shared" si="13"/>
        <v>52.554506619809565</v>
      </c>
      <c r="D79" s="47">
        <f t="shared" si="13"/>
        <v>53.2628458951324</v>
      </c>
      <c r="E79" s="47">
        <f t="shared" si="13"/>
        <v>46.2942141910381</v>
      </c>
      <c r="F79" s="53">
        <f t="shared" si="13"/>
        <v>28.745582015874156</v>
      </c>
      <c r="G79" s="53">
        <f t="shared" si="13"/>
        <v>2.5957779283075055</v>
      </c>
      <c r="H79" s="53">
        <f t="shared" si="13"/>
        <v>45.128777205818295</v>
      </c>
      <c r="I79" s="53">
        <f t="shared" si="13"/>
        <v>0</v>
      </c>
    </row>
    <row r="80" spans="1:9" ht="14.25">
      <c r="A80" s="97" t="s">
        <v>5</v>
      </c>
      <c r="B80" s="66">
        <v>0</v>
      </c>
      <c r="C80" s="66">
        <v>0</v>
      </c>
      <c r="D80" s="66">
        <v>-7.105427357601002E-14</v>
      </c>
      <c r="E80" s="66">
        <v>0</v>
      </c>
      <c r="F80" s="66">
        <v>0</v>
      </c>
      <c r="G80" s="66">
        <v>-7.105427357601002E-14</v>
      </c>
      <c r="H80" s="66">
        <v>0</v>
      </c>
      <c r="I80" s="66">
        <v>0</v>
      </c>
    </row>
    <row r="81" spans="1:9" ht="14.25">
      <c r="A81" s="95" t="s">
        <v>5</v>
      </c>
      <c r="B81" s="41"/>
      <c r="C81" s="41"/>
      <c r="D81" s="41"/>
      <c r="E81" s="41"/>
      <c r="F81" s="52"/>
      <c r="G81" s="52"/>
      <c r="H81" s="52"/>
      <c r="I81" s="52"/>
    </row>
    <row r="82" spans="1:9" ht="16.5">
      <c r="A82" s="98" t="str">
        <f>HLOOKUP(INDICE!$F$2,Nombres!$C$3:$D$636,51,FALSE)</f>
        <v>Balances</v>
      </c>
      <c r="B82" s="34"/>
      <c r="C82" s="34"/>
      <c r="D82" s="34"/>
      <c r="E82" s="34"/>
      <c r="F82" s="72"/>
      <c r="G82" s="72"/>
      <c r="H82" s="72"/>
      <c r="I82" s="72"/>
    </row>
    <row r="83" spans="1:9" ht="14.25">
      <c r="A83" s="89" t="str">
        <f>HLOOKUP(INDICE!$F$2,Nombres!$C$3:$D$636,73,FALSE)</f>
        <v>(Millones de euros constantes)</v>
      </c>
      <c r="B83" s="30"/>
      <c r="C83" s="54"/>
      <c r="D83" s="54"/>
      <c r="E83" s="54"/>
      <c r="F83" s="73"/>
      <c r="G83" s="44"/>
      <c r="H83" s="44"/>
      <c r="I83" s="44"/>
    </row>
    <row r="84" spans="1:9" ht="14.25">
      <c r="A84" s="30"/>
      <c r="B84" s="55">
        <f aca="true" t="shared" si="14" ref="B84:I84">+B$30</f>
        <v>43555</v>
      </c>
      <c r="C84" s="55">
        <f t="shared" si="14"/>
        <v>43646</v>
      </c>
      <c r="D84" s="55">
        <f t="shared" si="14"/>
        <v>43738</v>
      </c>
      <c r="E84" s="71">
        <f t="shared" si="14"/>
        <v>43830</v>
      </c>
      <c r="F84" s="55">
        <f t="shared" si="14"/>
        <v>43921</v>
      </c>
      <c r="G84" s="55">
        <f t="shared" si="14"/>
        <v>44012</v>
      </c>
      <c r="H84" s="55">
        <f t="shared" si="14"/>
        <v>44104</v>
      </c>
      <c r="I84" s="55">
        <f t="shared" si="14"/>
        <v>44196</v>
      </c>
    </row>
    <row r="85" spans="1:9" ht="14.25">
      <c r="A85" s="93" t="str">
        <f>HLOOKUP(INDICE!$F$2,Nombres!$C$3:$D$636,52,FALSE)</f>
        <v>Efectivo, saldos en efectivo en bancos centrales y otros depósitos a la vista</v>
      </c>
      <c r="B85" s="44">
        <v>2963.355873427207</v>
      </c>
      <c r="C85" s="44">
        <v>2360.646238098022</v>
      </c>
      <c r="D85" s="44">
        <v>2449.7480712061015</v>
      </c>
      <c r="E85" s="45">
        <v>2970.187475331233</v>
      </c>
      <c r="F85" s="44">
        <v>3011.1267543124604</v>
      </c>
      <c r="G85" s="44">
        <v>2931.711002067778</v>
      </c>
      <c r="H85" s="44">
        <v>2480.178</v>
      </c>
      <c r="I85" s="44">
        <v>0</v>
      </c>
    </row>
    <row r="86" spans="1:9" ht="14.25">
      <c r="A86" s="93" t="str">
        <f>HLOOKUP(INDICE!$F$2,Nombres!$C$3:$D$636,53,FALSE)</f>
        <v>Activos financieros a valor razonable</v>
      </c>
      <c r="B86" s="60">
        <v>1977.8141132724122</v>
      </c>
      <c r="C86" s="60">
        <v>1759.3762266064618</v>
      </c>
      <c r="D86" s="60">
        <v>2043.2871510179343</v>
      </c>
      <c r="E86" s="68">
        <v>1707.946583430311</v>
      </c>
      <c r="F86" s="44">
        <v>1998.2807982550758</v>
      </c>
      <c r="G86" s="44">
        <v>2835.6991442292956</v>
      </c>
      <c r="H86" s="44">
        <v>2967.7070000000003</v>
      </c>
      <c r="I86" s="44">
        <v>0</v>
      </c>
    </row>
    <row r="87" spans="1:9" ht="14.25">
      <c r="A87" s="43" t="str">
        <f>HLOOKUP(INDICE!$F$2,Nombres!$C$3:$D$636,54,FALSE)</f>
        <v>Activos financieros a coste amortizado</v>
      </c>
      <c r="B87" s="44">
        <v>13388.786048293485</v>
      </c>
      <c r="C87" s="44">
        <v>13802.134730262771</v>
      </c>
      <c r="D87" s="44">
        <v>14193.796008279627</v>
      </c>
      <c r="E87" s="45">
        <v>14049.580854795844</v>
      </c>
      <c r="F87" s="44">
        <v>14522.676899439075</v>
      </c>
      <c r="G87" s="44">
        <v>16532.63584464134</v>
      </c>
      <c r="H87" s="44">
        <v>18860.053</v>
      </c>
      <c r="I87" s="44">
        <v>0</v>
      </c>
    </row>
    <row r="88" spans="1:9" ht="14.25">
      <c r="A88" s="93" t="str">
        <f>HLOOKUP(INDICE!$F$2,Nombres!$C$3:$D$636,55,FALSE)</f>
        <v>    de los que préstamos y anticipos a la clientela</v>
      </c>
      <c r="B88" s="44">
        <v>12690.592304499824</v>
      </c>
      <c r="C88" s="44">
        <v>12923.766129822798</v>
      </c>
      <c r="D88" s="44">
        <v>13314.48184437589</v>
      </c>
      <c r="E88" s="45">
        <v>13297.651726014177</v>
      </c>
      <c r="F88" s="44">
        <v>13808.539858540717</v>
      </c>
      <c r="G88" s="44">
        <v>15079.394106929798</v>
      </c>
      <c r="H88" s="44">
        <v>15923.884999999998</v>
      </c>
      <c r="I88" s="44">
        <v>0</v>
      </c>
    </row>
    <row r="89" spans="1:9" ht="14.25">
      <c r="A89" s="43" t="str">
        <f>HLOOKUP(INDICE!$F$2,Nombres!$C$3:$D$636,56,FALSE)</f>
        <v>Activos tangibles</v>
      </c>
      <c r="B89" s="44">
        <v>274.0301474780732</v>
      </c>
      <c r="C89" s="44">
        <v>273.1431571834087</v>
      </c>
      <c r="D89" s="44">
        <v>273.80205752937536</v>
      </c>
      <c r="E89" s="45">
        <v>279.15435240994543</v>
      </c>
      <c r="F89" s="44">
        <v>274.31686221698214</v>
      </c>
      <c r="G89" s="44">
        <v>269.95542455071194</v>
      </c>
      <c r="H89" s="44">
        <v>270.52299999999997</v>
      </c>
      <c r="I89" s="44">
        <v>0</v>
      </c>
    </row>
    <row r="90" spans="1:9" ht="14.25">
      <c r="A90" s="93" t="str">
        <f>HLOOKUP(INDICE!$F$2,Nombres!$C$3:$D$636,57,FALSE)</f>
        <v>Otros activos</v>
      </c>
      <c r="B90" s="60">
        <f aca="true" t="shared" si="15" ref="B90:I90">+B91-B89-B87-B86-B85</f>
        <v>348.21352580411394</v>
      </c>
      <c r="C90" s="60">
        <f t="shared" si="15"/>
        <v>321.070811422152</v>
      </c>
      <c r="D90" s="60">
        <f t="shared" si="15"/>
        <v>338.4168029603138</v>
      </c>
      <c r="E90" s="68">
        <f t="shared" si="15"/>
        <v>313.9514132064551</v>
      </c>
      <c r="F90" s="44">
        <f t="shared" si="15"/>
        <v>374.6592258313194</v>
      </c>
      <c r="G90" s="44">
        <f t="shared" si="15"/>
        <v>435.1357254536874</v>
      </c>
      <c r="H90" s="44">
        <f t="shared" si="15"/>
        <v>376.17135819000214</v>
      </c>
      <c r="I90" s="44">
        <f t="shared" si="15"/>
        <v>0</v>
      </c>
    </row>
    <row r="91" spans="1:9" ht="14.25">
      <c r="A91" s="96" t="str">
        <f>HLOOKUP(INDICE!$F$2,Nombres!$C$3:$D$636,58,FALSE)</f>
        <v>Total activo / pasivo</v>
      </c>
      <c r="B91" s="47">
        <v>18952.19970827529</v>
      </c>
      <c r="C91" s="47">
        <v>18516.371163572814</v>
      </c>
      <c r="D91" s="47">
        <v>19299.05009099335</v>
      </c>
      <c r="E91" s="47">
        <v>19320.82067917379</v>
      </c>
      <c r="F91" s="53">
        <v>20181.060540054914</v>
      </c>
      <c r="G91" s="53">
        <v>23005.137140942814</v>
      </c>
      <c r="H91" s="53">
        <v>24954.632358190003</v>
      </c>
      <c r="I91" s="53">
        <v>0</v>
      </c>
    </row>
    <row r="92" spans="1:9" ht="14.25">
      <c r="A92" s="93" t="str">
        <f>HLOOKUP(INDICE!$F$2,Nombres!$C$3:$D$636,59,FALSE)</f>
        <v>Pasivos financieros mantenidos para negociar y designados a valor razonable con cambios en resultados</v>
      </c>
      <c r="B92" s="60">
        <v>76.66223235887921</v>
      </c>
      <c r="C92" s="60">
        <v>96.68971284443137</v>
      </c>
      <c r="D92" s="60">
        <v>116.52439336156024</v>
      </c>
      <c r="E92" s="68">
        <v>119.29522995347344</v>
      </c>
      <c r="F92" s="44">
        <v>223.45681798509654</v>
      </c>
      <c r="G92" s="44">
        <v>263.03380283678894</v>
      </c>
      <c r="H92" s="44">
        <v>226.805</v>
      </c>
      <c r="I92" s="44">
        <v>0</v>
      </c>
    </row>
    <row r="93" spans="1:9" ht="14.25">
      <c r="A93" s="93" t="str">
        <f>HLOOKUP(INDICE!$F$2,Nombres!$C$3:$D$636,60,FALSE)</f>
        <v>Depósitos de bancos centrales y entidades de crédito</v>
      </c>
      <c r="B93" s="60">
        <v>1845.5634465261833</v>
      </c>
      <c r="C93" s="60">
        <v>1984.5358067052568</v>
      </c>
      <c r="D93" s="60">
        <v>2118.317543241149</v>
      </c>
      <c r="E93" s="68">
        <v>2051.1003900864816</v>
      </c>
      <c r="F93" s="44">
        <v>2449.3311710873595</v>
      </c>
      <c r="G93" s="44">
        <v>2892.606509112341</v>
      </c>
      <c r="H93" s="44">
        <v>4562.022</v>
      </c>
      <c r="I93" s="44">
        <v>0</v>
      </c>
    </row>
    <row r="94" spans="1:9" ht="14.25">
      <c r="A94" s="93" t="str">
        <f>HLOOKUP(INDICE!$F$2,Nombres!$C$3:$D$636,61,FALSE)</f>
        <v>Depósitos de la clientela</v>
      </c>
      <c r="B94" s="60">
        <v>12711.022060452826</v>
      </c>
      <c r="C94" s="60">
        <v>12258.248757404974</v>
      </c>
      <c r="D94" s="60">
        <v>12778.492695385314</v>
      </c>
      <c r="E94" s="68">
        <v>12929.268995424185</v>
      </c>
      <c r="F94" s="44">
        <v>13149.116394791845</v>
      </c>
      <c r="G94" s="44">
        <v>15368.941589694976</v>
      </c>
      <c r="H94" s="44">
        <v>15659.979</v>
      </c>
      <c r="I94" s="44">
        <v>0</v>
      </c>
    </row>
    <row r="95" spans="1:9" ht="14.25">
      <c r="A95" s="43" t="str">
        <f>HLOOKUP(INDICE!$F$2,Nombres!$C$3:$D$636,62,FALSE)</f>
        <v>Valores representativos de deuda emitidos</v>
      </c>
      <c r="B95" s="44">
        <v>1339.509199816717</v>
      </c>
      <c r="C95" s="44">
        <v>1240.0749045323084</v>
      </c>
      <c r="D95" s="44">
        <v>1302.3960944209462</v>
      </c>
      <c r="E95" s="45">
        <v>1329.905657054654</v>
      </c>
      <c r="F95" s="44">
        <v>1323.219667646906</v>
      </c>
      <c r="G95" s="44">
        <v>1351.6627939553634</v>
      </c>
      <c r="H95" s="44">
        <v>1324.096</v>
      </c>
      <c r="I95" s="44">
        <v>0</v>
      </c>
    </row>
    <row r="96" spans="1:9" ht="14.25">
      <c r="A96" s="93" t="str">
        <f>HLOOKUP(INDICE!$F$2,Nombres!$C$3:$D$636,63,FALSE)</f>
        <v>Otros pasivos</v>
      </c>
      <c r="B96" s="60">
        <f aca="true" t="shared" si="16" ref="B96:I96">+B91-B92-B93-B94-B95-B97</f>
        <v>2442.1767687894385</v>
      </c>
      <c r="C96" s="60">
        <f t="shared" si="16"/>
        <v>2390.6582452711846</v>
      </c>
      <c r="D96" s="60">
        <f t="shared" si="16"/>
        <v>2425.4306902082394</v>
      </c>
      <c r="E96" s="68">
        <f t="shared" si="16"/>
        <v>2293.600481448846</v>
      </c>
      <c r="F96" s="44">
        <f t="shared" si="16"/>
        <v>2455.3616072307127</v>
      </c>
      <c r="G96" s="44">
        <f t="shared" si="16"/>
        <v>2524.9651478859328</v>
      </c>
      <c r="H96" s="44">
        <f t="shared" si="16"/>
        <v>2579.3952436800027</v>
      </c>
      <c r="I96" s="44">
        <f t="shared" si="16"/>
        <v>0</v>
      </c>
    </row>
    <row r="97" spans="1:9" ht="14.25">
      <c r="A97" s="93" t="str">
        <f>HLOOKUP(INDICE!$F$2,Nombres!$C$3:$D$636,64,FALSE)</f>
        <v>Dotación de capital económico</v>
      </c>
      <c r="B97" s="44">
        <v>537.2660003312473</v>
      </c>
      <c r="C97" s="44">
        <v>546.1637368146567</v>
      </c>
      <c r="D97" s="44">
        <v>557.8886743761433</v>
      </c>
      <c r="E97" s="45">
        <v>597.6499252061498</v>
      </c>
      <c r="F97" s="44">
        <v>580.5748813129927</v>
      </c>
      <c r="G97" s="44">
        <v>603.9272974574118</v>
      </c>
      <c r="H97" s="44">
        <v>602.3351145099999</v>
      </c>
      <c r="I97" s="44">
        <v>0</v>
      </c>
    </row>
    <row r="98" spans="1:9" ht="14.25">
      <c r="A98" s="65"/>
      <c r="B98" s="60"/>
      <c r="C98" s="60"/>
      <c r="D98" s="60"/>
      <c r="E98" s="60"/>
      <c r="F98" s="44"/>
      <c r="G98" s="44"/>
      <c r="H98" s="44"/>
      <c r="I98" s="44"/>
    </row>
    <row r="99" spans="1:9" ht="14.25">
      <c r="A99" s="43"/>
      <c r="B99" s="60"/>
      <c r="C99" s="60"/>
      <c r="D99" s="60"/>
      <c r="E99" s="60"/>
      <c r="F99" s="44"/>
      <c r="G99" s="44"/>
      <c r="H99" s="44"/>
      <c r="I99" s="44"/>
    </row>
    <row r="100" spans="1:9" ht="16.5">
      <c r="A100" s="98" t="str">
        <f>HLOOKUP(INDICE!$F$2,Nombres!$C$3:$D$636,65,FALSE)</f>
        <v>Indicadores relevantes y de gestión</v>
      </c>
      <c r="B100" s="34"/>
      <c r="C100" s="34"/>
      <c r="D100" s="34"/>
      <c r="E100" s="34"/>
      <c r="F100" s="72"/>
      <c r="G100" s="72"/>
      <c r="H100" s="72"/>
      <c r="I100" s="72"/>
    </row>
    <row r="101" spans="1:9" ht="14.25">
      <c r="A101" s="89" t="str">
        <f>HLOOKUP(INDICE!$F$2,Nombres!$C$3:$D$636,73,FALSE)</f>
        <v>(Millones de euros constantes)</v>
      </c>
      <c r="B101" s="30"/>
      <c r="C101" s="30"/>
      <c r="D101" s="30"/>
      <c r="E101" s="30"/>
      <c r="F101" s="73"/>
      <c r="G101" s="44"/>
      <c r="H101" s="44"/>
      <c r="I101" s="44"/>
    </row>
    <row r="102" spans="1:9" ht="14.25">
      <c r="A102" s="30"/>
      <c r="B102" s="55">
        <f aca="true" t="shared" si="17" ref="B102:I102">+B$30</f>
        <v>43555</v>
      </c>
      <c r="C102" s="55">
        <f t="shared" si="17"/>
        <v>43646</v>
      </c>
      <c r="D102" s="55">
        <f t="shared" si="17"/>
        <v>43738</v>
      </c>
      <c r="E102" s="71">
        <f t="shared" si="17"/>
        <v>43830</v>
      </c>
      <c r="F102" s="55">
        <f t="shared" si="17"/>
        <v>43921</v>
      </c>
      <c r="G102" s="55">
        <f t="shared" si="17"/>
        <v>44012</v>
      </c>
      <c r="H102" s="55">
        <f t="shared" si="17"/>
        <v>44104</v>
      </c>
      <c r="I102" s="55">
        <f t="shared" si="17"/>
        <v>44196</v>
      </c>
    </row>
    <row r="103" spans="1:9" ht="14.25">
      <c r="A103" s="93" t="str">
        <f>HLOOKUP(INDICE!$F$2,Nombres!$C$3:$D$636,66,FALSE)</f>
        <v>Préstamos y anticipos a la clientela bruto (*)</v>
      </c>
      <c r="B103" s="44">
        <v>13292.876265315537</v>
      </c>
      <c r="C103" s="44">
        <v>13392.994613339615</v>
      </c>
      <c r="D103" s="44">
        <v>13821.270322113069</v>
      </c>
      <c r="E103" s="45">
        <v>13950.738304587172</v>
      </c>
      <c r="F103" s="44">
        <v>14514.102056704272</v>
      </c>
      <c r="G103" s="44">
        <v>15824.113053108826</v>
      </c>
      <c r="H103" s="44">
        <v>16798.6447358</v>
      </c>
      <c r="I103" s="44">
        <v>0</v>
      </c>
    </row>
    <row r="104" spans="1:9" ht="14.25">
      <c r="A104" s="93" t="str">
        <f>HLOOKUP(INDICE!$F$2,Nombres!$C$3:$D$636,67,FALSE)</f>
        <v>Depósitos de clientes en gestión (**)</v>
      </c>
      <c r="B104" s="44">
        <v>12711.02042708088</v>
      </c>
      <c r="C104" s="44">
        <v>12258.247210845357</v>
      </c>
      <c r="D104" s="44">
        <v>12778.489296821961</v>
      </c>
      <c r="E104" s="45">
        <v>12929.269002302717</v>
      </c>
      <c r="F104" s="44">
        <v>13149.115884383527</v>
      </c>
      <c r="G104" s="44">
        <v>15368.94145725772</v>
      </c>
      <c r="H104" s="44">
        <v>15659.98047436</v>
      </c>
      <c r="I104" s="44">
        <v>0</v>
      </c>
    </row>
    <row r="105" spans="1:9" ht="14.25">
      <c r="A105" s="43" t="str">
        <f>HLOOKUP(INDICE!$F$2,Nombres!$C$3:$D$636,68,FALSE)</f>
        <v>Fondos de inversión</v>
      </c>
      <c r="B105" s="44">
        <v>1516.5632687996979</v>
      </c>
      <c r="C105" s="44">
        <v>1496.6591096549398</v>
      </c>
      <c r="D105" s="44">
        <v>1574.2033661181185</v>
      </c>
      <c r="E105" s="45">
        <v>1607.8251585731266</v>
      </c>
      <c r="F105" s="44">
        <v>1657.047514932743</v>
      </c>
      <c r="G105" s="44">
        <v>1767.7100621379384</v>
      </c>
      <c r="H105" s="44">
        <v>2043.50743651</v>
      </c>
      <c r="I105" s="44">
        <v>0</v>
      </c>
    </row>
    <row r="106" spans="1:9" ht="14.25">
      <c r="A106" s="93" t="str">
        <f>HLOOKUP(INDICE!$F$2,Nombres!$C$3:$D$636,69,FALSE)</f>
        <v>Fondos de pensiones</v>
      </c>
      <c r="B106" s="44">
        <v>0</v>
      </c>
      <c r="C106" s="44">
        <v>0</v>
      </c>
      <c r="D106" s="44">
        <v>0</v>
      </c>
      <c r="E106" s="45">
        <v>0</v>
      </c>
      <c r="F106" s="44">
        <v>0</v>
      </c>
      <c r="G106" s="44">
        <v>0</v>
      </c>
      <c r="H106" s="44">
        <v>0</v>
      </c>
      <c r="I106" s="44">
        <v>0</v>
      </c>
    </row>
    <row r="107" spans="1:9" ht="14.25">
      <c r="A107" s="93" t="str">
        <f>HLOOKUP(INDICE!$F$2,Nombres!$C$3:$D$636,70,FALSE)</f>
        <v>Otros recursos fuera de balance</v>
      </c>
      <c r="B107" s="44">
        <v>0</v>
      </c>
      <c r="C107" s="44">
        <v>0</v>
      </c>
      <c r="D107" s="44">
        <v>0</v>
      </c>
      <c r="E107" s="45">
        <v>0</v>
      </c>
      <c r="F107" s="44">
        <v>0</v>
      </c>
      <c r="G107" s="44">
        <v>0</v>
      </c>
      <c r="H107" s="44">
        <v>0</v>
      </c>
      <c r="I107" s="44">
        <v>0</v>
      </c>
    </row>
    <row r="108" spans="1:9" ht="14.25">
      <c r="A108" s="97" t="str">
        <f>HLOOKUP(INDICE!$F$2,Nombres!$C$3:$D$636,71,FALSE)</f>
        <v>(*) No incluye las adquisiciones temporales de activos.</v>
      </c>
      <c r="B108" s="60"/>
      <c r="C108" s="60"/>
      <c r="D108" s="60"/>
      <c r="E108" s="60"/>
      <c r="F108" s="60"/>
      <c r="G108" s="60"/>
      <c r="H108" s="60"/>
      <c r="I108" s="60"/>
    </row>
    <row r="109" spans="1:9" ht="14.25">
      <c r="A109" s="97" t="str">
        <f>HLOOKUP(INDICE!$F$2,Nombres!$C$3:$D$636,72,FALSE)</f>
        <v>(**) No incluye las cesiones temporales de activos.</v>
      </c>
      <c r="B109" s="30"/>
      <c r="C109" s="30"/>
      <c r="D109" s="30"/>
      <c r="E109" s="30"/>
      <c r="F109" s="30"/>
      <c r="G109" s="30"/>
      <c r="H109" s="30"/>
      <c r="I109" s="30"/>
    </row>
    <row r="110" spans="1:9" ht="14.25">
      <c r="A110" s="65"/>
      <c r="B110" s="60"/>
      <c r="C110" s="44"/>
      <c r="D110" s="44"/>
      <c r="E110" s="44"/>
      <c r="F110" s="44"/>
      <c r="G110" s="30"/>
      <c r="H110" s="30"/>
      <c r="I110" s="30"/>
    </row>
    <row r="111" spans="1:9" ht="16.5">
      <c r="A111" s="98" t="str">
        <f>HLOOKUP(INDICE!$F$2,Nombres!$C$3:$D$636,31,FALSE)</f>
        <v>Cuenta de resultados  </v>
      </c>
      <c r="B111" s="34"/>
      <c r="C111" s="34"/>
      <c r="D111" s="34"/>
      <c r="E111" s="34"/>
      <c r="F111" s="34"/>
      <c r="G111" s="34"/>
      <c r="H111" s="34"/>
      <c r="I111" s="34"/>
    </row>
    <row r="112" spans="1:9" ht="14.25">
      <c r="A112" s="89" t="str">
        <f>HLOOKUP(INDICE!$F$2,Nombres!$C$3:$D$636,79,FALSE)</f>
        <v>(Millones de soles peruanos)</v>
      </c>
      <c r="B112" s="30"/>
      <c r="C112" s="36"/>
      <c r="D112" s="36"/>
      <c r="E112" s="36"/>
      <c r="F112" s="30"/>
      <c r="G112" s="30"/>
      <c r="H112" s="30"/>
      <c r="I112" s="30"/>
    </row>
    <row r="113" spans="1:9" ht="14.25">
      <c r="A113" s="37"/>
      <c r="B113" s="30"/>
      <c r="C113" s="36"/>
      <c r="D113" s="36"/>
      <c r="E113" s="36"/>
      <c r="F113" s="30"/>
      <c r="G113" s="30"/>
      <c r="H113" s="30"/>
      <c r="I113" s="30"/>
    </row>
    <row r="114" spans="1:9" ht="14.25">
      <c r="A114" s="38"/>
      <c r="B114" s="305">
        <f>+B$6</f>
        <v>2019</v>
      </c>
      <c r="C114" s="305"/>
      <c r="D114" s="305"/>
      <c r="E114" s="306"/>
      <c r="F114" s="305">
        <f>+F$6</f>
        <v>2020</v>
      </c>
      <c r="G114" s="305"/>
      <c r="H114" s="305"/>
      <c r="I114" s="305"/>
    </row>
    <row r="115" spans="1:9" ht="14.25">
      <c r="A115" s="38"/>
      <c r="B115" s="90" t="str">
        <f aca="true" t="shared" si="18" ref="B115:I115">+B$7</f>
        <v>1er Trim.</v>
      </c>
      <c r="C115" s="90" t="str">
        <f t="shared" si="18"/>
        <v>2º Trim.</v>
      </c>
      <c r="D115" s="90" t="str">
        <f t="shared" si="18"/>
        <v>3er Trim.</v>
      </c>
      <c r="E115" s="91" t="str">
        <f t="shared" si="18"/>
        <v>4º Trim.</v>
      </c>
      <c r="F115" s="90" t="str">
        <f t="shared" si="18"/>
        <v>1er Trim.</v>
      </c>
      <c r="G115" s="90" t="str">
        <f t="shared" si="18"/>
        <v>2º Trim.</v>
      </c>
      <c r="H115" s="90" t="str">
        <f t="shared" si="18"/>
        <v>3er Trim.</v>
      </c>
      <c r="I115" s="90" t="str">
        <f t="shared" si="18"/>
        <v>4º Trim.</v>
      </c>
    </row>
    <row r="116" spans="1:9" ht="14.25">
      <c r="A116" s="41" t="str">
        <f>HLOOKUP(INDICE!$F$2,Nombres!$C$3:$D$636,33,FALSE)</f>
        <v>Margen de intereses</v>
      </c>
      <c r="B116" s="41">
        <v>825.8225655813928</v>
      </c>
      <c r="C116" s="41">
        <v>854.5820671411161</v>
      </c>
      <c r="D116" s="41">
        <v>865.3555939439445</v>
      </c>
      <c r="E116" s="42">
        <v>807.2391714664036</v>
      </c>
      <c r="F116" s="52">
        <v>822.6164431567416</v>
      </c>
      <c r="G116" s="52">
        <v>767.7308918636254</v>
      </c>
      <c r="H116" s="52">
        <v>821.5989156313824</v>
      </c>
      <c r="I116" s="52">
        <v>0</v>
      </c>
    </row>
    <row r="117" spans="1:9" ht="14.25">
      <c r="A117" s="93" t="str">
        <f>HLOOKUP(INDICE!$F$2,Nombres!$C$3:$D$636,34,FALSE)</f>
        <v>Comisiones netas</v>
      </c>
      <c r="B117" s="44">
        <v>204.58466550734533</v>
      </c>
      <c r="C117" s="44">
        <v>222.8589218140125</v>
      </c>
      <c r="D117" s="44">
        <v>223.98290951531757</v>
      </c>
      <c r="E117" s="45">
        <v>213.38360176306597</v>
      </c>
      <c r="F117" s="44">
        <v>199.84619702159569</v>
      </c>
      <c r="G117" s="44">
        <v>172.77912709303683</v>
      </c>
      <c r="H117" s="44">
        <v>250.99794654784762</v>
      </c>
      <c r="I117" s="44">
        <v>0</v>
      </c>
    </row>
    <row r="118" spans="1:9" ht="14.25">
      <c r="A118" s="93" t="str">
        <f>HLOOKUP(INDICE!$F$2,Nombres!$C$3:$D$636,35,FALSE)</f>
        <v>Resultados de operaciones financieras</v>
      </c>
      <c r="B118" s="44">
        <v>147.21206039426394</v>
      </c>
      <c r="C118" s="44">
        <v>162.3845409942765</v>
      </c>
      <c r="D118" s="44">
        <v>164.6063307323721</v>
      </c>
      <c r="E118" s="45">
        <v>198.50103178956118</v>
      </c>
      <c r="F118" s="44">
        <v>139.19711576579294</v>
      </c>
      <c r="G118" s="44">
        <v>134.20563173122002</v>
      </c>
      <c r="H118" s="44">
        <v>177.20843392421114</v>
      </c>
      <c r="I118" s="44">
        <v>0</v>
      </c>
    </row>
    <row r="119" spans="1:9" ht="14.25">
      <c r="A119" s="93" t="str">
        <f>HLOOKUP(INDICE!$F$2,Nombres!$C$3:$D$636,36,FALSE)</f>
        <v>Otros ingresos y cargas de explotación</v>
      </c>
      <c r="B119" s="44">
        <v>-23.989773249011417</v>
      </c>
      <c r="C119" s="44">
        <v>-17.66065648092684</v>
      </c>
      <c r="D119" s="44">
        <v>-21.402906457147274</v>
      </c>
      <c r="E119" s="45">
        <v>-19.430304894886376</v>
      </c>
      <c r="F119" s="44">
        <v>-23.841398634021502</v>
      </c>
      <c r="G119" s="44">
        <v>-30.372977972059196</v>
      </c>
      <c r="H119" s="44">
        <v>-28.42004788204776</v>
      </c>
      <c r="I119" s="44">
        <v>0</v>
      </c>
    </row>
    <row r="120" spans="1:9" ht="14.25">
      <c r="A120" s="41" t="str">
        <f>HLOOKUP(INDICE!$F$2,Nombres!$C$3:$D$636,37,FALSE)</f>
        <v>Margen bruto</v>
      </c>
      <c r="B120" s="41">
        <f aca="true" t="shared" si="19" ref="B120:I120">+SUM(B116:B119)</f>
        <v>1153.6295182339907</v>
      </c>
      <c r="C120" s="41">
        <f t="shared" si="19"/>
        <v>1222.1648734684782</v>
      </c>
      <c r="D120" s="41">
        <f t="shared" si="19"/>
        <v>1232.5419277344868</v>
      </c>
      <c r="E120" s="42">
        <f t="shared" si="19"/>
        <v>1199.6935001241443</v>
      </c>
      <c r="F120" s="52">
        <f t="shared" si="19"/>
        <v>1137.8183573101087</v>
      </c>
      <c r="G120" s="52">
        <f t="shared" si="19"/>
        <v>1044.342672715823</v>
      </c>
      <c r="H120" s="52">
        <f t="shared" si="19"/>
        <v>1221.385248221393</v>
      </c>
      <c r="I120" s="52">
        <f t="shared" si="19"/>
        <v>0</v>
      </c>
    </row>
    <row r="121" spans="1:9" ht="14.25">
      <c r="A121" s="93" t="str">
        <f>HLOOKUP(INDICE!$F$2,Nombres!$C$3:$D$636,38,FALSE)</f>
        <v>Gastos de explotación</v>
      </c>
      <c r="B121" s="44">
        <v>-423.0523077793573</v>
      </c>
      <c r="C121" s="44">
        <v>-417.02620179789545</v>
      </c>
      <c r="D121" s="44">
        <v>-434.0389355653133</v>
      </c>
      <c r="E121" s="45">
        <v>-445.23424739291124</v>
      </c>
      <c r="F121" s="44">
        <v>-449.43644354404404</v>
      </c>
      <c r="G121" s="44">
        <v>-403.91974271197734</v>
      </c>
      <c r="H121" s="44">
        <v>-430.28437203006257</v>
      </c>
      <c r="I121" s="44">
        <v>0</v>
      </c>
    </row>
    <row r="122" spans="1:9" ht="14.25">
      <c r="A122" s="93" t="str">
        <f>HLOOKUP(INDICE!$F$2,Nombres!$C$3:$D$636,39,FALSE)</f>
        <v>  Gastos de administración</v>
      </c>
      <c r="B122" s="44">
        <v>-358.75503601332673</v>
      </c>
      <c r="C122" s="44">
        <v>-356.0645519441117</v>
      </c>
      <c r="D122" s="44">
        <v>-372.5524822818743</v>
      </c>
      <c r="E122" s="45">
        <v>-386.37676868024823</v>
      </c>
      <c r="F122" s="44">
        <v>-380.8056394799821</v>
      </c>
      <c r="G122" s="44">
        <v>-344.3205823678484</v>
      </c>
      <c r="H122" s="44">
        <v>-368.57733362195813</v>
      </c>
      <c r="I122" s="44">
        <v>0</v>
      </c>
    </row>
    <row r="123" spans="1:9" ht="14.25">
      <c r="A123" s="94" t="str">
        <f>HLOOKUP(INDICE!$F$2,Nombres!$C$3:$D$636,40,FALSE)</f>
        <v>  Gastos de personal</v>
      </c>
      <c r="B123" s="44">
        <v>-204.19044375609718</v>
      </c>
      <c r="C123" s="44">
        <v>-199.31825918330463</v>
      </c>
      <c r="D123" s="44">
        <v>-210.26052277643083</v>
      </c>
      <c r="E123" s="45">
        <v>-232.19491446987908</v>
      </c>
      <c r="F123" s="44">
        <v>-220.22427137419857</v>
      </c>
      <c r="G123" s="44">
        <v>-194.3518284864185</v>
      </c>
      <c r="H123" s="44">
        <v>-209.36866637635285</v>
      </c>
      <c r="I123" s="44">
        <v>0</v>
      </c>
    </row>
    <row r="124" spans="1:9" ht="14.25">
      <c r="A124" s="94" t="str">
        <f>HLOOKUP(INDICE!$F$2,Nombres!$C$3:$D$636,41,FALSE)</f>
        <v>  Otros gastos de administración</v>
      </c>
      <c r="B124" s="44">
        <v>-154.56459225722955</v>
      </c>
      <c r="C124" s="44">
        <v>-156.7462927608071</v>
      </c>
      <c r="D124" s="44">
        <v>-162.29195950544351</v>
      </c>
      <c r="E124" s="45">
        <v>-154.18185421036918</v>
      </c>
      <c r="F124" s="44">
        <v>-160.5813681057836</v>
      </c>
      <c r="G124" s="44">
        <v>-149.96875388142985</v>
      </c>
      <c r="H124" s="44">
        <v>-159.2086672456053</v>
      </c>
      <c r="I124" s="44">
        <v>0</v>
      </c>
    </row>
    <row r="125" spans="1:9" ht="14.25">
      <c r="A125" s="93" t="str">
        <f>HLOOKUP(INDICE!$F$2,Nombres!$C$3:$D$636,42,FALSE)</f>
        <v>  Amortización</v>
      </c>
      <c r="B125" s="44">
        <v>-64.2972717660306</v>
      </c>
      <c r="C125" s="44">
        <v>-60.96164985378371</v>
      </c>
      <c r="D125" s="44">
        <v>-61.48645328343902</v>
      </c>
      <c r="E125" s="45">
        <v>-58.85747871266298</v>
      </c>
      <c r="F125" s="44">
        <v>-68.63080406406189</v>
      </c>
      <c r="G125" s="44">
        <v>-59.599160344128975</v>
      </c>
      <c r="H125" s="44">
        <v>-61.70703840810442</v>
      </c>
      <c r="I125" s="44">
        <v>0</v>
      </c>
    </row>
    <row r="126" spans="1:9" ht="14.25">
      <c r="A126" s="41" t="str">
        <f>HLOOKUP(INDICE!$F$2,Nombres!$C$3:$D$636,43,FALSE)</f>
        <v>Margen neto</v>
      </c>
      <c r="B126" s="41">
        <f aca="true" t="shared" si="20" ref="B126:I126">+B120+B121</f>
        <v>730.5772104546334</v>
      </c>
      <c r="C126" s="41">
        <f t="shared" si="20"/>
        <v>805.1386716705827</v>
      </c>
      <c r="D126" s="41">
        <f t="shared" si="20"/>
        <v>798.5029921691735</v>
      </c>
      <c r="E126" s="42">
        <f t="shared" si="20"/>
        <v>754.459252731233</v>
      </c>
      <c r="F126" s="52">
        <f t="shared" si="20"/>
        <v>688.3819137660646</v>
      </c>
      <c r="G126" s="52">
        <f t="shared" si="20"/>
        <v>640.4229300038457</v>
      </c>
      <c r="H126" s="52">
        <f t="shared" si="20"/>
        <v>791.1008761913306</v>
      </c>
      <c r="I126" s="52">
        <f t="shared" si="20"/>
        <v>0</v>
      </c>
    </row>
    <row r="127" spans="1:9" ht="14.25">
      <c r="A127" s="93" t="str">
        <f>HLOOKUP(INDICE!$F$2,Nombres!$C$3:$D$636,44,FALSE)</f>
        <v>Deterioro de activos financieros no valorados a valor razonable con cambios en resultados</v>
      </c>
      <c r="B127" s="44">
        <v>-214.68526197310214</v>
      </c>
      <c r="C127" s="44">
        <v>-233.43014331623354</v>
      </c>
      <c r="D127" s="44">
        <v>-178.58668800651435</v>
      </c>
      <c r="E127" s="45">
        <v>-193.78108683987054</v>
      </c>
      <c r="F127" s="44">
        <v>-361.6251936363261</v>
      </c>
      <c r="G127" s="44">
        <v>-525.4856254009944</v>
      </c>
      <c r="H127" s="44">
        <v>-187.37793362034995</v>
      </c>
      <c r="I127" s="44">
        <v>0</v>
      </c>
    </row>
    <row r="128" spans="1:9" ht="14.25">
      <c r="A128" s="93" t="str">
        <f>HLOOKUP(INDICE!$F$2,Nombres!$C$3:$D$636,45,FALSE)</f>
        <v>Provisiones o reversión de provisiones y otros resultados</v>
      </c>
      <c r="B128" s="44">
        <v>-14.39310919800685</v>
      </c>
      <c r="C128" s="44">
        <v>43.1642446329642</v>
      </c>
      <c r="D128" s="44">
        <v>14.109170021100834</v>
      </c>
      <c r="E128" s="45">
        <v>-38.69881457605961</v>
      </c>
      <c r="F128" s="44">
        <v>-13.449956352012133</v>
      </c>
      <c r="G128" s="44">
        <v>-85.8006983981356</v>
      </c>
      <c r="H128" s="44">
        <v>-75.2901517341236</v>
      </c>
      <c r="I128" s="44">
        <v>0</v>
      </c>
    </row>
    <row r="129" spans="1:9" ht="14.25">
      <c r="A129" s="95" t="str">
        <f>HLOOKUP(INDICE!$F$2,Nombres!$C$3:$D$636,46,FALSE)</f>
        <v>Resultado antes de impuestos</v>
      </c>
      <c r="B129" s="41">
        <f aca="true" t="shared" si="21" ref="B129:I129">+B126+B127+B128</f>
        <v>501.4988392835244</v>
      </c>
      <c r="C129" s="41">
        <f t="shared" si="21"/>
        <v>614.8727729873133</v>
      </c>
      <c r="D129" s="41">
        <f t="shared" si="21"/>
        <v>634.0254741837599</v>
      </c>
      <c r="E129" s="42">
        <f t="shared" si="21"/>
        <v>521.9793513153029</v>
      </c>
      <c r="F129" s="52">
        <f t="shared" si="21"/>
        <v>313.30676377772636</v>
      </c>
      <c r="G129" s="52">
        <f t="shared" si="21"/>
        <v>29.136606204715733</v>
      </c>
      <c r="H129" s="52">
        <f t="shared" si="21"/>
        <v>528.4327908368571</v>
      </c>
      <c r="I129" s="52">
        <f t="shared" si="21"/>
        <v>0</v>
      </c>
    </row>
    <row r="130" spans="1:9" ht="14.25">
      <c r="A130" s="43" t="str">
        <f>HLOOKUP(INDICE!$F$2,Nombres!$C$3:$D$636,47,FALSE)</f>
        <v>Impuesto sobre beneficios</v>
      </c>
      <c r="B130" s="44">
        <v>-147.1221655778166</v>
      </c>
      <c r="C130" s="44">
        <v>-175.04542812497618</v>
      </c>
      <c r="D130" s="44">
        <v>-183.1294639520816</v>
      </c>
      <c r="E130" s="45">
        <v>-133.44808630932997</v>
      </c>
      <c r="F130" s="44">
        <v>-70.10950596304181</v>
      </c>
      <c r="G130" s="44">
        <v>-7.331708648417674</v>
      </c>
      <c r="H130" s="44">
        <v>-155.99078028053168</v>
      </c>
      <c r="I130" s="44">
        <v>0</v>
      </c>
    </row>
    <row r="131" spans="1:9" ht="14.25">
      <c r="A131" s="95" t="str">
        <f>HLOOKUP(INDICE!$F$2,Nombres!$C$3:$D$636,48,FALSE)</f>
        <v>Resultado del ejercicio</v>
      </c>
      <c r="B131" s="41">
        <f aca="true" t="shared" si="22" ref="B131:I131">+B129+B130</f>
        <v>354.3766737057078</v>
      </c>
      <c r="C131" s="41">
        <f t="shared" si="22"/>
        <v>439.8273448623371</v>
      </c>
      <c r="D131" s="41">
        <f t="shared" si="22"/>
        <v>450.8960102316783</v>
      </c>
      <c r="E131" s="42">
        <f t="shared" si="22"/>
        <v>388.53126500597295</v>
      </c>
      <c r="F131" s="52">
        <f t="shared" si="22"/>
        <v>243.19725781468455</v>
      </c>
      <c r="G131" s="52">
        <f t="shared" si="22"/>
        <v>21.80489755629806</v>
      </c>
      <c r="H131" s="52">
        <f t="shared" si="22"/>
        <v>372.4420105563254</v>
      </c>
      <c r="I131" s="52">
        <f t="shared" si="22"/>
        <v>0</v>
      </c>
    </row>
    <row r="132" spans="1:9" ht="14.25">
      <c r="A132" s="93" t="str">
        <f>HLOOKUP(INDICE!$F$2,Nombres!$C$3:$D$636,49,FALSE)</f>
        <v>Minoritarios</v>
      </c>
      <c r="B132" s="44">
        <v>-193.0495146405858</v>
      </c>
      <c r="C132" s="44">
        <v>-235.34427636316113</v>
      </c>
      <c r="D132" s="44">
        <v>-243.65688144628675</v>
      </c>
      <c r="E132" s="45">
        <v>-208.40621807092356</v>
      </c>
      <c r="F132" s="44">
        <v>-131.35176264291465</v>
      </c>
      <c r="G132" s="44">
        <v>-11.705047513700762</v>
      </c>
      <c r="H132" s="44">
        <v>-196.85153441658724</v>
      </c>
      <c r="I132" s="44">
        <v>0</v>
      </c>
    </row>
    <row r="133" spans="1:9" ht="14.25">
      <c r="A133" s="96" t="str">
        <f>HLOOKUP(INDICE!$F$2,Nombres!$C$3:$D$636,50,FALSE)</f>
        <v>Resultado atribuido</v>
      </c>
      <c r="B133" s="47">
        <f aca="true" t="shared" si="23" ref="B133:I133">+B131+B132</f>
        <v>161.32715906512198</v>
      </c>
      <c r="C133" s="47">
        <f t="shared" si="23"/>
        <v>204.48306849917597</v>
      </c>
      <c r="D133" s="47">
        <f t="shared" si="23"/>
        <v>207.23912878539156</v>
      </c>
      <c r="E133" s="47">
        <f t="shared" si="23"/>
        <v>180.1250469350494</v>
      </c>
      <c r="F133" s="53">
        <f t="shared" si="23"/>
        <v>111.8454951717699</v>
      </c>
      <c r="G133" s="53">
        <f t="shared" si="23"/>
        <v>10.099850042597296</v>
      </c>
      <c r="H133" s="53">
        <f t="shared" si="23"/>
        <v>175.59047613973814</v>
      </c>
      <c r="I133" s="53">
        <f t="shared" si="23"/>
        <v>0</v>
      </c>
    </row>
    <row r="134" spans="1:9" ht="14.25">
      <c r="A134" s="97" t="s">
        <v>5</v>
      </c>
      <c r="B134" s="66">
        <v>0</v>
      </c>
      <c r="C134" s="66">
        <v>-2.5579538487363607E-13</v>
      </c>
      <c r="D134" s="66">
        <v>0</v>
      </c>
      <c r="E134" s="66">
        <v>0</v>
      </c>
      <c r="F134" s="66">
        <v>-3.126388037344441E-13</v>
      </c>
      <c r="G134" s="66">
        <v>1.2789769243681803E-13</v>
      </c>
      <c r="H134" s="66">
        <v>0</v>
      </c>
      <c r="I134" s="66">
        <v>0</v>
      </c>
    </row>
    <row r="135" spans="1:9" ht="14.25">
      <c r="A135" s="95" t="s">
        <v>5</v>
      </c>
      <c r="B135" s="41"/>
      <c r="C135" s="41"/>
      <c r="D135" s="41"/>
      <c r="E135" s="41"/>
      <c r="F135" s="52"/>
      <c r="G135" s="52"/>
      <c r="H135" s="52"/>
      <c r="I135" s="52"/>
    </row>
    <row r="136" spans="1:9" ht="16.5">
      <c r="A136" s="98" t="str">
        <f>HLOOKUP(INDICE!$F$2,Nombres!$C$3:$D$636,51,FALSE)</f>
        <v>Balances</v>
      </c>
      <c r="B136" s="34"/>
      <c r="C136" s="34"/>
      <c r="D136" s="34"/>
      <c r="E136" s="34"/>
      <c r="F136" s="72"/>
      <c r="G136" s="72"/>
      <c r="H136" s="72"/>
      <c r="I136" s="72"/>
    </row>
    <row r="137" spans="1:9" ht="14.25">
      <c r="A137" s="89" t="str">
        <f>HLOOKUP(INDICE!$F$2,Nombres!$C$3:$D$636,79,FALSE)</f>
        <v>(Millones de soles peruanos)</v>
      </c>
      <c r="B137" s="30"/>
      <c r="C137" s="54"/>
      <c r="D137" s="54"/>
      <c r="E137" s="54"/>
      <c r="F137" s="73"/>
      <c r="G137" s="44"/>
      <c r="H137" s="44"/>
      <c r="I137" s="44"/>
    </row>
    <row r="138" spans="1:9" ht="14.25">
      <c r="A138" s="30"/>
      <c r="B138" s="55">
        <f aca="true" t="shared" si="24" ref="B138:I138">+B$30</f>
        <v>43555</v>
      </c>
      <c r="C138" s="55">
        <f t="shared" si="24"/>
        <v>43646</v>
      </c>
      <c r="D138" s="55">
        <f t="shared" si="24"/>
        <v>43738</v>
      </c>
      <c r="E138" s="71">
        <f t="shared" si="24"/>
        <v>43830</v>
      </c>
      <c r="F138" s="55">
        <f t="shared" si="24"/>
        <v>43921</v>
      </c>
      <c r="G138" s="55">
        <f t="shared" si="24"/>
        <v>44012</v>
      </c>
      <c r="H138" s="55">
        <f t="shared" si="24"/>
        <v>44104</v>
      </c>
      <c r="I138" s="55">
        <f t="shared" si="24"/>
        <v>44196</v>
      </c>
    </row>
    <row r="139" spans="1:9" ht="14.25">
      <c r="A139" s="93" t="str">
        <f>HLOOKUP(INDICE!$F$2,Nombres!$C$3:$D$636,52,FALSE)</f>
        <v>Efectivo, saldos en efectivo en bancos centrales y otros depósitos a la vista</v>
      </c>
      <c r="B139" s="44">
        <v>12486.025888771072</v>
      </c>
      <c r="C139" s="44">
        <v>9946.523908056019</v>
      </c>
      <c r="D139" s="44">
        <v>10321.952254310552</v>
      </c>
      <c r="E139" s="45">
        <v>12514.810672603597</v>
      </c>
      <c r="F139" s="44">
        <v>12687.30730110878</v>
      </c>
      <c r="G139" s="44">
        <v>12352.691014420088</v>
      </c>
      <c r="H139" s="44">
        <v>10450.167998535244</v>
      </c>
      <c r="I139" s="44">
        <v>0</v>
      </c>
    </row>
    <row r="140" spans="1:9" ht="14.25">
      <c r="A140" s="93" t="str">
        <f>HLOOKUP(INDICE!$F$2,Nombres!$C$3:$D$636,53,FALSE)</f>
        <v>Activos financieros a valor razonable</v>
      </c>
      <c r="B140" s="60">
        <v>8333.47032090871</v>
      </c>
      <c r="C140" s="60">
        <v>7413.087746390194</v>
      </c>
      <c r="D140" s="60">
        <v>8609.339328623135</v>
      </c>
      <c r="E140" s="68">
        <v>7196.390230608868</v>
      </c>
      <c r="F140" s="44">
        <v>8419.706186415917</v>
      </c>
      <c r="G140" s="44">
        <v>11948.14745171466</v>
      </c>
      <c r="H140" s="44">
        <v>12504.359251807346</v>
      </c>
      <c r="I140" s="44">
        <v>0</v>
      </c>
    </row>
    <row r="141" spans="1:9" ht="14.25">
      <c r="A141" s="43" t="str">
        <f>HLOOKUP(INDICE!$F$2,Nombres!$C$3:$D$636,54,FALSE)</f>
        <v>Activos financieros a coste amortizado</v>
      </c>
      <c r="B141" s="44">
        <v>56413.31529475373</v>
      </c>
      <c r="C141" s="44">
        <v>58154.94963251181</v>
      </c>
      <c r="D141" s="44">
        <v>59805.20463590155</v>
      </c>
      <c r="E141" s="45">
        <v>59197.557692077324</v>
      </c>
      <c r="F141" s="44">
        <v>61190.93604877764</v>
      </c>
      <c r="G141" s="44">
        <v>69659.84781540181</v>
      </c>
      <c r="H141" s="44">
        <v>79466.36181406281</v>
      </c>
      <c r="I141" s="44">
        <v>0</v>
      </c>
    </row>
    <row r="142" spans="1:9" ht="14.25">
      <c r="A142" s="93" t="str">
        <f>HLOOKUP(INDICE!$F$2,Nombres!$C$3:$D$636,55,FALSE)</f>
        <v>    de los que préstamos y anticipos a la clientela</v>
      </c>
      <c r="B142" s="44">
        <v>53471.493410126895</v>
      </c>
      <c r="C142" s="44">
        <v>54453.96549377822</v>
      </c>
      <c r="D142" s="44">
        <v>56100.23638915248</v>
      </c>
      <c r="E142" s="45">
        <v>56029.32310618846</v>
      </c>
      <c r="F142" s="44">
        <v>58181.937480382694</v>
      </c>
      <c r="G142" s="44">
        <v>63536.650084606306</v>
      </c>
      <c r="H142" s="44">
        <v>67094.89135028025</v>
      </c>
      <c r="I142" s="44">
        <v>0</v>
      </c>
    </row>
    <row r="143" spans="1:9" ht="14.25">
      <c r="A143" s="43" t="str">
        <f>HLOOKUP(INDICE!$F$2,Nombres!$C$3:$D$636,56,FALSE)</f>
        <v>Activos tangibles</v>
      </c>
      <c r="B143" s="44">
        <v>1154.6191756435442</v>
      </c>
      <c r="C143" s="44">
        <v>1150.881864211738</v>
      </c>
      <c r="D143" s="44">
        <v>1153.658124346956</v>
      </c>
      <c r="E143" s="45">
        <v>1176.209885018834</v>
      </c>
      <c r="F143" s="44">
        <v>1155.8272410280667</v>
      </c>
      <c r="G143" s="44">
        <v>1137.450432457205</v>
      </c>
      <c r="H143" s="44">
        <v>1139.8418974233905</v>
      </c>
      <c r="I143" s="44">
        <v>0</v>
      </c>
    </row>
    <row r="144" spans="1:9" ht="14.25">
      <c r="A144" s="93" t="str">
        <f>HLOOKUP(INDICE!$F$2,Nombres!$C$3:$D$636,57,FALSE)</f>
        <v>Otros activos</v>
      </c>
      <c r="B144" s="60">
        <f aca="true" t="shared" si="25" ref="B144:I144">+B145-B143-B141-B140-B139</f>
        <v>1467.1889856353973</v>
      </c>
      <c r="C144" s="60">
        <f t="shared" si="25"/>
        <v>1352.8238371550542</v>
      </c>
      <c r="D144" s="60">
        <f t="shared" si="25"/>
        <v>1425.9107388511748</v>
      </c>
      <c r="E144" s="68">
        <f t="shared" si="25"/>
        <v>1322.8264307582049</v>
      </c>
      <c r="F144" s="44">
        <f t="shared" si="25"/>
        <v>1578.6172815573718</v>
      </c>
      <c r="G144" s="44">
        <f t="shared" si="25"/>
        <v>1833.4335008033704</v>
      </c>
      <c r="H144" s="44">
        <f t="shared" si="25"/>
        <v>1584.9886134473836</v>
      </c>
      <c r="I144" s="44">
        <f t="shared" si="25"/>
        <v>0</v>
      </c>
    </row>
    <row r="145" spans="1:9" ht="14.25">
      <c r="A145" s="96" t="str">
        <f>HLOOKUP(INDICE!$F$2,Nombres!$C$3:$D$636,58,FALSE)</f>
        <v>Total activo / pasivo</v>
      </c>
      <c r="B145" s="47">
        <v>79854.61966571245</v>
      </c>
      <c r="C145" s="47">
        <v>78018.26698832482</v>
      </c>
      <c r="D145" s="47">
        <v>81316.06508203337</v>
      </c>
      <c r="E145" s="47">
        <v>81407.79491106683</v>
      </c>
      <c r="F145" s="53">
        <v>85032.39405888777</v>
      </c>
      <c r="G145" s="53">
        <v>96931.57021479713</v>
      </c>
      <c r="H145" s="53">
        <v>105145.71957527618</v>
      </c>
      <c r="I145" s="53">
        <v>0</v>
      </c>
    </row>
    <row r="146" spans="1:9" ht="14.25">
      <c r="A146" s="93" t="str">
        <f>HLOOKUP(INDICE!$F$2,Nombres!$C$3:$D$636,59,FALSE)</f>
        <v>Pasivos financieros mantenidos para negociar y designados a valor razonable con cambios en resultados</v>
      </c>
      <c r="B146" s="60">
        <v>323.0143994878725</v>
      </c>
      <c r="C146" s="60">
        <v>407.39968782661515</v>
      </c>
      <c r="D146" s="60">
        <v>490.97261831840683</v>
      </c>
      <c r="E146" s="68">
        <v>502.64746902750176</v>
      </c>
      <c r="F146" s="44">
        <v>941.5297161584251</v>
      </c>
      <c r="G146" s="44">
        <v>1108.2863524061743</v>
      </c>
      <c r="H146" s="44">
        <v>955.6371973736507</v>
      </c>
      <c r="I146" s="44">
        <v>0</v>
      </c>
    </row>
    <row r="147" spans="1:9" ht="14.25">
      <c r="A147" s="93" t="str">
        <f>HLOOKUP(INDICE!$F$2,Nombres!$C$3:$D$636,60,FALSE)</f>
        <v>Depósitos de bancos centrales y entidades de crédito</v>
      </c>
      <c r="B147" s="60">
        <v>7776.23544284093</v>
      </c>
      <c r="C147" s="60">
        <v>8361.792008145627</v>
      </c>
      <c r="D147" s="60">
        <v>8925.478010495395</v>
      </c>
      <c r="E147" s="68">
        <v>8642.260216107434</v>
      </c>
      <c r="F147" s="44">
        <v>10320.195656082738</v>
      </c>
      <c r="G147" s="44">
        <v>12187.925210964913</v>
      </c>
      <c r="H147" s="44">
        <v>19221.96564642286</v>
      </c>
      <c r="I147" s="44">
        <v>0</v>
      </c>
    </row>
    <row r="148" spans="1:9" ht="14.25">
      <c r="A148" s="93" t="str">
        <f>HLOOKUP(INDICE!$F$2,Nombres!$C$3:$D$636,61,FALSE)</f>
        <v>Depósitos de la clientela</v>
      </c>
      <c r="B148" s="60">
        <v>53557.57367609086</v>
      </c>
      <c r="C148" s="60">
        <v>51649.82468303399</v>
      </c>
      <c r="D148" s="60">
        <v>53841.859509612616</v>
      </c>
      <c r="E148" s="68">
        <v>54477.151680418</v>
      </c>
      <c r="F148" s="44">
        <v>55403.47320146733</v>
      </c>
      <c r="G148" s="44">
        <v>64756.651164548595</v>
      </c>
      <c r="H148" s="44">
        <v>65982.93001693183</v>
      </c>
      <c r="I148" s="44">
        <v>0</v>
      </c>
    </row>
    <row r="149" spans="1:9" ht="14.25">
      <c r="A149" s="43" t="str">
        <f>HLOOKUP(INDICE!$F$2,Nombres!$C$3:$D$636,62,FALSE)</f>
        <v>Valores representativos de deuda emitidos</v>
      </c>
      <c r="B149" s="44">
        <v>5643.988525689772</v>
      </c>
      <c r="C149" s="44">
        <v>5225.02460836689</v>
      </c>
      <c r="D149" s="44">
        <v>5487.613383932548</v>
      </c>
      <c r="E149" s="45">
        <v>5603.5242383504465</v>
      </c>
      <c r="F149" s="44">
        <v>5575.352989130674</v>
      </c>
      <c r="G149" s="44">
        <v>5695.197390753034</v>
      </c>
      <c r="H149" s="44">
        <v>5579.045393592122</v>
      </c>
      <c r="I149" s="44">
        <v>0</v>
      </c>
    </row>
    <row r="150" spans="1:9" ht="14.25">
      <c r="A150" s="93" t="str">
        <f>HLOOKUP(INDICE!$F$2,Nombres!$C$3:$D$636,63,FALSE)</f>
        <v>Otros pasivos</v>
      </c>
      <c r="B150" s="60">
        <f aca="true" t="shared" si="26" ref="B150:I150">+B145-B146-B147-B148-B149-B151</f>
        <v>10290.050760860508</v>
      </c>
      <c r="C150" s="60">
        <f t="shared" si="26"/>
        <v>10072.978749979804</v>
      </c>
      <c r="D150" s="60">
        <f t="shared" si="26"/>
        <v>10219.491577410696</v>
      </c>
      <c r="E150" s="68">
        <f t="shared" si="26"/>
        <v>9664.028288559017</v>
      </c>
      <c r="F150" s="44">
        <f t="shared" si="26"/>
        <v>10345.604748011792</v>
      </c>
      <c r="G150" s="44">
        <f t="shared" si="26"/>
        <v>10638.877526473649</v>
      </c>
      <c r="H150" s="44">
        <f t="shared" si="26"/>
        <v>10868.217374349273</v>
      </c>
      <c r="I150" s="44">
        <f t="shared" si="26"/>
        <v>0</v>
      </c>
    </row>
    <row r="151" spans="1:9" ht="14.25">
      <c r="A151" s="93" t="str">
        <f>HLOOKUP(INDICE!$F$2,Nombres!$C$3:$D$636,64,FALSE)</f>
        <v>Dotación de capital económico</v>
      </c>
      <c r="B151" s="44">
        <v>2263.756860742506</v>
      </c>
      <c r="C151" s="44">
        <v>2301.2472509718855</v>
      </c>
      <c r="D151" s="44">
        <v>2350.649982263702</v>
      </c>
      <c r="E151" s="45">
        <v>2518.1830186044263</v>
      </c>
      <c r="F151" s="44">
        <v>2446.2377480368077</v>
      </c>
      <c r="G151" s="44">
        <v>2544.632569650775</v>
      </c>
      <c r="H151" s="44">
        <v>2537.9239466064373</v>
      </c>
      <c r="I151" s="44">
        <v>0</v>
      </c>
    </row>
    <row r="152" spans="1:9" ht="14.25">
      <c r="A152" s="65"/>
      <c r="B152" s="60"/>
      <c r="C152" s="60"/>
      <c r="D152" s="60"/>
      <c r="E152" s="60"/>
      <c r="F152" s="44"/>
      <c r="G152" s="44"/>
      <c r="H152" s="44"/>
      <c r="I152" s="44"/>
    </row>
    <row r="153" spans="1:9" ht="14.25">
      <c r="A153" s="43"/>
      <c r="B153" s="60"/>
      <c r="C153" s="60"/>
      <c r="D153" s="60"/>
      <c r="E153" s="60"/>
      <c r="F153" s="44"/>
      <c r="G153" s="44"/>
      <c r="H153" s="44"/>
      <c r="I153" s="44"/>
    </row>
    <row r="154" spans="1:9" ht="16.5">
      <c r="A154" s="98" t="str">
        <f>HLOOKUP(INDICE!$F$2,Nombres!$C$3:$D$636,65,FALSE)</f>
        <v>Indicadores relevantes y de gestión</v>
      </c>
      <c r="B154" s="34"/>
      <c r="C154" s="34"/>
      <c r="D154" s="34"/>
      <c r="E154" s="34"/>
      <c r="F154" s="72"/>
      <c r="G154" s="72"/>
      <c r="H154" s="72"/>
      <c r="I154" s="72"/>
    </row>
    <row r="155" spans="1:9" ht="14.25">
      <c r="A155" s="89" t="str">
        <f>HLOOKUP(INDICE!$F$2,Nombres!$C$3:$D$636,79,FALSE)</f>
        <v>(Millones de soles peruanos)</v>
      </c>
      <c r="B155" s="30"/>
      <c r="C155" s="30"/>
      <c r="D155" s="30"/>
      <c r="E155" s="30"/>
      <c r="F155" s="73"/>
      <c r="G155" s="44"/>
      <c r="H155" s="44"/>
      <c r="I155" s="44"/>
    </row>
    <row r="156" spans="1:9" ht="15.75" customHeight="1">
      <c r="A156" s="30"/>
      <c r="B156" s="55">
        <f aca="true" t="shared" si="27" ref="B156:I156">+B$30</f>
        <v>43555</v>
      </c>
      <c r="C156" s="55">
        <f t="shared" si="27"/>
        <v>43646</v>
      </c>
      <c r="D156" s="55">
        <f t="shared" si="27"/>
        <v>43738</v>
      </c>
      <c r="E156" s="71">
        <f t="shared" si="27"/>
        <v>43830</v>
      </c>
      <c r="F156" s="55">
        <f t="shared" si="27"/>
        <v>43921</v>
      </c>
      <c r="G156" s="55">
        <f t="shared" si="27"/>
        <v>44012</v>
      </c>
      <c r="H156" s="55">
        <f t="shared" si="27"/>
        <v>44104</v>
      </c>
      <c r="I156" s="55">
        <f t="shared" si="27"/>
        <v>44196</v>
      </c>
    </row>
    <row r="157" spans="1:9" ht="15.75" customHeight="1">
      <c r="A157" s="93" t="str">
        <f>HLOOKUP(INDICE!$F$2,Nombres!$C$3:$D$636,66,FALSE)</f>
        <v>Préstamos y anticipos a la clientela bruto (*)</v>
      </c>
      <c r="B157" s="44">
        <v>56009.20182192129</v>
      </c>
      <c r="C157" s="44">
        <v>56431.04797836145</v>
      </c>
      <c r="D157" s="44">
        <v>58235.57697038313</v>
      </c>
      <c r="E157" s="45">
        <v>58781.08707783742</v>
      </c>
      <c r="F157" s="44">
        <v>61154.80616328566</v>
      </c>
      <c r="G157" s="44">
        <v>66674.50474635356</v>
      </c>
      <c r="H157" s="44">
        <v>70780.66962807495</v>
      </c>
      <c r="I157" s="44">
        <v>0</v>
      </c>
    </row>
    <row r="158" spans="1:9" ht="15.75" customHeight="1">
      <c r="A158" s="93" t="str">
        <f>HLOOKUP(INDICE!$F$2,Nombres!$C$3:$D$636,67,FALSE)</f>
        <v>Depósitos de clientes en gestión (**)</v>
      </c>
      <c r="B158" s="44">
        <v>53557.56679391898</v>
      </c>
      <c r="C158" s="44">
        <v>51649.8181666437</v>
      </c>
      <c r="D158" s="44">
        <v>53841.84518985089</v>
      </c>
      <c r="E158" s="45">
        <v>54477.15170940051</v>
      </c>
      <c r="F158" s="44">
        <v>55403.47105087466</v>
      </c>
      <c r="G158" s="44">
        <v>64756.65060652754</v>
      </c>
      <c r="H158" s="44">
        <v>65982.93622911083</v>
      </c>
      <c r="I158" s="44">
        <v>0</v>
      </c>
    </row>
    <row r="159" spans="1:9" ht="15.75" customHeight="1">
      <c r="A159" s="43" t="str">
        <f>HLOOKUP(INDICE!$F$2,Nombres!$C$3:$D$636,68,FALSE)</f>
        <v>Fondos de inversión</v>
      </c>
      <c r="B159" s="44">
        <v>6390.001418996785</v>
      </c>
      <c r="C159" s="44">
        <v>6306.135742044442</v>
      </c>
      <c r="D159" s="44">
        <v>6632.866528045173</v>
      </c>
      <c r="E159" s="45">
        <v>6774.53111000934</v>
      </c>
      <c r="F159" s="44">
        <v>6981.92827797138</v>
      </c>
      <c r="G159" s="44">
        <v>7448.202154056133</v>
      </c>
      <c r="H159" s="44">
        <v>8610.267496036815</v>
      </c>
      <c r="I159" s="44">
        <v>0</v>
      </c>
    </row>
    <row r="160" spans="1:9" ht="15.75" customHeight="1">
      <c r="A160" s="93" t="str">
        <f>HLOOKUP(INDICE!$F$2,Nombres!$C$3:$D$636,69,FALSE)</f>
        <v>Fondos de pensiones</v>
      </c>
      <c r="B160" s="44">
        <v>0</v>
      </c>
      <c r="C160" s="44">
        <v>0</v>
      </c>
      <c r="D160" s="44">
        <v>0</v>
      </c>
      <c r="E160" s="45">
        <v>0</v>
      </c>
      <c r="F160" s="44">
        <v>0</v>
      </c>
      <c r="G160" s="44">
        <v>0</v>
      </c>
      <c r="H160" s="44">
        <v>0</v>
      </c>
      <c r="I160" s="44">
        <v>0</v>
      </c>
    </row>
    <row r="161" spans="1:9" ht="14.25">
      <c r="A161" s="93" t="str">
        <f>HLOOKUP(INDICE!$F$2,Nombres!$C$3:$D$636,70,FALSE)</f>
        <v>Otros recursos fuera de balance</v>
      </c>
      <c r="B161" s="44">
        <v>0</v>
      </c>
      <c r="C161" s="44">
        <v>0</v>
      </c>
      <c r="D161" s="44">
        <v>0</v>
      </c>
      <c r="E161" s="45">
        <v>0</v>
      </c>
      <c r="F161" s="44">
        <v>0</v>
      </c>
      <c r="G161" s="44">
        <v>0</v>
      </c>
      <c r="H161" s="44">
        <v>0</v>
      </c>
      <c r="I161" s="44">
        <v>0</v>
      </c>
    </row>
    <row r="162" spans="1:9" ht="14.25">
      <c r="A162" s="97" t="str">
        <f>HLOOKUP(INDICE!$F$2,Nombres!$C$3:$D$636,71,FALSE)</f>
        <v>(*) No incluye las adquisiciones temporales de activos.</v>
      </c>
      <c r="B162" s="60"/>
      <c r="C162" s="60"/>
      <c r="D162" s="60"/>
      <c r="E162" s="60"/>
      <c r="F162" s="44"/>
      <c r="G162" s="44"/>
      <c r="H162" s="44"/>
      <c r="I162" s="44"/>
    </row>
    <row r="163" spans="1:9" ht="14.25">
      <c r="A163" s="97" t="str">
        <f>HLOOKUP(INDICE!$F$2,Nombres!$C$3:$D$636,72,FALSE)</f>
        <v>(**) No incluye las cesiones temporales de activos.</v>
      </c>
      <c r="B163" s="30"/>
      <c r="C163" s="30"/>
      <c r="D163" s="30"/>
      <c r="E163" s="30"/>
      <c r="F163" s="30"/>
      <c r="G163" s="30"/>
      <c r="H163" s="30"/>
      <c r="I163" s="30"/>
    </row>
    <row r="164" spans="1:9" ht="14.25">
      <c r="A164" s="30"/>
      <c r="B164" s="30"/>
      <c r="C164" s="30"/>
      <c r="D164" s="30"/>
      <c r="E164" s="30"/>
      <c r="F164" s="30"/>
      <c r="G164" s="30"/>
      <c r="H164" s="30"/>
      <c r="I164" s="30"/>
    </row>
    <row r="165" spans="1:9" ht="14.25">
      <c r="A165" s="30"/>
      <c r="B165" s="30"/>
      <c r="C165" s="30"/>
      <c r="D165" s="30"/>
      <c r="E165" s="30"/>
      <c r="F165" s="30"/>
      <c r="G165" s="30"/>
      <c r="H165" s="30"/>
      <c r="I165" s="30"/>
    </row>
    <row r="166" spans="1:9" ht="14.25">
      <c r="A166" s="77"/>
      <c r="B166" s="78"/>
      <c r="C166" s="79"/>
      <c r="D166" s="79"/>
      <c r="E166" s="79"/>
      <c r="F166" s="78"/>
      <c r="G166" s="78"/>
      <c r="H166" s="78"/>
      <c r="I166" s="78"/>
    </row>
    <row r="167" spans="1:15" ht="14.25">
      <c r="A167" s="77"/>
      <c r="B167" s="78"/>
      <c r="C167" s="79"/>
      <c r="D167" s="79"/>
      <c r="E167" s="79"/>
      <c r="F167" s="78"/>
      <c r="G167" s="78"/>
      <c r="H167" s="78"/>
      <c r="I167" s="78"/>
      <c r="J167" s="78"/>
      <c r="K167" s="78"/>
      <c r="L167" s="78"/>
      <c r="M167" s="78"/>
      <c r="N167" s="78"/>
      <c r="O167" s="78"/>
    </row>
    <row r="168" spans="1:15" ht="14.25">
      <c r="A168" s="78"/>
      <c r="B168" s="78"/>
      <c r="C168" s="78"/>
      <c r="D168" s="78"/>
      <c r="E168" s="78"/>
      <c r="F168" s="78"/>
      <c r="G168" s="78"/>
      <c r="H168" s="78"/>
      <c r="I168" s="78"/>
      <c r="J168" s="78"/>
      <c r="K168" s="78"/>
      <c r="L168" s="78"/>
      <c r="M168" s="78"/>
      <c r="N168" s="78"/>
      <c r="O168" s="78"/>
    </row>
    <row r="169" spans="1:15" ht="14.25">
      <c r="A169" s="78"/>
      <c r="B169" s="78"/>
      <c r="C169" s="78"/>
      <c r="D169" s="78"/>
      <c r="E169" s="78"/>
      <c r="F169" s="78"/>
      <c r="G169" s="78"/>
      <c r="H169" s="78"/>
      <c r="I169" s="78"/>
      <c r="J169" s="78"/>
      <c r="K169" s="78"/>
      <c r="L169" s="78"/>
      <c r="M169" s="78"/>
      <c r="N169" s="78"/>
      <c r="O169" s="78"/>
    </row>
    <row r="170" spans="1:15" ht="14.25">
      <c r="A170" s="78"/>
      <c r="B170" s="78"/>
      <c r="C170" s="78"/>
      <c r="D170" s="78"/>
      <c r="E170" s="78"/>
      <c r="F170" s="78"/>
      <c r="G170" s="78"/>
      <c r="H170" s="78"/>
      <c r="I170" s="78"/>
      <c r="J170" s="78"/>
      <c r="K170" s="78"/>
      <c r="L170" s="78"/>
      <c r="M170" s="78"/>
      <c r="N170" s="78"/>
      <c r="O170" s="78"/>
    </row>
    <row r="171" spans="1:15" ht="14.25">
      <c r="A171" s="78"/>
      <c r="B171" s="78"/>
      <c r="C171" s="78"/>
      <c r="D171" s="78"/>
      <c r="E171" s="78"/>
      <c r="F171" s="78"/>
      <c r="G171" s="78"/>
      <c r="H171" s="78"/>
      <c r="I171" s="78"/>
      <c r="J171" s="78"/>
      <c r="K171" s="78"/>
      <c r="L171" s="78"/>
      <c r="M171" s="78"/>
      <c r="N171" s="78"/>
      <c r="O171" s="78"/>
    </row>
    <row r="172" spans="1:15" ht="14.25">
      <c r="A172" s="78"/>
      <c r="B172" s="78"/>
      <c r="C172" s="78"/>
      <c r="D172" s="78"/>
      <c r="E172" s="78"/>
      <c r="F172" s="78"/>
      <c r="G172" s="78"/>
      <c r="H172" s="78"/>
      <c r="I172" s="78"/>
      <c r="J172" s="78"/>
      <c r="K172" s="78"/>
      <c r="L172" s="78"/>
      <c r="M172" s="78"/>
      <c r="N172" s="78"/>
      <c r="O172" s="78"/>
    </row>
    <row r="173" spans="1:15" ht="14.25">
      <c r="A173" s="78"/>
      <c r="B173" s="78"/>
      <c r="C173" s="78"/>
      <c r="D173" s="78"/>
      <c r="E173" s="78"/>
      <c r="F173" s="78"/>
      <c r="G173" s="78"/>
      <c r="H173" s="78"/>
      <c r="I173" s="78"/>
      <c r="J173" s="78"/>
      <c r="K173" s="78"/>
      <c r="L173" s="78"/>
      <c r="M173" s="78"/>
      <c r="N173" s="78"/>
      <c r="O173" s="78"/>
    </row>
    <row r="174" spans="1:15" ht="14.25">
      <c r="A174" s="78"/>
      <c r="B174" s="78"/>
      <c r="C174" s="78"/>
      <c r="D174" s="78"/>
      <c r="E174" s="78"/>
      <c r="F174" s="78"/>
      <c r="G174" s="78"/>
      <c r="H174" s="78"/>
      <c r="I174" s="78"/>
      <c r="J174" s="78"/>
      <c r="K174" s="78"/>
      <c r="L174" s="78"/>
      <c r="M174" s="78"/>
      <c r="N174" s="78"/>
      <c r="O174" s="78"/>
    </row>
  </sheetData>
  <sheetProtection/>
  <mergeCells count="6">
    <mergeCell ref="B6:E6"/>
    <mergeCell ref="B60:E60"/>
    <mergeCell ref="B114:E114"/>
    <mergeCell ref="F6:I6"/>
    <mergeCell ref="F60:I60"/>
    <mergeCell ref="F114:I114"/>
  </mergeCells>
  <conditionalFormatting sqref="B26:I26">
    <cfRule type="cellIs" priority="3" dxfId="98" operator="notBetween">
      <formula>0.5</formula>
      <formula>-0.5</formula>
    </cfRule>
  </conditionalFormatting>
  <conditionalFormatting sqref="B80:I80">
    <cfRule type="cellIs" priority="2" dxfId="98" operator="notBetween">
      <formula>0.5</formula>
      <formula>-0.5</formula>
    </cfRule>
  </conditionalFormatting>
  <conditionalFormatting sqref="B134:I134">
    <cfRule type="cellIs" priority="1" dxfId="98" operator="notBetween">
      <formula>0.5</formula>
      <formula>-0.5</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N1000"/>
  <sheetViews>
    <sheetView showGridLines="0" zoomScalePageLayoutView="0" workbookViewId="0" topLeftCell="A28">
      <selection activeCell="I1" sqref="I1:I16384"/>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6.5">
      <c r="A1" s="88" t="str">
        <f>HLOOKUP(INDICE!$F$2,Nombres!$C$3:$D$636,18,FALSE)</f>
        <v>Resto de Eurasia</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89"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5">
        <f>+España!B6</f>
        <v>2019</v>
      </c>
      <c r="C6" s="305"/>
      <c r="D6" s="305"/>
      <c r="E6" s="306"/>
      <c r="F6" s="305">
        <f>+España!F6</f>
        <v>2020</v>
      </c>
      <c r="G6" s="305"/>
      <c r="H6" s="305"/>
      <c r="I6" s="305"/>
    </row>
    <row r="7" spans="1:9" ht="14.25">
      <c r="A7" s="38"/>
      <c r="B7" s="90" t="str">
        <f>+España!B7</f>
        <v>1er Trim.</v>
      </c>
      <c r="C7" s="90" t="str">
        <f>+España!C7</f>
        <v>2º Trim.</v>
      </c>
      <c r="D7" s="90" t="str">
        <f>+España!D7</f>
        <v>3er Trim.</v>
      </c>
      <c r="E7" s="91" t="str">
        <f>+España!E7</f>
        <v>4º Trim.</v>
      </c>
      <c r="F7" s="90" t="str">
        <f>+España!F7</f>
        <v>1er Trim.</v>
      </c>
      <c r="G7" s="90" t="str">
        <f>+España!G7</f>
        <v>2º Trim.</v>
      </c>
      <c r="H7" s="90" t="str">
        <f>+España!H7</f>
        <v>3er Trim.</v>
      </c>
      <c r="I7" s="90" t="str">
        <f>+España!I7</f>
        <v>4º Trim.</v>
      </c>
    </row>
    <row r="8" spans="1:14" ht="14.25">
      <c r="A8" s="41" t="str">
        <f>HLOOKUP(INDICE!$F$2,Nombres!$C$3:$D$636,33,FALSE)</f>
        <v>Margen de intereses</v>
      </c>
      <c r="B8" s="41">
        <v>39.57918406</v>
      </c>
      <c r="C8" s="41">
        <v>44.9882463</v>
      </c>
      <c r="D8" s="41">
        <v>45.60174343999999</v>
      </c>
      <c r="E8" s="42">
        <v>44.91625081000001</v>
      </c>
      <c r="F8" s="52">
        <v>47.203846680000005</v>
      </c>
      <c r="G8" s="251">
        <v>55.155310889999996</v>
      </c>
      <c r="H8" s="251">
        <v>56.315971229999995</v>
      </c>
      <c r="I8" s="251">
        <v>0</v>
      </c>
      <c r="J8" s="92"/>
      <c r="K8" s="92"/>
      <c r="L8" s="92"/>
      <c r="M8" s="92"/>
      <c r="N8" s="92"/>
    </row>
    <row r="9" spans="1:9" ht="14.25">
      <c r="A9" s="93" t="str">
        <f>HLOOKUP(INDICE!$F$2,Nombres!$C$3:$D$636,34,FALSE)</f>
        <v>Comisiones netas</v>
      </c>
      <c r="B9" s="44">
        <v>35.876835</v>
      </c>
      <c r="C9" s="44">
        <v>33.22186234</v>
      </c>
      <c r="D9" s="44">
        <v>36.31499767</v>
      </c>
      <c r="E9" s="45">
        <v>33.2488403</v>
      </c>
      <c r="F9" s="44">
        <v>40.498614</v>
      </c>
      <c r="G9" s="44">
        <v>42.14519818000001</v>
      </c>
      <c r="H9" s="44">
        <v>34.13506128</v>
      </c>
      <c r="I9" s="44">
        <v>0</v>
      </c>
    </row>
    <row r="10" spans="1:9" ht="14.25">
      <c r="A10" s="93" t="str">
        <f>HLOOKUP(INDICE!$F$2,Nombres!$C$3:$D$636,35,FALSE)</f>
        <v>Resultados de operaciones financieras</v>
      </c>
      <c r="B10" s="44">
        <v>26.63115649</v>
      </c>
      <c r="C10" s="44">
        <v>33.84339836000001</v>
      </c>
      <c r="D10" s="44">
        <v>33.34076467</v>
      </c>
      <c r="E10" s="45">
        <v>37.09831081</v>
      </c>
      <c r="F10" s="44">
        <v>36.28277784000001</v>
      </c>
      <c r="G10" s="44">
        <v>42.15059312</v>
      </c>
      <c r="H10" s="44">
        <v>26.520276409999994</v>
      </c>
      <c r="I10" s="44">
        <v>0</v>
      </c>
    </row>
    <row r="11" spans="1:9" ht="14.25">
      <c r="A11" s="93" t="str">
        <f>HLOOKUP(INDICE!$F$2,Nombres!$C$3:$D$636,36,FALSE)</f>
        <v>Otros ingresos y cargas de explotación</v>
      </c>
      <c r="B11" s="44">
        <v>1.529802</v>
      </c>
      <c r="C11" s="44">
        <v>4.0104681300000005</v>
      </c>
      <c r="D11" s="44">
        <v>3.32639291</v>
      </c>
      <c r="E11" s="45">
        <v>0.5563993600000005</v>
      </c>
      <c r="F11" s="44">
        <v>2.02233073</v>
      </c>
      <c r="G11" s="44">
        <v>2.6964018800000003</v>
      </c>
      <c r="H11" s="44">
        <v>2.5797829500000002</v>
      </c>
      <c r="I11" s="44">
        <v>0</v>
      </c>
    </row>
    <row r="12" spans="1:9" ht="14.25">
      <c r="A12" s="41" t="str">
        <f>HLOOKUP(INDICE!$F$2,Nombres!$C$3:$D$636,37,FALSE)</f>
        <v>Margen bruto</v>
      </c>
      <c r="B12" s="41">
        <f aca="true" t="shared" si="0" ref="B12:I12">+SUM(B8:B11)</f>
        <v>103.61697755</v>
      </c>
      <c r="C12" s="41">
        <f t="shared" si="0"/>
        <v>116.06397513000002</v>
      </c>
      <c r="D12" s="41">
        <f t="shared" si="0"/>
        <v>118.58389868999998</v>
      </c>
      <c r="E12" s="42">
        <f t="shared" si="0"/>
        <v>115.81980128000001</v>
      </c>
      <c r="F12" s="52">
        <f t="shared" si="0"/>
        <v>126.00756925000002</v>
      </c>
      <c r="G12" s="52">
        <f t="shared" si="0"/>
        <v>142.14750407</v>
      </c>
      <c r="H12" s="52">
        <f t="shared" si="0"/>
        <v>119.55109187</v>
      </c>
      <c r="I12" s="52">
        <f t="shared" si="0"/>
        <v>0</v>
      </c>
    </row>
    <row r="13" spans="1:9" ht="14.25">
      <c r="A13" s="93" t="str">
        <f>HLOOKUP(INDICE!$F$2,Nombres!$C$3:$D$636,38,FALSE)</f>
        <v>Gastos de explotación</v>
      </c>
      <c r="B13" s="44">
        <v>-69.96647811999999</v>
      </c>
      <c r="C13" s="44">
        <v>-71.68611056</v>
      </c>
      <c r="D13" s="44">
        <v>-70.85904589</v>
      </c>
      <c r="E13" s="45">
        <v>-80.94292823</v>
      </c>
      <c r="F13" s="44">
        <v>-72.71792773</v>
      </c>
      <c r="G13" s="44">
        <v>-64.17728631</v>
      </c>
      <c r="H13" s="44">
        <v>-67.02602963</v>
      </c>
      <c r="I13" s="44">
        <v>0</v>
      </c>
    </row>
    <row r="14" spans="1:9" ht="14.25">
      <c r="A14" s="93" t="str">
        <f>HLOOKUP(INDICE!$F$2,Nombres!$C$3:$D$636,39,FALSE)</f>
        <v>  Gastos de administración</v>
      </c>
      <c r="B14" s="44">
        <v>-65.63440412</v>
      </c>
      <c r="C14" s="44">
        <v>-67.47289356</v>
      </c>
      <c r="D14" s="44">
        <v>-66.24645589000001</v>
      </c>
      <c r="E14" s="45">
        <v>-76.01404623</v>
      </c>
      <c r="F14" s="44">
        <v>-68.32727673</v>
      </c>
      <c r="G14" s="44">
        <v>-59.781935309999994</v>
      </c>
      <c r="H14" s="44">
        <v>-62.848702630000005</v>
      </c>
      <c r="I14" s="44">
        <v>0</v>
      </c>
    </row>
    <row r="15" spans="1:9" ht="14.25">
      <c r="A15" s="94" t="str">
        <f>HLOOKUP(INDICE!$F$2,Nombres!$C$3:$D$636,40,FALSE)</f>
        <v>  Gastos de personal</v>
      </c>
      <c r="B15" s="44">
        <v>-33.889839959999996</v>
      </c>
      <c r="C15" s="44">
        <v>-34.97170437</v>
      </c>
      <c r="D15" s="44">
        <v>-34.16666517</v>
      </c>
      <c r="E15" s="45">
        <v>-41.223594999999996</v>
      </c>
      <c r="F15" s="44">
        <v>-36.21685298</v>
      </c>
      <c r="G15" s="44">
        <v>-28.54383499</v>
      </c>
      <c r="H15" s="44">
        <v>-27.258046219999997</v>
      </c>
      <c r="I15" s="44">
        <v>0</v>
      </c>
    </row>
    <row r="16" spans="1:9" ht="14.25">
      <c r="A16" s="94" t="str">
        <f>HLOOKUP(INDICE!$F$2,Nombres!$C$3:$D$636,41,FALSE)</f>
        <v>  Otros gastos de administración</v>
      </c>
      <c r="B16" s="44">
        <v>-31.74456416</v>
      </c>
      <c r="C16" s="44">
        <v>-32.501189190000005</v>
      </c>
      <c r="D16" s="44">
        <v>-32.07979072</v>
      </c>
      <c r="E16" s="45">
        <v>-34.79045123</v>
      </c>
      <c r="F16" s="44">
        <v>-32.110423749999995</v>
      </c>
      <c r="G16" s="44">
        <v>-31.23810032</v>
      </c>
      <c r="H16" s="44">
        <v>-35.59065641</v>
      </c>
      <c r="I16" s="44">
        <v>0</v>
      </c>
    </row>
    <row r="17" spans="1:9" ht="14.25">
      <c r="A17" s="93" t="str">
        <f>HLOOKUP(INDICE!$F$2,Nombres!$C$3:$D$636,42,FALSE)</f>
        <v>  Amortización</v>
      </c>
      <c r="B17" s="44">
        <v>-4.332074</v>
      </c>
      <c r="C17" s="44">
        <v>-4.213217</v>
      </c>
      <c r="D17" s="44">
        <v>-4.612589999999999</v>
      </c>
      <c r="E17" s="45">
        <v>-4.928882000000001</v>
      </c>
      <c r="F17" s="44">
        <v>-4.390651</v>
      </c>
      <c r="G17" s="44">
        <v>-4.395351</v>
      </c>
      <c r="H17" s="44">
        <v>-4.177327</v>
      </c>
      <c r="I17" s="44">
        <v>0</v>
      </c>
    </row>
    <row r="18" spans="1:9" ht="14.25">
      <c r="A18" s="41" t="str">
        <f>HLOOKUP(INDICE!$F$2,Nombres!$C$3:$D$636,43,FALSE)</f>
        <v>Margen neto</v>
      </c>
      <c r="B18" s="41">
        <f aca="true" t="shared" si="1" ref="B18:I18">+B12+B13</f>
        <v>33.65049943000001</v>
      </c>
      <c r="C18" s="41">
        <f t="shared" si="1"/>
        <v>44.377864570000014</v>
      </c>
      <c r="D18" s="41">
        <f t="shared" si="1"/>
        <v>47.72485279999998</v>
      </c>
      <c r="E18" s="42">
        <f t="shared" si="1"/>
        <v>34.87687305</v>
      </c>
      <c r="F18" s="52">
        <f t="shared" si="1"/>
        <v>53.28964152000002</v>
      </c>
      <c r="G18" s="52">
        <f t="shared" si="1"/>
        <v>77.97021776</v>
      </c>
      <c r="H18" s="52">
        <f t="shared" si="1"/>
        <v>52.52506224</v>
      </c>
      <c r="I18" s="52">
        <f t="shared" si="1"/>
        <v>0</v>
      </c>
    </row>
    <row r="19" spans="1:9" ht="14.25">
      <c r="A19" s="93" t="str">
        <f>HLOOKUP(INDICE!$F$2,Nombres!$C$3:$D$636,44,FALSE)</f>
        <v>Deterioro de activos financieros no valorados a valor razonable con cambios en resultados</v>
      </c>
      <c r="B19" s="44">
        <v>-10.270985999999999</v>
      </c>
      <c r="C19" s="44">
        <v>-0.4438110000000046</v>
      </c>
      <c r="D19" s="44">
        <v>4.198899000000001</v>
      </c>
      <c r="E19" s="45">
        <v>2.210967</v>
      </c>
      <c r="F19" s="44">
        <v>6.265050999999996</v>
      </c>
      <c r="G19" s="44">
        <v>-40.60213</v>
      </c>
      <c r="H19" s="44">
        <v>-13.785903000000001</v>
      </c>
      <c r="I19" s="44">
        <v>0</v>
      </c>
    </row>
    <row r="20" spans="1:9" ht="14.25">
      <c r="A20" s="93" t="str">
        <f>HLOOKUP(INDICE!$F$2,Nombres!$C$3:$D$636,45,FALSE)</f>
        <v>Provisiones o reversión de provisiones y otros resultados</v>
      </c>
      <c r="B20" s="44">
        <v>-0.6972750900000001</v>
      </c>
      <c r="C20" s="44">
        <v>2.0569839999999995</v>
      </c>
      <c r="D20" s="44">
        <v>8.524507999999999</v>
      </c>
      <c r="E20" s="45">
        <v>-3.562995999999999</v>
      </c>
      <c r="F20" s="44">
        <v>-0.45167099999999993</v>
      </c>
      <c r="G20" s="44">
        <v>-7.125484999999999</v>
      </c>
      <c r="H20" s="44">
        <v>-0.4879180000000005</v>
      </c>
      <c r="I20" s="44">
        <v>0</v>
      </c>
    </row>
    <row r="21" spans="1:9" ht="14.25">
      <c r="A21" s="95" t="str">
        <f>HLOOKUP(INDICE!$F$2,Nombres!$C$3:$D$636,46,FALSE)</f>
        <v>Resultado antes de impuestos</v>
      </c>
      <c r="B21" s="41">
        <f aca="true" t="shared" si="2" ref="B21:I21">+B18+B19+B20</f>
        <v>22.68223834000001</v>
      </c>
      <c r="C21" s="41">
        <f t="shared" si="2"/>
        <v>45.99103757000001</v>
      </c>
      <c r="D21" s="41">
        <f t="shared" si="2"/>
        <v>60.448259799999974</v>
      </c>
      <c r="E21" s="42">
        <f t="shared" si="2"/>
        <v>33.52484405</v>
      </c>
      <c r="F21" s="52">
        <f t="shared" si="2"/>
        <v>59.10302152000002</v>
      </c>
      <c r="G21" s="52">
        <f t="shared" si="2"/>
        <v>30.242602759999997</v>
      </c>
      <c r="H21" s="52">
        <f t="shared" si="2"/>
        <v>38.25124123999999</v>
      </c>
      <c r="I21" s="52">
        <f t="shared" si="2"/>
        <v>0</v>
      </c>
    </row>
    <row r="22" spans="1:9" ht="14.25">
      <c r="A22" s="43" t="str">
        <f>HLOOKUP(INDICE!$F$2,Nombres!$C$3:$D$636,47,FALSE)</f>
        <v>Impuesto sobre beneficios</v>
      </c>
      <c r="B22" s="44">
        <v>-6.764783450000001</v>
      </c>
      <c r="C22" s="44">
        <v>-6.59365032</v>
      </c>
      <c r="D22" s="44">
        <v>-13.196035639999998</v>
      </c>
      <c r="E22" s="45">
        <v>-9.095834599999998</v>
      </c>
      <c r="F22" s="44">
        <v>-15.27528754</v>
      </c>
      <c r="G22" s="44">
        <v>-7.709948250000002</v>
      </c>
      <c r="H22" s="44">
        <v>-8.132600470000002</v>
      </c>
      <c r="I22" s="44">
        <v>0</v>
      </c>
    </row>
    <row r="23" spans="1:9" ht="14.25">
      <c r="A23" s="95" t="str">
        <f>HLOOKUP(INDICE!$F$2,Nombres!$C$3:$D$636,48,FALSE)</f>
        <v>Resultado del ejercicio</v>
      </c>
      <c r="B23" s="41">
        <f aca="true" t="shared" si="3" ref="B23:I23">+B21+B22</f>
        <v>15.917454890000007</v>
      </c>
      <c r="C23" s="41">
        <f t="shared" si="3"/>
        <v>39.39738725000001</v>
      </c>
      <c r="D23" s="41">
        <f t="shared" si="3"/>
        <v>47.252224159999976</v>
      </c>
      <c r="E23" s="42">
        <f t="shared" si="3"/>
        <v>24.429009450000002</v>
      </c>
      <c r="F23" s="52">
        <f t="shared" si="3"/>
        <v>43.82773398000002</v>
      </c>
      <c r="G23" s="52">
        <f t="shared" si="3"/>
        <v>22.532654509999993</v>
      </c>
      <c r="H23" s="52">
        <f t="shared" si="3"/>
        <v>30.118640769999992</v>
      </c>
      <c r="I23" s="52">
        <f t="shared" si="3"/>
        <v>0</v>
      </c>
    </row>
    <row r="24" spans="1:9" ht="14.25">
      <c r="A24" s="93" t="str">
        <f>HLOOKUP(INDICE!$F$2,Nombres!$C$3:$D$636,49,FALSE)</f>
        <v>Minoritarios</v>
      </c>
      <c r="B24" s="44">
        <v>0</v>
      </c>
      <c r="C24" s="44">
        <v>0</v>
      </c>
      <c r="D24" s="44">
        <v>0</v>
      </c>
      <c r="E24" s="45">
        <v>0</v>
      </c>
      <c r="F24" s="44">
        <v>0</v>
      </c>
      <c r="G24" s="44">
        <v>0</v>
      </c>
      <c r="H24" s="44">
        <v>0</v>
      </c>
      <c r="I24" s="44">
        <v>0</v>
      </c>
    </row>
    <row r="25" spans="1:9" ht="14.25">
      <c r="A25" s="96" t="str">
        <f>HLOOKUP(INDICE!$F$2,Nombres!$C$3:$D$636,50,FALSE)</f>
        <v>Resultado atribuido</v>
      </c>
      <c r="B25" s="47">
        <f aca="true" t="shared" si="4" ref="B25:I25">+B23+B24</f>
        <v>15.917454890000007</v>
      </c>
      <c r="C25" s="47">
        <f t="shared" si="4"/>
        <v>39.39738725000001</v>
      </c>
      <c r="D25" s="47">
        <f t="shared" si="4"/>
        <v>47.252224159999976</v>
      </c>
      <c r="E25" s="47">
        <f t="shared" si="4"/>
        <v>24.429009450000002</v>
      </c>
      <c r="F25" s="53">
        <f t="shared" si="4"/>
        <v>43.82773398000002</v>
      </c>
      <c r="G25" s="53">
        <f t="shared" si="4"/>
        <v>22.532654509999993</v>
      </c>
      <c r="H25" s="53">
        <f t="shared" si="4"/>
        <v>30.118640769999992</v>
      </c>
      <c r="I25" s="53">
        <f t="shared" si="4"/>
        <v>0</v>
      </c>
    </row>
    <row r="26" spans="1:9" ht="14.25">
      <c r="A26" s="97"/>
      <c r="B26" s="66">
        <v>0</v>
      </c>
      <c r="C26" s="66">
        <v>0</v>
      </c>
      <c r="D26" s="66">
        <v>0</v>
      </c>
      <c r="E26" s="66">
        <v>0</v>
      </c>
      <c r="F26" s="66">
        <v>0</v>
      </c>
      <c r="G26" s="66">
        <v>0</v>
      </c>
      <c r="H26" s="66">
        <v>0</v>
      </c>
      <c r="I26" s="66">
        <v>0</v>
      </c>
    </row>
    <row r="27" spans="1:9" ht="14.25">
      <c r="A27" s="41"/>
      <c r="B27" s="41"/>
      <c r="C27" s="41"/>
      <c r="D27" s="41"/>
      <c r="E27" s="41"/>
      <c r="F27" s="41"/>
      <c r="G27" s="41"/>
      <c r="H27" s="41"/>
      <c r="I27" s="41"/>
    </row>
    <row r="28" spans="1:9" ht="16.5">
      <c r="A28" s="98" t="str">
        <f>HLOOKUP(INDICE!$F$2,Nombres!$C$3:$D$636,51,FALSE)</f>
        <v>Balances</v>
      </c>
      <c r="B28" s="34"/>
      <c r="C28" s="34"/>
      <c r="D28" s="34"/>
      <c r="E28" s="34"/>
      <c r="F28" s="34"/>
      <c r="G28" s="34"/>
      <c r="H28" s="34"/>
      <c r="I28" s="34"/>
    </row>
    <row r="29" spans="1:9" ht="14.25">
      <c r="A29" s="89" t="str">
        <f>HLOOKUP(INDICE!$F$2,Nombres!$C$3:$D$636,32,FALSE)</f>
        <v>(Millones de euros)</v>
      </c>
      <c r="B29" s="30"/>
      <c r="C29" s="54"/>
      <c r="D29" s="54"/>
      <c r="E29" s="54"/>
      <c r="F29" s="30"/>
      <c r="G29" s="60"/>
      <c r="H29" s="60"/>
      <c r="I29" s="60"/>
    </row>
    <row r="30" spans="1:9" ht="14.25">
      <c r="A30" s="30"/>
      <c r="B30" s="55">
        <f>+España!B30</f>
        <v>43555</v>
      </c>
      <c r="C30" s="55">
        <f>+España!C30</f>
        <v>43646</v>
      </c>
      <c r="D30" s="55">
        <f>+España!D30</f>
        <v>43738</v>
      </c>
      <c r="E30" s="71">
        <f>+España!E30</f>
        <v>43830</v>
      </c>
      <c r="F30" s="80">
        <f>+España!F30</f>
        <v>43921</v>
      </c>
      <c r="G30" s="80">
        <f>+España!G30</f>
        <v>44012</v>
      </c>
      <c r="H30" s="80">
        <f>+España!H30</f>
        <v>44104</v>
      </c>
      <c r="I30" s="80">
        <f>+España!I30</f>
        <v>44196</v>
      </c>
    </row>
    <row r="31" spans="1:9" ht="14.25">
      <c r="A31" s="93" t="str">
        <f>HLOOKUP(INDICE!$F$2,Nombres!$C$3:$D$636,52,FALSE)</f>
        <v>Efectivo, saldos en efectivo en bancos centrales y otros depósitos a la vista</v>
      </c>
      <c r="B31" s="44">
        <v>211.69367799999878</v>
      </c>
      <c r="C31" s="44">
        <v>216.7411670000005</v>
      </c>
      <c r="D31" s="44">
        <v>228.42340199999816</v>
      </c>
      <c r="E31" s="45">
        <v>247.1589299999984</v>
      </c>
      <c r="F31" s="44">
        <v>287.200254000001</v>
      </c>
      <c r="G31" s="44">
        <v>309.6388510000005</v>
      </c>
      <c r="H31" s="44">
        <v>306.31964000000096</v>
      </c>
      <c r="I31" s="44">
        <v>0</v>
      </c>
    </row>
    <row r="32" spans="1:9" ht="14.25">
      <c r="A32" s="93" t="str">
        <f>HLOOKUP(INDICE!$F$2,Nombres!$C$3:$D$636,53,FALSE)</f>
        <v>Activos financieros a valor razonable</v>
      </c>
      <c r="B32" s="60">
        <v>503.46847339</v>
      </c>
      <c r="C32" s="60">
        <v>510.66065839</v>
      </c>
      <c r="D32" s="60">
        <v>494.38904939</v>
      </c>
      <c r="E32" s="68">
        <v>477.44473238999996</v>
      </c>
      <c r="F32" s="44">
        <v>511.26379639</v>
      </c>
      <c r="G32" s="44">
        <v>499.62559538999994</v>
      </c>
      <c r="H32" s="44">
        <v>473.93879439</v>
      </c>
      <c r="I32" s="44">
        <v>0</v>
      </c>
    </row>
    <row r="33" spans="1:9" ht="14.25">
      <c r="A33" s="43" t="str">
        <f>HLOOKUP(INDICE!$F$2,Nombres!$C$3:$D$636,54,FALSE)</f>
        <v>Activos financieros a coste amortizado</v>
      </c>
      <c r="B33" s="44">
        <v>19529.712714999998</v>
      </c>
      <c r="C33" s="44">
        <v>19154.21951</v>
      </c>
      <c r="D33" s="44">
        <v>20659.762914000003</v>
      </c>
      <c r="E33" s="45">
        <v>22232.936574</v>
      </c>
      <c r="F33" s="44">
        <v>25414.766820000004</v>
      </c>
      <c r="G33" s="44">
        <v>25688.053796999997</v>
      </c>
      <c r="H33" s="44">
        <v>23812.72819</v>
      </c>
      <c r="I33" s="44">
        <v>0</v>
      </c>
    </row>
    <row r="34" spans="1:9" ht="14.25">
      <c r="A34" s="93" t="str">
        <f>HLOOKUP(INDICE!$F$2,Nombres!$C$3:$D$636,55,FALSE)</f>
        <v>    de los que préstamos y anticipos a la clientela</v>
      </c>
      <c r="B34" s="44">
        <v>18267.609501</v>
      </c>
      <c r="C34" s="44">
        <v>17562.301382</v>
      </c>
      <c r="D34" s="44">
        <v>18483.342653</v>
      </c>
      <c r="E34" s="45">
        <v>19669.214689</v>
      </c>
      <c r="F34" s="44">
        <v>22247.746857</v>
      </c>
      <c r="G34" s="44">
        <v>22524.297341</v>
      </c>
      <c r="H34" s="44">
        <v>20937.759955999998</v>
      </c>
      <c r="I34" s="44">
        <v>0</v>
      </c>
    </row>
    <row r="35" spans="1:9" ht="14.25">
      <c r="A35" s="93" t="str">
        <f>HLOOKUP(INDICE!$F$2,Nombres!$C$3:$D$636,121,FALSE)</f>
        <v>Posiciones inter-áreas activo</v>
      </c>
      <c r="B35" s="44">
        <v>0</v>
      </c>
      <c r="C35" s="44">
        <v>0</v>
      </c>
      <c r="D35" s="44">
        <v>0</v>
      </c>
      <c r="E35" s="45">
        <v>0</v>
      </c>
      <c r="F35" s="44">
        <v>0</v>
      </c>
      <c r="G35" s="44">
        <v>0</v>
      </c>
      <c r="H35" s="44">
        <v>0</v>
      </c>
      <c r="I35" s="44">
        <v>0</v>
      </c>
    </row>
    <row r="36" spans="1:9" ht="14.25">
      <c r="A36" s="43" t="str">
        <f>HLOOKUP(INDICE!$F$2,Nombres!$C$3:$D$636,56,FALSE)</f>
        <v>Activos tangibles</v>
      </c>
      <c r="B36" s="44">
        <v>98.953173</v>
      </c>
      <c r="C36" s="44">
        <v>93.929644</v>
      </c>
      <c r="D36" s="44">
        <v>74.043794</v>
      </c>
      <c r="E36" s="45">
        <v>71.58397500000001</v>
      </c>
      <c r="F36" s="44">
        <v>68.530254</v>
      </c>
      <c r="G36" s="44">
        <v>68.871913</v>
      </c>
      <c r="H36" s="44">
        <v>65.841333</v>
      </c>
      <c r="I36" s="44">
        <v>0</v>
      </c>
    </row>
    <row r="37" spans="1:9" ht="14.25">
      <c r="A37" s="93" t="str">
        <f>HLOOKUP(INDICE!$F$2,Nombres!$C$3:$D$636,57,FALSE)</f>
        <v>Otros activos</v>
      </c>
      <c r="B37" s="60">
        <f>+B38-B36-B33-B32-B31-B35</f>
        <v>247.2165470000112</v>
      </c>
      <c r="C37" s="60">
        <f aca="true" t="shared" si="5" ref="C37:I37">+C38-C36-C33-C32-C31</f>
        <v>243.55660399999655</v>
      </c>
      <c r="D37" s="60">
        <f t="shared" si="5"/>
        <v>239.45821500001531</v>
      </c>
      <c r="E37" s="68">
        <f t="shared" si="5"/>
        <v>227.56274000000644</v>
      </c>
      <c r="F37" s="44">
        <f t="shared" si="5"/>
        <v>261.0952779999934</v>
      </c>
      <c r="G37" s="44">
        <f t="shared" si="5"/>
        <v>239.21315300000344</v>
      </c>
      <c r="H37" s="44">
        <f t="shared" si="5"/>
        <v>229.3136389999861</v>
      </c>
      <c r="I37" s="44">
        <f t="shared" si="5"/>
        <v>0</v>
      </c>
    </row>
    <row r="38" spans="1:9" ht="14.25">
      <c r="A38" s="96" t="str">
        <f>HLOOKUP(INDICE!$F$2,Nombres!$C$3:$D$636,58,FALSE)</f>
        <v>Total activo / pasivo</v>
      </c>
      <c r="B38" s="47">
        <v>20591.04458639001</v>
      </c>
      <c r="C38" s="47">
        <v>20219.107583389996</v>
      </c>
      <c r="D38" s="47">
        <v>21696.077374390017</v>
      </c>
      <c r="E38" s="74">
        <v>23256.686951390006</v>
      </c>
      <c r="F38" s="47">
        <v>26542.85640239</v>
      </c>
      <c r="G38" s="47">
        <v>26805.40330939</v>
      </c>
      <c r="H38" s="47">
        <v>24888.14159638999</v>
      </c>
      <c r="I38" s="47">
        <v>0</v>
      </c>
    </row>
    <row r="39" spans="1:9" ht="14.25">
      <c r="A39" s="93" t="str">
        <f>HLOOKUP(INDICE!$F$2,Nombres!$C$3:$D$636,59,FALSE)</f>
        <v>Pasivos financieros mantenidos para negociar y designados a valor razonable con cambios en resultados</v>
      </c>
      <c r="B39" s="60">
        <v>42.199785</v>
      </c>
      <c r="C39" s="60">
        <v>43.001981</v>
      </c>
      <c r="D39" s="60">
        <v>47.32370600000001</v>
      </c>
      <c r="E39" s="68">
        <v>57.16375000000001</v>
      </c>
      <c r="F39" s="44">
        <v>43.971994</v>
      </c>
      <c r="G39" s="44">
        <v>47.285841</v>
      </c>
      <c r="H39" s="44">
        <v>43.346478999999995</v>
      </c>
      <c r="I39" s="44">
        <v>0</v>
      </c>
    </row>
    <row r="40" spans="1:9" ht="14.25">
      <c r="A40" s="93" t="str">
        <f>HLOOKUP(INDICE!$F$2,Nombres!$C$3:$D$636,60,FALSE)</f>
        <v>Depósitos de bancos centrales y entidades de crédito</v>
      </c>
      <c r="B40" s="60">
        <v>928.8195</v>
      </c>
      <c r="C40" s="60">
        <v>878.576317</v>
      </c>
      <c r="D40" s="60">
        <v>918.42498</v>
      </c>
      <c r="E40" s="68">
        <v>1039.0934569999997</v>
      </c>
      <c r="F40" s="44">
        <v>792.358614</v>
      </c>
      <c r="G40" s="44">
        <v>1054.225124</v>
      </c>
      <c r="H40" s="44">
        <v>857.2852610000001</v>
      </c>
      <c r="I40" s="44">
        <v>0</v>
      </c>
    </row>
    <row r="41" spans="1:9" ht="15.75" customHeight="1">
      <c r="A41" s="93" t="str">
        <f>HLOOKUP(INDICE!$F$2,Nombres!$C$3:$D$636,61,FALSE)</f>
        <v>Depósitos de la clientela</v>
      </c>
      <c r="B41" s="60">
        <v>5065.020261</v>
      </c>
      <c r="C41" s="60">
        <v>4294.219848000001</v>
      </c>
      <c r="D41" s="60">
        <v>4366.209577</v>
      </c>
      <c r="E41" s="68">
        <v>4707.759361</v>
      </c>
      <c r="F41" s="44">
        <v>5138.485708</v>
      </c>
      <c r="G41" s="44">
        <v>4567.065479999999</v>
      </c>
      <c r="H41" s="44">
        <v>4597.356644</v>
      </c>
      <c r="I41" s="44">
        <v>0</v>
      </c>
    </row>
    <row r="42" spans="1:9" ht="14.25">
      <c r="A42" s="43" t="str">
        <f>HLOOKUP(INDICE!$F$2,Nombres!$C$3:$D$636,62,FALSE)</f>
        <v>Valores representativos de deuda emitidos</v>
      </c>
      <c r="B42" s="44">
        <v>197.90389208</v>
      </c>
      <c r="C42" s="44">
        <v>986.45385225</v>
      </c>
      <c r="D42" s="44">
        <v>624.23100778</v>
      </c>
      <c r="E42" s="45">
        <v>838.21542917</v>
      </c>
      <c r="F42" s="44">
        <v>806.6545493199998</v>
      </c>
      <c r="G42" s="44">
        <v>380.167706</v>
      </c>
      <c r="H42" s="44">
        <v>371.87017885</v>
      </c>
      <c r="I42" s="44">
        <v>0</v>
      </c>
    </row>
    <row r="43" spans="1:9" ht="14.25">
      <c r="A43" s="93" t="str">
        <f>HLOOKUP(INDICE!$F$2,Nombres!$C$3:$D$636,122,FALSE)</f>
        <v>Posiciones inter-áreas pasivo</v>
      </c>
      <c r="B43" s="44">
        <v>13237.070368430008</v>
      </c>
      <c r="C43" s="44">
        <v>12673.352272770022</v>
      </c>
      <c r="D43" s="44">
        <v>14476.997936229984</v>
      </c>
      <c r="E43" s="45">
        <v>15351.471938330038</v>
      </c>
      <c r="F43" s="44">
        <v>18449.14341836003</v>
      </c>
      <c r="G43" s="44">
        <v>19422.547274630026</v>
      </c>
      <c r="H43" s="44">
        <v>17705.80430152001</v>
      </c>
      <c r="I43" s="44">
        <v>0</v>
      </c>
    </row>
    <row r="44" spans="1:9" ht="14.25">
      <c r="A44" s="43" t="str">
        <f>HLOOKUP(INDICE!$F$2,Nombres!$C$3:$D$636,63,FALSE)</f>
        <v>Otros pasivos</v>
      </c>
      <c r="B44" s="60">
        <f aca="true" t="shared" si="6" ref="B44:I44">+B38-B39-B40-B41-B42-B45-B43</f>
        <v>338.6393288800009</v>
      </c>
      <c r="C44" s="60">
        <f t="shared" si="6"/>
        <v>532.3173613699728</v>
      </c>
      <c r="D44" s="60">
        <f t="shared" si="6"/>
        <v>420.28523412003597</v>
      </c>
      <c r="E44" s="68">
        <f t="shared" si="6"/>
        <v>399.04685262996827</v>
      </c>
      <c r="F44" s="60">
        <f t="shared" si="6"/>
        <v>399.3127587099734</v>
      </c>
      <c r="G44" s="60">
        <f t="shared" si="6"/>
        <v>393.9054137599742</v>
      </c>
      <c r="H44" s="60">
        <f t="shared" si="6"/>
        <v>404.9881200799791</v>
      </c>
      <c r="I44" s="60">
        <f t="shared" si="6"/>
        <v>0</v>
      </c>
    </row>
    <row r="45" spans="1:9" ht="14.25">
      <c r="A45" s="93" t="str">
        <f>HLOOKUP(INDICE!$F$2,Nombres!$C$3:$D$636,64,FALSE)</f>
        <v>Dotación de capital económico</v>
      </c>
      <c r="B45" s="44">
        <v>781.3914510000004</v>
      </c>
      <c r="C45" s="44">
        <v>811.1859509999999</v>
      </c>
      <c r="D45" s="44">
        <v>842.6049332599996</v>
      </c>
      <c r="E45" s="45">
        <v>863.9361632600003</v>
      </c>
      <c r="F45" s="44">
        <v>912.9293600000001</v>
      </c>
      <c r="G45" s="44">
        <v>940.2064700000001</v>
      </c>
      <c r="H45" s="44">
        <v>907.4906119400002</v>
      </c>
      <c r="I45" s="44">
        <v>0</v>
      </c>
    </row>
    <row r="46" spans="1:9" ht="14.25">
      <c r="A46" s="65"/>
      <c r="B46" s="60"/>
      <c r="C46" s="60"/>
      <c r="D46" s="60"/>
      <c r="E46" s="60"/>
      <c r="F46" s="44"/>
      <c r="G46" s="44"/>
      <c r="H46" s="44"/>
      <c r="I46" s="44"/>
    </row>
    <row r="47" spans="1:9" ht="14.25">
      <c r="A47" s="43"/>
      <c r="B47" s="60"/>
      <c r="C47" s="60"/>
      <c r="D47" s="60"/>
      <c r="E47" s="60"/>
      <c r="F47" s="44"/>
      <c r="G47" s="44"/>
      <c r="H47" s="44"/>
      <c r="I47" s="44"/>
    </row>
    <row r="48" spans="1:9" ht="16.5">
      <c r="A48" s="98" t="str">
        <f>HLOOKUP(INDICE!$F$2,Nombres!$C$3:$D$636,65,FALSE)</f>
        <v>Indicadores relevantes y de gestión</v>
      </c>
      <c r="B48" s="34"/>
      <c r="C48" s="34"/>
      <c r="D48" s="34"/>
      <c r="E48" s="34"/>
      <c r="F48" s="72"/>
      <c r="G48" s="72"/>
      <c r="H48" s="72"/>
      <c r="I48" s="72"/>
    </row>
    <row r="49" spans="1:9" ht="14.25">
      <c r="A49" s="89" t="str">
        <f>HLOOKUP(INDICE!$F$2,Nombres!$C$3:$D$636,32,FALSE)</f>
        <v>(Millones de euros)</v>
      </c>
      <c r="B49" s="30"/>
      <c r="C49" s="30"/>
      <c r="D49" s="30"/>
      <c r="E49" s="30"/>
      <c r="F49" s="73"/>
      <c r="G49" s="44"/>
      <c r="H49" s="44"/>
      <c r="I49" s="44"/>
    </row>
    <row r="50" spans="1:9" ht="14.25">
      <c r="A50" s="30"/>
      <c r="B50" s="55">
        <f aca="true" t="shared" si="7" ref="B50:I50">+B$30</f>
        <v>43555</v>
      </c>
      <c r="C50" s="55">
        <f t="shared" si="7"/>
        <v>43646</v>
      </c>
      <c r="D50" s="55">
        <f t="shared" si="7"/>
        <v>43738</v>
      </c>
      <c r="E50" s="71">
        <f t="shared" si="7"/>
        <v>43830</v>
      </c>
      <c r="F50" s="55">
        <f t="shared" si="7"/>
        <v>43921</v>
      </c>
      <c r="G50" s="55">
        <f t="shared" si="7"/>
        <v>44012</v>
      </c>
      <c r="H50" s="55">
        <f t="shared" si="7"/>
        <v>44104</v>
      </c>
      <c r="I50" s="55">
        <f t="shared" si="7"/>
        <v>44196</v>
      </c>
    </row>
    <row r="51" spans="1:9" ht="14.25">
      <c r="A51" s="93" t="str">
        <f>HLOOKUP(INDICE!$F$2,Nombres!$C$3:$D$636,66,FALSE)</f>
        <v>Préstamos y anticipos a la clientela bruto (*)</v>
      </c>
      <c r="B51" s="44">
        <v>18611.795617</v>
      </c>
      <c r="C51" s="44">
        <v>17899.348239</v>
      </c>
      <c r="D51" s="44">
        <v>18820.104681</v>
      </c>
      <c r="E51" s="45">
        <v>19995.719675</v>
      </c>
      <c r="F51" s="44">
        <v>22567.237848</v>
      </c>
      <c r="G51" s="44">
        <v>22827.311267</v>
      </c>
      <c r="H51" s="44">
        <v>21247.788383</v>
      </c>
      <c r="I51" s="44">
        <v>0</v>
      </c>
    </row>
    <row r="52" spans="1:9" ht="14.25">
      <c r="A52" s="93" t="str">
        <f>HLOOKUP(INDICE!$F$2,Nombres!$C$3:$D$636,67,FALSE)</f>
        <v>Depósitos de clientes en gestión (**)</v>
      </c>
      <c r="B52" s="44">
        <v>5065.020261</v>
      </c>
      <c r="C52" s="44">
        <v>4294.219848000001</v>
      </c>
      <c r="D52" s="44">
        <v>4366.2095770000005</v>
      </c>
      <c r="E52" s="45">
        <v>4707.759361</v>
      </c>
      <c r="F52" s="44">
        <v>5138.485708</v>
      </c>
      <c r="G52" s="44">
        <v>4567.065479999999</v>
      </c>
      <c r="H52" s="44">
        <v>4597.356644</v>
      </c>
      <c r="I52" s="44">
        <v>0</v>
      </c>
    </row>
    <row r="53" spans="1:9" ht="14.25">
      <c r="A53" s="43" t="str">
        <f>HLOOKUP(INDICE!$F$2,Nombres!$C$3:$D$636,68,FALSE)</f>
        <v>Fondos de inversión</v>
      </c>
      <c r="B53" s="44">
        <v>0.013545</v>
      </c>
      <c r="C53" s="44">
        <v>0.013555</v>
      </c>
      <c r="D53" s="44">
        <v>0.013544</v>
      </c>
      <c r="E53" s="45">
        <v>0.013511</v>
      </c>
      <c r="F53" s="44">
        <v>0</v>
      </c>
      <c r="G53" s="44">
        <v>0</v>
      </c>
      <c r="H53" s="44">
        <v>0</v>
      </c>
      <c r="I53" s="44">
        <v>0</v>
      </c>
    </row>
    <row r="54" spans="1:9" ht="14.25">
      <c r="A54" s="93" t="str">
        <f>HLOOKUP(INDICE!$F$2,Nombres!$C$3:$D$636,69,FALSE)</f>
        <v>Fondos de pensiones</v>
      </c>
      <c r="B54" s="44">
        <v>407.12046328</v>
      </c>
      <c r="C54" s="44">
        <v>454.48082914</v>
      </c>
      <c r="D54" s="44">
        <v>496.67020717</v>
      </c>
      <c r="E54" s="45">
        <v>500.43861838</v>
      </c>
      <c r="F54" s="44">
        <v>494.78505432</v>
      </c>
      <c r="G54" s="44">
        <v>517.96026945</v>
      </c>
      <c r="H54" s="44">
        <v>529.31975174</v>
      </c>
      <c r="I54" s="44">
        <v>0</v>
      </c>
    </row>
    <row r="55" spans="1:9" ht="14.25">
      <c r="A55" s="93" t="str">
        <f>HLOOKUP(INDICE!$F$2,Nombres!$C$3:$D$636,70,FALSE)</f>
        <v>Otros recursos fuera de balance</v>
      </c>
      <c r="B55" s="44">
        <v>0</v>
      </c>
      <c r="C55" s="44">
        <v>0</v>
      </c>
      <c r="D55" s="44">
        <v>0</v>
      </c>
      <c r="E55" s="45">
        <v>0</v>
      </c>
      <c r="F55" s="44">
        <v>0</v>
      </c>
      <c r="G55" s="44">
        <v>0</v>
      </c>
      <c r="H55" s="44">
        <v>0</v>
      </c>
      <c r="I55" s="44">
        <v>0</v>
      </c>
    </row>
    <row r="56" spans="1:9" ht="14.25">
      <c r="A56" s="97" t="str">
        <f>HLOOKUP(INDICE!$F$2,Nombres!$C$3:$D$636,71,FALSE)</f>
        <v>(*) No incluye las adquisiciones temporales de activos.</v>
      </c>
      <c r="B56" s="60"/>
      <c r="C56" s="60"/>
      <c r="D56" s="60"/>
      <c r="E56" s="60"/>
      <c r="F56" s="44"/>
      <c r="G56" s="44"/>
      <c r="H56" s="44"/>
      <c r="I56" s="44"/>
    </row>
    <row r="57" spans="1:9" ht="14.25">
      <c r="A57" s="97" t="str">
        <f>HLOOKUP(INDICE!$F$2,Nombres!$C$3:$D$636,72,FALSE)</f>
        <v>(**) No incluye las cesiones temporales de activos.</v>
      </c>
      <c r="B57" s="30"/>
      <c r="C57" s="30"/>
      <c r="D57" s="30"/>
      <c r="E57" s="30"/>
      <c r="F57" s="73"/>
      <c r="G57" s="73"/>
      <c r="H57" s="73"/>
      <c r="I57" s="73"/>
    </row>
    <row r="58" spans="1:9" ht="14.25">
      <c r="A58" s="65"/>
      <c r="B58" s="30"/>
      <c r="C58" s="30"/>
      <c r="D58" s="30"/>
      <c r="E58" s="30"/>
      <c r="F58" s="73"/>
      <c r="G58" s="73"/>
      <c r="H58" s="73"/>
      <c r="I58" s="73"/>
    </row>
    <row r="59" spans="1:9" ht="16.5">
      <c r="A59" s="98" t="str">
        <f>HLOOKUP(INDICE!$F$2,Nombres!$C$3:$D$636,31,FALSE)</f>
        <v>Cuenta de resultados  </v>
      </c>
      <c r="B59" s="34"/>
      <c r="C59" s="34"/>
      <c r="D59" s="34"/>
      <c r="E59" s="34"/>
      <c r="F59" s="72"/>
      <c r="G59" s="72"/>
      <c r="H59" s="72"/>
      <c r="I59" s="72"/>
    </row>
    <row r="60" spans="1:9" ht="14.25">
      <c r="A60" s="89" t="str">
        <f>HLOOKUP(INDICE!$F$2,Nombres!$C$3:$D$636,73,FALSE)</f>
        <v>(Millones de euros constantes)</v>
      </c>
      <c r="B60" s="30"/>
      <c r="C60" s="36"/>
      <c r="D60" s="36"/>
      <c r="E60" s="36"/>
      <c r="F60" s="73"/>
      <c r="G60" s="73"/>
      <c r="H60" s="73"/>
      <c r="I60" s="73"/>
    </row>
    <row r="61" spans="1:9" ht="14.25">
      <c r="A61" s="37"/>
      <c r="B61" s="30"/>
      <c r="C61" s="36"/>
      <c r="D61" s="36"/>
      <c r="E61" s="36"/>
      <c r="F61" s="30"/>
      <c r="G61" s="30"/>
      <c r="H61" s="30"/>
      <c r="I61" s="30"/>
    </row>
    <row r="62" spans="1:9" ht="14.25">
      <c r="A62" s="38"/>
      <c r="B62" s="305">
        <f>+B$6</f>
        <v>2019</v>
      </c>
      <c r="C62" s="305"/>
      <c r="D62" s="305"/>
      <c r="E62" s="306"/>
      <c r="F62" s="305">
        <f>+F$6</f>
        <v>2020</v>
      </c>
      <c r="G62" s="305"/>
      <c r="H62" s="305"/>
      <c r="I62" s="305"/>
    </row>
    <row r="63" spans="1:9" ht="14.25">
      <c r="A63" s="38"/>
      <c r="B63" s="90" t="str">
        <f aca="true" t="shared" si="8" ref="B63:I63">+B$7</f>
        <v>1er Trim.</v>
      </c>
      <c r="C63" s="90" t="str">
        <f t="shared" si="8"/>
        <v>2º Trim.</v>
      </c>
      <c r="D63" s="90" t="str">
        <f t="shared" si="8"/>
        <v>3er Trim.</v>
      </c>
      <c r="E63" s="91" t="str">
        <f t="shared" si="8"/>
        <v>4º Trim.</v>
      </c>
      <c r="F63" s="90" t="str">
        <f t="shared" si="8"/>
        <v>1er Trim.</v>
      </c>
      <c r="G63" s="90" t="str">
        <f t="shared" si="8"/>
        <v>2º Trim.</v>
      </c>
      <c r="H63" s="90" t="str">
        <f t="shared" si="8"/>
        <v>3er Trim.</v>
      </c>
      <c r="I63" s="90" t="str">
        <f t="shared" si="8"/>
        <v>4º Trim.</v>
      </c>
    </row>
    <row r="64" spans="1:9" ht="14.25">
      <c r="A64" s="41" t="str">
        <f>HLOOKUP(INDICE!$F$2,Nombres!$C$3:$D$636,33,FALSE)</f>
        <v>Margen de intereses</v>
      </c>
      <c r="B64" s="41">
        <v>39.75217826556237</v>
      </c>
      <c r="C64" s="41">
        <v>45.123179428991186</v>
      </c>
      <c r="D64" s="41">
        <v>45.69782602866051</v>
      </c>
      <c r="E64" s="42">
        <v>44.97665989094254</v>
      </c>
      <c r="F64" s="52">
        <v>47.200633484586554</v>
      </c>
      <c r="G64" s="52">
        <v>55.13622347726916</v>
      </c>
      <c r="H64" s="52">
        <v>56.33827183814428</v>
      </c>
      <c r="I64" s="52">
        <v>0</v>
      </c>
    </row>
    <row r="65" spans="1:9" ht="14.25">
      <c r="A65" s="93" t="str">
        <f>HLOOKUP(INDICE!$F$2,Nombres!$C$3:$D$636,34,FALSE)</f>
        <v>Comisiones netas</v>
      </c>
      <c r="B65" s="44">
        <v>36.306181927762665</v>
      </c>
      <c r="C65" s="44">
        <v>33.64416412834421</v>
      </c>
      <c r="D65" s="44">
        <v>36.498130961777214</v>
      </c>
      <c r="E65" s="45">
        <v>33.44480749393253</v>
      </c>
      <c r="F65" s="44">
        <v>40.49009361677611</v>
      </c>
      <c r="G65" s="44">
        <v>42.09777677273749</v>
      </c>
      <c r="H65" s="44">
        <v>34.1910030704864</v>
      </c>
      <c r="I65" s="44">
        <v>0</v>
      </c>
    </row>
    <row r="66" spans="1:9" ht="14.25">
      <c r="A66" s="93" t="str">
        <f>HLOOKUP(INDICE!$F$2,Nombres!$C$3:$D$636,35,FALSE)</f>
        <v>Resultados de operaciones financieras</v>
      </c>
      <c r="B66" s="44">
        <v>26.637861260537655</v>
      </c>
      <c r="C66" s="44">
        <v>33.84073395699154</v>
      </c>
      <c r="D66" s="44">
        <v>33.3495318506405</v>
      </c>
      <c r="E66" s="45">
        <v>37.11162743402792</v>
      </c>
      <c r="F66" s="44">
        <v>36.282518519734204</v>
      </c>
      <c r="G66" s="44">
        <v>42.14754993663186</v>
      </c>
      <c r="H66" s="44">
        <v>26.523578913633933</v>
      </c>
      <c r="I66" s="44">
        <v>0</v>
      </c>
    </row>
    <row r="67" spans="1:9" ht="14.25">
      <c r="A67" s="93" t="str">
        <f>HLOOKUP(INDICE!$F$2,Nombres!$C$3:$D$636,36,FALSE)</f>
        <v>Otros ingresos y cargas de explotación</v>
      </c>
      <c r="B67" s="44">
        <v>1.5321577301889062</v>
      </c>
      <c r="C67" s="44">
        <v>4.009843985895033</v>
      </c>
      <c r="D67" s="44">
        <v>3.326068746791851</v>
      </c>
      <c r="E67" s="45">
        <v>0.5559517709269974</v>
      </c>
      <c r="F67" s="44">
        <v>2.022339537103367</v>
      </c>
      <c r="G67" s="44">
        <v>2.696606721706285</v>
      </c>
      <c r="H67" s="44">
        <v>2.579569301190348</v>
      </c>
      <c r="I67" s="44">
        <v>0</v>
      </c>
    </row>
    <row r="68" spans="1:9" ht="14.25">
      <c r="A68" s="41" t="str">
        <f>HLOOKUP(INDICE!$F$2,Nombres!$C$3:$D$636,37,FALSE)</f>
        <v>Margen bruto</v>
      </c>
      <c r="B68" s="41">
        <f aca="true" t="shared" si="9" ref="B68:I68">+SUM(B64:B67)</f>
        <v>104.22837918405158</v>
      </c>
      <c r="C68" s="41">
        <f t="shared" si="9"/>
        <v>116.61792150022197</v>
      </c>
      <c r="D68" s="41">
        <f t="shared" si="9"/>
        <v>118.87155758787007</v>
      </c>
      <c r="E68" s="42">
        <f t="shared" si="9"/>
        <v>116.08904658982999</v>
      </c>
      <c r="F68" s="52">
        <f t="shared" si="9"/>
        <v>125.99558515820021</v>
      </c>
      <c r="G68" s="52">
        <f t="shared" si="9"/>
        <v>142.0781569083448</v>
      </c>
      <c r="H68" s="52">
        <f t="shared" si="9"/>
        <v>119.63242312345496</v>
      </c>
      <c r="I68" s="52">
        <f t="shared" si="9"/>
        <v>0</v>
      </c>
    </row>
    <row r="69" spans="1:9" ht="14.25">
      <c r="A69" s="93" t="str">
        <f>HLOOKUP(INDICE!$F$2,Nombres!$C$3:$D$636,38,FALSE)</f>
        <v>Gastos de explotación</v>
      </c>
      <c r="B69" s="44">
        <v>-70.44982563209297</v>
      </c>
      <c r="C69" s="44">
        <v>-72.17545267079205</v>
      </c>
      <c r="D69" s="44">
        <v>-71.07829185408346</v>
      </c>
      <c r="E69" s="45">
        <v>-81.23700970688014</v>
      </c>
      <c r="F69" s="44">
        <v>-72.70998176562902</v>
      </c>
      <c r="G69" s="44">
        <v>-64.12357105520566</v>
      </c>
      <c r="H69" s="44">
        <v>-67.08769084916531</v>
      </c>
      <c r="I69" s="44">
        <v>0</v>
      </c>
    </row>
    <row r="70" spans="1:9" ht="14.25">
      <c r="A70" s="93" t="str">
        <f>HLOOKUP(INDICE!$F$2,Nombres!$C$3:$D$636,39,FALSE)</f>
        <v>  Gastos de administración</v>
      </c>
      <c r="B70" s="44">
        <v>-66.068643718155</v>
      </c>
      <c r="C70" s="44">
        <v>-67.91818425341407</v>
      </c>
      <c r="D70" s="44">
        <v>-66.44443770559761</v>
      </c>
      <c r="E70" s="45">
        <v>-76.28625478668606</v>
      </c>
      <c r="F70" s="44">
        <v>-68.32010481215826</v>
      </c>
      <c r="G70" s="44">
        <v>-59.73312761854665</v>
      </c>
      <c r="H70" s="44">
        <v>-62.90468223929507</v>
      </c>
      <c r="I70" s="44">
        <v>0</v>
      </c>
    </row>
    <row r="71" spans="1:9" ht="14.25">
      <c r="A71" s="94" t="str">
        <f>HLOOKUP(INDICE!$F$2,Nombres!$C$3:$D$636,40,FALSE)</f>
        <v>  Gastos de personal</v>
      </c>
      <c r="B71" s="44">
        <v>-34.19040697076913</v>
      </c>
      <c r="C71" s="44">
        <v>-35.30299312126044</v>
      </c>
      <c r="D71" s="44">
        <v>-34.31358339924149</v>
      </c>
      <c r="E71" s="45">
        <v>-41.43311597036488</v>
      </c>
      <c r="F71" s="44">
        <v>-36.21191415214528</v>
      </c>
      <c r="G71" s="44">
        <v>-28.507782215731666</v>
      </c>
      <c r="H71" s="44">
        <v>-27.299037822123047</v>
      </c>
      <c r="I71" s="44">
        <v>0</v>
      </c>
    </row>
    <row r="72" spans="1:9" ht="14.25">
      <c r="A72" s="94" t="str">
        <f>HLOOKUP(INDICE!$F$2,Nombres!$C$3:$D$636,41,FALSE)</f>
        <v>  Otros gastos de administración</v>
      </c>
      <c r="B72" s="44">
        <v>-31.87823674738587</v>
      </c>
      <c r="C72" s="44">
        <v>-32.615191132153626</v>
      </c>
      <c r="D72" s="44">
        <v>-32.13085430635611</v>
      </c>
      <c r="E72" s="45">
        <v>-34.85313881632118</v>
      </c>
      <c r="F72" s="44">
        <v>-32.10819066001299</v>
      </c>
      <c r="G72" s="44">
        <v>-31.225345402814987</v>
      </c>
      <c r="H72" s="44">
        <v>-35.60564441717202</v>
      </c>
      <c r="I72" s="44">
        <v>0</v>
      </c>
    </row>
    <row r="73" spans="1:9" ht="14.25">
      <c r="A73" s="93" t="str">
        <f>HLOOKUP(INDICE!$F$2,Nombres!$C$3:$D$636,42,FALSE)</f>
        <v>  Amortización</v>
      </c>
      <c r="B73" s="44">
        <v>-4.381181913937963</v>
      </c>
      <c r="C73" s="44">
        <v>-4.257268417377989</v>
      </c>
      <c r="D73" s="44">
        <v>-4.633854148485861</v>
      </c>
      <c r="E73" s="45">
        <v>-4.95075492019409</v>
      </c>
      <c r="F73" s="44">
        <v>-4.389876953470759</v>
      </c>
      <c r="G73" s="44">
        <v>-4.390443436659006</v>
      </c>
      <c r="H73" s="44">
        <v>-4.183008609870235</v>
      </c>
      <c r="I73" s="44">
        <v>0</v>
      </c>
    </row>
    <row r="74" spans="1:9" ht="14.25">
      <c r="A74" s="41" t="str">
        <f>HLOOKUP(INDICE!$F$2,Nombres!$C$3:$D$636,43,FALSE)</f>
        <v>Margen neto</v>
      </c>
      <c r="B74" s="41">
        <f aca="true" t="shared" si="10" ref="B74:I74">+B68+B69</f>
        <v>33.77855355195861</v>
      </c>
      <c r="C74" s="41">
        <f t="shared" si="10"/>
        <v>44.44246882942991</v>
      </c>
      <c r="D74" s="41">
        <f t="shared" si="10"/>
        <v>47.79326573378661</v>
      </c>
      <c r="E74" s="42">
        <f t="shared" si="10"/>
        <v>34.85203688294985</v>
      </c>
      <c r="F74" s="52">
        <f t="shared" si="10"/>
        <v>53.28560339257119</v>
      </c>
      <c r="G74" s="52">
        <f t="shared" si="10"/>
        <v>77.95458585313914</v>
      </c>
      <c r="H74" s="52">
        <f t="shared" si="10"/>
        <v>52.54473227428964</v>
      </c>
      <c r="I74" s="52">
        <f t="shared" si="10"/>
        <v>0</v>
      </c>
    </row>
    <row r="75" spans="1:9" ht="14.25">
      <c r="A75" s="93" t="str">
        <f>HLOOKUP(INDICE!$F$2,Nombres!$C$3:$D$636,44,FALSE)</f>
        <v>Deterioro de activos financieros no valorados a valor razonable con cambios en resultados</v>
      </c>
      <c r="B75" s="44">
        <v>-10.27134842002906</v>
      </c>
      <c r="C75" s="44">
        <v>-0.4424096283205783</v>
      </c>
      <c r="D75" s="44">
        <v>4.198329189308234</v>
      </c>
      <c r="E75" s="45">
        <v>2.211165569512908</v>
      </c>
      <c r="F75" s="44">
        <v>6.265059807103363</v>
      </c>
      <c r="G75" s="44">
        <v>-40.602062762611794</v>
      </c>
      <c r="H75" s="44">
        <v>-13.785979044491572</v>
      </c>
      <c r="I75" s="44">
        <v>0</v>
      </c>
    </row>
    <row r="76" spans="1:9" ht="14.25">
      <c r="A76" s="93" t="str">
        <f>HLOOKUP(INDICE!$F$2,Nombres!$C$3:$D$636,45,FALSE)</f>
        <v>Provisiones o reversión de provisiones y otros resultados</v>
      </c>
      <c r="B76" s="44">
        <v>-0.6972750900000001</v>
      </c>
      <c r="C76" s="44">
        <v>2.0569839999999995</v>
      </c>
      <c r="D76" s="44">
        <v>8.524554914095859</v>
      </c>
      <c r="E76" s="45">
        <v>-3.5678838150142678</v>
      </c>
      <c r="F76" s="44">
        <v>-0.45167099999999993</v>
      </c>
      <c r="G76" s="44">
        <v>-7.125484999999999</v>
      </c>
      <c r="H76" s="44">
        <v>-0.4879180000000005</v>
      </c>
      <c r="I76" s="44">
        <v>0</v>
      </c>
    </row>
    <row r="77" spans="1:9" ht="14.25">
      <c r="A77" s="95" t="str">
        <f>HLOOKUP(INDICE!$F$2,Nombres!$C$3:$D$636,46,FALSE)</f>
        <v>Resultado antes de impuestos</v>
      </c>
      <c r="B77" s="41">
        <f aca="true" t="shared" si="11" ref="B77:I77">+B74+B75+B76</f>
        <v>22.809930041929547</v>
      </c>
      <c r="C77" s="41">
        <f t="shared" si="11"/>
        <v>46.05704320110934</v>
      </c>
      <c r="D77" s="41">
        <f t="shared" si="11"/>
        <v>60.5161498371907</v>
      </c>
      <c r="E77" s="42">
        <f t="shared" si="11"/>
        <v>33.495318637448484</v>
      </c>
      <c r="F77" s="52">
        <f t="shared" si="11"/>
        <v>59.098992199674555</v>
      </c>
      <c r="G77" s="52">
        <f t="shared" si="11"/>
        <v>30.227038090527344</v>
      </c>
      <c r="H77" s="52">
        <f t="shared" si="11"/>
        <v>38.270835229798074</v>
      </c>
      <c r="I77" s="52">
        <f t="shared" si="11"/>
        <v>0</v>
      </c>
    </row>
    <row r="78" spans="1:9" ht="14.25">
      <c r="A78" s="43" t="str">
        <f>HLOOKUP(INDICE!$F$2,Nombres!$C$3:$D$636,47,FALSE)</f>
        <v>Impuesto sobre beneficios</v>
      </c>
      <c r="B78" s="44">
        <v>-6.794876106163964</v>
      </c>
      <c r="C78" s="44">
        <v>-6.578878355980601</v>
      </c>
      <c r="D78" s="44">
        <v>-13.208361395458818</v>
      </c>
      <c r="E78" s="45">
        <v>-9.08985564347781</v>
      </c>
      <c r="F78" s="44">
        <v>-15.274355384808706</v>
      </c>
      <c r="G78" s="44">
        <v>-7.70650489201808</v>
      </c>
      <c r="H78" s="44">
        <v>-8.136975983173219</v>
      </c>
      <c r="I78" s="44">
        <v>0</v>
      </c>
    </row>
    <row r="79" spans="1:9" ht="14.25">
      <c r="A79" s="95" t="str">
        <f>HLOOKUP(INDICE!$F$2,Nombres!$C$3:$D$636,48,FALSE)</f>
        <v>Resultado del ejercicio</v>
      </c>
      <c r="B79" s="41">
        <f aca="true" t="shared" si="12" ref="B79:I79">+B77+B78</f>
        <v>16.015053935765582</v>
      </c>
      <c r="C79" s="41">
        <f t="shared" si="12"/>
        <v>39.47816484512874</v>
      </c>
      <c r="D79" s="41">
        <f t="shared" si="12"/>
        <v>47.30778844173189</v>
      </c>
      <c r="E79" s="42">
        <f t="shared" si="12"/>
        <v>24.405462993970673</v>
      </c>
      <c r="F79" s="52">
        <f t="shared" si="12"/>
        <v>43.82463681486585</v>
      </c>
      <c r="G79" s="52">
        <f t="shared" si="12"/>
        <v>22.520533198509263</v>
      </c>
      <c r="H79" s="52">
        <f t="shared" si="12"/>
        <v>30.133859246624855</v>
      </c>
      <c r="I79" s="52">
        <f t="shared" si="12"/>
        <v>0</v>
      </c>
    </row>
    <row r="80" spans="1:9" ht="14.25">
      <c r="A80" s="93" t="str">
        <f>HLOOKUP(INDICE!$F$2,Nombres!$C$3:$D$636,49,FALSE)</f>
        <v>Minoritarios</v>
      </c>
      <c r="B80" s="44">
        <v>0</v>
      </c>
      <c r="C80" s="44">
        <v>0</v>
      </c>
      <c r="D80" s="44">
        <v>0</v>
      </c>
      <c r="E80" s="45">
        <v>0</v>
      </c>
      <c r="F80" s="44">
        <v>0</v>
      </c>
      <c r="G80" s="44">
        <v>0</v>
      </c>
      <c r="H80" s="44">
        <v>0</v>
      </c>
      <c r="I80" s="44">
        <v>0</v>
      </c>
    </row>
    <row r="81" spans="1:9" ht="14.25">
      <c r="A81" s="96" t="str">
        <f>HLOOKUP(INDICE!$F$2,Nombres!$C$3:$D$636,50,FALSE)</f>
        <v>Resultado atribuido</v>
      </c>
      <c r="B81" s="47">
        <f aca="true" t="shared" si="13" ref="B81:I81">+B79+B80</f>
        <v>16.015053935765582</v>
      </c>
      <c r="C81" s="47">
        <f t="shared" si="13"/>
        <v>39.47816484512874</v>
      </c>
      <c r="D81" s="47">
        <f t="shared" si="13"/>
        <v>47.30778844173189</v>
      </c>
      <c r="E81" s="47">
        <f t="shared" si="13"/>
        <v>24.405462993970673</v>
      </c>
      <c r="F81" s="53">
        <f t="shared" si="13"/>
        <v>43.82463681486585</v>
      </c>
      <c r="G81" s="53">
        <f t="shared" si="13"/>
        <v>22.520533198509263</v>
      </c>
      <c r="H81" s="53">
        <f t="shared" si="13"/>
        <v>30.133859246624855</v>
      </c>
      <c r="I81" s="53">
        <f t="shared" si="13"/>
        <v>0</v>
      </c>
    </row>
    <row r="82" spans="1:9" ht="14.25">
      <c r="A82" s="97" t="s">
        <v>5</v>
      </c>
      <c r="B82" s="66">
        <v>0</v>
      </c>
      <c r="C82" s="66">
        <v>0</v>
      </c>
      <c r="D82" s="66">
        <v>0</v>
      </c>
      <c r="E82" s="66">
        <v>0</v>
      </c>
      <c r="F82" s="66">
        <v>0</v>
      </c>
      <c r="G82" s="66">
        <v>0</v>
      </c>
      <c r="H82" s="66">
        <v>0</v>
      </c>
      <c r="I82" s="66">
        <v>0</v>
      </c>
    </row>
    <row r="83" spans="1:9" ht="14.25">
      <c r="A83" s="41"/>
      <c r="B83" s="41"/>
      <c r="C83" s="41"/>
      <c r="D83" s="41"/>
      <c r="E83" s="41"/>
      <c r="F83" s="52"/>
      <c r="G83" s="52"/>
      <c r="H83" s="52"/>
      <c r="I83" s="52"/>
    </row>
    <row r="84" spans="1:9" ht="16.5">
      <c r="A84" s="98" t="str">
        <f>HLOOKUP(INDICE!$F$2,Nombres!$C$3:$D$636,51,FALSE)</f>
        <v>Balances</v>
      </c>
      <c r="B84" s="34"/>
      <c r="C84" s="34"/>
      <c r="D84" s="34"/>
      <c r="E84" s="34"/>
      <c r="F84" s="72"/>
      <c r="G84" s="72"/>
      <c r="H84" s="72"/>
      <c r="I84" s="72"/>
    </row>
    <row r="85" spans="1:9" ht="14.25">
      <c r="A85" s="89" t="str">
        <f>HLOOKUP(INDICE!$F$2,Nombres!$C$3:$D$636,73,FALSE)</f>
        <v>(Millones de euros constantes)</v>
      </c>
      <c r="B85" s="30"/>
      <c r="C85" s="54"/>
      <c r="D85" s="54"/>
      <c r="E85" s="54"/>
      <c r="F85" s="73"/>
      <c r="G85" s="44"/>
      <c r="H85" s="44"/>
      <c r="I85" s="44"/>
    </row>
    <row r="86" spans="1:9" ht="14.25">
      <c r="A86" s="30"/>
      <c r="B86" s="55">
        <f aca="true" t="shared" si="14" ref="B86:I86">+B$30</f>
        <v>43555</v>
      </c>
      <c r="C86" s="55">
        <f t="shared" si="14"/>
        <v>43646</v>
      </c>
      <c r="D86" s="55">
        <f t="shared" si="14"/>
        <v>43738</v>
      </c>
      <c r="E86" s="71">
        <f t="shared" si="14"/>
        <v>43830</v>
      </c>
      <c r="F86" s="55">
        <f t="shared" si="14"/>
        <v>43921</v>
      </c>
      <c r="G86" s="55">
        <f t="shared" si="14"/>
        <v>44012</v>
      </c>
      <c r="H86" s="55">
        <f t="shared" si="14"/>
        <v>44104</v>
      </c>
      <c r="I86" s="55">
        <f t="shared" si="14"/>
        <v>44196</v>
      </c>
    </row>
    <row r="87" spans="1:9" ht="14.25">
      <c r="A87" s="93" t="str">
        <f>HLOOKUP(INDICE!$F$2,Nombres!$C$3:$D$636,52,FALSE)</f>
        <v>Efectivo, saldos en efectivo en bancos centrales y otros depósitos a la vista</v>
      </c>
      <c r="B87" s="44">
        <v>215.51724103216708</v>
      </c>
      <c r="C87" s="44">
        <v>219.0832501173528</v>
      </c>
      <c r="D87" s="44">
        <v>228.83085525809886</v>
      </c>
      <c r="E87" s="45">
        <v>247.71233151790105</v>
      </c>
      <c r="F87" s="44">
        <v>283.961895891838</v>
      </c>
      <c r="G87" s="44">
        <v>307.01820910805674</v>
      </c>
      <c r="H87" s="44">
        <v>306.31964000000096</v>
      </c>
      <c r="I87" s="44">
        <v>0</v>
      </c>
    </row>
    <row r="88" spans="1:9" ht="14.25">
      <c r="A88" s="93" t="str">
        <f>HLOOKUP(INDICE!$F$2,Nombres!$C$3:$D$636,53,FALSE)</f>
        <v>Activos financieros a valor razonable</v>
      </c>
      <c r="B88" s="60">
        <v>504.2645910316055</v>
      </c>
      <c r="C88" s="60">
        <v>511.28987766063733</v>
      </c>
      <c r="D88" s="60">
        <v>494.4852859690562</v>
      </c>
      <c r="E88" s="68">
        <v>477.5524795206818</v>
      </c>
      <c r="F88" s="44">
        <v>510.15860044403536</v>
      </c>
      <c r="G88" s="44">
        <v>498.8516028872079</v>
      </c>
      <c r="H88" s="44">
        <v>473.93879439</v>
      </c>
      <c r="I88" s="44">
        <v>0</v>
      </c>
    </row>
    <row r="89" spans="1:9" ht="14.25">
      <c r="A89" s="43" t="str">
        <f>HLOOKUP(INDICE!$F$2,Nombres!$C$3:$D$636,54,FALSE)</f>
        <v>Activos financieros a coste amortizado</v>
      </c>
      <c r="B89" s="44">
        <v>19553.50272703232</v>
      </c>
      <c r="C89" s="44">
        <v>19171.852805446044</v>
      </c>
      <c r="D89" s="44">
        <v>20662.665939361323</v>
      </c>
      <c r="E89" s="45">
        <v>22235.759833903467</v>
      </c>
      <c r="F89" s="44">
        <v>25393.33378621586</v>
      </c>
      <c r="G89" s="44">
        <v>25676.135459532157</v>
      </c>
      <c r="H89" s="44">
        <v>23812.72819</v>
      </c>
      <c r="I89" s="44">
        <v>0</v>
      </c>
    </row>
    <row r="90" spans="1:9" ht="14.25">
      <c r="A90" s="93" t="str">
        <f>HLOOKUP(INDICE!$F$2,Nombres!$C$3:$D$636,55,FALSE)</f>
        <v>    de los que préstamos y anticipos a la clientela</v>
      </c>
      <c r="B90" s="44">
        <v>18280.926561903223</v>
      </c>
      <c r="C90" s="44">
        <v>17572.80751898625</v>
      </c>
      <c r="D90" s="44">
        <v>18484.885861071267</v>
      </c>
      <c r="E90" s="45">
        <v>19670.979146608122</v>
      </c>
      <c r="F90" s="44">
        <v>22239.5373975404</v>
      </c>
      <c r="G90" s="44">
        <v>22518.681416805146</v>
      </c>
      <c r="H90" s="44">
        <v>20937.759955999998</v>
      </c>
      <c r="I90" s="44">
        <v>0</v>
      </c>
    </row>
    <row r="91" spans="1:9" ht="14.25">
      <c r="A91" s="93" t="str">
        <f>HLOOKUP(INDICE!$F$2,Nombres!$C$3:$D$636,121,FALSE)</f>
        <v>Posiciones inter-áreas activo</v>
      </c>
      <c r="B91" s="44">
        <v>0</v>
      </c>
      <c r="C91" s="44">
        <v>0</v>
      </c>
      <c r="D91" s="44">
        <v>0</v>
      </c>
      <c r="E91" s="45">
        <v>0</v>
      </c>
      <c r="F91" s="44">
        <v>0</v>
      </c>
      <c r="G91" s="44">
        <v>0</v>
      </c>
      <c r="H91" s="44">
        <v>0</v>
      </c>
      <c r="I91" s="44">
        <v>0</v>
      </c>
    </row>
    <row r="92" spans="1:9" ht="14.25">
      <c r="A92" s="43" t="str">
        <f>HLOOKUP(INDICE!$F$2,Nombres!$C$3:$D$636,56,FALSE)</f>
        <v>Activos tangibles</v>
      </c>
      <c r="B92" s="44">
        <v>99.19673649499919</v>
      </c>
      <c r="C92" s="44">
        <v>94.11235021991763</v>
      </c>
      <c r="D92" s="44">
        <v>74.06869690633394</v>
      </c>
      <c r="E92" s="45">
        <v>71.61067807293337</v>
      </c>
      <c r="F92" s="44">
        <v>68.41955805405219</v>
      </c>
      <c r="G92" s="44">
        <v>68.80102092299009</v>
      </c>
      <c r="H92" s="44">
        <v>65.841333</v>
      </c>
      <c r="I92" s="44">
        <v>0</v>
      </c>
    </row>
    <row r="93" spans="1:9" ht="14.25">
      <c r="A93" s="93" t="str">
        <f>HLOOKUP(INDICE!$F$2,Nombres!$C$3:$D$636,57,FALSE)</f>
        <v>Otros activos</v>
      </c>
      <c r="B93" s="60">
        <f>+B94-B92-B89-B88-B87-B91</f>
        <v>247.8092995916358</v>
      </c>
      <c r="C93" s="60">
        <f aca="true" t="shared" si="15" ref="C93:I93">+C94-C92-C89-C88-C87</f>
        <v>243.96241351499486</v>
      </c>
      <c r="D93" s="60">
        <f t="shared" si="15"/>
        <v>239.5179549111705</v>
      </c>
      <c r="E93" s="68">
        <f t="shared" si="15"/>
        <v>227.62887291373292</v>
      </c>
      <c r="F93" s="44">
        <f t="shared" si="15"/>
        <v>260.8105009729651</v>
      </c>
      <c r="G93" s="44">
        <f t="shared" si="15"/>
        <v>239.02899787227165</v>
      </c>
      <c r="H93" s="44">
        <f t="shared" si="15"/>
        <v>229.3136389999861</v>
      </c>
      <c r="I93" s="44">
        <f t="shared" si="15"/>
        <v>0</v>
      </c>
    </row>
    <row r="94" spans="1:9" ht="14.25">
      <c r="A94" s="96" t="str">
        <f>HLOOKUP(INDICE!$F$2,Nombres!$C$3:$D$636,58,FALSE)</f>
        <v>Total activo / pasivo</v>
      </c>
      <c r="B94" s="47">
        <v>20620.290595182727</v>
      </c>
      <c r="C94" s="47">
        <v>20240.300696958948</v>
      </c>
      <c r="D94" s="47">
        <v>21699.568732405984</v>
      </c>
      <c r="E94" s="74">
        <v>23260.264195928718</v>
      </c>
      <c r="F94" s="53">
        <v>26516.684341578748</v>
      </c>
      <c r="G94" s="53">
        <v>26789.835290322684</v>
      </c>
      <c r="H94" s="53">
        <v>24888.14159638999</v>
      </c>
      <c r="I94" s="53">
        <v>0</v>
      </c>
    </row>
    <row r="95" spans="1:9" ht="14.25">
      <c r="A95" s="93" t="str">
        <f>HLOOKUP(INDICE!$F$2,Nombres!$C$3:$D$636,59,FALSE)</f>
        <v>Pasivos financieros mantenidos para negociar y designados a valor razonable con cambios en resultados</v>
      </c>
      <c r="B95" s="60">
        <v>42.24183285264671</v>
      </c>
      <c r="C95" s="60">
        <v>43.03017537245451</v>
      </c>
      <c r="D95" s="60">
        <v>47.33001033172974</v>
      </c>
      <c r="E95" s="68">
        <v>57.17119631617847</v>
      </c>
      <c r="F95" s="44">
        <v>43.94325075675627</v>
      </c>
      <c r="G95" s="44">
        <v>47.28011978563484</v>
      </c>
      <c r="H95" s="44">
        <v>43.346478999999995</v>
      </c>
      <c r="I95" s="44">
        <v>0</v>
      </c>
    </row>
    <row r="96" spans="1:9" ht="14.25">
      <c r="A96" s="93" t="str">
        <f>HLOOKUP(INDICE!$F$2,Nombres!$C$3:$D$636,60,FALSE)</f>
        <v>Depósitos de bancos centrales y entidades de crédito</v>
      </c>
      <c r="B96" s="60">
        <v>933.0899566826632</v>
      </c>
      <c r="C96" s="60">
        <v>881.1831541899166</v>
      </c>
      <c r="D96" s="60">
        <v>918.7020800555679</v>
      </c>
      <c r="E96" s="68">
        <v>1039.0965391917805</v>
      </c>
      <c r="F96" s="44">
        <v>791.8628639999916</v>
      </c>
      <c r="G96" s="44">
        <v>1054.1999025079595</v>
      </c>
      <c r="H96" s="44">
        <v>857.2852610000001</v>
      </c>
      <c r="I96" s="44">
        <v>0</v>
      </c>
    </row>
    <row r="97" spans="1:9" ht="14.25">
      <c r="A97" s="93" t="str">
        <f>HLOOKUP(INDICE!$F$2,Nombres!$C$3:$D$636,61,FALSE)</f>
        <v>Depósitos de la clientela</v>
      </c>
      <c r="B97" s="60">
        <v>5085.269145949796</v>
      </c>
      <c r="C97" s="60">
        <v>4308.956645297224</v>
      </c>
      <c r="D97" s="60">
        <v>4368.8438881813545</v>
      </c>
      <c r="E97" s="68">
        <v>4710.66217014448</v>
      </c>
      <c r="F97" s="44">
        <v>5116.252930972596</v>
      </c>
      <c r="G97" s="44">
        <v>4553.622877907916</v>
      </c>
      <c r="H97" s="44">
        <v>4597.356644</v>
      </c>
      <c r="I97" s="44">
        <v>0</v>
      </c>
    </row>
    <row r="98" spans="1:9" ht="14.25">
      <c r="A98" s="43" t="str">
        <f>HLOOKUP(INDICE!$F$2,Nombres!$C$3:$D$636,62,FALSE)</f>
        <v>Valores representativos de deuda emitidos</v>
      </c>
      <c r="B98" s="44">
        <v>198.0913528221314</v>
      </c>
      <c r="C98" s="44">
        <v>986.5983704129768</v>
      </c>
      <c r="D98" s="44">
        <v>624.2520644857032</v>
      </c>
      <c r="E98" s="45">
        <v>838.2389784228208</v>
      </c>
      <c r="F98" s="44">
        <v>806.5396863774979</v>
      </c>
      <c r="G98" s="44">
        <v>380.09225387907014</v>
      </c>
      <c r="H98" s="44">
        <v>371.87017885</v>
      </c>
      <c r="I98" s="44">
        <v>0</v>
      </c>
    </row>
    <row r="99" spans="1:9" ht="14.25">
      <c r="A99" s="93" t="str">
        <f>HLOOKUP(INDICE!$F$2,Nombres!$C$3:$D$636,122,FALSE)</f>
        <v>Posiciones inter-áreas pasivo</v>
      </c>
      <c r="B99" s="44">
        <v>13239.902471315587</v>
      </c>
      <c r="C99" s="44">
        <v>12675.606783207595</v>
      </c>
      <c r="D99" s="44">
        <v>14477.329184281449</v>
      </c>
      <c r="E99" s="45">
        <v>15351.864841808478</v>
      </c>
      <c r="F99" s="44">
        <v>18447.323988371485</v>
      </c>
      <c r="G99" s="44">
        <v>19421.30394437096</v>
      </c>
      <c r="H99" s="44">
        <v>17705.80430152001</v>
      </c>
      <c r="I99" s="44">
        <v>0</v>
      </c>
    </row>
    <row r="100" spans="1:9" ht="14.25">
      <c r="A100" s="43" t="str">
        <f>HLOOKUP(INDICE!$F$2,Nombres!$C$3:$D$636,63,FALSE)</f>
        <v>Otros pasivos</v>
      </c>
      <c r="B100" s="60">
        <f aca="true" t="shared" si="16" ref="B100:I100">+B94-B95-B96-B97-B98-B101-B99</f>
        <v>339.554540841842</v>
      </c>
      <c r="C100" s="60">
        <f t="shared" si="16"/>
        <v>533.1615442484963</v>
      </c>
      <c r="D100" s="60">
        <f t="shared" si="16"/>
        <v>420.4223448976554</v>
      </c>
      <c r="E100" s="68">
        <f t="shared" si="16"/>
        <v>399.20010966632435</v>
      </c>
      <c r="F100" s="60">
        <f t="shared" si="16"/>
        <v>398.29171333015256</v>
      </c>
      <c r="G100" s="60">
        <f t="shared" si="16"/>
        <v>393.43153065678416</v>
      </c>
      <c r="H100" s="60">
        <f t="shared" si="16"/>
        <v>404.9881200799791</v>
      </c>
      <c r="I100" s="60">
        <f t="shared" si="16"/>
        <v>0</v>
      </c>
    </row>
    <row r="101" spans="1:9" ht="14.25">
      <c r="A101" s="93" t="str">
        <f>HLOOKUP(INDICE!$F$2,Nombres!$C$3:$D$636,64,FALSE)</f>
        <v>Dotación de capital económico</v>
      </c>
      <c r="B101" s="44">
        <v>782.1412947180597</v>
      </c>
      <c r="C101" s="44">
        <v>811.7640242302818</v>
      </c>
      <c r="D101" s="44">
        <v>842.689160172522</v>
      </c>
      <c r="E101" s="45">
        <v>864.030360378651</v>
      </c>
      <c r="F101" s="44">
        <v>912.4699077702626</v>
      </c>
      <c r="G101" s="44">
        <v>939.9046612143593</v>
      </c>
      <c r="H101" s="44">
        <v>907.4906119400002</v>
      </c>
      <c r="I101" s="44">
        <v>0</v>
      </c>
    </row>
    <row r="102" spans="1:9" ht="14.25">
      <c r="A102" s="65"/>
      <c r="B102" s="60"/>
      <c r="C102" s="60"/>
      <c r="D102" s="60"/>
      <c r="E102" s="60"/>
      <c r="F102" s="44"/>
      <c r="G102" s="44"/>
      <c r="H102" s="44"/>
      <c r="I102" s="44"/>
    </row>
    <row r="103" spans="1:9" ht="14.25">
      <c r="A103" s="43"/>
      <c r="B103" s="60"/>
      <c r="C103" s="60"/>
      <c r="D103" s="60"/>
      <c r="E103" s="60"/>
      <c r="F103" s="44"/>
      <c r="G103" s="44"/>
      <c r="H103" s="44"/>
      <c r="I103" s="44"/>
    </row>
    <row r="104" spans="1:9" ht="16.5">
      <c r="A104" s="98" t="str">
        <f>HLOOKUP(INDICE!$F$2,Nombres!$C$3:$D$636,65,FALSE)</f>
        <v>Indicadores relevantes y de gestión</v>
      </c>
      <c r="B104" s="34"/>
      <c r="C104" s="34"/>
      <c r="D104" s="34"/>
      <c r="E104" s="34"/>
      <c r="F104" s="72"/>
      <c r="G104" s="72"/>
      <c r="H104" s="72"/>
      <c r="I104" s="72"/>
    </row>
    <row r="105" spans="1:9" ht="14.25">
      <c r="A105" s="89" t="str">
        <f>HLOOKUP(INDICE!$F$2,Nombres!$C$3:$D$636,73,FALSE)</f>
        <v>(Millones de euros constantes)</v>
      </c>
      <c r="B105" s="30"/>
      <c r="C105" s="30"/>
      <c r="D105" s="30"/>
      <c r="E105" s="30"/>
      <c r="F105" s="73"/>
      <c r="G105" s="44"/>
      <c r="H105" s="44"/>
      <c r="I105" s="44"/>
    </row>
    <row r="106" spans="1:9" ht="14.25">
      <c r="A106" s="30"/>
      <c r="B106" s="55">
        <f aca="true" t="shared" si="17" ref="B106:I106">+B$30</f>
        <v>43555</v>
      </c>
      <c r="C106" s="55">
        <f t="shared" si="17"/>
        <v>43646</v>
      </c>
      <c r="D106" s="55">
        <f t="shared" si="17"/>
        <v>43738</v>
      </c>
      <c r="E106" s="71">
        <f t="shared" si="17"/>
        <v>43830</v>
      </c>
      <c r="F106" s="55">
        <f t="shared" si="17"/>
        <v>43921</v>
      </c>
      <c r="G106" s="55">
        <f t="shared" si="17"/>
        <v>44012</v>
      </c>
      <c r="H106" s="55">
        <f t="shared" si="17"/>
        <v>44104</v>
      </c>
      <c r="I106" s="55">
        <f t="shared" si="17"/>
        <v>44196</v>
      </c>
    </row>
    <row r="107" spans="1:9" ht="14.25">
      <c r="A107" s="93" t="str">
        <f>HLOOKUP(INDICE!$F$2,Nombres!$C$3:$D$636,66,FALSE)</f>
        <v>Préstamos y anticipos a la clientela bruto (*)</v>
      </c>
      <c r="B107" s="44">
        <v>18625.11267790322</v>
      </c>
      <c r="C107" s="44">
        <v>17909.854375986248</v>
      </c>
      <c r="D107" s="44">
        <v>18821.647889071268</v>
      </c>
      <c r="E107" s="45">
        <v>19997.484132608122</v>
      </c>
      <c r="F107" s="44">
        <v>22559.028388540402</v>
      </c>
      <c r="G107" s="44">
        <v>22821.695342805146</v>
      </c>
      <c r="H107" s="44">
        <v>21247.788383</v>
      </c>
      <c r="I107" s="44">
        <v>0</v>
      </c>
    </row>
    <row r="108" spans="1:9" ht="14.25">
      <c r="A108" s="93" t="str">
        <f>HLOOKUP(INDICE!$F$2,Nombres!$C$3:$D$636,67,FALSE)</f>
        <v>Depósitos de clientes en gestión (**)</v>
      </c>
      <c r="B108" s="44">
        <v>5085.2691459497955</v>
      </c>
      <c r="C108" s="44">
        <v>4308.956645297224</v>
      </c>
      <c r="D108" s="44">
        <v>4368.843888181355</v>
      </c>
      <c r="E108" s="45">
        <v>4710.66217014448</v>
      </c>
      <c r="F108" s="44">
        <v>5116.252930972596</v>
      </c>
      <c r="G108" s="44">
        <v>4553.622877907916</v>
      </c>
      <c r="H108" s="44">
        <v>4597.356644</v>
      </c>
      <c r="I108" s="44">
        <v>0</v>
      </c>
    </row>
    <row r="109" spans="1:9" ht="14.25">
      <c r="A109" s="43" t="str">
        <f>HLOOKUP(INDICE!$F$2,Nombres!$C$3:$D$636,68,FALSE)</f>
        <v>Fondos de inversión</v>
      </c>
      <c r="B109" s="44">
        <v>0.013545</v>
      </c>
      <c r="C109" s="44">
        <v>0.013555</v>
      </c>
      <c r="D109" s="44">
        <v>0.013544</v>
      </c>
      <c r="E109" s="45">
        <v>0.013511</v>
      </c>
      <c r="F109" s="44">
        <v>0</v>
      </c>
      <c r="G109" s="44">
        <v>0</v>
      </c>
      <c r="H109" s="44">
        <v>0</v>
      </c>
      <c r="I109" s="44">
        <v>0</v>
      </c>
    </row>
    <row r="110" spans="1:9" ht="14.25">
      <c r="A110" s="93" t="str">
        <f>HLOOKUP(INDICE!$F$2,Nombres!$C$3:$D$636,69,FALSE)</f>
        <v>Fondos de pensiones</v>
      </c>
      <c r="B110" s="44">
        <v>407.12046328</v>
      </c>
      <c r="C110" s="44">
        <v>454.48082914</v>
      </c>
      <c r="D110" s="44">
        <v>496.67020717</v>
      </c>
      <c r="E110" s="45">
        <v>500.43861838</v>
      </c>
      <c r="F110" s="44">
        <v>494.78505432</v>
      </c>
      <c r="G110" s="44">
        <v>517.96026945</v>
      </c>
      <c r="H110" s="44">
        <v>529.31975174</v>
      </c>
      <c r="I110" s="44">
        <v>0</v>
      </c>
    </row>
    <row r="111" spans="1:9" ht="14.25">
      <c r="A111" s="93" t="str">
        <f>HLOOKUP(INDICE!$F$2,Nombres!$C$3:$D$636,70,FALSE)</f>
        <v>Otros recursos fuera de balance</v>
      </c>
      <c r="B111" s="44">
        <v>0</v>
      </c>
      <c r="C111" s="44">
        <v>0</v>
      </c>
      <c r="D111" s="44">
        <v>0</v>
      </c>
      <c r="E111" s="45">
        <v>0</v>
      </c>
      <c r="F111" s="44">
        <v>0</v>
      </c>
      <c r="G111" s="44">
        <v>0</v>
      </c>
      <c r="H111" s="44">
        <v>0</v>
      </c>
      <c r="I111" s="44">
        <v>0</v>
      </c>
    </row>
    <row r="112" spans="1:9" ht="14.25">
      <c r="A112" s="97" t="str">
        <f>HLOOKUP(INDICE!$F$2,Nombres!$C$3:$D$636,71,FALSE)</f>
        <v>(*) No incluye las adquisiciones temporales de activos.</v>
      </c>
      <c r="B112" s="60"/>
      <c r="C112" s="60"/>
      <c r="D112" s="60"/>
      <c r="E112" s="60"/>
      <c r="F112" s="60"/>
      <c r="G112" s="60"/>
      <c r="H112" s="60"/>
      <c r="I112" s="60"/>
    </row>
    <row r="113" spans="1:9" ht="14.25">
      <c r="A113" s="97" t="str">
        <f>HLOOKUP(INDICE!$F$2,Nombres!$C$3:$D$636,72,FALSE)</f>
        <v>(**) No incluye las cesiones temporales de activos.</v>
      </c>
      <c r="B113" s="30"/>
      <c r="C113" s="30"/>
      <c r="D113" s="30"/>
      <c r="E113" s="30"/>
      <c r="F113" s="30"/>
      <c r="G113" s="30"/>
      <c r="H113" s="30"/>
      <c r="I113" s="30"/>
    </row>
    <row r="114" spans="1:9" ht="14.25">
      <c r="A114" s="65"/>
      <c r="B114" s="60"/>
      <c r="C114" s="44"/>
      <c r="D114" s="44"/>
      <c r="E114" s="44"/>
      <c r="F114" s="44"/>
      <c r="G114" s="30"/>
      <c r="H114" s="30"/>
      <c r="I114" s="30"/>
    </row>
    <row r="120" spans="6:9" ht="14.25">
      <c r="F120" s="86"/>
      <c r="G120" s="86"/>
      <c r="H120" s="86"/>
      <c r="I120" s="86"/>
    </row>
    <row r="121" spans="6:9" ht="14.25">
      <c r="F121" s="86"/>
      <c r="G121" s="86"/>
      <c r="H121" s="86"/>
      <c r="I121" s="86"/>
    </row>
    <row r="122" spans="6:9" ht="14.25">
      <c r="F122" s="86"/>
      <c r="G122" s="86"/>
      <c r="H122" s="86"/>
      <c r="I122" s="86"/>
    </row>
    <row r="123" spans="6:9" ht="14.25">
      <c r="F123" s="86"/>
      <c r="G123" s="86"/>
      <c r="H123" s="86"/>
      <c r="I123" s="86"/>
    </row>
    <row r="124" spans="6:9" ht="14.25">
      <c r="F124" s="86"/>
      <c r="G124" s="86"/>
      <c r="H124" s="86"/>
      <c r="I124" s="86"/>
    </row>
    <row r="125" spans="6:9" ht="14.25">
      <c r="F125" s="86"/>
      <c r="G125" s="86"/>
      <c r="H125" s="86"/>
      <c r="I125" s="86"/>
    </row>
    <row r="126" spans="6:9" ht="14.25">
      <c r="F126" s="86"/>
      <c r="G126" s="86"/>
      <c r="H126" s="86"/>
      <c r="I126" s="86"/>
    </row>
    <row r="127" spans="6:9" ht="14.25">
      <c r="F127" s="86"/>
      <c r="G127" s="86"/>
      <c r="H127" s="86"/>
      <c r="I127" s="86"/>
    </row>
    <row r="128" spans="6:9" ht="14.25">
      <c r="F128" s="86"/>
      <c r="G128" s="86"/>
      <c r="H128" s="86"/>
      <c r="I128" s="86"/>
    </row>
    <row r="129" spans="6:9" ht="14.25">
      <c r="F129" s="86"/>
      <c r="G129" s="86"/>
      <c r="H129" s="86"/>
      <c r="I129" s="86"/>
    </row>
    <row r="130" spans="6:9" ht="14.25">
      <c r="F130" s="86"/>
      <c r="G130" s="86"/>
      <c r="H130" s="86"/>
      <c r="I130" s="86"/>
    </row>
    <row r="131" spans="6:9" ht="14.25">
      <c r="F131" s="86"/>
      <c r="G131" s="86"/>
      <c r="H131" s="86"/>
      <c r="I131" s="86"/>
    </row>
    <row r="132" spans="6:9" ht="14.25">
      <c r="F132" s="86"/>
      <c r="G132" s="86"/>
      <c r="H132" s="86"/>
      <c r="I132" s="86"/>
    </row>
    <row r="133" spans="6:9" ht="14.25">
      <c r="F133" s="86"/>
      <c r="G133" s="86"/>
      <c r="H133" s="86"/>
      <c r="I133" s="86"/>
    </row>
    <row r="134" spans="6:9" ht="14.25">
      <c r="F134" s="86"/>
      <c r="G134" s="86"/>
      <c r="H134" s="86"/>
      <c r="I134" s="86"/>
    </row>
    <row r="135" spans="6:9" ht="14.25">
      <c r="F135" s="86"/>
      <c r="G135" s="86"/>
      <c r="H135" s="86"/>
      <c r="I135" s="86"/>
    </row>
    <row r="136" spans="6:9" ht="14.25">
      <c r="F136" s="86"/>
      <c r="G136" s="86"/>
      <c r="H136" s="86"/>
      <c r="I136" s="86"/>
    </row>
    <row r="137" spans="6:9" ht="14.25">
      <c r="F137" s="86"/>
      <c r="G137" s="86"/>
      <c r="H137" s="86"/>
      <c r="I137" s="86"/>
    </row>
    <row r="138" spans="6:9" ht="14.25">
      <c r="F138" s="86"/>
      <c r="G138" s="86"/>
      <c r="H138" s="86"/>
      <c r="I138" s="86"/>
    </row>
    <row r="139" spans="6:9" ht="14.25">
      <c r="F139" s="86"/>
      <c r="G139" s="86"/>
      <c r="H139" s="86"/>
      <c r="I139" s="86"/>
    </row>
    <row r="140" spans="6:9" ht="14.25">
      <c r="F140" s="86"/>
      <c r="G140" s="86"/>
      <c r="H140" s="86"/>
      <c r="I140" s="86"/>
    </row>
    <row r="141" spans="6:9" ht="14.25">
      <c r="F141" s="86"/>
      <c r="G141" s="86"/>
      <c r="H141" s="86"/>
      <c r="I141" s="86"/>
    </row>
    <row r="142" spans="6:9" ht="14.25">
      <c r="F142" s="86"/>
      <c r="G142" s="86"/>
      <c r="H142" s="86"/>
      <c r="I142" s="86"/>
    </row>
    <row r="143" spans="6:9" ht="14.25">
      <c r="F143" s="86"/>
      <c r="G143" s="86"/>
      <c r="H143" s="86"/>
      <c r="I143" s="86"/>
    </row>
    <row r="144" spans="6:9" ht="14.25">
      <c r="F144" s="86"/>
      <c r="G144" s="86"/>
      <c r="H144" s="86"/>
      <c r="I144" s="86"/>
    </row>
    <row r="145" spans="6:9" ht="14.25">
      <c r="F145" s="86"/>
      <c r="G145" s="86"/>
      <c r="H145" s="86"/>
      <c r="I145" s="86"/>
    </row>
    <row r="146" spans="6:9" ht="14.25">
      <c r="F146" s="86"/>
      <c r="G146" s="86"/>
      <c r="H146" s="86"/>
      <c r="I146" s="86"/>
    </row>
    <row r="147" spans="6:9" ht="14.25">
      <c r="F147" s="86"/>
      <c r="G147" s="86"/>
      <c r="H147" s="86"/>
      <c r="I147" s="86"/>
    </row>
    <row r="148" spans="6:9" ht="14.25">
      <c r="F148" s="86"/>
      <c r="G148" s="86"/>
      <c r="H148" s="86"/>
      <c r="I148" s="86"/>
    </row>
    <row r="149" spans="6:9" ht="14.25">
      <c r="F149" s="86"/>
      <c r="G149" s="86"/>
      <c r="H149" s="86"/>
      <c r="I149" s="86"/>
    </row>
    <row r="150" spans="6:9" ht="14.25">
      <c r="F150" s="86"/>
      <c r="G150" s="86"/>
      <c r="H150" s="86"/>
      <c r="I150" s="86"/>
    </row>
    <row r="151" spans="6:9" ht="14.25">
      <c r="F151" s="86"/>
      <c r="G151" s="86"/>
      <c r="H151" s="86"/>
      <c r="I151" s="86"/>
    </row>
    <row r="152" spans="6:9" ht="14.25">
      <c r="F152" s="86"/>
      <c r="G152" s="86"/>
      <c r="H152" s="86"/>
      <c r="I152" s="86"/>
    </row>
    <row r="153" spans="6:9" ht="14.25">
      <c r="F153" s="86"/>
      <c r="G153" s="86"/>
      <c r="H153" s="86"/>
      <c r="I153" s="86"/>
    </row>
    <row r="154" spans="6:9" ht="14.25">
      <c r="F154" s="86"/>
      <c r="G154" s="86"/>
      <c r="H154" s="86"/>
      <c r="I154" s="86"/>
    </row>
    <row r="155" spans="6:9" ht="14.25">
      <c r="F155" s="86"/>
      <c r="G155" s="86"/>
      <c r="H155" s="86"/>
      <c r="I155" s="86"/>
    </row>
    <row r="156" spans="6:9" ht="14.25">
      <c r="F156" s="86"/>
      <c r="G156" s="86"/>
      <c r="H156" s="86"/>
      <c r="I156" s="86"/>
    </row>
    <row r="157" spans="6:9" ht="14.25">
      <c r="F157" s="86"/>
      <c r="G157" s="86"/>
      <c r="H157" s="86"/>
      <c r="I157" s="86"/>
    </row>
    <row r="158" spans="6:9" ht="14.25">
      <c r="F158" s="86"/>
      <c r="G158" s="86"/>
      <c r="H158" s="86"/>
      <c r="I158" s="86"/>
    </row>
    <row r="159" spans="6:9" ht="14.25">
      <c r="F159" s="86"/>
      <c r="G159" s="86"/>
      <c r="H159" s="86"/>
      <c r="I159" s="86"/>
    </row>
    <row r="160" spans="6:9" ht="14.25">
      <c r="F160" s="86"/>
      <c r="G160" s="86"/>
      <c r="H160" s="86"/>
      <c r="I160" s="86"/>
    </row>
    <row r="161" spans="6:9" ht="14.25">
      <c r="F161" s="86"/>
      <c r="G161" s="86"/>
      <c r="H161" s="86"/>
      <c r="I161" s="86"/>
    </row>
    <row r="162" spans="6:9" ht="14.25">
      <c r="F162" s="86"/>
      <c r="G162" s="86"/>
      <c r="H162" s="86"/>
      <c r="I162" s="86"/>
    </row>
    <row r="163" spans="6:9" ht="14.25">
      <c r="F163" s="86"/>
      <c r="G163" s="86"/>
      <c r="H163" s="86"/>
      <c r="I163" s="86"/>
    </row>
    <row r="164" spans="6:9" ht="14.25">
      <c r="F164" s="86"/>
      <c r="G164" s="86"/>
      <c r="H164" s="86"/>
      <c r="I164" s="86"/>
    </row>
    <row r="165" spans="6:9" ht="14.25">
      <c r="F165" s="86"/>
      <c r="G165" s="86"/>
      <c r="H165" s="86"/>
      <c r="I165" s="86"/>
    </row>
    <row r="166" spans="6:9" ht="14.25">
      <c r="F166" s="86"/>
      <c r="G166" s="86"/>
      <c r="H166" s="86"/>
      <c r="I166" s="86"/>
    </row>
    <row r="1000" ht="14.25">
      <c r="A1000" s="31" t="s">
        <v>397</v>
      </c>
    </row>
  </sheetData>
  <sheetProtection/>
  <mergeCells count="4">
    <mergeCell ref="B6:E6"/>
    <mergeCell ref="B62:E62"/>
    <mergeCell ref="F6:I6"/>
    <mergeCell ref="F62:I62"/>
  </mergeCells>
  <conditionalFormatting sqref="B26:I26">
    <cfRule type="cellIs" priority="2" dxfId="98" operator="notBetween">
      <formula>0.5</formula>
      <formula>-0.5</formula>
    </cfRule>
  </conditionalFormatting>
  <conditionalFormatting sqref="B82:I82">
    <cfRule type="cellIs" priority="1" dxfId="98" operator="notBetween">
      <formula>0.5</formula>
      <formula>-0.5</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O165"/>
  <sheetViews>
    <sheetView showGridLines="0" zoomScalePageLayoutView="0" workbookViewId="0" topLeftCell="A16">
      <selection activeCell="I16" sqref="I1:I16384"/>
    </sheetView>
  </sheetViews>
  <sheetFormatPr defaultColWidth="11.421875" defaultRowHeight="15"/>
  <cols>
    <col min="1" max="1" width="74.421875" style="31" customWidth="1"/>
    <col min="2" max="2" width="19.421875" style="31" customWidth="1"/>
    <col min="3" max="8" width="11.421875" style="31" customWidth="1"/>
    <col min="9" max="9" width="0" style="31" hidden="1" customWidth="1"/>
    <col min="10" max="16384" width="11.421875" style="31" customWidth="1"/>
  </cols>
  <sheetData>
    <row r="1" spans="1:9" ht="16.5">
      <c r="A1" s="88" t="str">
        <f>HLOOKUP(INDICE!$F$2,Nombres!$C$3:$D$636,19,FALSE)</f>
        <v>Centro Corporativo</v>
      </c>
      <c r="B1" s="30"/>
      <c r="C1" s="30"/>
      <c r="D1" s="30"/>
      <c r="E1" s="30"/>
      <c r="F1" s="30"/>
      <c r="G1" s="30"/>
      <c r="H1" s="30"/>
      <c r="I1" s="30"/>
    </row>
    <row r="2" spans="1:9" ht="19.5">
      <c r="A2" s="32"/>
      <c r="B2" s="30"/>
      <c r="C2" s="30"/>
      <c r="D2" s="30"/>
      <c r="E2" s="30"/>
      <c r="F2" s="30"/>
      <c r="G2" s="30"/>
      <c r="H2" s="30"/>
      <c r="I2" s="30"/>
    </row>
    <row r="3" spans="1:9" ht="16.5">
      <c r="A3" s="98" t="str">
        <f>HLOOKUP(INDICE!$F$2,Nombres!$C$3:$D$636,31,FALSE)</f>
        <v>Cuenta de resultados  </v>
      </c>
      <c r="B3" s="34"/>
      <c r="C3" s="34"/>
      <c r="D3" s="34"/>
      <c r="E3" s="34"/>
      <c r="F3" s="34"/>
      <c r="G3" s="34"/>
      <c r="H3" s="34"/>
      <c r="I3" s="34"/>
    </row>
    <row r="4" spans="1:9" ht="14.25">
      <c r="A4" s="89"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5">
        <f>+España!B6</f>
        <v>2019</v>
      </c>
      <c r="C6" s="305"/>
      <c r="D6" s="305"/>
      <c r="E6" s="306"/>
      <c r="F6" s="305">
        <f>+España!F6</f>
        <v>2020</v>
      </c>
      <c r="G6" s="305"/>
      <c r="H6" s="305"/>
      <c r="I6" s="305"/>
    </row>
    <row r="7" spans="1:9" ht="14.25">
      <c r="A7" s="38"/>
      <c r="B7" s="90" t="str">
        <f>+España!B7</f>
        <v>1er Trim.</v>
      </c>
      <c r="C7" s="90" t="str">
        <f>+España!C7</f>
        <v>2º Trim.</v>
      </c>
      <c r="D7" s="90" t="str">
        <f>+España!D7</f>
        <v>3er Trim.</v>
      </c>
      <c r="E7" s="91" t="str">
        <f>+España!E7</f>
        <v>4º Trim.</v>
      </c>
      <c r="F7" s="90" t="str">
        <f>+España!F7</f>
        <v>1er Trim.</v>
      </c>
      <c r="G7" s="90" t="str">
        <f>+España!G7</f>
        <v>2º Trim.</v>
      </c>
      <c r="H7" s="90" t="str">
        <f>+España!H7</f>
        <v>3er Trim.</v>
      </c>
      <c r="I7" s="90" t="str">
        <f>+España!I7</f>
        <v>4º Trim.</v>
      </c>
    </row>
    <row r="8" spans="1:15" ht="14.25">
      <c r="A8" s="41" t="str">
        <f>HLOOKUP(INDICE!$F$2,Nombres!$C$3:$D$636,33,FALSE)</f>
        <v>Margen de intereses</v>
      </c>
      <c r="B8" s="41">
        <v>-70.70719143999997</v>
      </c>
      <c r="C8" s="41">
        <v>-61.00187250000013</v>
      </c>
      <c r="D8" s="41">
        <v>-60.8212865199999</v>
      </c>
      <c r="E8" s="42">
        <v>-40.612198029999895</v>
      </c>
      <c r="F8" s="52">
        <v>-41.48767608</v>
      </c>
      <c r="G8" s="52">
        <v>-27.967264969999988</v>
      </c>
      <c r="H8" s="251">
        <v>-33.202606599999996</v>
      </c>
      <c r="I8" s="251">
        <v>0</v>
      </c>
      <c r="J8" s="92"/>
      <c r="K8" s="92"/>
      <c r="L8" s="92"/>
      <c r="M8" s="92"/>
      <c r="N8" s="92"/>
      <c r="O8" s="92"/>
    </row>
    <row r="9" spans="1:9" ht="14.25">
      <c r="A9" s="93" t="str">
        <f>HLOOKUP(INDICE!$F$2,Nombres!$C$3:$D$636,34,FALSE)</f>
        <v>Comisiones netas</v>
      </c>
      <c r="B9" s="44">
        <v>-15.142876690000001</v>
      </c>
      <c r="C9" s="44">
        <v>-28.937423479999996</v>
      </c>
      <c r="D9" s="44">
        <v>-17.39855074000001</v>
      </c>
      <c r="E9" s="45">
        <v>-11.278417909999995</v>
      </c>
      <c r="F9" s="44">
        <v>-8.584232459999997</v>
      </c>
      <c r="G9" s="44">
        <v>-26.27234979</v>
      </c>
      <c r="H9" s="44">
        <v>-14.85250109</v>
      </c>
      <c r="I9" s="44">
        <v>0</v>
      </c>
    </row>
    <row r="10" spans="1:9" ht="14.25">
      <c r="A10" s="93" t="str">
        <f>HLOOKUP(INDICE!$F$2,Nombres!$C$3:$D$636,35,FALSE)</f>
        <v>Resultados de operaciones financieras</v>
      </c>
      <c r="B10" s="44">
        <v>-7.082427110000005</v>
      </c>
      <c r="C10" s="44">
        <v>-66.65653275000001</v>
      </c>
      <c r="D10" s="44">
        <v>20.24675006999999</v>
      </c>
      <c r="E10" s="45">
        <v>-0.6674617699999814</v>
      </c>
      <c r="F10" s="44">
        <v>179.27251779000002</v>
      </c>
      <c r="G10" s="44">
        <v>5.385163330000026</v>
      </c>
      <c r="H10" s="44">
        <v>-9.173117039999969</v>
      </c>
      <c r="I10" s="44">
        <v>0</v>
      </c>
    </row>
    <row r="11" spans="1:9" ht="14.25">
      <c r="A11" s="93" t="str">
        <f>HLOOKUP(INDICE!$F$2,Nombres!$C$3:$D$636,36,FALSE)</f>
        <v>Otros ingresos y cargas de explotación</v>
      </c>
      <c r="B11" s="44">
        <v>-14.18724622999991</v>
      </c>
      <c r="C11" s="44">
        <v>27.609930409999986</v>
      </c>
      <c r="D11" s="44">
        <v>-13.858165129999756</v>
      </c>
      <c r="E11" s="45">
        <v>21.813947039999814</v>
      </c>
      <c r="F11" s="44">
        <v>-18.577007720000022</v>
      </c>
      <c r="G11" s="44">
        <v>36.3655149500001</v>
      </c>
      <c r="H11" s="44">
        <v>-15.346043260000041</v>
      </c>
      <c r="I11" s="44">
        <v>0</v>
      </c>
    </row>
    <row r="12" spans="1:9" ht="14.25">
      <c r="A12" s="41" t="str">
        <f>HLOOKUP(INDICE!$F$2,Nombres!$C$3:$D$636,37,FALSE)</f>
        <v>Margen bruto</v>
      </c>
      <c r="B12" s="41">
        <f aca="true" t="shared" si="0" ref="B12:I12">+SUM(B8:B11)</f>
        <v>-107.1197414699999</v>
      </c>
      <c r="C12" s="41">
        <f t="shared" si="0"/>
        <v>-128.98589832000016</v>
      </c>
      <c r="D12" s="41">
        <f t="shared" si="0"/>
        <v>-71.83125231999968</v>
      </c>
      <c r="E12" s="42">
        <f t="shared" si="0"/>
        <v>-30.744130670000057</v>
      </c>
      <c r="F12" s="52">
        <f t="shared" si="0"/>
        <v>110.62360152999999</v>
      </c>
      <c r="G12" s="52">
        <f t="shared" si="0"/>
        <v>-12.488936479999865</v>
      </c>
      <c r="H12" s="52">
        <f t="shared" si="0"/>
        <v>-72.57426799000001</v>
      </c>
      <c r="I12" s="52">
        <f t="shared" si="0"/>
        <v>0</v>
      </c>
    </row>
    <row r="13" spans="1:9" ht="14.25">
      <c r="A13" s="93" t="str">
        <f>HLOOKUP(INDICE!$F$2,Nombres!$C$3:$D$636,38,FALSE)</f>
        <v>Gastos de explotación</v>
      </c>
      <c r="B13" s="44">
        <v>-239.22367236999992</v>
      </c>
      <c r="C13" s="44">
        <v>-242.64725223000005</v>
      </c>
      <c r="D13" s="44">
        <v>-235.67846481</v>
      </c>
      <c r="E13" s="45">
        <v>-237.41102722000005</v>
      </c>
      <c r="F13" s="44">
        <v>-208.44572448</v>
      </c>
      <c r="G13" s="44">
        <v>-197.11664655000004</v>
      </c>
      <c r="H13" s="44">
        <v>-204.11793246000002</v>
      </c>
      <c r="I13" s="44">
        <v>0</v>
      </c>
    </row>
    <row r="14" spans="1:9" ht="14.25">
      <c r="A14" s="93" t="str">
        <f>HLOOKUP(INDICE!$F$2,Nombres!$C$3:$D$636,39,FALSE)</f>
        <v>  Gastos de administración</v>
      </c>
      <c r="B14" s="44">
        <v>-195.86437584999993</v>
      </c>
      <c r="C14" s="44">
        <v>-195.16212272</v>
      </c>
      <c r="D14" s="44">
        <v>-186.1363253</v>
      </c>
      <c r="E14" s="45">
        <v>-187.47199971</v>
      </c>
      <c r="F14" s="44">
        <v>-160.76872697</v>
      </c>
      <c r="G14" s="44">
        <v>-149.06958604</v>
      </c>
      <c r="H14" s="44">
        <v>-155.42715493000003</v>
      </c>
      <c r="I14" s="44">
        <v>0</v>
      </c>
    </row>
    <row r="15" spans="1:9" ht="14.25">
      <c r="A15" s="94" t="str">
        <f>HLOOKUP(INDICE!$F$2,Nombres!$C$3:$D$636,40,FALSE)</f>
        <v>  Gastos de personal</v>
      </c>
      <c r="B15" s="44">
        <v>-133.07256863000003</v>
      </c>
      <c r="C15" s="44">
        <v>-147.28082106000002</v>
      </c>
      <c r="D15" s="44">
        <v>-144.29075862</v>
      </c>
      <c r="E15" s="45">
        <v>-166.61307220999998</v>
      </c>
      <c r="F15" s="44">
        <v>-116.87686519</v>
      </c>
      <c r="G15" s="44">
        <v>-115.19885703000001</v>
      </c>
      <c r="H15" s="44">
        <v>-125.96811097</v>
      </c>
      <c r="I15" s="44">
        <v>0</v>
      </c>
    </row>
    <row r="16" spans="1:9" ht="14.25">
      <c r="A16" s="94" t="str">
        <f>HLOOKUP(INDICE!$F$2,Nombres!$C$3:$D$636,41,FALSE)</f>
        <v>  Otros gastos de administración</v>
      </c>
      <c r="B16" s="44">
        <v>-62.79180721999998</v>
      </c>
      <c r="C16" s="44">
        <v>-47.88130166000002</v>
      </c>
      <c r="D16" s="44">
        <v>-41.84556668</v>
      </c>
      <c r="E16" s="45">
        <v>-20.858927499999993</v>
      </c>
      <c r="F16" s="44">
        <v>-43.891861779999985</v>
      </c>
      <c r="G16" s="44">
        <v>-33.870729010000005</v>
      </c>
      <c r="H16" s="44">
        <v>-29.459043960000013</v>
      </c>
      <c r="I16" s="44">
        <v>0</v>
      </c>
    </row>
    <row r="17" spans="1:9" ht="14.25">
      <c r="A17" s="93" t="str">
        <f>HLOOKUP(INDICE!$F$2,Nombres!$C$3:$D$636,42,FALSE)</f>
        <v>  Amortización</v>
      </c>
      <c r="B17" s="44">
        <v>-43.35929652</v>
      </c>
      <c r="C17" s="44">
        <v>-47.48512950999999</v>
      </c>
      <c r="D17" s="44">
        <v>-49.54213950999999</v>
      </c>
      <c r="E17" s="45">
        <v>-49.93902751000002</v>
      </c>
      <c r="F17" s="44">
        <v>-47.67699751000001</v>
      </c>
      <c r="G17" s="44">
        <v>-48.04706051</v>
      </c>
      <c r="H17" s="44">
        <v>-48.69077753000001</v>
      </c>
      <c r="I17" s="44">
        <v>0</v>
      </c>
    </row>
    <row r="18" spans="1:9" ht="14.25">
      <c r="A18" s="41" t="str">
        <f>HLOOKUP(INDICE!$F$2,Nombres!$C$3:$D$636,43,FALSE)</f>
        <v>Margen neto</v>
      </c>
      <c r="B18" s="41">
        <f aca="true" t="shared" si="1" ref="B18:I18">+B12+B13</f>
        <v>-346.3434138399998</v>
      </c>
      <c r="C18" s="41">
        <f t="shared" si="1"/>
        <v>-371.6331505500002</v>
      </c>
      <c r="D18" s="41">
        <f t="shared" si="1"/>
        <v>-307.5097171299997</v>
      </c>
      <c r="E18" s="42">
        <f t="shared" si="1"/>
        <v>-268.1551578900001</v>
      </c>
      <c r="F18" s="52">
        <f t="shared" si="1"/>
        <v>-97.82212295000001</v>
      </c>
      <c r="G18" s="52">
        <f t="shared" si="1"/>
        <v>-209.6055830299999</v>
      </c>
      <c r="H18" s="52">
        <f t="shared" si="1"/>
        <v>-276.69220045000003</v>
      </c>
      <c r="I18" s="52">
        <f t="shared" si="1"/>
        <v>0</v>
      </c>
    </row>
    <row r="19" spans="1:9" ht="14.25">
      <c r="A19" s="93" t="str">
        <f>HLOOKUP(INDICE!$F$2,Nombres!$C$3:$D$636,44,FALSE)</f>
        <v>Deterioro de activos financieros no valorados a valor razonable con cambios en resultados</v>
      </c>
      <c r="B19" s="44">
        <v>-0.5973598299999883</v>
      </c>
      <c r="C19" s="44">
        <v>0.3061079799999843</v>
      </c>
      <c r="D19" s="44">
        <v>0.6034018499999794</v>
      </c>
      <c r="E19" s="45">
        <v>-0.3501092100000318</v>
      </c>
      <c r="F19" s="44">
        <v>-0.025039080000000262</v>
      </c>
      <c r="G19" s="44">
        <v>0.43924342000000044</v>
      </c>
      <c r="H19" s="44">
        <v>-0.002546639999999814</v>
      </c>
      <c r="I19" s="44">
        <v>0</v>
      </c>
    </row>
    <row r="20" spans="1:9" ht="14.25">
      <c r="A20" s="93" t="str">
        <f>HLOOKUP(INDICE!$F$2,Nombres!$C$3:$D$636,45,FALSE)</f>
        <v>Provisiones o reversión de provisiones y otros resultados</v>
      </c>
      <c r="B20" s="44">
        <v>-22.88187191</v>
      </c>
      <c r="C20" s="44">
        <v>-20.91864622000001</v>
      </c>
      <c r="D20" s="44">
        <v>-19.961632140000006</v>
      </c>
      <c r="E20" s="45">
        <v>-1417.3191894699999</v>
      </c>
      <c r="F20" s="44">
        <v>-2108.7585248799996</v>
      </c>
      <c r="G20" s="44">
        <v>-84.41909053</v>
      </c>
      <c r="H20" s="44">
        <v>-122.92274700999998</v>
      </c>
      <c r="I20" s="44">
        <v>0</v>
      </c>
    </row>
    <row r="21" spans="1:9" ht="14.25">
      <c r="A21" s="95" t="str">
        <f>HLOOKUP(INDICE!$F$2,Nombres!$C$3:$D$636,46,FALSE)</f>
        <v>Resultado antes de impuestos</v>
      </c>
      <c r="B21" s="41">
        <f aca="true" t="shared" si="2" ref="B21:I21">+B18+B19+B20</f>
        <v>-369.82264557999986</v>
      </c>
      <c r="C21" s="41">
        <f t="shared" si="2"/>
        <v>-392.24568879000026</v>
      </c>
      <c r="D21" s="41">
        <f t="shared" si="2"/>
        <v>-326.8679474199997</v>
      </c>
      <c r="E21" s="42">
        <f t="shared" si="2"/>
        <v>-1685.82445657</v>
      </c>
      <c r="F21" s="52">
        <f t="shared" si="2"/>
        <v>-2206.60568691</v>
      </c>
      <c r="G21" s="52">
        <f t="shared" si="2"/>
        <v>-293.5854301399999</v>
      </c>
      <c r="H21" s="52">
        <f t="shared" si="2"/>
        <v>-399.6174941</v>
      </c>
      <c r="I21" s="52">
        <f t="shared" si="2"/>
        <v>0</v>
      </c>
    </row>
    <row r="22" spans="1:9" ht="14.25">
      <c r="A22" s="43" t="str">
        <f>HLOOKUP(INDICE!$F$2,Nombres!$C$3:$D$636,47,FALSE)</f>
        <v>Impuesto sobre beneficios</v>
      </c>
      <c r="B22" s="44">
        <v>102.02234372000002</v>
      </c>
      <c r="C22" s="44">
        <v>54.053979949999984</v>
      </c>
      <c r="D22" s="44">
        <v>46.79826347999998</v>
      </c>
      <c r="E22" s="45">
        <v>55.01597262999999</v>
      </c>
      <c r="F22" s="44">
        <v>40.65929118000001</v>
      </c>
      <c r="G22" s="44">
        <v>44.391040210000035</v>
      </c>
      <c r="H22" s="44">
        <v>115.85251007999999</v>
      </c>
      <c r="I22" s="44">
        <v>0</v>
      </c>
    </row>
    <row r="23" spans="1:9" ht="14.25">
      <c r="A23" s="95" t="str">
        <f>HLOOKUP(INDICE!$F$2,Nombres!$C$3:$D$636,99,FALSE)</f>
        <v>Resultado después de impuestos de operaciones continuadas</v>
      </c>
      <c r="B23" s="41">
        <f aca="true" t="shared" si="3" ref="B23:I23">+B21+B22</f>
        <v>-267.8003018599998</v>
      </c>
      <c r="C23" s="41">
        <f t="shared" si="3"/>
        <v>-338.1917088400003</v>
      </c>
      <c r="D23" s="41">
        <f t="shared" si="3"/>
        <v>-280.0696839399997</v>
      </c>
      <c r="E23" s="42">
        <f t="shared" si="3"/>
        <v>-1630.8084839399999</v>
      </c>
      <c r="F23" s="52">
        <f t="shared" si="3"/>
        <v>-2165.94639573</v>
      </c>
      <c r="G23" s="52">
        <f t="shared" si="3"/>
        <v>-249.1943899299999</v>
      </c>
      <c r="H23" s="52">
        <f t="shared" si="3"/>
        <v>-283.76498402</v>
      </c>
      <c r="I23" s="52">
        <f t="shared" si="3"/>
        <v>0</v>
      </c>
    </row>
    <row r="24" spans="1:9" ht="14.25">
      <c r="A24" s="43" t="str">
        <f>HLOOKUP(INDICE!$F$2,Nombres!$C$3:$D$636,100,FALSE)</f>
        <v>Resultado de operaciones corporativas</v>
      </c>
      <c r="B24" s="44">
        <v>0</v>
      </c>
      <c r="C24" s="44">
        <v>0</v>
      </c>
      <c r="D24" s="44">
        <v>0</v>
      </c>
      <c r="E24" s="45">
        <v>0</v>
      </c>
      <c r="F24" s="44">
        <v>0</v>
      </c>
      <c r="G24" s="44">
        <v>0</v>
      </c>
      <c r="H24" s="44">
        <v>0</v>
      </c>
      <c r="I24" s="44">
        <v>0</v>
      </c>
    </row>
    <row r="25" spans="1:9" ht="14.25">
      <c r="A25" s="95" t="str">
        <f>HLOOKUP(INDICE!$F$2,Nombres!$C$3:$D$636,48,FALSE)</f>
        <v>Resultado del ejercicio</v>
      </c>
      <c r="B25" s="41">
        <f aca="true" t="shared" si="4" ref="B25:I25">+B23+B24</f>
        <v>-267.8003018599998</v>
      </c>
      <c r="C25" s="41">
        <f t="shared" si="4"/>
        <v>-338.1917088400003</v>
      </c>
      <c r="D25" s="41">
        <f t="shared" si="4"/>
        <v>-280.0696839399997</v>
      </c>
      <c r="E25" s="42">
        <f t="shared" si="4"/>
        <v>-1630.8084839399999</v>
      </c>
      <c r="F25" s="52">
        <f t="shared" si="4"/>
        <v>-2165.94639573</v>
      </c>
      <c r="G25" s="52">
        <f t="shared" si="4"/>
        <v>-249.1943899299999</v>
      </c>
      <c r="H25" s="52">
        <f t="shared" si="4"/>
        <v>-283.76498402</v>
      </c>
      <c r="I25" s="52">
        <f t="shared" si="4"/>
        <v>0</v>
      </c>
    </row>
    <row r="26" spans="1:9" ht="14.25">
      <c r="A26" s="93" t="str">
        <f>HLOOKUP(INDICE!$F$2,Nombres!$C$3:$D$636,49,FALSE)</f>
        <v>Minoritarios</v>
      </c>
      <c r="B26" s="44">
        <v>-0.013468560000000074</v>
      </c>
      <c r="C26" s="44">
        <v>-10.470184240000002</v>
      </c>
      <c r="D26" s="44">
        <v>5.36667078</v>
      </c>
      <c r="E26" s="45">
        <v>5.335344</v>
      </c>
      <c r="F26" s="44">
        <v>-0.28234462999999976</v>
      </c>
      <c r="G26" s="44">
        <v>-0.51301793</v>
      </c>
      <c r="H26" s="44">
        <v>0.75410717</v>
      </c>
      <c r="I26" s="44">
        <v>0</v>
      </c>
    </row>
    <row r="27" spans="1:9" ht="14.25">
      <c r="A27" s="96" t="str">
        <f>HLOOKUP(INDICE!$F$2,Nombres!$C$3:$D$636,50,FALSE)</f>
        <v>Resultado atribuido</v>
      </c>
      <c r="B27" s="47">
        <f aca="true" t="shared" si="5" ref="B27:I27">+B25+B26</f>
        <v>-267.8137704199998</v>
      </c>
      <c r="C27" s="47">
        <f t="shared" si="5"/>
        <v>-348.66189308000025</v>
      </c>
      <c r="D27" s="47">
        <f t="shared" si="5"/>
        <v>-274.7030131599997</v>
      </c>
      <c r="E27" s="47">
        <f t="shared" si="5"/>
        <v>-1625.4731399399998</v>
      </c>
      <c r="F27" s="47">
        <f t="shared" si="5"/>
        <v>-2166.22874036</v>
      </c>
      <c r="G27" s="47">
        <f t="shared" si="5"/>
        <v>-249.70740785999988</v>
      </c>
      <c r="H27" s="47">
        <f t="shared" si="5"/>
        <v>-283.01087685</v>
      </c>
      <c r="I27" s="47">
        <f t="shared" si="5"/>
        <v>0</v>
      </c>
    </row>
    <row r="28" spans="1:9" ht="14.25">
      <c r="A28" s="294" t="s">
        <v>5</v>
      </c>
      <c r="B28" s="48"/>
      <c r="C28" s="48"/>
      <c r="D28" s="48"/>
      <c r="E28" s="48"/>
      <c r="F28" s="48"/>
      <c r="G28" s="48"/>
      <c r="H28" s="48" t="s">
        <v>433</v>
      </c>
      <c r="I28" s="48"/>
    </row>
    <row r="29" spans="1:9" ht="14.25">
      <c r="A29" s="96" t="str">
        <f>HLOOKUP(INDICE!$F$2,Nombres!$C$3:$D$636,258,FALSE)</f>
        <v>Resultado atribuido sin el deterioro del fondo de comercio de Estados Unidos (*)</v>
      </c>
      <c r="B29" s="47">
        <v>-267.81377041999997</v>
      </c>
      <c r="C29" s="47">
        <v>-348.66189308000014</v>
      </c>
      <c r="D29" s="47">
        <v>-274.7030131599998</v>
      </c>
      <c r="E29" s="47">
        <v>-307.5611526400001</v>
      </c>
      <c r="F29" s="47">
        <v>-82.0717403600004</v>
      </c>
      <c r="G29" s="47">
        <v>-249.70740785999993</v>
      </c>
      <c r="H29" s="47">
        <v>-283.01087685000005</v>
      </c>
      <c r="I29" s="47">
        <v>0</v>
      </c>
    </row>
    <row r="30" spans="1:9" ht="14.25">
      <c r="A30" s="48"/>
      <c r="B30" s="48"/>
      <c r="C30" s="48"/>
      <c r="D30" s="48"/>
      <c r="E30" s="48"/>
      <c r="F30" s="48"/>
      <c r="G30" s="48"/>
      <c r="H30" s="48"/>
      <c r="I30" s="48"/>
    </row>
    <row r="31" spans="1:9" ht="14.25">
      <c r="A31" s="41"/>
      <c r="B31" s="66">
        <v>0</v>
      </c>
      <c r="C31" s="66">
        <v>0</v>
      </c>
      <c r="D31" s="66">
        <v>0</v>
      </c>
      <c r="E31" s="66">
        <v>0</v>
      </c>
      <c r="F31" s="66">
        <v>0</v>
      </c>
      <c r="G31" s="66">
        <v>0</v>
      </c>
      <c r="H31" s="66">
        <v>0</v>
      </c>
      <c r="I31" s="66">
        <v>0</v>
      </c>
    </row>
    <row r="32" spans="1:9" ht="14.25">
      <c r="A32" s="41"/>
      <c r="B32" s="41"/>
      <c r="C32" s="41"/>
      <c r="D32" s="41"/>
      <c r="E32" s="41"/>
      <c r="F32" s="41"/>
      <c r="G32" s="41"/>
      <c r="H32" s="41"/>
      <c r="I32" s="41"/>
    </row>
    <row r="33" spans="1:9" ht="16.5">
      <c r="A33" s="98" t="str">
        <f>HLOOKUP(INDICE!$F$2,Nombres!$C$3:$D$636,51,FALSE)</f>
        <v>Balances</v>
      </c>
      <c r="B33" s="34"/>
      <c r="C33" s="34"/>
      <c r="D33" s="34"/>
      <c r="E33" s="34"/>
      <c r="F33" s="85"/>
      <c r="G33" s="85"/>
      <c r="H33" s="85"/>
      <c r="I33" s="85"/>
    </row>
    <row r="34" spans="1:9" ht="14.25">
      <c r="A34" s="89" t="str">
        <f>HLOOKUP(INDICE!$F$2,Nombres!$C$3:$D$636,32,FALSE)</f>
        <v>(Millones de euros)</v>
      </c>
      <c r="B34" s="30"/>
      <c r="C34" s="54"/>
      <c r="D34" s="54"/>
      <c r="E34" s="54"/>
      <c r="F34" s="83"/>
      <c r="G34" s="81"/>
      <c r="H34" s="81"/>
      <c r="I34" s="81"/>
    </row>
    <row r="35" spans="1:9" ht="14.25">
      <c r="A35" s="30"/>
      <c r="B35" s="55">
        <f>+España!B30</f>
        <v>43555</v>
      </c>
      <c r="C35" s="55">
        <f>+España!C30</f>
        <v>43646</v>
      </c>
      <c r="D35" s="55">
        <f>+España!D30</f>
        <v>43738</v>
      </c>
      <c r="E35" s="71">
        <f>+España!E30</f>
        <v>43830</v>
      </c>
      <c r="F35" s="55">
        <f>+España!F30</f>
        <v>43921</v>
      </c>
      <c r="G35" s="55">
        <f>+España!G30</f>
        <v>44012</v>
      </c>
      <c r="H35" s="55">
        <f>+España!H30</f>
        <v>44104</v>
      </c>
      <c r="I35" s="55">
        <f>+España!I30</f>
        <v>44196</v>
      </c>
    </row>
    <row r="36" spans="1:9" ht="14.25">
      <c r="A36" s="93" t="str">
        <f>HLOOKUP(INDICE!$F$2,Nombres!$C$3:$D$636,52,FALSE)</f>
        <v>Efectivo, saldos en efectivo en bancos centrales y otros depósitos a la vista</v>
      </c>
      <c r="B36" s="44">
        <v>745.089697</v>
      </c>
      <c r="C36" s="44">
        <v>932.5133789999999</v>
      </c>
      <c r="D36" s="44">
        <v>811.111436</v>
      </c>
      <c r="E36" s="45">
        <v>835.6723989999998</v>
      </c>
      <c r="F36" s="44">
        <v>767.051283</v>
      </c>
      <c r="G36" s="44">
        <v>836.83579</v>
      </c>
      <c r="H36" s="44">
        <v>770.932184</v>
      </c>
      <c r="I36" s="44">
        <v>0</v>
      </c>
    </row>
    <row r="37" spans="1:9" ht="14.25">
      <c r="A37" s="93" t="str">
        <f>HLOOKUP(INDICE!$F$2,Nombres!$C$3:$D$636,53,FALSE)</f>
        <v>Activos financieros a valor razonable</v>
      </c>
      <c r="B37" s="60">
        <v>2731.81813044</v>
      </c>
      <c r="C37" s="60">
        <v>2615.13965364</v>
      </c>
      <c r="D37" s="60">
        <v>2609.87743387</v>
      </c>
      <c r="E37" s="68">
        <v>2457.83169337</v>
      </c>
      <c r="F37" s="60">
        <v>1967.3255466399999</v>
      </c>
      <c r="G37" s="60">
        <v>1865.0180540599997</v>
      </c>
      <c r="H37" s="60">
        <v>1444.16000046</v>
      </c>
      <c r="I37" s="60">
        <v>0</v>
      </c>
    </row>
    <row r="38" spans="1:9" ht="14.25">
      <c r="A38" s="43" t="str">
        <f>HLOOKUP(INDICE!$F$2,Nombres!$C$3:$D$636,54,FALSE)</f>
        <v>Activos financieros a coste amortizado</v>
      </c>
      <c r="B38" s="44">
        <v>2293.294945</v>
      </c>
      <c r="C38" s="44">
        <v>2034.1105749999997</v>
      </c>
      <c r="D38" s="44">
        <v>1838.6541380000003</v>
      </c>
      <c r="E38" s="45">
        <v>2480.110819</v>
      </c>
      <c r="F38" s="44">
        <v>2051.56837</v>
      </c>
      <c r="G38" s="44">
        <v>2087.25359643</v>
      </c>
      <c r="H38" s="44">
        <v>1944.4303</v>
      </c>
      <c r="I38" s="44">
        <v>0</v>
      </c>
    </row>
    <row r="39" spans="1:9" ht="14.25">
      <c r="A39" s="93" t="str">
        <f>HLOOKUP(INDICE!$F$2,Nombres!$C$3:$D$636,55,FALSE)</f>
        <v>    de los que préstamos y anticipos a la clientela</v>
      </c>
      <c r="B39" s="44">
        <v>551.234774</v>
      </c>
      <c r="C39" s="44">
        <v>348.55393200000003</v>
      </c>
      <c r="D39" s="44">
        <v>125.283401</v>
      </c>
      <c r="E39" s="45">
        <v>812.6708549999998</v>
      </c>
      <c r="F39" s="44">
        <v>353.145773</v>
      </c>
      <c r="G39" s="44">
        <v>425.25061243</v>
      </c>
      <c r="H39" s="44">
        <v>279.036984</v>
      </c>
      <c r="I39" s="44">
        <v>0</v>
      </c>
    </row>
    <row r="40" spans="1:9" ht="14.25">
      <c r="A40" s="93" t="str">
        <f>HLOOKUP(INDICE!$F$2,Nombres!$C$3:$D$636,121,FALSE)</f>
        <v>Posiciones inter-áreas activo</v>
      </c>
      <c r="B40" s="44">
        <v>19919.67022908001</v>
      </c>
      <c r="C40" s="44">
        <v>18393.13173137991</v>
      </c>
      <c r="D40" s="44">
        <v>20926.61621516009</v>
      </c>
      <c r="E40" s="45">
        <v>21477.364822870022</v>
      </c>
      <c r="F40" s="44">
        <v>15432.905243399968</v>
      </c>
      <c r="G40" s="44">
        <v>15675.928065</v>
      </c>
      <c r="H40" s="44">
        <v>16721.27521705</v>
      </c>
      <c r="I40" s="44">
        <v>0</v>
      </c>
    </row>
    <row r="41" spans="1:9" ht="14.25">
      <c r="A41" s="43" t="str">
        <f>HLOOKUP(INDICE!$F$2,Nombres!$C$3:$D$636,56,FALSE)</f>
        <v>Activos tangibles</v>
      </c>
      <c r="B41" s="44">
        <v>2253.623345</v>
      </c>
      <c r="C41" s="44">
        <v>2232.247159</v>
      </c>
      <c r="D41" s="44">
        <v>2217.0669860000003</v>
      </c>
      <c r="E41" s="45">
        <v>2240.451533</v>
      </c>
      <c r="F41" s="44">
        <v>2176.8377530000002</v>
      </c>
      <c r="G41" s="44">
        <v>2126.446539</v>
      </c>
      <c r="H41" s="44">
        <v>2121.304177</v>
      </c>
      <c r="I41" s="44">
        <v>0</v>
      </c>
    </row>
    <row r="42" spans="1:9" ht="14.25">
      <c r="A42" s="93" t="str">
        <f>HLOOKUP(INDICE!$F$2,Nombres!$C$3:$D$636,57,FALSE)</f>
        <v>Otros activos</v>
      </c>
      <c r="B42" s="44">
        <v>21229.943243790003</v>
      </c>
      <c r="C42" s="44">
        <v>21546.21421457</v>
      </c>
      <c r="D42" s="44">
        <v>22053.14976357</v>
      </c>
      <c r="E42" s="45">
        <v>20394.30068737</v>
      </c>
      <c r="F42" s="44">
        <v>18830.908752589996</v>
      </c>
      <c r="G42" s="44">
        <v>17952.61036594</v>
      </c>
      <c r="H42" s="44">
        <v>17793.350996540004</v>
      </c>
      <c r="I42" s="44">
        <v>0</v>
      </c>
    </row>
    <row r="43" spans="1:9" ht="14.25">
      <c r="A43" s="96" t="str">
        <f>HLOOKUP(INDICE!$F$2,Nombres!$C$3:$D$636,58,FALSE)</f>
        <v>Total activo / pasivo</v>
      </c>
      <c r="B43" s="53">
        <f aca="true" t="shared" si="6" ref="B43:I43">+B36+B37+B38+B40+B41+B42</f>
        <v>49173.43959031001</v>
      </c>
      <c r="C43" s="53">
        <f t="shared" si="6"/>
        <v>47753.35671258991</v>
      </c>
      <c r="D43" s="53">
        <f t="shared" si="6"/>
        <v>50456.47597260009</v>
      </c>
      <c r="E43" s="84">
        <f t="shared" si="6"/>
        <v>49885.73195461002</v>
      </c>
      <c r="F43" s="53">
        <f t="shared" si="6"/>
        <v>41226.596948629965</v>
      </c>
      <c r="G43" s="53">
        <f t="shared" si="6"/>
        <v>40544.09241043</v>
      </c>
      <c r="H43" s="53">
        <f t="shared" si="6"/>
        <v>40795.45287505</v>
      </c>
      <c r="I43" s="53">
        <f t="shared" si="6"/>
        <v>0</v>
      </c>
    </row>
    <row r="44" spans="1:9" ht="15.75" customHeight="1">
      <c r="A44" s="93" t="str">
        <f>HLOOKUP(INDICE!$F$2,Nombres!$C$3:$D$636,59,FALSE)</f>
        <v>Pasivos financieros mantenidos para negociar y designados a valor razonable con cambios en resultados</v>
      </c>
      <c r="B44" s="44">
        <v>18.371876000000004</v>
      </c>
      <c r="C44" s="44">
        <v>15.533834999999998</v>
      </c>
      <c r="D44" s="44">
        <v>16.43706</v>
      </c>
      <c r="E44" s="45">
        <v>13.631288</v>
      </c>
      <c r="F44" s="44">
        <v>93.19763200000001</v>
      </c>
      <c r="G44" s="44">
        <v>25.941499</v>
      </c>
      <c r="H44" s="44">
        <v>25.695251999999996</v>
      </c>
      <c r="I44" s="44">
        <v>0</v>
      </c>
    </row>
    <row r="45" spans="1:9" ht="14.25">
      <c r="A45" s="93" t="str">
        <f>HLOOKUP(INDICE!$F$2,Nombres!$C$3:$D$636,60,FALSE)</f>
        <v>Depósitos de bancos centrales y entidades de crédito</v>
      </c>
      <c r="B45" s="44">
        <v>740.9120859999999</v>
      </c>
      <c r="C45" s="44">
        <v>873.9512100000001</v>
      </c>
      <c r="D45" s="44">
        <v>738.4457179999998</v>
      </c>
      <c r="E45" s="45">
        <v>717.619929</v>
      </c>
      <c r="F45" s="44">
        <v>850.5306330000001</v>
      </c>
      <c r="G45" s="44">
        <v>870.126812</v>
      </c>
      <c r="H45" s="44">
        <v>861.3275210000002</v>
      </c>
      <c r="I45" s="44">
        <v>0</v>
      </c>
    </row>
    <row r="46" spans="1:9" ht="14.25">
      <c r="A46" s="93" t="str">
        <f>HLOOKUP(INDICE!$F$2,Nombres!$C$3:$D$636,61,FALSE)</f>
        <v>Depósitos de la clientela</v>
      </c>
      <c r="B46" s="44">
        <v>280.45407700000004</v>
      </c>
      <c r="C46" s="44">
        <v>302.49584699999997</v>
      </c>
      <c r="D46" s="44">
        <v>311.15812400000004</v>
      </c>
      <c r="E46" s="45">
        <v>307.93291500000004</v>
      </c>
      <c r="F46" s="44">
        <v>323.058317</v>
      </c>
      <c r="G46" s="44">
        <v>308.463854</v>
      </c>
      <c r="H46" s="44">
        <v>297.68499699999995</v>
      </c>
      <c r="I46" s="44">
        <v>0</v>
      </c>
    </row>
    <row r="47" spans="1:9" ht="14.25">
      <c r="A47" s="43" t="str">
        <f>HLOOKUP(INDICE!$F$2,Nombres!$C$3:$D$636,62,FALSE)</f>
        <v>Valores representativos de deuda emitidos</v>
      </c>
      <c r="B47" s="44">
        <v>8520.50442907</v>
      </c>
      <c r="C47" s="44">
        <v>6944.87871581</v>
      </c>
      <c r="D47" s="44">
        <v>7985.237321109998</v>
      </c>
      <c r="E47" s="45">
        <v>7763.6457979000015</v>
      </c>
      <c r="F47" s="44">
        <v>7168.7442124</v>
      </c>
      <c r="G47" s="44">
        <v>7078.95323022</v>
      </c>
      <c r="H47" s="44">
        <v>8232.24657078</v>
      </c>
      <c r="I47" s="44">
        <v>0</v>
      </c>
    </row>
    <row r="48" spans="1:9" ht="14.25">
      <c r="A48" s="93" t="str">
        <f>HLOOKUP(INDICE!$F$2,Nombres!$C$3:$D$636,122,FALSE)</f>
        <v>Posiciones inter-áreas pasivo</v>
      </c>
      <c r="B48" s="44">
        <v>0</v>
      </c>
      <c r="C48" s="44">
        <v>0</v>
      </c>
      <c r="D48" s="44">
        <v>0</v>
      </c>
      <c r="E48" s="45">
        <v>0</v>
      </c>
      <c r="F48" s="44">
        <v>0</v>
      </c>
      <c r="G48" s="44">
        <v>0</v>
      </c>
      <c r="H48" s="44">
        <v>0</v>
      </c>
      <c r="I48" s="44">
        <v>0</v>
      </c>
    </row>
    <row r="49" spans="1:9" ht="14.25">
      <c r="A49" s="43" t="str">
        <f>HLOOKUP(INDICE!$F$2,Nombres!$C$3:$D$636,63,FALSE)</f>
        <v>Otros pasivos</v>
      </c>
      <c r="B49" s="44">
        <f>+B43-B44-B45-B46-B47-B48-B51-B50</f>
        <v>8226.405609230042</v>
      </c>
      <c r="C49" s="44">
        <f>+C43-C44-C45-C46-C47-C48-C51-C50</f>
        <v>7368.610635970021</v>
      </c>
      <c r="D49" s="44">
        <f>+D43-D44-D45-D46-D47-D48-D51-D50</f>
        <v>7169.275524040051</v>
      </c>
      <c r="E49" s="45">
        <f>+E43-E44-E45-E46-E47-E48-E51-E50+0.3</f>
        <v>10147.527933979993</v>
      </c>
      <c r="F49" s="44">
        <f>+F43-F44-F45-F46-F47-F48-F51-F50</f>
        <v>8936.58931015995</v>
      </c>
      <c r="G49" s="44">
        <f>+G43-G44-G45-G46-G47-G48-G51-G50</f>
        <v>7837.097292190007</v>
      </c>
      <c r="H49" s="44">
        <f>+H43-H44-H45-H46-H47-H48-H51-H50</f>
        <v>7498.411473379994</v>
      </c>
      <c r="I49" s="44">
        <f>+I43-I44-I45-I46-I47-I48-I51-I50</f>
        <v>0</v>
      </c>
    </row>
    <row r="50" spans="1:9" ht="14.25">
      <c r="A50" s="93" t="str">
        <f>HLOOKUP(INDICE!$F$2,Nombres!$C$3:$D$636,64,FALSE)</f>
        <v>Dotación de capital económico</v>
      </c>
      <c r="B50" s="44">
        <f>-España!B45-EEUU!B45-Mexico!B43-Turquia!B43-AdS!B46-'Resto de Eurasia'!B45</f>
        <v>-22160.246491</v>
      </c>
      <c r="C50" s="44">
        <f>-España!C45-EEUU!C45-Mexico!C43-Turquia!C43-AdS!C46-'Resto de Eurasia'!C45</f>
        <v>-22441.952526189998</v>
      </c>
      <c r="D50" s="44">
        <f>-España!D45-EEUU!D45-Mexico!D43-Turquia!D43-AdS!D46-'Resto de Eurasia'!D45</f>
        <v>-22792.923772530004</v>
      </c>
      <c r="E50" s="45">
        <f>-España!E45-EEUU!E45-Mexico!E43-Turquia!E43-AdS!E46-'Resto de Eurasia'!E45</f>
        <v>-23989.25190324</v>
      </c>
      <c r="F50" s="44">
        <f>-España!F45-EEUU!F45-Mexico!F43-Turquia!F43-AdS!F46-'Resto de Eurasia'!F45</f>
        <v>-25317.314309989997</v>
      </c>
      <c r="G50" s="44">
        <f>-España!G45-EEUU!G45-Mexico!G43-Turquia!G43-AdS!G46-'Resto de Eurasia'!G45</f>
        <v>-25131.310283</v>
      </c>
      <c r="H50" s="44">
        <f>-España!H45-EEUU!H45-Mexico!H43-Turquia!H43-AdS!H46-'Resto de Eurasia'!H45</f>
        <v>-24641.43793308</v>
      </c>
      <c r="I50" s="44">
        <f>-España!I45-EEUU!I45-Mexico!I43-Turquia!I43-AdS!I46-'Resto de Eurasia'!I45</f>
        <v>0</v>
      </c>
    </row>
    <row r="51" spans="1:9" ht="14.25">
      <c r="A51" s="93" t="str">
        <f>HLOOKUP(INDICE!$F$2,Nombres!$C$3:$D$636,150,FALSE)</f>
        <v>Patrimonio neto</v>
      </c>
      <c r="B51" s="44">
        <v>53547.03800400997</v>
      </c>
      <c r="C51" s="44">
        <v>54689.83899499989</v>
      </c>
      <c r="D51" s="44">
        <v>57028.84599798005</v>
      </c>
      <c r="E51" s="45">
        <v>54924.92599397003</v>
      </c>
      <c r="F51" s="44">
        <v>49171.79115406</v>
      </c>
      <c r="G51" s="44">
        <v>49554.82000601999</v>
      </c>
      <c r="H51" s="44">
        <v>48521.524993970015</v>
      </c>
      <c r="I51" s="44">
        <v>0</v>
      </c>
    </row>
    <row r="52" spans="1:9" ht="14.25">
      <c r="A52" s="43"/>
      <c r="B52" s="60"/>
      <c r="C52" s="60"/>
      <c r="D52" s="60"/>
      <c r="E52" s="60"/>
      <c r="F52" s="60"/>
      <c r="G52" s="60"/>
      <c r="H52" s="60"/>
      <c r="I52" s="60"/>
    </row>
    <row r="53" spans="1:9" ht="14.25">
      <c r="A53" s="43"/>
      <c r="B53" s="60"/>
      <c r="C53" s="60"/>
      <c r="D53" s="60"/>
      <c r="E53" s="60"/>
      <c r="F53" s="60"/>
      <c r="G53" s="60"/>
      <c r="H53" s="60"/>
      <c r="I53" s="60"/>
    </row>
    <row r="54" spans="1:9" ht="14.25">
      <c r="A54" s="43"/>
      <c r="B54" s="60"/>
      <c r="C54" s="60"/>
      <c r="D54" s="60"/>
      <c r="E54" s="60"/>
      <c r="F54" s="44"/>
      <c r="G54" s="44"/>
      <c r="H54" s="44"/>
      <c r="I54" s="44"/>
    </row>
    <row r="55" spans="1:9" ht="14.25">
      <c r="A55" s="43"/>
      <c r="B55" s="30"/>
      <c r="C55" s="295"/>
      <c r="D55" s="30"/>
      <c r="E55" s="30"/>
      <c r="F55" s="73"/>
      <c r="G55" s="44"/>
      <c r="H55" s="44"/>
      <c r="I55" s="44"/>
    </row>
    <row r="56" spans="1:9" ht="14.25">
      <c r="A56" s="43"/>
      <c r="B56" s="30"/>
      <c r="C56" s="55"/>
      <c r="D56" s="55"/>
      <c r="E56" s="55"/>
      <c r="F56" s="55"/>
      <c r="G56" s="55"/>
      <c r="H56" s="55"/>
      <c r="I56" s="55"/>
    </row>
    <row r="57" spans="1:9" ht="14.25">
      <c r="A57" s="43"/>
      <c r="B57" s="44"/>
      <c r="C57" s="44"/>
      <c r="D57" s="44"/>
      <c r="E57" s="44"/>
      <c r="F57" s="44"/>
      <c r="G57" s="44"/>
      <c r="H57" s="44"/>
      <c r="I57" s="44"/>
    </row>
    <row r="58" spans="1:9" ht="14.25">
      <c r="A58" s="41"/>
      <c r="B58" s="44"/>
      <c r="C58" s="44"/>
      <c r="D58" s="44"/>
      <c r="E58" s="44"/>
      <c r="F58" s="44"/>
      <c r="G58" s="44"/>
      <c r="H58" s="44"/>
      <c r="I58" s="44"/>
    </row>
    <row r="59" spans="1:9" ht="14.25">
      <c r="A59" s="43"/>
      <c r="B59" s="44"/>
      <c r="C59" s="44"/>
      <c r="D59" s="44"/>
      <c r="E59" s="44"/>
      <c r="F59" s="44"/>
      <c r="G59" s="44"/>
      <c r="H59" s="44"/>
      <c r="I59" s="44"/>
    </row>
    <row r="60" spans="1:9" ht="14.25">
      <c r="A60" s="43"/>
      <c r="B60" s="44"/>
      <c r="D60" s="44"/>
      <c r="E60" s="44"/>
      <c r="F60" s="44"/>
      <c r="G60" s="44"/>
      <c r="H60" s="44"/>
      <c r="I60" s="44"/>
    </row>
    <row r="61" spans="1:9" ht="14.25">
      <c r="A61" s="43"/>
      <c r="B61" s="44"/>
      <c r="D61" s="44"/>
      <c r="E61" s="44"/>
      <c r="F61" s="44"/>
      <c r="G61" s="44"/>
      <c r="H61" s="44"/>
      <c r="I61" s="44"/>
    </row>
    <row r="62" spans="1:9" ht="14.25">
      <c r="A62" s="65"/>
      <c r="B62" s="60"/>
      <c r="D62" s="60"/>
      <c r="E62" s="60"/>
      <c r="F62" s="44"/>
      <c r="G62" s="44"/>
      <c r="H62" s="44"/>
      <c r="I62" s="44"/>
    </row>
    <row r="63" spans="1:9" ht="14.25">
      <c r="A63" s="65"/>
      <c r="B63" s="60"/>
      <c r="D63" s="30"/>
      <c r="E63" s="30"/>
      <c r="F63" s="73"/>
      <c r="G63" s="73"/>
      <c r="H63" s="73"/>
      <c r="I63" s="73"/>
    </row>
    <row r="64" spans="1:9" ht="14.25">
      <c r="A64" s="65"/>
      <c r="B64" s="60"/>
      <c r="D64" s="30"/>
      <c r="E64" s="30"/>
      <c r="F64" s="73"/>
      <c r="G64" s="73"/>
      <c r="H64" s="73"/>
      <c r="I64" s="73"/>
    </row>
    <row r="65" spans="2:9" ht="14.25">
      <c r="B65" s="56"/>
      <c r="C65" s="56"/>
      <c r="D65" s="56"/>
      <c r="E65" s="78"/>
      <c r="F65" s="99"/>
      <c r="G65" s="86"/>
      <c r="H65" s="86"/>
      <c r="I65" s="86"/>
    </row>
    <row r="66" spans="2:9" ht="14.25">
      <c r="B66" s="56"/>
      <c r="F66" s="86"/>
      <c r="G66" s="86"/>
      <c r="H66" s="86"/>
      <c r="I66" s="86"/>
    </row>
    <row r="67" spans="2:9" ht="14.25">
      <c r="B67" s="56"/>
      <c r="F67" s="86"/>
      <c r="G67" s="86"/>
      <c r="H67" s="86"/>
      <c r="I67" s="86"/>
    </row>
    <row r="68" spans="2:9" ht="14.25">
      <c r="B68" s="56"/>
      <c r="F68" s="86"/>
      <c r="G68" s="86"/>
      <c r="H68" s="86"/>
      <c r="I68" s="86"/>
    </row>
    <row r="69" spans="2:9" ht="14.25">
      <c r="B69" s="56"/>
      <c r="F69" s="86"/>
      <c r="G69" s="86"/>
      <c r="H69" s="86"/>
      <c r="I69" s="86"/>
    </row>
    <row r="70" spans="2:9" ht="14.25">
      <c r="B70" s="56"/>
      <c r="F70" s="86"/>
      <c r="G70" s="86"/>
      <c r="H70" s="86"/>
      <c r="I70" s="86"/>
    </row>
    <row r="71" spans="2:9" ht="14.25">
      <c r="B71" s="56"/>
      <c r="F71" s="86"/>
      <c r="G71" s="86"/>
      <c r="H71" s="86"/>
      <c r="I71" s="86"/>
    </row>
    <row r="72" spans="2:9" ht="14.25">
      <c r="B72" s="56"/>
      <c r="F72" s="86"/>
      <c r="G72" s="86"/>
      <c r="H72" s="86"/>
      <c r="I72" s="86"/>
    </row>
    <row r="73" spans="6:9" ht="14.25">
      <c r="F73" s="86"/>
      <c r="G73" s="86"/>
      <c r="H73" s="86"/>
      <c r="I73" s="86"/>
    </row>
    <row r="74" spans="6:9" ht="14.25">
      <c r="F74" s="86"/>
      <c r="G74" s="86"/>
      <c r="H74" s="86"/>
      <c r="I74" s="86"/>
    </row>
    <row r="75" spans="6:9" ht="14.25">
      <c r="F75" s="86"/>
      <c r="G75" s="86"/>
      <c r="H75" s="86"/>
      <c r="I75" s="86"/>
    </row>
    <row r="76" spans="6:9" ht="14.25">
      <c r="F76" s="86"/>
      <c r="G76" s="86"/>
      <c r="H76" s="86"/>
      <c r="I76" s="86"/>
    </row>
    <row r="77" spans="6:9" ht="14.25">
      <c r="F77" s="86"/>
      <c r="G77" s="86"/>
      <c r="H77" s="86"/>
      <c r="I77" s="86"/>
    </row>
    <row r="78" spans="6:9" ht="14.25">
      <c r="F78" s="86"/>
      <c r="G78" s="86"/>
      <c r="H78" s="86"/>
      <c r="I78" s="86"/>
    </row>
    <row r="79" spans="6:9" ht="14.25">
      <c r="F79" s="86"/>
      <c r="G79" s="86"/>
      <c r="H79" s="86"/>
      <c r="I79" s="86"/>
    </row>
    <row r="80" spans="6:9" ht="14.25">
      <c r="F80" s="86"/>
      <c r="G80" s="86"/>
      <c r="H80" s="86"/>
      <c r="I80" s="86"/>
    </row>
    <row r="81" spans="6:9" ht="14.25">
      <c r="F81" s="86"/>
      <c r="G81" s="86"/>
      <c r="H81" s="86"/>
      <c r="I81" s="86"/>
    </row>
    <row r="82" spans="6:9" ht="14.25">
      <c r="F82" s="86"/>
      <c r="G82" s="86"/>
      <c r="H82" s="86"/>
      <c r="I82" s="86"/>
    </row>
    <row r="83" spans="6:9" ht="14.25">
      <c r="F83" s="86"/>
      <c r="G83" s="86"/>
      <c r="H83" s="86"/>
      <c r="I83" s="86"/>
    </row>
    <row r="84" spans="6:9" ht="14.25">
      <c r="F84" s="86"/>
      <c r="G84" s="86"/>
      <c r="H84" s="86"/>
      <c r="I84" s="86"/>
    </row>
    <row r="85" spans="6:9" ht="14.25">
      <c r="F85" s="86"/>
      <c r="G85" s="86"/>
      <c r="H85" s="86"/>
      <c r="I85" s="86"/>
    </row>
    <row r="86" spans="6:9" ht="14.25">
      <c r="F86" s="86"/>
      <c r="G86" s="86"/>
      <c r="H86" s="86"/>
      <c r="I86" s="86"/>
    </row>
    <row r="87" spans="6:9" ht="14.25">
      <c r="F87" s="86"/>
      <c r="G87" s="86"/>
      <c r="H87" s="86"/>
      <c r="I87" s="86"/>
    </row>
    <row r="88" spans="6:9" ht="14.25">
      <c r="F88" s="86"/>
      <c r="G88" s="86"/>
      <c r="H88" s="86"/>
      <c r="I88" s="86"/>
    </row>
    <row r="89" spans="6:9" ht="14.25">
      <c r="F89" s="86"/>
      <c r="G89" s="86"/>
      <c r="H89" s="86"/>
      <c r="I89" s="86"/>
    </row>
    <row r="90" spans="6:9" ht="14.25">
      <c r="F90" s="86"/>
      <c r="G90" s="86"/>
      <c r="H90" s="86"/>
      <c r="I90" s="86"/>
    </row>
    <row r="91" spans="6:9" ht="14.25">
      <c r="F91" s="86"/>
      <c r="G91" s="86"/>
      <c r="H91" s="86"/>
      <c r="I91" s="86"/>
    </row>
    <row r="92" spans="6:9" ht="14.25">
      <c r="F92" s="86"/>
      <c r="G92" s="86"/>
      <c r="H92" s="86"/>
      <c r="I92" s="86"/>
    </row>
    <row r="93" spans="6:9" ht="14.25">
      <c r="F93" s="86"/>
      <c r="G93" s="86"/>
      <c r="H93" s="86"/>
      <c r="I93" s="86"/>
    </row>
    <row r="94" spans="6:9" ht="14.25">
      <c r="F94" s="86"/>
      <c r="G94" s="86"/>
      <c r="H94" s="86"/>
      <c r="I94" s="86"/>
    </row>
    <row r="95" spans="6:9" ht="14.25">
      <c r="F95" s="86"/>
      <c r="G95" s="86"/>
      <c r="H95" s="86"/>
      <c r="I95" s="86"/>
    </row>
    <row r="96" spans="6:9" ht="14.25">
      <c r="F96" s="86"/>
      <c r="G96" s="86"/>
      <c r="H96" s="86"/>
      <c r="I96" s="86"/>
    </row>
    <row r="97" spans="6:9" ht="14.25">
      <c r="F97" s="86"/>
      <c r="G97" s="86"/>
      <c r="H97" s="86"/>
      <c r="I97" s="86"/>
    </row>
    <row r="98" spans="6:9" ht="14.25">
      <c r="F98" s="86"/>
      <c r="G98" s="86"/>
      <c r="H98" s="86"/>
      <c r="I98" s="86"/>
    </row>
    <row r="99" spans="6:9" ht="14.25">
      <c r="F99" s="86"/>
      <c r="G99" s="86"/>
      <c r="H99" s="86"/>
      <c r="I99" s="86"/>
    </row>
    <row r="100" spans="6:9" ht="14.25">
      <c r="F100" s="86"/>
      <c r="G100" s="86"/>
      <c r="H100" s="86"/>
      <c r="I100" s="86"/>
    </row>
    <row r="101" spans="6:9" ht="14.25">
      <c r="F101" s="86"/>
      <c r="G101" s="86"/>
      <c r="H101" s="86"/>
      <c r="I101" s="86"/>
    </row>
    <row r="102" spans="6:9" ht="14.25">
      <c r="F102" s="86"/>
      <c r="G102" s="86"/>
      <c r="H102" s="86"/>
      <c r="I102" s="86"/>
    </row>
    <row r="103" spans="6:9" ht="14.25">
      <c r="F103" s="86"/>
      <c r="G103" s="86"/>
      <c r="H103" s="86"/>
      <c r="I103" s="86"/>
    </row>
    <row r="104" spans="6:9" ht="14.25">
      <c r="F104" s="86"/>
      <c r="G104" s="86"/>
      <c r="H104" s="86"/>
      <c r="I104" s="86"/>
    </row>
    <row r="105" spans="6:9" ht="14.25">
      <c r="F105" s="86"/>
      <c r="G105" s="86"/>
      <c r="H105" s="86"/>
      <c r="I105" s="86"/>
    </row>
    <row r="106" spans="6:9" ht="14.25">
      <c r="F106" s="86"/>
      <c r="G106" s="86"/>
      <c r="H106" s="86"/>
      <c r="I106" s="86"/>
    </row>
    <row r="107" spans="6:9" ht="14.25">
      <c r="F107" s="86"/>
      <c r="G107" s="86"/>
      <c r="H107" s="86"/>
      <c r="I107" s="86"/>
    </row>
    <row r="108" spans="6:9" ht="14.25">
      <c r="F108" s="86"/>
      <c r="G108" s="86"/>
      <c r="H108" s="86"/>
      <c r="I108" s="86"/>
    </row>
    <row r="109" spans="6:9" ht="14.25">
      <c r="F109" s="86"/>
      <c r="G109" s="86"/>
      <c r="H109" s="86"/>
      <c r="I109" s="86"/>
    </row>
    <row r="110" spans="6:9" ht="14.25">
      <c r="F110" s="86"/>
      <c r="G110" s="86"/>
      <c r="H110" s="86"/>
      <c r="I110" s="86"/>
    </row>
    <row r="119" spans="6:9" ht="14.25">
      <c r="F119" s="86"/>
      <c r="G119" s="86"/>
      <c r="H119" s="86"/>
      <c r="I119" s="86"/>
    </row>
    <row r="120" spans="6:9" ht="14.25">
      <c r="F120" s="86"/>
      <c r="G120" s="86"/>
      <c r="H120" s="86"/>
      <c r="I120" s="86"/>
    </row>
    <row r="121" spans="6:9" ht="14.25">
      <c r="F121" s="86"/>
      <c r="G121" s="86"/>
      <c r="H121" s="86"/>
      <c r="I121" s="86"/>
    </row>
    <row r="122" spans="6:9" ht="14.25">
      <c r="F122" s="86"/>
      <c r="G122" s="86"/>
      <c r="H122" s="86"/>
      <c r="I122" s="86"/>
    </row>
    <row r="123" spans="6:9" ht="14.25">
      <c r="F123" s="86"/>
      <c r="G123" s="86"/>
      <c r="H123" s="86"/>
      <c r="I123" s="86"/>
    </row>
    <row r="124" spans="6:9" ht="14.25">
      <c r="F124" s="86"/>
      <c r="G124" s="86"/>
      <c r="H124" s="86"/>
      <c r="I124" s="86"/>
    </row>
    <row r="125" spans="6:9" ht="14.25">
      <c r="F125" s="86"/>
      <c r="G125" s="86"/>
      <c r="H125" s="86"/>
      <c r="I125" s="86"/>
    </row>
    <row r="126" spans="6:9" ht="14.25">
      <c r="F126" s="86"/>
      <c r="G126" s="86"/>
      <c r="H126" s="86"/>
      <c r="I126" s="86"/>
    </row>
    <row r="127" spans="6:9" ht="14.25">
      <c r="F127" s="86"/>
      <c r="G127" s="86"/>
      <c r="H127" s="86"/>
      <c r="I127" s="86"/>
    </row>
    <row r="128" spans="6:9" ht="14.25">
      <c r="F128" s="86"/>
      <c r="G128" s="86"/>
      <c r="H128" s="86"/>
      <c r="I128" s="86"/>
    </row>
    <row r="129" spans="6:9" ht="14.25">
      <c r="F129" s="86"/>
      <c r="G129" s="86"/>
      <c r="H129" s="86"/>
      <c r="I129" s="86"/>
    </row>
    <row r="130" spans="6:9" ht="14.25">
      <c r="F130" s="86"/>
      <c r="G130" s="86"/>
      <c r="H130" s="86"/>
      <c r="I130" s="86"/>
    </row>
    <row r="131" spans="6:9" ht="14.25">
      <c r="F131" s="86"/>
      <c r="G131" s="86"/>
      <c r="H131" s="86"/>
      <c r="I131" s="86"/>
    </row>
    <row r="132" spans="6:9" ht="14.25">
      <c r="F132" s="86"/>
      <c r="G132" s="86"/>
      <c r="H132" s="86"/>
      <c r="I132" s="86"/>
    </row>
    <row r="133" spans="6:9" ht="14.25">
      <c r="F133" s="86"/>
      <c r="G133" s="86"/>
      <c r="H133" s="86"/>
      <c r="I133" s="86"/>
    </row>
    <row r="134" spans="6:9" ht="14.25">
      <c r="F134" s="86"/>
      <c r="G134" s="86"/>
      <c r="H134" s="86"/>
      <c r="I134" s="86"/>
    </row>
    <row r="135" spans="6:9" ht="14.25">
      <c r="F135" s="86"/>
      <c r="G135" s="86"/>
      <c r="H135" s="86"/>
      <c r="I135" s="86"/>
    </row>
    <row r="136" spans="6:9" ht="14.25">
      <c r="F136" s="86"/>
      <c r="G136" s="86"/>
      <c r="H136" s="86"/>
      <c r="I136" s="86"/>
    </row>
    <row r="137" spans="6:9" ht="14.25">
      <c r="F137" s="86"/>
      <c r="G137" s="86"/>
      <c r="H137" s="86"/>
      <c r="I137" s="86"/>
    </row>
    <row r="138" spans="6:9" ht="14.25">
      <c r="F138" s="86"/>
      <c r="G138" s="86"/>
      <c r="H138" s="86"/>
      <c r="I138" s="86"/>
    </row>
    <row r="139" spans="6:9" ht="14.25">
      <c r="F139" s="86"/>
      <c r="G139" s="86"/>
      <c r="H139" s="86"/>
      <c r="I139" s="86"/>
    </row>
    <row r="140" spans="6:9" ht="14.25">
      <c r="F140" s="86"/>
      <c r="G140" s="86"/>
      <c r="H140" s="86"/>
      <c r="I140" s="86"/>
    </row>
    <row r="141" spans="6:9" ht="14.25">
      <c r="F141" s="86"/>
      <c r="G141" s="86"/>
      <c r="H141" s="86"/>
      <c r="I141" s="86"/>
    </row>
    <row r="142" spans="6:9" ht="14.25">
      <c r="F142" s="86"/>
      <c r="G142" s="86"/>
      <c r="H142" s="86"/>
      <c r="I142" s="86"/>
    </row>
    <row r="143" spans="6:9" ht="14.25">
      <c r="F143" s="86"/>
      <c r="G143" s="86"/>
      <c r="H143" s="86"/>
      <c r="I143" s="86"/>
    </row>
    <row r="144" spans="6:9" ht="14.25">
      <c r="F144" s="86"/>
      <c r="G144" s="86"/>
      <c r="H144" s="86"/>
      <c r="I144" s="86"/>
    </row>
    <row r="145" spans="6:9" ht="14.25">
      <c r="F145" s="86"/>
      <c r="G145" s="86"/>
      <c r="H145" s="86"/>
      <c r="I145" s="86"/>
    </row>
    <row r="146" spans="6:9" ht="14.25">
      <c r="F146" s="86"/>
      <c r="G146" s="86"/>
      <c r="H146" s="86"/>
      <c r="I146" s="86"/>
    </row>
    <row r="147" spans="6:9" ht="14.25">
      <c r="F147" s="86"/>
      <c r="G147" s="86"/>
      <c r="H147" s="86"/>
      <c r="I147" s="86"/>
    </row>
    <row r="148" spans="6:9" ht="14.25">
      <c r="F148" s="86"/>
      <c r="G148" s="86"/>
      <c r="H148" s="86"/>
      <c r="I148" s="86"/>
    </row>
    <row r="149" spans="6:9" ht="14.25">
      <c r="F149" s="86"/>
      <c r="G149" s="86"/>
      <c r="H149" s="86"/>
      <c r="I149" s="86"/>
    </row>
    <row r="150" spans="6:9" ht="14.25">
      <c r="F150" s="86"/>
      <c r="G150" s="86"/>
      <c r="H150" s="86"/>
      <c r="I150" s="86"/>
    </row>
    <row r="151" spans="6:9" ht="14.25">
      <c r="F151" s="86"/>
      <c r="G151" s="86"/>
      <c r="H151" s="86"/>
      <c r="I151" s="86"/>
    </row>
    <row r="152" spans="6:9" ht="14.25">
      <c r="F152" s="86"/>
      <c r="G152" s="86"/>
      <c r="H152" s="86"/>
      <c r="I152" s="86"/>
    </row>
    <row r="153" spans="6:9" ht="14.25">
      <c r="F153" s="86"/>
      <c r="G153" s="86"/>
      <c r="H153" s="86"/>
      <c r="I153" s="86"/>
    </row>
    <row r="154" spans="6:9" ht="14.25">
      <c r="F154" s="86"/>
      <c r="G154" s="86"/>
      <c r="H154" s="86"/>
      <c r="I154" s="86"/>
    </row>
    <row r="155" spans="6:9" ht="14.25">
      <c r="F155" s="86"/>
      <c r="G155" s="86"/>
      <c r="H155" s="86"/>
      <c r="I155" s="86"/>
    </row>
    <row r="156" spans="6:9" ht="14.25">
      <c r="F156" s="86"/>
      <c r="G156" s="86"/>
      <c r="H156" s="86"/>
      <c r="I156" s="86"/>
    </row>
    <row r="157" spans="6:9" ht="14.25">
      <c r="F157" s="86"/>
      <c r="G157" s="86"/>
      <c r="H157" s="86"/>
      <c r="I157" s="86"/>
    </row>
    <row r="158" spans="6:9" ht="14.25">
      <c r="F158" s="86"/>
      <c r="G158" s="86"/>
      <c r="H158" s="86"/>
      <c r="I158" s="86"/>
    </row>
    <row r="159" spans="6:9" ht="14.25">
      <c r="F159" s="86"/>
      <c r="G159" s="86"/>
      <c r="H159" s="86"/>
      <c r="I159" s="86"/>
    </row>
    <row r="160" spans="6:9" ht="14.25">
      <c r="F160" s="86"/>
      <c r="G160" s="86"/>
      <c r="H160" s="86"/>
      <c r="I160" s="86"/>
    </row>
    <row r="161" spans="6:9" ht="14.25">
      <c r="F161" s="86"/>
      <c r="G161" s="86"/>
      <c r="H161" s="86"/>
      <c r="I161" s="86"/>
    </row>
    <row r="162" spans="6:9" ht="14.25">
      <c r="F162" s="86"/>
      <c r="G162" s="86"/>
      <c r="H162" s="86"/>
      <c r="I162" s="86"/>
    </row>
    <row r="163" spans="6:9" ht="14.25">
      <c r="F163" s="86"/>
      <c r="G163" s="86"/>
      <c r="H163" s="86"/>
      <c r="I163" s="86"/>
    </row>
    <row r="164" spans="6:9" ht="14.25">
      <c r="F164" s="86"/>
      <c r="G164" s="86"/>
      <c r="H164" s="86"/>
      <c r="I164" s="86"/>
    </row>
    <row r="165" spans="6:9" ht="14.25">
      <c r="F165" s="86"/>
      <c r="G165" s="86"/>
      <c r="H165" s="86"/>
      <c r="I165" s="86"/>
    </row>
  </sheetData>
  <sheetProtection/>
  <mergeCells count="2">
    <mergeCell ref="B6:E6"/>
    <mergeCell ref="F6:I6"/>
  </mergeCells>
  <conditionalFormatting sqref="B31:I31">
    <cfRule type="cellIs" priority="1" dxfId="98" operator="notBetween">
      <formula>0.5</formula>
      <formula>-0.5</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I1000"/>
  <sheetViews>
    <sheetView showGridLines="0" zoomScalePageLayoutView="0" workbookViewId="0" topLeftCell="A1">
      <selection activeCell="I1" sqref="I1:I16384"/>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6.5">
      <c r="A1" s="29" t="str">
        <f>HLOOKUP(INDICE!$F$2,Nombres!$C$3:$D$636,21,FALSE)</f>
        <v>Corporate &amp; Investment Banking</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5">
        <f>+España!B6</f>
        <v>2019</v>
      </c>
      <c r="C6" s="305"/>
      <c r="D6" s="305"/>
      <c r="E6" s="306"/>
      <c r="F6" s="305">
        <f>+España!F6</f>
        <v>2020</v>
      </c>
      <c r="G6" s="305"/>
      <c r="H6" s="305"/>
      <c r="I6" s="305"/>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367.21825190000015</v>
      </c>
      <c r="C8" s="41">
        <v>395.76021204999984</v>
      </c>
      <c r="D8" s="41">
        <v>358.25723718999996</v>
      </c>
      <c r="E8" s="42">
        <v>384.58396203999996</v>
      </c>
      <c r="F8" s="52">
        <v>388.97482375000004</v>
      </c>
      <c r="G8" s="52">
        <v>417.00548890999994</v>
      </c>
      <c r="H8" s="52">
        <v>385.64692261</v>
      </c>
      <c r="I8" s="52">
        <v>0</v>
      </c>
    </row>
    <row r="9" spans="1:9" ht="14.25">
      <c r="A9" s="43" t="str">
        <f>HLOOKUP(INDICE!$F$2,Nombres!$C$3:$D$636,34,FALSE)</f>
        <v>Comisiones netas</v>
      </c>
      <c r="B9" s="44">
        <v>172.61290168</v>
      </c>
      <c r="C9" s="44">
        <v>177.79750205</v>
      </c>
      <c r="D9" s="44">
        <v>194.51326661000002</v>
      </c>
      <c r="E9" s="45">
        <v>193.70670015000002</v>
      </c>
      <c r="F9" s="44">
        <v>195.72944238</v>
      </c>
      <c r="G9" s="44">
        <v>206.43489423</v>
      </c>
      <c r="H9" s="44">
        <v>211.52073836</v>
      </c>
      <c r="I9" s="44">
        <v>0</v>
      </c>
    </row>
    <row r="10" spans="1:9" ht="14.25">
      <c r="A10" s="43" t="str">
        <f>HLOOKUP(INDICE!$F$2,Nombres!$C$3:$D$636,35,FALSE)</f>
        <v>Resultados de operaciones financieras</v>
      </c>
      <c r="B10" s="44">
        <v>215.32212168999996</v>
      </c>
      <c r="C10" s="44">
        <v>153.84738506999997</v>
      </c>
      <c r="D10" s="44">
        <v>204.39237042999997</v>
      </c>
      <c r="E10" s="45">
        <v>270.48434582000004</v>
      </c>
      <c r="F10" s="44">
        <v>182.08801836</v>
      </c>
      <c r="G10" s="44">
        <v>235.09881226</v>
      </c>
      <c r="H10" s="44">
        <v>204.17674488999998</v>
      </c>
      <c r="I10" s="44">
        <v>0</v>
      </c>
    </row>
    <row r="11" spans="1:9" ht="14.25">
      <c r="A11" s="43" t="str">
        <f>HLOOKUP(INDICE!$F$2,Nombres!$C$3:$D$636,36,FALSE)</f>
        <v>Otros ingresos y cargas de explotación</v>
      </c>
      <c r="B11" s="44">
        <v>-15.010605589999999</v>
      </c>
      <c r="C11" s="44">
        <v>-11.72339546</v>
      </c>
      <c r="D11" s="44">
        <v>-15.031768709999998</v>
      </c>
      <c r="E11" s="45">
        <v>-14.022853880000003</v>
      </c>
      <c r="F11" s="44">
        <v>-13.024833819999998</v>
      </c>
      <c r="G11" s="44">
        <v>-10.35039996</v>
      </c>
      <c r="H11" s="44">
        <v>-9.471520159999997</v>
      </c>
      <c r="I11" s="44">
        <v>0</v>
      </c>
    </row>
    <row r="12" spans="1:9" ht="14.25">
      <c r="A12" s="41" t="str">
        <f>HLOOKUP(INDICE!$F$2,Nombres!$C$3:$D$636,37,FALSE)</f>
        <v>Margen bruto</v>
      </c>
      <c r="B12" s="41">
        <f>+SUM(B8:B11)</f>
        <v>740.14266968</v>
      </c>
      <c r="C12" s="41">
        <f aca="true" t="shared" si="0" ref="C12:I12">+SUM(C8:C11)</f>
        <v>715.6817037099999</v>
      </c>
      <c r="D12" s="41">
        <f t="shared" si="0"/>
        <v>742.1311055199999</v>
      </c>
      <c r="E12" s="42">
        <f t="shared" si="0"/>
        <v>834.75215413</v>
      </c>
      <c r="F12" s="52">
        <f t="shared" si="0"/>
        <v>753.76745067</v>
      </c>
      <c r="G12" s="52">
        <f t="shared" si="0"/>
        <v>848.1887954399999</v>
      </c>
      <c r="H12" s="52">
        <f t="shared" si="0"/>
        <v>791.8728857000001</v>
      </c>
      <c r="I12" s="52">
        <f t="shared" si="0"/>
        <v>0</v>
      </c>
    </row>
    <row r="13" spans="1:9" ht="14.25">
      <c r="A13" s="43" t="str">
        <f>HLOOKUP(INDICE!$F$2,Nombres!$C$3:$D$636,38,FALSE)</f>
        <v>Gastos de explotación</v>
      </c>
      <c r="B13" s="44">
        <v>-261.11825661</v>
      </c>
      <c r="C13" s="44">
        <v>-264.32993254999997</v>
      </c>
      <c r="D13" s="44">
        <v>-264.73798808</v>
      </c>
      <c r="E13" s="45">
        <v>-277.23768027999995</v>
      </c>
      <c r="F13" s="44">
        <v>-271.81702471000006</v>
      </c>
      <c r="G13" s="44">
        <v>-214.07411639999998</v>
      </c>
      <c r="H13" s="44">
        <v>-234.57897843</v>
      </c>
      <c r="I13" s="44">
        <v>0</v>
      </c>
    </row>
    <row r="14" spans="1:9" ht="14.25">
      <c r="A14" s="43" t="str">
        <f>HLOOKUP(INDICE!$F$2,Nombres!$C$3:$D$636,39,FALSE)</f>
        <v>  Gastos de administración</v>
      </c>
      <c r="B14" s="44">
        <v>-229.30957564</v>
      </c>
      <c r="C14" s="44">
        <v>-232.61690496</v>
      </c>
      <c r="D14" s="44">
        <v>-233.29877556000005</v>
      </c>
      <c r="E14" s="45">
        <v>-246.67995505</v>
      </c>
      <c r="F14" s="44">
        <v>-241.77054399000002</v>
      </c>
      <c r="G14" s="44">
        <v>-184.23152594</v>
      </c>
      <c r="H14" s="44">
        <v>-204.88132363</v>
      </c>
      <c r="I14" s="44">
        <v>0</v>
      </c>
    </row>
    <row r="15" spans="1:9" ht="14.25">
      <c r="A15" s="46" t="str">
        <f>HLOOKUP(INDICE!$F$2,Nombres!$C$3:$D$636,40,FALSE)</f>
        <v>  Gastos de personal</v>
      </c>
      <c r="B15" s="44">
        <v>-120.16406260000001</v>
      </c>
      <c r="C15" s="44">
        <v>-116.30060559</v>
      </c>
      <c r="D15" s="44">
        <v>-117.95517267000001</v>
      </c>
      <c r="E15" s="45">
        <v>-124.34400779</v>
      </c>
      <c r="F15" s="44">
        <v>-124.78176178999999</v>
      </c>
      <c r="G15" s="44">
        <v>-77.59380011</v>
      </c>
      <c r="H15" s="44">
        <v>-92.68177664000001</v>
      </c>
      <c r="I15" s="44">
        <v>0</v>
      </c>
    </row>
    <row r="16" spans="1:9" ht="14.25">
      <c r="A16" s="46" t="str">
        <f>HLOOKUP(INDICE!$F$2,Nombres!$C$3:$D$636,41,FALSE)</f>
        <v>  Otros gastos de administración</v>
      </c>
      <c r="B16" s="44">
        <v>-109.14551303999998</v>
      </c>
      <c r="C16" s="44">
        <v>-116.31629937</v>
      </c>
      <c r="D16" s="44">
        <v>-115.34360289000003</v>
      </c>
      <c r="E16" s="45">
        <v>-122.33594725999998</v>
      </c>
      <c r="F16" s="44">
        <v>-116.9887822</v>
      </c>
      <c r="G16" s="44">
        <v>-106.63772583000001</v>
      </c>
      <c r="H16" s="44">
        <v>-112.19954699000002</v>
      </c>
      <c r="I16" s="44">
        <v>0</v>
      </c>
    </row>
    <row r="17" spans="1:9" ht="14.25">
      <c r="A17" s="43" t="str">
        <f>HLOOKUP(INDICE!$F$2,Nombres!$C$3:$D$636,42,FALSE)</f>
        <v>  Amortización</v>
      </c>
      <c r="B17" s="44">
        <v>-31.80868097</v>
      </c>
      <c r="C17" s="44">
        <v>-31.713027589999996</v>
      </c>
      <c r="D17" s="44">
        <v>-31.439212519999998</v>
      </c>
      <c r="E17" s="45">
        <v>-30.55772523</v>
      </c>
      <c r="F17" s="44">
        <v>-30.046480719999998</v>
      </c>
      <c r="G17" s="44">
        <v>-29.84259046</v>
      </c>
      <c r="H17" s="44">
        <v>-29.697654800000002</v>
      </c>
      <c r="I17" s="44">
        <v>0</v>
      </c>
    </row>
    <row r="18" spans="1:9" ht="14.25">
      <c r="A18" s="41" t="str">
        <f>HLOOKUP(INDICE!$F$2,Nombres!$C$3:$D$636,43,FALSE)</f>
        <v>Margen neto</v>
      </c>
      <c r="B18" s="41">
        <f>+B12+B13</f>
        <v>479.02441307000004</v>
      </c>
      <c r="C18" s="41">
        <f aca="true" t="shared" si="1" ref="C18:I18">+C12+C13</f>
        <v>451.3517711599999</v>
      </c>
      <c r="D18" s="41">
        <f t="shared" si="1"/>
        <v>477.3931174399999</v>
      </c>
      <c r="E18" s="42">
        <f t="shared" si="1"/>
        <v>557.5144738500001</v>
      </c>
      <c r="F18" s="52">
        <f t="shared" si="1"/>
        <v>481.95042595999996</v>
      </c>
      <c r="G18" s="52">
        <f t="shared" si="1"/>
        <v>634.1146790399999</v>
      </c>
      <c r="H18" s="52">
        <f t="shared" si="1"/>
        <v>557.2939072700001</v>
      </c>
      <c r="I18" s="52">
        <f t="shared" si="1"/>
        <v>0</v>
      </c>
    </row>
    <row r="19" spans="1:9" ht="14.25">
      <c r="A19" s="43" t="str">
        <f>HLOOKUP(INDICE!$F$2,Nombres!$C$3:$D$636,44,FALSE)</f>
        <v>Deterioro de activos financieros no valorados a valor razonable con cambios en resultados</v>
      </c>
      <c r="B19" s="44">
        <v>-55.107655030000004</v>
      </c>
      <c r="C19" s="44">
        <v>-23.582571719999997</v>
      </c>
      <c r="D19" s="44">
        <v>-76.82694065</v>
      </c>
      <c r="E19" s="45">
        <v>-83.82694447</v>
      </c>
      <c r="F19" s="44">
        <v>-310.89375508</v>
      </c>
      <c r="G19" s="44">
        <v>-114.87594740000002</v>
      </c>
      <c r="H19" s="44">
        <v>-28.898556129999996</v>
      </c>
      <c r="I19" s="44">
        <v>0</v>
      </c>
    </row>
    <row r="20" spans="1:9" ht="14.25">
      <c r="A20" s="43" t="str">
        <f>HLOOKUP(INDICE!$F$2,Nombres!$C$3:$D$636,45,FALSE)</f>
        <v>Provisiones o reversión de provisiones y otros resultados</v>
      </c>
      <c r="B20" s="44">
        <v>4.5376118399999985</v>
      </c>
      <c r="C20" s="44">
        <v>13.67019294</v>
      </c>
      <c r="D20" s="44">
        <v>7.05097864</v>
      </c>
      <c r="E20" s="45">
        <v>-16.031783339999997</v>
      </c>
      <c r="F20" s="44">
        <v>-10.565768010000008</v>
      </c>
      <c r="G20" s="44">
        <v>-25.167227019999995</v>
      </c>
      <c r="H20" s="44">
        <v>-27.740778660000004</v>
      </c>
      <c r="I20" s="44">
        <v>0</v>
      </c>
    </row>
    <row r="21" spans="1:9" ht="14.25">
      <c r="A21" s="41" t="str">
        <f>HLOOKUP(INDICE!$F$2,Nombres!$C$3:$D$636,46,FALSE)</f>
        <v>Resultado antes de impuestos</v>
      </c>
      <c r="B21" s="41">
        <f>+B18+B19+B20</f>
        <v>428.45436988000006</v>
      </c>
      <c r="C21" s="41">
        <f aca="true" t="shared" si="2" ref="C21:I21">+C18+C19+C20</f>
        <v>441.4393923799999</v>
      </c>
      <c r="D21" s="41">
        <f t="shared" si="2"/>
        <v>407.6171554299999</v>
      </c>
      <c r="E21" s="42">
        <f t="shared" si="2"/>
        <v>457.65574604000005</v>
      </c>
      <c r="F21" s="52">
        <f t="shared" si="2"/>
        <v>160.49090286999996</v>
      </c>
      <c r="G21" s="52">
        <f t="shared" si="2"/>
        <v>494.07150462</v>
      </c>
      <c r="H21" s="52">
        <f t="shared" si="2"/>
        <v>500.6545724800001</v>
      </c>
      <c r="I21" s="52">
        <f t="shared" si="2"/>
        <v>0</v>
      </c>
    </row>
    <row r="22" spans="1:9" ht="14.25">
      <c r="A22" s="43" t="str">
        <f>HLOOKUP(INDICE!$F$2,Nombres!$C$3:$D$636,47,FALSE)</f>
        <v>Impuesto sobre beneficios</v>
      </c>
      <c r="B22" s="44">
        <v>-107.04812041</v>
      </c>
      <c r="C22" s="44">
        <v>-106.04869968</v>
      </c>
      <c r="D22" s="44">
        <v>-107.22576282999998</v>
      </c>
      <c r="E22" s="45">
        <v>-106.57128685999999</v>
      </c>
      <c r="F22" s="44">
        <v>-43.68219014999998</v>
      </c>
      <c r="G22" s="44">
        <v>-138.12815146999998</v>
      </c>
      <c r="H22" s="44">
        <v>-134.74241209999997</v>
      </c>
      <c r="I22" s="44">
        <v>0</v>
      </c>
    </row>
    <row r="23" spans="1:9" ht="14.25">
      <c r="A23" s="41" t="str">
        <f>HLOOKUP(INDICE!$F$2,Nombres!$C$3:$D$636,48,FALSE)</f>
        <v>Resultado del ejercicio</v>
      </c>
      <c r="B23" s="41">
        <f>+B21+B22</f>
        <v>321.40624947000003</v>
      </c>
      <c r="C23" s="41">
        <f aca="true" t="shared" si="3" ref="C23:I23">+C21+C22</f>
        <v>335.39069269999993</v>
      </c>
      <c r="D23" s="41">
        <f t="shared" si="3"/>
        <v>300.3913925999999</v>
      </c>
      <c r="E23" s="42">
        <f t="shared" si="3"/>
        <v>351.08445918000007</v>
      </c>
      <c r="F23" s="52">
        <f t="shared" si="3"/>
        <v>116.80871271999997</v>
      </c>
      <c r="G23" s="52">
        <f t="shared" si="3"/>
        <v>355.94335315</v>
      </c>
      <c r="H23" s="52">
        <f t="shared" si="3"/>
        <v>365.91216038000016</v>
      </c>
      <c r="I23" s="52">
        <f t="shared" si="3"/>
        <v>0</v>
      </c>
    </row>
    <row r="24" spans="1:9" ht="14.25">
      <c r="A24" s="43" t="str">
        <f>HLOOKUP(INDICE!$F$2,Nombres!$C$3:$D$636,49,FALSE)</f>
        <v>Minoritarios</v>
      </c>
      <c r="B24" s="44">
        <v>-87.29714023</v>
      </c>
      <c r="C24" s="44">
        <v>-73.443279</v>
      </c>
      <c r="D24" s="44">
        <v>-53.85229236000001</v>
      </c>
      <c r="E24" s="45">
        <v>-75.19344365999999</v>
      </c>
      <c r="F24" s="44">
        <v>-24.066227299999998</v>
      </c>
      <c r="G24" s="44">
        <v>-63.83088278999999</v>
      </c>
      <c r="H24" s="44">
        <v>-83.11271177</v>
      </c>
      <c r="I24" s="44">
        <v>0</v>
      </c>
    </row>
    <row r="25" spans="1:9" ht="14.25">
      <c r="A25" s="47" t="str">
        <f>HLOOKUP(INDICE!$F$2,Nombres!$C$3:$D$636,50,FALSE)</f>
        <v>Resultado atribuido</v>
      </c>
      <c r="B25" s="47">
        <f>+B23+B24</f>
        <v>234.10910924000004</v>
      </c>
      <c r="C25" s="47">
        <f aca="true" t="shared" si="4" ref="C25:I25">+C23+C24</f>
        <v>261.9474136999999</v>
      </c>
      <c r="D25" s="47">
        <f t="shared" si="4"/>
        <v>246.5391002399999</v>
      </c>
      <c r="E25" s="47">
        <f t="shared" si="4"/>
        <v>275.8910155200001</v>
      </c>
      <c r="F25" s="53">
        <f t="shared" si="4"/>
        <v>92.74248541999998</v>
      </c>
      <c r="G25" s="53">
        <f t="shared" si="4"/>
        <v>292.11247036000003</v>
      </c>
      <c r="H25" s="53">
        <f t="shared" si="4"/>
        <v>282.7994486100001</v>
      </c>
      <c r="I25" s="53">
        <f t="shared" si="4"/>
        <v>0</v>
      </c>
    </row>
    <row r="26" spans="1:9" ht="14.25">
      <c r="A26" s="65"/>
      <c r="B26" s="66">
        <v>0</v>
      </c>
      <c r="C26" s="66">
        <v>0</v>
      </c>
      <c r="D26" s="66">
        <v>0</v>
      </c>
      <c r="E26" s="66">
        <v>0</v>
      </c>
      <c r="F26" s="66">
        <v>0</v>
      </c>
      <c r="G26" s="66">
        <v>0</v>
      </c>
      <c r="H26" s="66">
        <v>0</v>
      </c>
      <c r="I26" s="66">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4"/>
      <c r="D29" s="54"/>
      <c r="E29" s="54"/>
      <c r="F29" s="30"/>
      <c r="G29" s="60"/>
      <c r="H29" s="60"/>
      <c r="I29" s="60"/>
    </row>
    <row r="30" spans="1:9" ht="14.25">
      <c r="A30" s="30"/>
      <c r="B30" s="55">
        <f>+España!B30</f>
        <v>43555</v>
      </c>
      <c r="C30" s="55">
        <f>+España!C30</f>
        <v>43646</v>
      </c>
      <c r="D30" s="55">
        <f>+España!D30</f>
        <v>43738</v>
      </c>
      <c r="E30" s="71">
        <f>+España!E30</f>
        <v>43830</v>
      </c>
      <c r="F30" s="80">
        <f>+España!F30</f>
        <v>43921</v>
      </c>
      <c r="G30" s="80">
        <f>+España!G30</f>
        <v>44012</v>
      </c>
      <c r="H30" s="80">
        <f>+España!H30</f>
        <v>44104</v>
      </c>
      <c r="I30" s="80">
        <f>+España!I30</f>
        <v>44196</v>
      </c>
    </row>
    <row r="31" spans="1:9" ht="14.25">
      <c r="A31" s="43" t="str">
        <f>HLOOKUP(INDICE!$F$2,Nombres!$C$3:$D$636,52,FALSE)</f>
        <v>Efectivo, saldos en efectivo en bancos centrales y otros depósitos a la vista</v>
      </c>
      <c r="B31" s="44">
        <v>3959.601068649996</v>
      </c>
      <c r="C31" s="44">
        <v>3556.5153895199983</v>
      </c>
      <c r="D31" s="44">
        <v>2831.3831171299953</v>
      </c>
      <c r="E31" s="45">
        <v>3512.947722099998</v>
      </c>
      <c r="F31" s="44">
        <v>5952.42145749</v>
      </c>
      <c r="G31" s="44">
        <v>4204.11151737</v>
      </c>
      <c r="H31" s="44">
        <v>5902.52700482</v>
      </c>
      <c r="I31" s="44">
        <v>0</v>
      </c>
    </row>
    <row r="32" spans="1:9" ht="14.25">
      <c r="A32" s="43" t="str">
        <f>HLOOKUP(INDICE!$F$2,Nombres!$C$3:$D$636,53,FALSE)</f>
        <v>Activos financieros a valor razonable</v>
      </c>
      <c r="B32" s="60">
        <v>94650.22669296</v>
      </c>
      <c r="C32" s="60">
        <v>108378.37860393999</v>
      </c>
      <c r="D32" s="60">
        <v>112594.44284763999</v>
      </c>
      <c r="E32" s="68">
        <v>105385.51679066</v>
      </c>
      <c r="F32" s="44">
        <v>138068.38985428997</v>
      </c>
      <c r="G32" s="44">
        <v>122594.96209988996</v>
      </c>
      <c r="H32" s="44">
        <v>111351.4886672</v>
      </c>
      <c r="I32" s="44">
        <v>0</v>
      </c>
    </row>
    <row r="33" spans="1:9" ht="14.25">
      <c r="A33" s="43" t="str">
        <f>HLOOKUP(INDICE!$F$2,Nombres!$C$3:$D$636,54,FALSE)</f>
        <v>Activos financieros a coste amortizado</v>
      </c>
      <c r="B33" s="44">
        <v>72232.81894433999</v>
      </c>
      <c r="C33" s="44">
        <v>71212.47087769</v>
      </c>
      <c r="D33" s="44">
        <v>74903.51814248001</v>
      </c>
      <c r="E33" s="45">
        <v>76169.23174762001</v>
      </c>
      <c r="F33" s="44">
        <v>87370.21388713</v>
      </c>
      <c r="G33" s="44">
        <v>87077.22567652</v>
      </c>
      <c r="H33" s="44">
        <v>76204.99303802</v>
      </c>
      <c r="I33" s="44">
        <v>0</v>
      </c>
    </row>
    <row r="34" spans="1:9" ht="14.25">
      <c r="A34" s="43" t="str">
        <f>HLOOKUP(INDICE!$F$2,Nombres!$C$3:$D$636,55,FALSE)</f>
        <v>    de los que préstamos y anticipos a la clientela</v>
      </c>
      <c r="B34" s="44">
        <v>65027.10986874</v>
      </c>
      <c r="C34" s="44">
        <v>61982.680927190006</v>
      </c>
      <c r="D34" s="44">
        <v>62465.857927360004</v>
      </c>
      <c r="E34" s="45">
        <v>65915.1195148</v>
      </c>
      <c r="F34" s="44">
        <v>74561.31854012</v>
      </c>
      <c r="G34" s="44">
        <v>74335.19178386</v>
      </c>
      <c r="H34" s="44">
        <v>66010.50513696</v>
      </c>
      <c r="I34" s="44">
        <v>0</v>
      </c>
    </row>
    <row r="35" spans="1:9" ht="14.25">
      <c r="A35" s="43" t="str">
        <f>HLOOKUP(INDICE!$F$2,Nombres!$C$3:$D$636,121,FALSE)</f>
        <v>Posiciones inter-áreas activo</v>
      </c>
      <c r="B35" s="44">
        <v>0</v>
      </c>
      <c r="C35" s="44">
        <v>0</v>
      </c>
      <c r="D35" s="44">
        <v>0</v>
      </c>
      <c r="E35" s="45">
        <v>0</v>
      </c>
      <c r="F35" s="44">
        <v>0</v>
      </c>
      <c r="G35" s="44">
        <v>0</v>
      </c>
      <c r="H35" s="44">
        <v>0</v>
      </c>
      <c r="I35" s="44">
        <v>0</v>
      </c>
    </row>
    <row r="36" spans="1:9" ht="14.25">
      <c r="A36" s="43" t="str">
        <f>HLOOKUP(INDICE!$F$2,Nombres!$C$3:$D$636,56,FALSE)</f>
        <v>Activos tangibles</v>
      </c>
      <c r="B36" s="44">
        <v>82.59882487</v>
      </c>
      <c r="C36" s="44">
        <v>75.79579665</v>
      </c>
      <c r="D36" s="44">
        <v>79.90882658000001</v>
      </c>
      <c r="E36" s="45">
        <v>63.454635520000004</v>
      </c>
      <c r="F36" s="44">
        <v>57.36236175</v>
      </c>
      <c r="G36" s="44">
        <v>55.047222579999996</v>
      </c>
      <c r="H36" s="44">
        <v>34.940553890000004</v>
      </c>
      <c r="I36" s="44">
        <v>0</v>
      </c>
    </row>
    <row r="37" spans="1:9" ht="14.25">
      <c r="A37" s="43" t="str">
        <f>HLOOKUP(INDICE!$F$2,Nombres!$C$3:$D$636,57,FALSE)</f>
        <v>Otros activos</v>
      </c>
      <c r="B37" s="60">
        <f>+B38-B36-B33-B32-B31-B35</f>
        <v>3547.7769669300305</v>
      </c>
      <c r="C37" s="60">
        <f aca="true" t="shared" si="5" ref="C37:I37">+C38-C36-C33-C32-C31-C35</f>
        <v>2957.4485218299596</v>
      </c>
      <c r="D37" s="60">
        <f t="shared" si="5"/>
        <v>15686.081227570017</v>
      </c>
      <c r="E37" s="68">
        <f t="shared" si="5"/>
        <v>2505.809068260074</v>
      </c>
      <c r="F37" s="60">
        <f t="shared" si="5"/>
        <v>1641.1662651600018</v>
      </c>
      <c r="G37" s="60">
        <f t="shared" si="5"/>
        <v>1522.7891910400158</v>
      </c>
      <c r="H37" s="60">
        <f t="shared" si="5"/>
        <v>1226.5377231600469</v>
      </c>
      <c r="I37" s="60">
        <f t="shared" si="5"/>
        <v>0</v>
      </c>
    </row>
    <row r="38" spans="1:9" ht="14.25">
      <c r="A38" s="47" t="str">
        <f>HLOOKUP(INDICE!$F$2,Nombres!$C$3:$D$636,58,FALSE)</f>
        <v>Total activo / pasivo</v>
      </c>
      <c r="B38" s="47">
        <v>174473.02249775</v>
      </c>
      <c r="C38" s="47">
        <v>186180.60918962993</v>
      </c>
      <c r="D38" s="47">
        <v>206095.3341614</v>
      </c>
      <c r="E38" s="74">
        <v>187636.95996416008</v>
      </c>
      <c r="F38" s="53">
        <v>233089.55382581998</v>
      </c>
      <c r="G38" s="53">
        <v>215454.13570739998</v>
      </c>
      <c r="H38" s="53">
        <v>194720.48698709003</v>
      </c>
      <c r="I38" s="53">
        <v>0</v>
      </c>
    </row>
    <row r="39" spans="1:9" ht="14.25">
      <c r="A39" s="43" t="str">
        <f>HLOOKUP(INDICE!$F$2,Nombres!$C$3:$D$636,59,FALSE)</f>
        <v>Pasivos financieros mantenidos para negociar y designados a valor razonable con cambios en resultados</v>
      </c>
      <c r="B39" s="60">
        <v>81682.00585511999</v>
      </c>
      <c r="C39" s="60">
        <v>94044.95004425998</v>
      </c>
      <c r="D39" s="60">
        <v>94136.24491281998</v>
      </c>
      <c r="E39" s="68">
        <v>91657.31260181002</v>
      </c>
      <c r="F39" s="44">
        <v>119658.51707565002</v>
      </c>
      <c r="G39" s="44">
        <v>109956.04442281</v>
      </c>
      <c r="H39" s="44">
        <v>95959.84135892</v>
      </c>
      <c r="I39" s="44">
        <v>0</v>
      </c>
    </row>
    <row r="40" spans="1:9" ht="14.25">
      <c r="A40" s="43" t="str">
        <f>HLOOKUP(INDICE!$F$2,Nombres!$C$3:$D$636,60,FALSE)</f>
        <v>Depósitos de bancos centrales y entidades de crédito</v>
      </c>
      <c r="B40" s="60">
        <v>15390.899698739999</v>
      </c>
      <c r="C40" s="60">
        <v>16397.39851249</v>
      </c>
      <c r="D40" s="60">
        <v>16915.66370779</v>
      </c>
      <c r="E40" s="68">
        <v>15425.90979637</v>
      </c>
      <c r="F40" s="44">
        <v>19483.979263630004</v>
      </c>
      <c r="G40" s="44">
        <v>15168.51874217</v>
      </c>
      <c r="H40" s="44">
        <v>12193.15378082</v>
      </c>
      <c r="I40" s="44">
        <v>0</v>
      </c>
    </row>
    <row r="41" spans="1:9" ht="15.75" customHeight="1">
      <c r="A41" s="43" t="str">
        <f>HLOOKUP(INDICE!$F$2,Nombres!$C$3:$D$636,61,FALSE)</f>
        <v>Depósitos de la clientela</v>
      </c>
      <c r="B41" s="60">
        <v>37408.746672780006</v>
      </c>
      <c r="C41" s="60">
        <v>35347.25112216</v>
      </c>
      <c r="D41" s="60">
        <v>37358.43942491001</v>
      </c>
      <c r="E41" s="68">
        <v>39166.35440305</v>
      </c>
      <c r="F41" s="44">
        <v>40930.94844902</v>
      </c>
      <c r="G41" s="44">
        <v>43993.68519638</v>
      </c>
      <c r="H41" s="44">
        <v>44000.24340747</v>
      </c>
      <c r="I41" s="44">
        <v>0</v>
      </c>
    </row>
    <row r="42" spans="1:9" ht="14.25">
      <c r="A42" s="43" t="str">
        <f>HLOOKUP(INDICE!$F$2,Nombres!$C$3:$D$636,62,FALSE)</f>
        <v>Valores representativos de deuda emitidos</v>
      </c>
      <c r="B42" s="44">
        <v>2023.69311082</v>
      </c>
      <c r="C42" s="44">
        <v>2986.05844456</v>
      </c>
      <c r="D42" s="44">
        <v>2430.76057837</v>
      </c>
      <c r="E42" s="45">
        <v>2625.16484926</v>
      </c>
      <c r="F42" s="44">
        <v>2183.18460059</v>
      </c>
      <c r="G42" s="44">
        <v>1855.0227352500003</v>
      </c>
      <c r="H42" s="44">
        <v>1860.6350731300004</v>
      </c>
      <c r="I42" s="44">
        <v>0</v>
      </c>
    </row>
    <row r="43" spans="1:9" ht="14.25">
      <c r="A43" s="43" t="str">
        <f>HLOOKUP(INDICE!$F$2,Nombres!$C$3:$D$636,122,FALSE)</f>
        <v>Posiciones inter-áreas pasivo</v>
      </c>
      <c r="B43" s="44">
        <v>30937.42832064</v>
      </c>
      <c r="C43" s="44">
        <v>29448.09000171986</v>
      </c>
      <c r="D43" s="44">
        <v>46903.87509386995</v>
      </c>
      <c r="E43" s="45">
        <v>31315.628403240145</v>
      </c>
      <c r="F43" s="44">
        <v>42319.77554482996</v>
      </c>
      <c r="G43" s="44">
        <v>35544.57533219995</v>
      </c>
      <c r="H43" s="44">
        <v>31523.10055938011</v>
      </c>
      <c r="I43" s="44">
        <v>0</v>
      </c>
    </row>
    <row r="44" spans="1:9" ht="14.25">
      <c r="A44" s="43" t="str">
        <f>HLOOKUP(INDICE!$F$2,Nombres!$C$3:$D$636,63,FALSE)</f>
        <v>Otros pasivos</v>
      </c>
      <c r="B44" s="60">
        <f>+B38-B39-B40-B41-B42-B45-B43</f>
        <v>2808.4777485300074</v>
      </c>
      <c r="C44" s="60">
        <f aca="true" t="shared" si="6" ref="C44:I44">+C38-C39-C40-C41-C42-C45-C43</f>
        <v>4269.864511220083</v>
      </c>
      <c r="D44" s="60">
        <f t="shared" si="6"/>
        <v>4269.98709624006</v>
      </c>
      <c r="E44" s="68">
        <f t="shared" si="6"/>
        <v>2959.380672799918</v>
      </c>
      <c r="F44" s="60">
        <f t="shared" si="6"/>
        <v>3816.6589162200107</v>
      </c>
      <c r="G44" s="60">
        <f t="shared" si="6"/>
        <v>4464.3314685900405</v>
      </c>
      <c r="H44" s="60">
        <f t="shared" si="6"/>
        <v>4709.949826979922</v>
      </c>
      <c r="I44" s="60">
        <f t="shared" si="6"/>
        <v>0</v>
      </c>
    </row>
    <row r="45" spans="1:9" ht="14.25">
      <c r="A45" s="43" t="str">
        <f>HLOOKUP(INDICE!$F$2,Nombres!$C$3:$D$636,64,FALSE)</f>
        <v>Dotación de capital económico</v>
      </c>
      <c r="B45" s="44">
        <v>4221.771091119999</v>
      </c>
      <c r="C45" s="44">
        <v>3686.9965532199985</v>
      </c>
      <c r="D45" s="44">
        <v>4080.3633474</v>
      </c>
      <c r="E45" s="45">
        <v>4487.209237630001</v>
      </c>
      <c r="F45" s="44">
        <v>4696.489975879999</v>
      </c>
      <c r="G45" s="44">
        <v>4471.95781</v>
      </c>
      <c r="H45" s="44">
        <v>4473.56298039</v>
      </c>
      <c r="I45" s="44">
        <v>0</v>
      </c>
    </row>
    <row r="46" spans="1:9" ht="14.25">
      <c r="A46" s="65"/>
      <c r="B46" s="60"/>
      <c r="C46" s="60"/>
      <c r="D46" s="60"/>
      <c r="E46" s="60"/>
      <c r="F46" s="81"/>
      <c r="G46" s="81"/>
      <c r="H46" s="81"/>
      <c r="I46" s="81"/>
    </row>
    <row r="47" spans="1:9" ht="14.25">
      <c r="A47" s="43"/>
      <c r="B47" s="60"/>
      <c r="C47" s="60"/>
      <c r="D47" s="60"/>
      <c r="E47" s="60"/>
      <c r="F47" s="81"/>
      <c r="G47" s="81"/>
      <c r="H47" s="81"/>
      <c r="I47" s="81"/>
    </row>
    <row r="48" spans="1:9" ht="16.5">
      <c r="A48" s="33" t="str">
        <f>HLOOKUP(INDICE!$F$2,Nombres!$C$3:$D$636,65,FALSE)</f>
        <v>Indicadores relevantes y de gestión</v>
      </c>
      <c r="B48" s="34"/>
      <c r="C48" s="34"/>
      <c r="D48" s="34"/>
      <c r="E48" s="34"/>
      <c r="F48" s="85"/>
      <c r="G48" s="85"/>
      <c r="H48" s="85"/>
      <c r="I48" s="85"/>
    </row>
    <row r="49" spans="1:9" ht="14.25">
      <c r="A49" s="35" t="str">
        <f>HLOOKUP(INDICE!$F$2,Nombres!$C$3:$D$636,32,FALSE)</f>
        <v>(Millones de euros)</v>
      </c>
      <c r="B49" s="30"/>
      <c r="C49" s="30"/>
      <c r="D49" s="30"/>
      <c r="E49" s="30"/>
      <c r="F49" s="83"/>
      <c r="G49" s="81"/>
      <c r="H49" s="81"/>
      <c r="I49" s="81"/>
    </row>
    <row r="50" spans="1:9" ht="14.25">
      <c r="A50" s="30"/>
      <c r="B50" s="55">
        <f aca="true" t="shared" si="7" ref="B50:I50">+B$30</f>
        <v>43555</v>
      </c>
      <c r="C50" s="55">
        <f t="shared" si="7"/>
        <v>43646</v>
      </c>
      <c r="D50" s="55">
        <f t="shared" si="7"/>
        <v>43738</v>
      </c>
      <c r="E50" s="71">
        <f t="shared" si="7"/>
        <v>43830</v>
      </c>
      <c r="F50" s="80">
        <f t="shared" si="7"/>
        <v>43921</v>
      </c>
      <c r="G50" s="80">
        <f t="shared" si="7"/>
        <v>44012</v>
      </c>
      <c r="H50" s="80">
        <f t="shared" si="7"/>
        <v>44104</v>
      </c>
      <c r="I50" s="80">
        <f t="shared" si="7"/>
        <v>44196</v>
      </c>
    </row>
    <row r="51" spans="1:9" ht="15" customHeight="1">
      <c r="A51" s="43" t="str">
        <f>HLOOKUP(INDICE!$F$2,Nombres!$C$3:$D$636,66,FALSE)</f>
        <v>Préstamos y anticipos a la clientela bruto (*)</v>
      </c>
      <c r="B51" s="44">
        <v>65479.455809240004</v>
      </c>
      <c r="C51" s="44">
        <v>62179.09505527</v>
      </c>
      <c r="D51" s="44">
        <v>62862.02890612</v>
      </c>
      <c r="E51" s="45">
        <v>66554.28311206</v>
      </c>
      <c r="F51" s="81">
        <v>75326.01205784999</v>
      </c>
      <c r="G51" s="81">
        <v>74998.89339703</v>
      </c>
      <c r="H51" s="81">
        <v>66340.66528592001</v>
      </c>
      <c r="I51" s="81">
        <v>0</v>
      </c>
    </row>
    <row r="52" spans="1:9" ht="14.25">
      <c r="A52" s="43" t="str">
        <f>HLOOKUP(INDICE!$F$2,Nombres!$C$3:$D$636,67,FALSE)</f>
        <v>Depósitos de clientes en gestión (**)</v>
      </c>
      <c r="B52" s="44">
        <v>37405.514682500005</v>
      </c>
      <c r="C52" s="44">
        <v>35322.08283756</v>
      </c>
      <c r="D52" s="44">
        <v>37310.96835763</v>
      </c>
      <c r="E52" s="45">
        <v>39150.37931781999</v>
      </c>
      <c r="F52" s="44">
        <v>40607.366233559995</v>
      </c>
      <c r="G52" s="44">
        <v>43885.43093827</v>
      </c>
      <c r="H52" s="44">
        <v>43408.093027949995</v>
      </c>
      <c r="I52" s="44">
        <v>0</v>
      </c>
    </row>
    <row r="53" spans="1:9" ht="14.25">
      <c r="A53" s="43" t="str">
        <f>HLOOKUP(INDICE!$F$2,Nombres!$C$3:$D$636,68,FALSE)</f>
        <v>Fondos de inversión</v>
      </c>
      <c r="B53" s="44">
        <v>847.5814779299999</v>
      </c>
      <c r="C53" s="44">
        <v>756.0795136500001</v>
      </c>
      <c r="D53" s="44">
        <v>738.9313007200001</v>
      </c>
      <c r="E53" s="45">
        <v>634.9319168100001</v>
      </c>
      <c r="F53" s="44">
        <v>593.74191791</v>
      </c>
      <c r="G53" s="44">
        <v>1241.6800483700001</v>
      </c>
      <c r="H53" s="44">
        <v>993.9543257399998</v>
      </c>
      <c r="I53" s="44">
        <v>0</v>
      </c>
    </row>
    <row r="54" spans="1:9" ht="14.25">
      <c r="A54" s="43" t="str">
        <f>HLOOKUP(INDICE!$F$2,Nombres!$C$3:$D$636,69,FALSE)</f>
        <v>Fondos de pensiones</v>
      </c>
      <c r="B54" s="44">
        <v>0</v>
      </c>
      <c r="C54" s="44">
        <v>0</v>
      </c>
      <c r="D54" s="44">
        <v>0</v>
      </c>
      <c r="E54" s="45">
        <v>0</v>
      </c>
      <c r="F54" s="44">
        <v>0</v>
      </c>
      <c r="G54" s="44">
        <v>0</v>
      </c>
      <c r="H54" s="44">
        <v>0</v>
      </c>
      <c r="I54" s="44">
        <v>0</v>
      </c>
    </row>
    <row r="55" spans="1:9" ht="14.25">
      <c r="A55" s="43" t="str">
        <f>HLOOKUP(INDICE!$F$2,Nombres!$C$3:$D$636,70,FALSE)</f>
        <v>Otros recursos fuera de balance</v>
      </c>
      <c r="B55" s="44">
        <v>540.15913798</v>
      </c>
      <c r="C55" s="44">
        <v>544.8320786200001</v>
      </c>
      <c r="D55" s="44">
        <v>384.79271908000004</v>
      </c>
      <c r="E55" s="45">
        <v>401.88187617</v>
      </c>
      <c r="F55" s="44">
        <v>129.95471164</v>
      </c>
      <c r="G55" s="44">
        <v>155.2092641</v>
      </c>
      <c r="H55" s="44">
        <v>101.69233328</v>
      </c>
      <c r="I55" s="44">
        <v>0</v>
      </c>
    </row>
    <row r="56" spans="1:9" ht="14.25">
      <c r="A56" s="65" t="str">
        <f>HLOOKUP(INDICE!$F$2,Nombres!$C$3:$D$636,71,FALSE)</f>
        <v>(*) No incluye las adquisiciones temporales de activos.</v>
      </c>
      <c r="B56" s="60"/>
      <c r="C56" s="60"/>
      <c r="D56" s="60"/>
      <c r="E56" s="60"/>
      <c r="F56" s="60"/>
      <c r="G56" s="60"/>
      <c r="H56" s="60"/>
      <c r="I56" s="60"/>
    </row>
    <row r="57" spans="1:9" ht="14.25">
      <c r="A57" s="65" t="str">
        <f>HLOOKUP(INDICE!$F$2,Nombres!$C$3:$D$636,72,FALSE)</f>
        <v>(**) No incluye las cesiones temporales de activos.</v>
      </c>
      <c r="B57" s="30"/>
      <c r="C57" s="30"/>
      <c r="D57" s="30"/>
      <c r="E57" s="30"/>
      <c r="F57" s="30"/>
      <c r="G57" s="30"/>
      <c r="H57" s="30"/>
      <c r="I57" s="30"/>
    </row>
    <row r="58" spans="1:9" ht="14.25">
      <c r="A58" s="65"/>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5">
        <f>+B$6</f>
        <v>2019</v>
      </c>
      <c r="C62" s="305"/>
      <c r="D62" s="305"/>
      <c r="E62" s="306"/>
      <c r="F62" s="305">
        <f>+F$6</f>
        <v>2020</v>
      </c>
      <c r="G62" s="305"/>
      <c r="H62" s="305"/>
      <c r="I62" s="305"/>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327.9807386496749</v>
      </c>
      <c r="C64" s="41">
        <v>356.1703469539491</v>
      </c>
      <c r="D64" s="41">
        <v>328.3862918712041</v>
      </c>
      <c r="E64" s="42">
        <v>353.1206923524765</v>
      </c>
      <c r="F64" s="52">
        <v>362.72840228290664</v>
      </c>
      <c r="G64" s="52">
        <v>417.7301131961866</v>
      </c>
      <c r="H64" s="52">
        <v>411.1687197909066</v>
      </c>
      <c r="I64" s="52">
        <v>0</v>
      </c>
    </row>
    <row r="65" spans="1:9" ht="14.25">
      <c r="A65" s="43" t="str">
        <f>HLOOKUP(INDICE!$F$2,Nombres!$C$3:$D$636,34,FALSE)</f>
        <v>Comisiones netas</v>
      </c>
      <c r="B65" s="44">
        <v>159.05459596804457</v>
      </c>
      <c r="C65" s="44">
        <v>164.16344955214282</v>
      </c>
      <c r="D65" s="44">
        <v>183.3743494376063</v>
      </c>
      <c r="E65" s="45">
        <v>182.16065008219135</v>
      </c>
      <c r="F65" s="44">
        <v>184.71460909687156</v>
      </c>
      <c r="G65" s="44">
        <v>207.71134427389427</v>
      </c>
      <c r="H65" s="44">
        <v>221.25912159923408</v>
      </c>
      <c r="I65" s="44">
        <v>0</v>
      </c>
    </row>
    <row r="66" spans="1:9" ht="14.25">
      <c r="A66" s="43" t="str">
        <f>HLOOKUP(INDICE!$F$2,Nombres!$C$3:$D$636,35,FALSE)</f>
        <v>Resultados de operaciones financieras</v>
      </c>
      <c r="B66" s="44">
        <v>194.74551215350886</v>
      </c>
      <c r="C66" s="44">
        <v>140.6987583142079</v>
      </c>
      <c r="D66" s="44">
        <v>193.15967325673523</v>
      </c>
      <c r="E66" s="45">
        <v>252.00722240722055</v>
      </c>
      <c r="F66" s="44">
        <v>171.1072062402004</v>
      </c>
      <c r="G66" s="44">
        <v>232.35516744337625</v>
      </c>
      <c r="H66" s="44">
        <v>217.90120182642337</v>
      </c>
      <c r="I66" s="44">
        <v>0</v>
      </c>
    </row>
    <row r="67" spans="1:9" ht="14.25">
      <c r="A67" s="43" t="str">
        <f>HLOOKUP(INDICE!$F$2,Nombres!$C$3:$D$636,36,FALSE)</f>
        <v>Otros ingresos y cargas de explotación</v>
      </c>
      <c r="B67" s="44">
        <v>-12.49443491402462</v>
      </c>
      <c r="C67" s="44">
        <v>-10.260332330867922</v>
      </c>
      <c r="D67" s="44">
        <v>-12.913811474734509</v>
      </c>
      <c r="E67" s="45">
        <v>-11.96095182498889</v>
      </c>
      <c r="F67" s="44">
        <v>-11.437095359153602</v>
      </c>
      <c r="G67" s="44">
        <v>-11.113924389128552</v>
      </c>
      <c r="H67" s="44">
        <v>-10.295734191717845</v>
      </c>
      <c r="I67" s="44">
        <v>0</v>
      </c>
    </row>
    <row r="68" spans="1:9" ht="14.25">
      <c r="A68" s="41" t="str">
        <f>HLOOKUP(INDICE!$F$2,Nombres!$C$3:$D$636,37,FALSE)</f>
        <v>Margen bruto</v>
      </c>
      <c r="B68" s="41">
        <f>+SUM(B64:B67)</f>
        <v>669.2864118572037</v>
      </c>
      <c r="C68" s="41">
        <f aca="true" t="shared" si="9" ref="C68:I68">+SUM(C64:C67)</f>
        <v>650.7722224894319</v>
      </c>
      <c r="D68" s="41">
        <f t="shared" si="9"/>
        <v>692.0065030908111</v>
      </c>
      <c r="E68" s="42">
        <f t="shared" si="9"/>
        <v>775.3276130168995</v>
      </c>
      <c r="F68" s="52">
        <f t="shared" si="9"/>
        <v>707.1131222608251</v>
      </c>
      <c r="G68" s="52">
        <f t="shared" si="9"/>
        <v>846.6827005243285</v>
      </c>
      <c r="H68" s="52">
        <f t="shared" si="9"/>
        <v>840.0333090248462</v>
      </c>
      <c r="I68" s="52">
        <f t="shared" si="9"/>
        <v>0</v>
      </c>
    </row>
    <row r="69" spans="1:9" ht="14.25">
      <c r="A69" s="43" t="str">
        <f>HLOOKUP(INDICE!$F$2,Nombres!$C$3:$D$636,38,FALSE)</f>
        <v>Gastos de explotación</v>
      </c>
      <c r="B69" s="44">
        <v>-248.26617316523567</v>
      </c>
      <c r="C69" s="44">
        <v>-250.14985643762645</v>
      </c>
      <c r="D69" s="44">
        <v>-255.39461858398238</v>
      </c>
      <c r="E69" s="45">
        <v>-268.27556272196426</v>
      </c>
      <c r="F69" s="44">
        <v>-261.27756807130567</v>
      </c>
      <c r="G69" s="44">
        <v>-215.71779064863105</v>
      </c>
      <c r="H69" s="44">
        <v>-243.47476082006327</v>
      </c>
      <c r="I69" s="44">
        <v>0</v>
      </c>
    </row>
    <row r="70" spans="1:9" ht="14.25">
      <c r="A70" s="43" t="str">
        <f>HLOOKUP(INDICE!$F$2,Nombres!$C$3:$D$636,39,FALSE)</f>
        <v>  Gastos de administración</v>
      </c>
      <c r="B70" s="44">
        <v>-216.99780116405964</v>
      </c>
      <c r="C70" s="44">
        <v>-219.07143563981992</v>
      </c>
      <c r="D70" s="44">
        <v>-224.69040946770608</v>
      </c>
      <c r="E70" s="45">
        <v>-238.26822520170424</v>
      </c>
      <c r="F70" s="44">
        <v>-231.71965832188738</v>
      </c>
      <c r="G70" s="44">
        <v>-185.7312513943935</v>
      </c>
      <c r="H70" s="44">
        <v>-213.43248384371913</v>
      </c>
      <c r="I70" s="44">
        <v>0</v>
      </c>
    </row>
    <row r="71" spans="1:9" ht="14.25">
      <c r="A71" s="46" t="str">
        <f>HLOOKUP(INDICE!$F$2,Nombres!$C$3:$D$636,40,FALSE)</f>
        <v>  Gastos de personal</v>
      </c>
      <c r="B71" s="44">
        <v>-115.91419838663643</v>
      </c>
      <c r="C71" s="44">
        <v>-112.32243212804948</v>
      </c>
      <c r="D71" s="44">
        <v>-114.08492861219884</v>
      </c>
      <c r="E71" s="45">
        <v>-121.55627262943928</v>
      </c>
      <c r="F71" s="44">
        <v>-121.08936661995354</v>
      </c>
      <c r="G71" s="44">
        <v>-78.34529818727266</v>
      </c>
      <c r="H71" s="44">
        <v>-95.6226737327738</v>
      </c>
      <c r="I71" s="44">
        <v>0</v>
      </c>
    </row>
    <row r="72" spans="1:9" ht="14.25">
      <c r="A72" s="46" t="str">
        <f>HLOOKUP(INDICE!$F$2,Nombres!$C$3:$D$636,41,FALSE)</f>
        <v>  Otros gastos de administración</v>
      </c>
      <c r="B72" s="44">
        <v>-101.08360277742315</v>
      </c>
      <c r="C72" s="44">
        <v>-106.74900351177038</v>
      </c>
      <c r="D72" s="44">
        <v>-110.60548085550727</v>
      </c>
      <c r="E72" s="45">
        <v>-116.71195257226498</v>
      </c>
      <c r="F72" s="44">
        <v>-110.63029170193381</v>
      </c>
      <c r="G72" s="44">
        <v>-107.38595320712085</v>
      </c>
      <c r="H72" s="44">
        <v>-117.80981011094532</v>
      </c>
      <c r="I72" s="44">
        <v>0</v>
      </c>
    </row>
    <row r="73" spans="1:9" ht="14.25">
      <c r="A73" s="43" t="str">
        <f>HLOOKUP(INDICE!$F$2,Nombres!$C$3:$D$636,42,FALSE)</f>
        <v>  Amortización</v>
      </c>
      <c r="B73" s="44">
        <v>-31.26837200117605</v>
      </c>
      <c r="C73" s="44">
        <v>-31.078420797806537</v>
      </c>
      <c r="D73" s="44">
        <v>-30.70420911627628</v>
      </c>
      <c r="E73" s="45">
        <v>-30.007337520260066</v>
      </c>
      <c r="F73" s="44">
        <v>-29.5579097494183</v>
      </c>
      <c r="G73" s="44">
        <v>-29.98653925423755</v>
      </c>
      <c r="H73" s="44">
        <v>-30.04227697634416</v>
      </c>
      <c r="I73" s="44">
        <v>0</v>
      </c>
    </row>
    <row r="74" spans="1:9" ht="14.25">
      <c r="A74" s="41" t="str">
        <f>HLOOKUP(INDICE!$F$2,Nombres!$C$3:$D$636,43,FALSE)</f>
        <v>Margen neto</v>
      </c>
      <c r="B74" s="41">
        <f>+B68+B69</f>
        <v>421.020238691968</v>
      </c>
      <c r="C74" s="41">
        <f aca="true" t="shared" si="10" ref="C74:I74">+C68+C69</f>
        <v>400.62236605180544</v>
      </c>
      <c r="D74" s="41">
        <f t="shared" si="10"/>
        <v>436.6118845068287</v>
      </c>
      <c r="E74" s="42">
        <f t="shared" si="10"/>
        <v>507.0520502949352</v>
      </c>
      <c r="F74" s="52">
        <f t="shared" si="10"/>
        <v>445.8355541895194</v>
      </c>
      <c r="G74" s="52">
        <f t="shared" si="10"/>
        <v>630.9649098756975</v>
      </c>
      <c r="H74" s="52">
        <f t="shared" si="10"/>
        <v>596.5585482047829</v>
      </c>
      <c r="I74" s="52">
        <f t="shared" si="10"/>
        <v>0</v>
      </c>
    </row>
    <row r="75" spans="1:9" ht="14.25">
      <c r="A75" s="43" t="str">
        <f>HLOOKUP(INDICE!$F$2,Nombres!$C$3:$D$636,44,FALSE)</f>
        <v>Deterioro de activos financieros no valorados a valor razonable con cambios en resultados</v>
      </c>
      <c r="B75" s="44">
        <v>-52.775857849667375</v>
      </c>
      <c r="C75" s="44">
        <v>-20.43965156166853</v>
      </c>
      <c r="D75" s="44">
        <v>-63.556262227415736</v>
      </c>
      <c r="E75" s="45">
        <v>-73.49209169427797</v>
      </c>
      <c r="F75" s="44">
        <v>-285.4258763804613</v>
      </c>
      <c r="G75" s="44">
        <v>-123.54545139202169</v>
      </c>
      <c r="H75" s="44">
        <v>-45.69693083751696</v>
      </c>
      <c r="I75" s="44">
        <v>0</v>
      </c>
    </row>
    <row r="76" spans="1:9" ht="14.25">
      <c r="A76" s="43" t="str">
        <f>HLOOKUP(INDICE!$F$2,Nombres!$C$3:$D$636,45,FALSE)</f>
        <v>Provisiones o reversión de provisiones y otros resultados</v>
      </c>
      <c r="B76" s="44">
        <v>4.585585707865786</v>
      </c>
      <c r="C76" s="44">
        <v>13.599856423521029</v>
      </c>
      <c r="D76" s="44">
        <v>6.740887077916675</v>
      </c>
      <c r="E76" s="45">
        <v>-15.45143657582311</v>
      </c>
      <c r="F76" s="44">
        <v>-10.094659637818612</v>
      </c>
      <c r="G76" s="44">
        <v>-25.086545877568497</v>
      </c>
      <c r="H76" s="44">
        <v>-28.29256817461289</v>
      </c>
      <c r="I76" s="44">
        <v>0</v>
      </c>
    </row>
    <row r="77" spans="1:9" ht="14.25">
      <c r="A77" s="41" t="str">
        <f>HLOOKUP(INDICE!$F$2,Nombres!$C$3:$D$636,46,FALSE)</f>
        <v>Resultado antes de impuestos</v>
      </c>
      <c r="B77" s="41">
        <f>+B74+B75+B76</f>
        <v>372.82996655016643</v>
      </c>
      <c r="C77" s="41">
        <f aca="true" t="shared" si="11" ref="C77:I77">+C74+C75+C76</f>
        <v>393.78257091365793</v>
      </c>
      <c r="D77" s="41">
        <f t="shared" si="11"/>
        <v>379.7965093573296</v>
      </c>
      <c r="E77" s="42">
        <f t="shared" si="11"/>
        <v>418.10852202483414</v>
      </c>
      <c r="F77" s="52">
        <f t="shared" si="11"/>
        <v>150.3150181712395</v>
      </c>
      <c r="G77" s="52">
        <f t="shared" si="11"/>
        <v>482.3329126061073</v>
      </c>
      <c r="H77" s="52">
        <f t="shared" si="11"/>
        <v>522.5690491926531</v>
      </c>
      <c r="I77" s="52">
        <f t="shared" si="11"/>
        <v>0</v>
      </c>
    </row>
    <row r="78" spans="1:9" ht="14.25">
      <c r="A78" s="43" t="str">
        <f>HLOOKUP(INDICE!$F$2,Nombres!$C$3:$D$636,47,FALSE)</f>
        <v>Impuesto sobre beneficios</v>
      </c>
      <c r="B78" s="44">
        <v>-93.44321247271375</v>
      </c>
      <c r="C78" s="44">
        <v>-92.50151258523393</v>
      </c>
      <c r="D78" s="44">
        <v>-99.95367763773118</v>
      </c>
      <c r="E78" s="45">
        <v>-96.0893550481672</v>
      </c>
      <c r="F78" s="44">
        <v>-40.777786209072275</v>
      </c>
      <c r="G78" s="44">
        <v>-134.7757561639636</v>
      </c>
      <c r="H78" s="44">
        <v>-140.9992113469641</v>
      </c>
      <c r="I78" s="44">
        <v>0</v>
      </c>
    </row>
    <row r="79" spans="1:9" ht="14.25">
      <c r="A79" s="41" t="str">
        <f>HLOOKUP(INDICE!$F$2,Nombres!$C$3:$D$636,48,FALSE)</f>
        <v>Resultado del ejercicio</v>
      </c>
      <c r="B79" s="41">
        <f>+B77+B78</f>
        <v>279.3867540774527</v>
      </c>
      <c r="C79" s="41">
        <f aca="true" t="shared" si="12" ref="C79:I79">+C77+C78</f>
        <v>301.281058328424</v>
      </c>
      <c r="D79" s="41">
        <f t="shared" si="12"/>
        <v>279.84283171959845</v>
      </c>
      <c r="E79" s="42">
        <f t="shared" si="12"/>
        <v>322.01916697666695</v>
      </c>
      <c r="F79" s="52">
        <f t="shared" si="12"/>
        <v>109.53723196216723</v>
      </c>
      <c r="G79" s="52">
        <f t="shared" si="12"/>
        <v>347.5571564421437</v>
      </c>
      <c r="H79" s="52">
        <f t="shared" si="12"/>
        <v>381.569837845689</v>
      </c>
      <c r="I79" s="52">
        <f t="shared" si="12"/>
        <v>0</v>
      </c>
    </row>
    <row r="80" spans="1:9" ht="14.25">
      <c r="A80" s="43" t="str">
        <f>HLOOKUP(INDICE!$F$2,Nombres!$C$3:$D$636,49,FALSE)</f>
        <v>Minoritarios</v>
      </c>
      <c r="B80" s="44">
        <v>-72.17416680045838</v>
      </c>
      <c r="C80" s="44">
        <v>-63.76783153050701</v>
      </c>
      <c r="D80" s="44">
        <v>-49.555699738817914</v>
      </c>
      <c r="E80" s="45">
        <v>-66.87382281916585</v>
      </c>
      <c r="F80" s="44">
        <v>-23.279393930428782</v>
      </c>
      <c r="G80" s="44">
        <v>-60.11525716425838</v>
      </c>
      <c r="H80" s="44">
        <v>-87.61517076531284</v>
      </c>
      <c r="I80" s="44">
        <v>0</v>
      </c>
    </row>
    <row r="81" spans="1:9" ht="14.25">
      <c r="A81" s="47" t="str">
        <f>HLOOKUP(INDICE!$F$2,Nombres!$C$3:$D$636,50,FALSE)</f>
        <v>Resultado atribuido</v>
      </c>
      <c r="B81" s="47">
        <f>+B79+B80</f>
        <v>207.2125872769943</v>
      </c>
      <c r="C81" s="47">
        <f aca="true" t="shared" si="13" ref="C81:I81">+C79+C80</f>
        <v>237.513226797917</v>
      </c>
      <c r="D81" s="47">
        <f t="shared" si="13"/>
        <v>230.28713198078054</v>
      </c>
      <c r="E81" s="47">
        <f t="shared" si="13"/>
        <v>255.14534415750109</v>
      </c>
      <c r="F81" s="53">
        <f t="shared" si="13"/>
        <v>86.25783803173844</v>
      </c>
      <c r="G81" s="53">
        <f t="shared" si="13"/>
        <v>287.44189927788534</v>
      </c>
      <c r="H81" s="53">
        <f t="shared" si="13"/>
        <v>293.95466708037617</v>
      </c>
      <c r="I81" s="53">
        <f t="shared" si="13"/>
        <v>0</v>
      </c>
    </row>
    <row r="82" spans="1:9" ht="14.25">
      <c r="A82" s="65"/>
      <c r="B82" s="66">
        <v>0</v>
      </c>
      <c r="C82" s="66">
        <v>0</v>
      </c>
      <c r="D82" s="66">
        <v>0</v>
      </c>
      <c r="E82" s="66">
        <v>0</v>
      </c>
      <c r="F82" s="66">
        <v>0</v>
      </c>
      <c r="G82" s="66">
        <v>0</v>
      </c>
      <c r="H82" s="66">
        <v>0</v>
      </c>
      <c r="I82" s="66">
        <v>0</v>
      </c>
    </row>
    <row r="83" spans="1:9" ht="14.25">
      <c r="A83" s="41"/>
      <c r="B83" s="41"/>
      <c r="C83" s="41"/>
      <c r="D83" s="41"/>
      <c r="E83" s="41"/>
      <c r="F83" s="52"/>
      <c r="G83" s="52"/>
      <c r="H83" s="52"/>
      <c r="I83" s="52"/>
    </row>
    <row r="84" spans="1:9" ht="16.5">
      <c r="A84" s="33" t="str">
        <f>HLOOKUP(INDICE!$F$2,Nombres!$C$3:$D$636,51,FALSE)</f>
        <v>Balances</v>
      </c>
      <c r="B84" s="34"/>
      <c r="C84" s="34"/>
      <c r="D84" s="34"/>
      <c r="E84" s="34"/>
      <c r="F84" s="72"/>
      <c r="G84" s="72"/>
      <c r="H84" s="72"/>
      <c r="I84" s="72"/>
    </row>
    <row r="85" spans="1:9" ht="14.25">
      <c r="A85" s="35" t="str">
        <f>HLOOKUP(INDICE!$F$2,Nombres!$C$3:$D$636,73,FALSE)</f>
        <v>(Millones de euros constantes)</v>
      </c>
      <c r="B85" s="30"/>
      <c r="C85" s="54"/>
      <c r="D85" s="54"/>
      <c r="E85" s="54"/>
      <c r="F85" s="73"/>
      <c r="G85" s="44"/>
      <c r="H85" s="44"/>
      <c r="I85" s="44"/>
    </row>
    <row r="86" spans="1:9" ht="14.25">
      <c r="A86" s="30"/>
      <c r="B86" s="55">
        <f aca="true" t="shared" si="14" ref="B86:I86">+B$30</f>
        <v>43555</v>
      </c>
      <c r="C86" s="55">
        <f t="shared" si="14"/>
        <v>43646</v>
      </c>
      <c r="D86" s="55">
        <f t="shared" si="14"/>
        <v>43738</v>
      </c>
      <c r="E86" s="71">
        <f t="shared" si="14"/>
        <v>43830</v>
      </c>
      <c r="F86" s="55">
        <f t="shared" si="14"/>
        <v>43921</v>
      </c>
      <c r="G86" s="55">
        <f t="shared" si="14"/>
        <v>44012</v>
      </c>
      <c r="H86" s="55">
        <f t="shared" si="14"/>
        <v>44104</v>
      </c>
      <c r="I86" s="55">
        <f t="shared" si="14"/>
        <v>44196</v>
      </c>
    </row>
    <row r="87" spans="1:9" ht="14.25">
      <c r="A87" s="43" t="str">
        <f>HLOOKUP(INDICE!$F$2,Nombres!$C$3:$D$636,52,FALSE)</f>
        <v>Efectivo, saldos en efectivo en bancos centrales y otros depósitos a la vista</v>
      </c>
      <c r="B87" s="44">
        <v>3586.00213380266</v>
      </c>
      <c r="C87" s="44">
        <v>3427.527766080997</v>
      </c>
      <c r="D87" s="44">
        <v>2635.7061630996523</v>
      </c>
      <c r="E87" s="45">
        <v>3314.108141198456</v>
      </c>
      <c r="F87" s="44">
        <v>5531.961591730322</v>
      </c>
      <c r="G87" s="44">
        <v>4012.531489171126</v>
      </c>
      <c r="H87" s="44">
        <v>5902.52700482</v>
      </c>
      <c r="I87" s="44">
        <v>0</v>
      </c>
    </row>
    <row r="88" spans="1:9" ht="14.25">
      <c r="A88" s="43" t="str">
        <f>HLOOKUP(INDICE!$F$2,Nombres!$C$3:$D$636,53,FALSE)</f>
        <v>Activos financieros a valor razonable</v>
      </c>
      <c r="B88" s="60">
        <v>91856.2691606626</v>
      </c>
      <c r="C88" s="60">
        <v>105404.68940397135</v>
      </c>
      <c r="D88" s="60">
        <v>109487.5336089395</v>
      </c>
      <c r="E88" s="68">
        <v>102135.1213533757</v>
      </c>
      <c r="F88" s="44">
        <v>137634.98350726816</v>
      </c>
      <c r="G88" s="44">
        <v>122040.63126869647</v>
      </c>
      <c r="H88" s="44">
        <v>111351.4886672</v>
      </c>
      <c r="I88" s="44">
        <v>0</v>
      </c>
    </row>
    <row r="89" spans="1:9" ht="14.25">
      <c r="A89" s="43" t="str">
        <f>HLOOKUP(INDICE!$F$2,Nombres!$C$3:$D$636,54,FALSE)</f>
        <v>Activos financieros a coste amortizado</v>
      </c>
      <c r="B89" s="44">
        <v>65898.11277569339</v>
      </c>
      <c r="C89" s="44">
        <v>65468.34241183654</v>
      </c>
      <c r="D89" s="44">
        <v>68018.48573405558</v>
      </c>
      <c r="E89" s="45">
        <v>70176.21627901656</v>
      </c>
      <c r="F89" s="44">
        <v>83880.57169114029</v>
      </c>
      <c r="G89" s="44">
        <v>84449.92790276837</v>
      </c>
      <c r="H89" s="44">
        <v>76204.99303802</v>
      </c>
      <c r="I89" s="44">
        <v>0</v>
      </c>
    </row>
    <row r="90" spans="1:9" ht="14.25">
      <c r="A90" s="43" t="str">
        <f>HLOOKUP(INDICE!$F$2,Nombres!$C$3:$D$636,55,FALSE)</f>
        <v>    de los que préstamos y anticipos a la clientela</v>
      </c>
      <c r="B90" s="44">
        <v>59063.1273915424</v>
      </c>
      <c r="C90" s="44">
        <v>56720.33201079056</v>
      </c>
      <c r="D90" s="44">
        <v>56338.42978036858</v>
      </c>
      <c r="E90" s="45">
        <v>60478.16410302137</v>
      </c>
      <c r="F90" s="44">
        <v>71249.58714857345</v>
      </c>
      <c r="G90" s="44">
        <v>71836.0145491494</v>
      </c>
      <c r="H90" s="44">
        <v>66010.50513696</v>
      </c>
      <c r="I90" s="44">
        <v>0</v>
      </c>
    </row>
    <row r="91" spans="1:9" ht="14.25">
      <c r="A91" s="43" t="str">
        <f>HLOOKUP(INDICE!$F$2,Nombres!$C$3:$D$636,121,FALSE)</f>
        <v>Posiciones inter-áreas activo</v>
      </c>
      <c r="B91" s="44">
        <v>0</v>
      </c>
      <c r="C91" s="44">
        <v>0</v>
      </c>
      <c r="D91" s="44">
        <v>0</v>
      </c>
      <c r="E91" s="45">
        <v>0</v>
      </c>
      <c r="F91" s="44">
        <v>0</v>
      </c>
      <c r="G91" s="44">
        <v>0</v>
      </c>
      <c r="H91" s="44">
        <v>0</v>
      </c>
      <c r="I91" s="44">
        <v>0</v>
      </c>
    </row>
    <row r="92" spans="1:9" ht="14.25">
      <c r="A92" s="43" t="str">
        <f>HLOOKUP(INDICE!$F$2,Nombres!$C$3:$D$636,56,FALSE)</f>
        <v>Activos tangibles</v>
      </c>
      <c r="B92" s="44">
        <v>75.61396249671698</v>
      </c>
      <c r="C92" s="44">
        <v>70.00433396282894</v>
      </c>
      <c r="D92" s="44">
        <v>72.38367477979416</v>
      </c>
      <c r="E92" s="45">
        <v>57.935409483140894</v>
      </c>
      <c r="F92" s="44">
        <v>54.57324782261985</v>
      </c>
      <c r="G92" s="44">
        <v>53.21865356631174</v>
      </c>
      <c r="H92" s="44">
        <v>34.940553890000004</v>
      </c>
      <c r="I92" s="44">
        <v>0</v>
      </c>
    </row>
    <row r="93" spans="1:9" ht="14.25">
      <c r="A93" s="43" t="str">
        <f>HLOOKUP(INDICE!$F$2,Nombres!$C$3:$D$636,57,FALSE)</f>
        <v>Otros activos</v>
      </c>
      <c r="B93" s="60">
        <f>+B94-B92-B89-B88-B87-B91</f>
        <v>3257.307199489467</v>
      </c>
      <c r="C93" s="60">
        <f aca="true" t="shared" si="15" ref="C93:I93">+C94-C92-C89-C88-C87-C91</f>
        <v>2704.8856298546143</v>
      </c>
      <c r="D93" s="60">
        <f t="shared" si="15"/>
        <v>15431.033387521102</v>
      </c>
      <c r="E93" s="68">
        <f t="shared" si="15"/>
        <v>2379.6427963084934</v>
      </c>
      <c r="F93" s="60">
        <f t="shared" si="15"/>
        <v>1394.8237823491309</v>
      </c>
      <c r="G93" s="60">
        <f t="shared" si="15"/>
        <v>1429.9680766548317</v>
      </c>
      <c r="H93" s="60">
        <f t="shared" si="15"/>
        <v>1226.5377231600469</v>
      </c>
      <c r="I93" s="60">
        <f t="shared" si="15"/>
        <v>0</v>
      </c>
    </row>
    <row r="94" spans="1:9" ht="14.25">
      <c r="A94" s="47" t="str">
        <f>HLOOKUP(INDICE!$F$2,Nombres!$C$3:$D$636,58,FALSE)</f>
        <v>Total activo / pasivo</v>
      </c>
      <c r="B94" s="47">
        <v>164673.30523214483</v>
      </c>
      <c r="C94" s="47">
        <v>177075.44954570633</v>
      </c>
      <c r="D94" s="47">
        <v>195645.14256839562</v>
      </c>
      <c r="E94" s="74">
        <v>178063.02397938236</v>
      </c>
      <c r="F94" s="53">
        <v>228496.91382031052</v>
      </c>
      <c r="G94" s="53">
        <v>211986.2773908571</v>
      </c>
      <c r="H94" s="53">
        <v>194720.48698709003</v>
      </c>
      <c r="I94" s="53">
        <v>0</v>
      </c>
    </row>
    <row r="95" spans="1:9" ht="14.25">
      <c r="A95" s="43" t="str">
        <f>HLOOKUP(INDICE!$F$2,Nombres!$C$3:$D$636,59,FALSE)</f>
        <v>Pasivos financieros mantenidos para negociar y designados a valor razonable con cambios en resultados</v>
      </c>
      <c r="B95" s="60">
        <v>79483.85752748721</v>
      </c>
      <c r="C95" s="60">
        <v>91648.09185145739</v>
      </c>
      <c r="D95" s="60">
        <v>91558.28128009874</v>
      </c>
      <c r="E95" s="68">
        <v>89129.09265497506</v>
      </c>
      <c r="F95" s="44">
        <v>119589.90778540759</v>
      </c>
      <c r="G95" s="44">
        <v>109796.42576623871</v>
      </c>
      <c r="H95" s="44">
        <v>95959.84135892</v>
      </c>
      <c r="I95" s="44">
        <v>0</v>
      </c>
    </row>
    <row r="96" spans="1:9" ht="14.25">
      <c r="A96" s="43" t="str">
        <f>HLOOKUP(INDICE!$F$2,Nombres!$C$3:$D$636,60,FALSE)</f>
        <v>Depósitos de bancos centrales y entidades de crédito</v>
      </c>
      <c r="B96" s="60">
        <v>15155.52439203564</v>
      </c>
      <c r="C96" s="60">
        <v>16175.379658189564</v>
      </c>
      <c r="D96" s="60">
        <v>16635.771655740533</v>
      </c>
      <c r="E96" s="68">
        <v>15126.211428095465</v>
      </c>
      <c r="F96" s="44">
        <v>19344.539297196974</v>
      </c>
      <c r="G96" s="44">
        <v>15086.149633427247</v>
      </c>
      <c r="H96" s="44">
        <v>12193.15378082</v>
      </c>
      <c r="I96" s="44">
        <v>0</v>
      </c>
    </row>
    <row r="97" spans="1:9" ht="14.25">
      <c r="A97" s="43" t="str">
        <f>HLOOKUP(INDICE!$F$2,Nombres!$C$3:$D$636,61,FALSE)</f>
        <v>Depósitos de la clientela</v>
      </c>
      <c r="B97" s="60">
        <v>33860.95997696194</v>
      </c>
      <c r="C97" s="60">
        <v>32129.270185256653</v>
      </c>
      <c r="D97" s="60">
        <v>33574.77861822858</v>
      </c>
      <c r="E97" s="68">
        <v>35416.114240613104</v>
      </c>
      <c r="F97" s="44">
        <v>39131.03449487526</v>
      </c>
      <c r="G97" s="44">
        <v>42706.22430696566</v>
      </c>
      <c r="H97" s="44">
        <v>44000.24340747</v>
      </c>
      <c r="I97" s="44">
        <v>0</v>
      </c>
    </row>
    <row r="98" spans="1:9" ht="14.25">
      <c r="A98" s="43" t="str">
        <f>HLOOKUP(INDICE!$F$2,Nombres!$C$3:$D$636,62,FALSE)</f>
        <v>Valores representativos de deuda emitidos</v>
      </c>
      <c r="B98" s="44">
        <v>1881.7531082788328</v>
      </c>
      <c r="C98" s="44">
        <v>2819.41999306637</v>
      </c>
      <c r="D98" s="44">
        <v>2304.8332145272775</v>
      </c>
      <c r="E98" s="45">
        <v>2496.6831162816748</v>
      </c>
      <c r="F98" s="44">
        <v>2174.464267217423</v>
      </c>
      <c r="G98" s="44">
        <v>1807.9082744215013</v>
      </c>
      <c r="H98" s="44">
        <v>1860.6350731300004</v>
      </c>
      <c r="I98" s="44">
        <v>0</v>
      </c>
    </row>
    <row r="99" spans="1:9" ht="14.25">
      <c r="A99" s="43" t="str">
        <f>HLOOKUP(INDICE!$F$2,Nombres!$C$3:$D$636,122,FALSE)</f>
        <v>Posiciones inter-áreas pasivo</v>
      </c>
      <c r="B99" s="44">
        <v>27720.39060443145</v>
      </c>
      <c r="C99" s="44">
        <v>26944.74145632636</v>
      </c>
      <c r="D99" s="44">
        <v>43773.66418956971</v>
      </c>
      <c r="E99" s="45">
        <v>28957.907811474084</v>
      </c>
      <c r="F99" s="44">
        <v>39919.70426882716</v>
      </c>
      <c r="G99" s="44">
        <v>33870.25212940242</v>
      </c>
      <c r="H99" s="44">
        <v>31523.10055938011</v>
      </c>
      <c r="I99" s="44">
        <v>0</v>
      </c>
    </row>
    <row r="100" spans="1:9" ht="14.25">
      <c r="A100" s="43" t="str">
        <f>HLOOKUP(INDICE!$F$2,Nombres!$C$3:$D$636,63,FALSE)</f>
        <v>Otros pasivos</v>
      </c>
      <c r="B100" s="60">
        <f>+B94-B95-B96-B97-B98-B101-B99</f>
        <v>2716.7651696473768</v>
      </c>
      <c r="C100" s="60">
        <f aca="true" t="shared" si="16" ref="C100:I100">+C94-C95-C96-C97-C98-C101-C99</f>
        <v>3983.672298790134</v>
      </c>
      <c r="D100" s="60">
        <f t="shared" si="16"/>
        <v>4051.0487594744627</v>
      </c>
      <c r="E100" s="68">
        <f t="shared" si="16"/>
        <v>2828.779846545287</v>
      </c>
      <c r="F100" s="60">
        <f t="shared" si="16"/>
        <v>3833.573611028456</v>
      </c>
      <c r="G100" s="60">
        <f t="shared" si="16"/>
        <v>4388.441918433993</v>
      </c>
      <c r="H100" s="60">
        <f t="shared" si="16"/>
        <v>4709.949826979922</v>
      </c>
      <c r="I100" s="60">
        <f t="shared" si="16"/>
        <v>0</v>
      </c>
    </row>
    <row r="101" spans="1:9" ht="14.25">
      <c r="A101" s="43" t="str">
        <f>HLOOKUP(INDICE!$F$2,Nombres!$C$3:$D$636,64,FALSE)</f>
        <v>Dotación de capital económico</v>
      </c>
      <c r="B101" s="44">
        <v>3854.0544533023794</v>
      </c>
      <c r="C101" s="44">
        <v>3374.874102619873</v>
      </c>
      <c r="D101" s="44">
        <v>3746.7648507563094</v>
      </c>
      <c r="E101" s="45">
        <v>4108.234881397679</v>
      </c>
      <c r="F101" s="44">
        <v>4503.690095757668</v>
      </c>
      <c r="G101" s="44">
        <v>4330.87536196757</v>
      </c>
      <c r="H101" s="44">
        <v>4473.56298039</v>
      </c>
      <c r="I101" s="44">
        <v>0</v>
      </c>
    </row>
    <row r="102" spans="1:9" ht="14.25">
      <c r="A102" s="65"/>
      <c r="B102" s="60"/>
      <c r="C102" s="60"/>
      <c r="D102" s="60"/>
      <c r="E102" s="60"/>
      <c r="F102" s="44"/>
      <c r="G102" s="44"/>
      <c r="H102" s="44"/>
      <c r="I102" s="44"/>
    </row>
    <row r="103" spans="1:9" ht="14.25">
      <c r="A103" s="43"/>
      <c r="B103" s="60"/>
      <c r="C103" s="60"/>
      <c r="D103" s="60"/>
      <c r="E103" s="60"/>
      <c r="F103" s="44"/>
      <c r="G103" s="44"/>
      <c r="H103" s="44"/>
      <c r="I103" s="44"/>
    </row>
    <row r="104" spans="1:9" ht="16.5">
      <c r="A104" s="33" t="str">
        <f>HLOOKUP(INDICE!$F$2,Nombres!$C$3:$D$636,65,FALSE)</f>
        <v>Indicadores relevantes y de gestión</v>
      </c>
      <c r="B104" s="34"/>
      <c r="C104" s="34"/>
      <c r="D104" s="34"/>
      <c r="E104" s="34"/>
      <c r="F104" s="72"/>
      <c r="G104" s="72"/>
      <c r="H104" s="72"/>
      <c r="I104" s="72"/>
    </row>
    <row r="105" spans="1:9" ht="14.25">
      <c r="A105" s="35" t="str">
        <f>HLOOKUP(INDICE!$F$2,Nombres!$C$3:$D$636,73,FALSE)</f>
        <v>(Millones de euros constantes)</v>
      </c>
      <c r="B105" s="30"/>
      <c r="C105" s="30"/>
      <c r="D105" s="30"/>
      <c r="E105" s="30"/>
      <c r="F105" s="73"/>
      <c r="G105" s="44"/>
      <c r="H105" s="44"/>
      <c r="I105" s="44"/>
    </row>
    <row r="106" spans="1:9" ht="14.25">
      <c r="A106" s="30"/>
      <c r="B106" s="55">
        <f aca="true" t="shared" si="17" ref="B106:I106">+B$30</f>
        <v>43555</v>
      </c>
      <c r="C106" s="55">
        <f t="shared" si="17"/>
        <v>43646</v>
      </c>
      <c r="D106" s="55">
        <f t="shared" si="17"/>
        <v>43738</v>
      </c>
      <c r="E106" s="71">
        <f t="shared" si="17"/>
        <v>43830</v>
      </c>
      <c r="F106" s="55">
        <f t="shared" si="17"/>
        <v>43921</v>
      </c>
      <c r="G106" s="55">
        <f t="shared" si="17"/>
        <v>44012</v>
      </c>
      <c r="H106" s="55">
        <f t="shared" si="17"/>
        <v>44104</v>
      </c>
      <c r="I106" s="55">
        <f t="shared" si="17"/>
        <v>44196</v>
      </c>
    </row>
    <row r="107" spans="1:9" ht="14.25">
      <c r="A107" s="43" t="str">
        <f>HLOOKUP(INDICE!$F$2,Nombres!$C$3:$D$636,66,FALSE)</f>
        <v>Préstamos y anticipos a la clientela bruto (*)</v>
      </c>
      <c r="B107" s="44">
        <v>59445.64523328787</v>
      </c>
      <c r="C107" s="44">
        <v>56895.633072502635</v>
      </c>
      <c r="D107" s="44">
        <v>56658.88219586149</v>
      </c>
      <c r="E107" s="45">
        <v>61020.175944181974</v>
      </c>
      <c r="F107" s="44">
        <v>71920.65414106492</v>
      </c>
      <c r="G107" s="44">
        <v>72404.13683077792</v>
      </c>
      <c r="H107" s="44">
        <v>66340.66528592001</v>
      </c>
      <c r="I107" s="44">
        <v>0</v>
      </c>
    </row>
    <row r="108" spans="1:9" ht="14.25">
      <c r="A108" s="43" t="str">
        <f>HLOOKUP(INDICE!$F$2,Nombres!$C$3:$D$636,67,FALSE)</f>
        <v>Depósitos de clientes en gestión (**)</v>
      </c>
      <c r="B108" s="44">
        <v>33858.4028010958</v>
      </c>
      <c r="C108" s="44">
        <v>32109.1064538927</v>
      </c>
      <c r="D108" s="44">
        <v>33535.37378115369</v>
      </c>
      <c r="E108" s="45">
        <v>35403.16403024828</v>
      </c>
      <c r="F108" s="44">
        <v>38808.00686945381</v>
      </c>
      <c r="G108" s="44">
        <v>42600.69244386674</v>
      </c>
      <c r="H108" s="44">
        <v>43408.093027949995</v>
      </c>
      <c r="I108" s="44">
        <v>0</v>
      </c>
    </row>
    <row r="109" spans="1:9" ht="14.25">
      <c r="A109" s="43" t="str">
        <f>HLOOKUP(INDICE!$F$2,Nombres!$C$3:$D$636,68,FALSE)</f>
        <v>Fondos de inversión</v>
      </c>
      <c r="B109" s="44">
        <v>631.1649070287781</v>
      </c>
      <c r="C109" s="44">
        <v>568.4765244368191</v>
      </c>
      <c r="D109" s="44">
        <v>596.1059497789871</v>
      </c>
      <c r="E109" s="45">
        <v>517.1032591348508</v>
      </c>
      <c r="F109" s="44">
        <v>523.4952784074239</v>
      </c>
      <c r="G109" s="44">
        <v>1131.8725162637763</v>
      </c>
      <c r="H109" s="44">
        <v>993.9543257399998</v>
      </c>
      <c r="I109" s="44">
        <v>0</v>
      </c>
    </row>
    <row r="110" spans="1:9" ht="14.25">
      <c r="A110" s="43" t="str">
        <f>HLOOKUP(INDICE!$F$2,Nombres!$C$3:$D$636,69,FALSE)</f>
        <v>Fondos de pensiones</v>
      </c>
      <c r="B110" s="44">
        <v>0</v>
      </c>
      <c r="C110" s="44">
        <v>0</v>
      </c>
      <c r="D110" s="44">
        <v>0</v>
      </c>
      <c r="E110" s="45">
        <v>0</v>
      </c>
      <c r="F110" s="44">
        <v>0</v>
      </c>
      <c r="G110" s="44">
        <v>0</v>
      </c>
      <c r="H110" s="44">
        <v>0</v>
      </c>
      <c r="I110" s="44">
        <v>0</v>
      </c>
    </row>
    <row r="111" spans="1:9" ht="14.25">
      <c r="A111" s="43" t="str">
        <f>HLOOKUP(INDICE!$F$2,Nombres!$C$3:$D$636,70,FALSE)</f>
        <v>Otros recursos fuera de balance</v>
      </c>
      <c r="B111" s="44">
        <v>447.45775648173264</v>
      </c>
      <c r="C111" s="44">
        <v>454.01494144028055</v>
      </c>
      <c r="D111" s="44">
        <v>315.24588189663996</v>
      </c>
      <c r="E111" s="45">
        <v>325.6856568937271</v>
      </c>
      <c r="F111" s="44">
        <v>129.91699296967533</v>
      </c>
      <c r="G111" s="44">
        <v>153.79971493439106</v>
      </c>
      <c r="H111" s="44">
        <v>101.69233328</v>
      </c>
      <c r="I111" s="44">
        <v>0</v>
      </c>
    </row>
    <row r="112" spans="1:9" ht="14.25">
      <c r="A112" s="65" t="str">
        <f>HLOOKUP(INDICE!$F$2,Nombres!$C$3:$D$636,71,FALSE)</f>
        <v>(*) No incluye las adquisiciones temporales de activos.</v>
      </c>
      <c r="B112" s="60"/>
      <c r="C112" s="60"/>
      <c r="D112" s="60"/>
      <c r="E112" s="60"/>
      <c r="F112" s="60"/>
      <c r="G112" s="60"/>
      <c r="H112" s="60"/>
      <c r="I112" s="60"/>
    </row>
    <row r="113" spans="1:9" ht="14.25">
      <c r="A113" s="65" t="str">
        <f>HLOOKUP(INDICE!$F$2,Nombres!$C$3:$D$636,72,FALSE)</f>
        <v>(**) No incluye las cesiones temporales de activos.</v>
      </c>
      <c r="B113" s="30"/>
      <c r="C113" s="30"/>
      <c r="D113" s="30"/>
      <c r="E113" s="30"/>
      <c r="F113" s="30"/>
      <c r="G113" s="30"/>
      <c r="H113" s="30"/>
      <c r="I113" s="30"/>
    </row>
    <row r="114" spans="1:9" ht="14.25">
      <c r="A114" s="65"/>
      <c r="B114" s="60"/>
      <c r="C114" s="44"/>
      <c r="D114" s="44"/>
      <c r="E114" s="44"/>
      <c r="F114" s="44"/>
      <c r="G114" s="30"/>
      <c r="H114" s="30"/>
      <c r="I114" s="30"/>
    </row>
    <row r="120" spans="6:9" ht="14.25">
      <c r="F120" s="86"/>
      <c r="G120" s="86"/>
      <c r="H120" s="86"/>
      <c r="I120" s="86"/>
    </row>
    <row r="121" spans="6:9" ht="14.25">
      <c r="F121" s="86"/>
      <c r="G121" s="86"/>
      <c r="H121" s="86"/>
      <c r="I121" s="86"/>
    </row>
    <row r="122" spans="6:9" ht="14.25">
      <c r="F122" s="86"/>
      <c r="G122" s="86"/>
      <c r="H122" s="86"/>
      <c r="I122" s="86"/>
    </row>
    <row r="123" spans="6:9" ht="14.25">
      <c r="F123" s="86"/>
      <c r="G123" s="86"/>
      <c r="H123" s="86"/>
      <c r="I123" s="86"/>
    </row>
    <row r="124" spans="6:9" ht="14.25">
      <c r="F124" s="86"/>
      <c r="G124" s="86"/>
      <c r="H124" s="86"/>
      <c r="I124" s="86"/>
    </row>
    <row r="125" spans="6:9" ht="14.25">
      <c r="F125" s="86"/>
      <c r="G125" s="86"/>
      <c r="H125" s="86"/>
      <c r="I125" s="86"/>
    </row>
    <row r="126" spans="6:9" ht="14.25">
      <c r="F126" s="86"/>
      <c r="G126" s="86"/>
      <c r="H126" s="86"/>
      <c r="I126" s="86"/>
    </row>
    <row r="127" spans="6:9" ht="14.25">
      <c r="F127" s="86"/>
      <c r="G127" s="86"/>
      <c r="H127" s="86"/>
      <c r="I127" s="86"/>
    </row>
    <row r="128" spans="6:9" ht="14.25">
      <c r="F128" s="86"/>
      <c r="G128" s="86"/>
      <c r="H128" s="86"/>
      <c r="I128" s="86"/>
    </row>
    <row r="129" spans="6:9" ht="14.25">
      <c r="F129" s="86"/>
      <c r="G129" s="86"/>
      <c r="H129" s="86"/>
      <c r="I129" s="86"/>
    </row>
    <row r="130" spans="6:9" ht="14.25">
      <c r="F130" s="86"/>
      <c r="G130" s="86"/>
      <c r="H130" s="86"/>
      <c r="I130" s="86"/>
    </row>
    <row r="131" spans="6:9" ht="14.25">
      <c r="F131" s="86"/>
      <c r="G131" s="86"/>
      <c r="H131" s="86"/>
      <c r="I131" s="86"/>
    </row>
    <row r="132" spans="6:9" ht="14.25">
      <c r="F132" s="86"/>
      <c r="G132" s="86"/>
      <c r="H132" s="86"/>
      <c r="I132" s="86"/>
    </row>
    <row r="133" spans="6:9" ht="14.25">
      <c r="F133" s="86"/>
      <c r="G133" s="86"/>
      <c r="H133" s="86"/>
      <c r="I133" s="86"/>
    </row>
    <row r="134" spans="6:9" ht="14.25">
      <c r="F134" s="86"/>
      <c r="G134" s="86"/>
      <c r="H134" s="86"/>
      <c r="I134" s="86"/>
    </row>
    <row r="135" spans="6:9" ht="14.25">
      <c r="F135" s="86"/>
      <c r="G135" s="86"/>
      <c r="H135" s="86"/>
      <c r="I135" s="86"/>
    </row>
    <row r="136" spans="6:9" ht="14.25">
      <c r="F136" s="86"/>
      <c r="G136" s="86"/>
      <c r="H136" s="86"/>
      <c r="I136" s="86"/>
    </row>
    <row r="137" spans="6:9" ht="14.25">
      <c r="F137" s="86"/>
      <c r="G137" s="86"/>
      <c r="H137" s="86"/>
      <c r="I137" s="86"/>
    </row>
    <row r="138" spans="6:9" ht="14.25">
      <c r="F138" s="86"/>
      <c r="G138" s="86"/>
      <c r="H138" s="86"/>
      <c r="I138" s="86"/>
    </row>
    <row r="139" spans="6:9" ht="14.25">
      <c r="F139" s="86"/>
      <c r="G139" s="86"/>
      <c r="H139" s="86"/>
      <c r="I139" s="86"/>
    </row>
    <row r="140" spans="6:9" ht="14.25">
      <c r="F140" s="86"/>
      <c r="G140" s="86"/>
      <c r="H140" s="86"/>
      <c r="I140" s="86"/>
    </row>
    <row r="141" spans="6:9" ht="14.25">
      <c r="F141" s="86"/>
      <c r="G141" s="86"/>
      <c r="H141" s="86"/>
      <c r="I141" s="86"/>
    </row>
    <row r="142" spans="6:9" ht="14.25">
      <c r="F142" s="86"/>
      <c r="G142" s="86"/>
      <c r="H142" s="86"/>
      <c r="I142" s="86"/>
    </row>
    <row r="143" spans="6:9" ht="14.25">
      <c r="F143" s="86"/>
      <c r="G143" s="86"/>
      <c r="H143" s="86"/>
      <c r="I143" s="86"/>
    </row>
    <row r="144" spans="6:9" ht="14.25">
      <c r="F144" s="86"/>
      <c r="G144" s="86"/>
      <c r="H144" s="86"/>
      <c r="I144" s="86"/>
    </row>
    <row r="145" spans="6:9" ht="14.25">
      <c r="F145" s="86"/>
      <c r="G145" s="86"/>
      <c r="H145" s="86"/>
      <c r="I145" s="86"/>
    </row>
    <row r="146" spans="6:9" ht="14.25">
      <c r="F146" s="86"/>
      <c r="G146" s="86"/>
      <c r="H146" s="86"/>
      <c r="I146" s="86"/>
    </row>
    <row r="147" spans="6:9" ht="14.25">
      <c r="F147" s="86"/>
      <c r="G147" s="86"/>
      <c r="H147" s="86"/>
      <c r="I147" s="86"/>
    </row>
    <row r="148" spans="6:9" ht="14.25">
      <c r="F148" s="86"/>
      <c r="G148" s="86"/>
      <c r="H148" s="86"/>
      <c r="I148" s="86"/>
    </row>
    <row r="149" spans="6:9" ht="14.25">
      <c r="F149" s="86"/>
      <c r="G149" s="86"/>
      <c r="H149" s="86"/>
      <c r="I149" s="86"/>
    </row>
    <row r="150" spans="6:9" ht="14.25">
      <c r="F150" s="86"/>
      <c r="G150" s="86"/>
      <c r="H150" s="86"/>
      <c r="I150" s="86"/>
    </row>
    <row r="151" spans="6:9" ht="14.25">
      <c r="F151" s="86"/>
      <c r="G151" s="86"/>
      <c r="H151" s="86"/>
      <c r="I151" s="86"/>
    </row>
    <row r="152" spans="6:9" ht="14.25">
      <c r="F152" s="86"/>
      <c r="G152" s="86"/>
      <c r="H152" s="86"/>
      <c r="I152" s="86"/>
    </row>
    <row r="153" spans="6:9" ht="14.25">
      <c r="F153" s="86"/>
      <c r="G153" s="86"/>
      <c r="H153" s="86"/>
      <c r="I153" s="86"/>
    </row>
    <row r="154" spans="6:9" ht="14.25">
      <c r="F154" s="86"/>
      <c r="G154" s="86"/>
      <c r="H154" s="86"/>
      <c r="I154" s="86"/>
    </row>
    <row r="155" spans="6:9" ht="14.25">
      <c r="F155" s="86"/>
      <c r="G155" s="86"/>
      <c r="H155" s="86"/>
      <c r="I155" s="86"/>
    </row>
    <row r="156" spans="6:9" ht="14.25">
      <c r="F156" s="86"/>
      <c r="G156" s="86"/>
      <c r="H156" s="86"/>
      <c r="I156" s="86"/>
    </row>
    <row r="157" spans="6:9" ht="14.25">
      <c r="F157" s="86"/>
      <c r="G157" s="86"/>
      <c r="H157" s="86"/>
      <c r="I157" s="86"/>
    </row>
    <row r="158" spans="6:9" ht="14.25">
      <c r="F158" s="86"/>
      <c r="G158" s="86"/>
      <c r="H158" s="86"/>
      <c r="I158" s="86"/>
    </row>
    <row r="159" spans="6:9" ht="14.25">
      <c r="F159" s="86"/>
      <c r="G159" s="86"/>
      <c r="H159" s="86"/>
      <c r="I159" s="86"/>
    </row>
    <row r="160" spans="6:9" ht="14.25">
      <c r="F160" s="86"/>
      <c r="G160" s="86"/>
      <c r="H160" s="86"/>
      <c r="I160" s="86"/>
    </row>
    <row r="161" spans="6:9" ht="14.25">
      <c r="F161" s="86"/>
      <c r="G161" s="86"/>
      <c r="H161" s="86"/>
      <c r="I161" s="86"/>
    </row>
    <row r="162" spans="6:9" ht="14.25">
      <c r="F162" s="86"/>
      <c r="G162" s="86"/>
      <c r="H162" s="86"/>
      <c r="I162" s="86"/>
    </row>
    <row r="163" spans="6:9" ht="14.25">
      <c r="F163" s="86"/>
      <c r="G163" s="86"/>
      <c r="H163" s="86"/>
      <c r="I163" s="86"/>
    </row>
    <row r="164" spans="6:9" ht="14.25">
      <c r="F164" s="86"/>
      <c r="G164" s="86"/>
      <c r="H164" s="86"/>
      <c r="I164" s="86"/>
    </row>
    <row r="165" spans="6:9" ht="14.25">
      <c r="F165" s="86"/>
      <c r="G165" s="86"/>
      <c r="H165" s="86"/>
      <c r="I165" s="86"/>
    </row>
    <row r="166" spans="6:9" ht="14.25">
      <c r="F166" s="86"/>
      <c r="G166" s="86"/>
      <c r="H166" s="86"/>
      <c r="I166" s="86"/>
    </row>
    <row r="1000" ht="14.25">
      <c r="A1000" s="31" t="s">
        <v>397</v>
      </c>
    </row>
  </sheetData>
  <sheetProtection/>
  <mergeCells count="4">
    <mergeCell ref="B6:E6"/>
    <mergeCell ref="B62:E62"/>
    <mergeCell ref="F6:I6"/>
    <mergeCell ref="F62:I62"/>
  </mergeCells>
  <conditionalFormatting sqref="B26:I26">
    <cfRule type="cellIs" priority="2" dxfId="98" operator="notBetween">
      <formula>0.5</formula>
      <formula>-0.5</formula>
    </cfRule>
  </conditionalFormatting>
  <conditionalFormatting sqref="B82:I82">
    <cfRule type="cellIs" priority="1" dxfId="98" operator="notBetween">
      <formula>0.5</formula>
      <formula>-0.5</formula>
    </cfRule>
  </conditionalFormatting>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U1000"/>
  <sheetViews>
    <sheetView showGridLines="0" zoomScalePageLayoutView="0" workbookViewId="0" topLeftCell="A1">
      <selection activeCell="I1" sqref="I1:I16384"/>
    </sheetView>
  </sheetViews>
  <sheetFormatPr defaultColWidth="12.57421875" defaultRowHeight="15"/>
  <cols>
    <col min="1" max="1" width="40.7109375" style="102" customWidth="1"/>
    <col min="2" max="8" width="10.00390625" style="102" customWidth="1"/>
    <col min="9" max="9" width="10.00390625" style="102" hidden="1" customWidth="1"/>
    <col min="10" max="255" width="12.57421875" style="102" customWidth="1"/>
  </cols>
  <sheetData>
    <row r="1" spans="1:9" ht="16.5">
      <c r="A1" s="100" t="str">
        <f>HLOOKUP(INDICE!$F$2,Nombres!$C$3:$D$636,82,FALSE)</f>
        <v>Eficiencia (*)</v>
      </c>
      <c r="B1" s="101"/>
      <c r="C1" s="101"/>
      <c r="D1" s="101"/>
      <c r="E1" s="101"/>
      <c r="F1" s="101"/>
      <c r="G1" s="101"/>
      <c r="H1" s="101"/>
      <c r="I1" s="101"/>
    </row>
    <row r="2" spans="1:9" ht="14.25">
      <c r="A2" s="103" t="str">
        <f>HLOOKUP(INDICE!$F$2,Nombres!$C$3:$D$636,84,FALSE)</f>
        <v>(Porcentaje)</v>
      </c>
      <c r="B2" s="104"/>
      <c r="C2" s="104"/>
      <c r="D2" s="104"/>
      <c r="E2" s="104"/>
      <c r="F2" s="104"/>
      <c r="G2" s="104"/>
      <c r="H2" s="104"/>
      <c r="I2" s="104"/>
    </row>
    <row r="3" spans="1:9" ht="14.25">
      <c r="A3" s="105"/>
      <c r="B3" s="106">
        <f>+España!B30</f>
        <v>43555</v>
      </c>
      <c r="C3" s="106">
        <f>+España!C30</f>
        <v>43646</v>
      </c>
      <c r="D3" s="106">
        <f>+España!D30</f>
        <v>43738</v>
      </c>
      <c r="E3" s="106">
        <f>+España!E30</f>
        <v>43830</v>
      </c>
      <c r="F3" s="106">
        <f>+España!F30</f>
        <v>43921</v>
      </c>
      <c r="G3" s="106">
        <f>+España!G30</f>
        <v>44012</v>
      </c>
      <c r="H3" s="106">
        <f>+España!H30</f>
        <v>44104</v>
      </c>
      <c r="I3" s="106">
        <f>+España!I30</f>
        <v>44196</v>
      </c>
    </row>
    <row r="4" spans="1:9" ht="14.25">
      <c r="A4" s="104"/>
      <c r="B4" s="107"/>
      <c r="C4" s="107"/>
      <c r="D4" s="107"/>
      <c r="E4" s="108"/>
      <c r="F4" s="107"/>
      <c r="G4" s="107"/>
      <c r="H4" s="104"/>
      <c r="I4" s="104"/>
    </row>
    <row r="5" spans="1:255" ht="14.25">
      <c r="A5" s="109" t="str">
        <f>HLOOKUP(INDICE!$F$2,Nombres!$C$3:$D$636,3,FALSE)</f>
        <v>Grupo BBVA</v>
      </c>
      <c r="B5" s="110">
        <v>48.32422151482716</v>
      </c>
      <c r="C5" s="110">
        <v>49.18285358981665</v>
      </c>
      <c r="D5" s="110">
        <v>48.82630483593452</v>
      </c>
      <c r="E5" s="111">
        <v>48.65331270186349</v>
      </c>
      <c r="F5" s="256">
        <v>45.00092619497369</v>
      </c>
      <c r="G5" s="256">
        <v>45.76330920886741</v>
      </c>
      <c r="H5" s="256">
        <v>45.639597201474395</v>
      </c>
      <c r="I5" s="256">
        <v>0</v>
      </c>
      <c r="J5" s="113"/>
      <c r="K5" s="113"/>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2" ht="14.25">
      <c r="A6" s="104"/>
      <c r="B6" s="114"/>
      <c r="C6" s="114"/>
      <c r="D6" s="114"/>
      <c r="E6" s="115"/>
      <c r="F6" s="114"/>
      <c r="G6" s="114"/>
      <c r="H6" s="114"/>
      <c r="I6" s="114"/>
      <c r="J6" s="116"/>
      <c r="K6" s="116"/>
      <c r="L6" s="116"/>
    </row>
    <row r="7" spans="1:255" ht="14.25">
      <c r="A7" s="61" t="str">
        <f>HLOOKUP(INDICE!$F$2,Nombres!$C$3:$D$636,7,FALSE)</f>
        <v>España</v>
      </c>
      <c r="B7" s="117">
        <v>55.20030797003721</v>
      </c>
      <c r="C7" s="117">
        <v>58.72031492931187</v>
      </c>
      <c r="D7" s="117">
        <v>57.478044076300606</v>
      </c>
      <c r="E7" s="118">
        <v>57.52550217463467</v>
      </c>
      <c r="F7" s="119">
        <v>51.63966310751189</v>
      </c>
      <c r="G7" s="119">
        <v>52.710936587999754</v>
      </c>
      <c r="H7" s="119">
        <v>51.959191643293224</v>
      </c>
      <c r="I7" s="119">
        <v>0</v>
      </c>
      <c r="J7" s="113"/>
      <c r="K7" s="113"/>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2" ht="14.25">
      <c r="A8" s="104"/>
      <c r="B8" s="114"/>
      <c r="C8" s="114"/>
      <c r="D8" s="114"/>
      <c r="E8" s="115"/>
      <c r="F8" s="114"/>
      <c r="G8" s="114"/>
      <c r="H8" s="114"/>
      <c r="I8" s="114"/>
      <c r="J8" s="120"/>
      <c r="K8" s="116"/>
      <c r="L8" s="116"/>
    </row>
    <row r="9" spans="1:255" ht="14.25">
      <c r="A9" s="61" t="str">
        <f>HLOOKUP(INDICE!$F$2,Nombres!$C$3:$D$636,10,FALSE)</f>
        <v>EEUU</v>
      </c>
      <c r="B9" s="117">
        <v>58.81622204245072</v>
      </c>
      <c r="C9" s="117">
        <v>59.41534677031943</v>
      </c>
      <c r="D9" s="117">
        <v>59.52187338853142</v>
      </c>
      <c r="E9" s="118">
        <v>61.00510858524495</v>
      </c>
      <c r="F9" s="119">
        <v>61.28133732076567</v>
      </c>
      <c r="G9" s="119">
        <v>59.66801643710464</v>
      </c>
      <c r="H9" s="119">
        <v>59.54447401102644</v>
      </c>
      <c r="I9" s="119">
        <v>0</v>
      </c>
      <c r="J9" s="113"/>
      <c r="K9" s="113"/>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2" ht="14.25">
      <c r="A10" s="104"/>
      <c r="B10" s="114"/>
      <c r="C10" s="114"/>
      <c r="D10" s="114"/>
      <c r="E10" s="115"/>
      <c r="F10" s="114"/>
      <c r="G10" s="114"/>
      <c r="H10" s="114"/>
      <c r="I10" s="114"/>
      <c r="J10" s="120"/>
      <c r="K10" s="116"/>
      <c r="L10" s="116"/>
    </row>
    <row r="11" spans="1:12" ht="14.25">
      <c r="A11" s="61" t="str">
        <f>HLOOKUP(INDICE!$F$2,Nombres!$C$3:$D$636,11,FALSE)</f>
        <v>México</v>
      </c>
      <c r="B11" s="117">
        <v>33.34160122513831</v>
      </c>
      <c r="C11" s="117">
        <v>33.07127085731836</v>
      </c>
      <c r="D11" s="117">
        <v>33.118561599587146</v>
      </c>
      <c r="E11" s="118">
        <v>32.94242353842492</v>
      </c>
      <c r="F11" s="119">
        <v>33.17047764238883</v>
      </c>
      <c r="G11" s="119">
        <v>33.81471844705781</v>
      </c>
      <c r="H11" s="119">
        <v>33.304282473449554</v>
      </c>
      <c r="I11" s="119">
        <v>0</v>
      </c>
      <c r="J11" s="120"/>
      <c r="K11" s="116"/>
      <c r="L11" s="116"/>
    </row>
    <row r="12" spans="1:12" ht="14.25">
      <c r="A12" s="104"/>
      <c r="B12" s="114"/>
      <c r="C12" s="114"/>
      <c r="D12" s="114"/>
      <c r="E12" s="115"/>
      <c r="F12" s="114"/>
      <c r="G12" s="114"/>
      <c r="H12" s="114"/>
      <c r="I12" s="114"/>
      <c r="J12" s="120"/>
      <c r="K12" s="116"/>
      <c r="L12" s="116"/>
    </row>
    <row r="13" spans="1:255" ht="14.25">
      <c r="A13" s="61" t="str">
        <f>HLOOKUP(INDICE!$F$2,Nombres!$C$3:$D$636,12,FALSE)</f>
        <v>Turquía </v>
      </c>
      <c r="B13" s="117">
        <v>35.402997542881266</v>
      </c>
      <c r="C13" s="117">
        <v>35.402226396156436</v>
      </c>
      <c r="D13" s="117">
        <v>34.79045475871725</v>
      </c>
      <c r="E13" s="118">
        <v>33.840728558942814</v>
      </c>
      <c r="F13" s="119">
        <v>28.873108175286273</v>
      </c>
      <c r="G13" s="119">
        <v>28.742199449363337</v>
      </c>
      <c r="H13" s="119">
        <v>27.62314240062557</v>
      </c>
      <c r="I13" s="119">
        <v>0</v>
      </c>
      <c r="J13" s="113"/>
      <c r="K13" s="1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2" ht="14.25">
      <c r="A14" s="104"/>
      <c r="B14" s="114"/>
      <c r="C14" s="114"/>
      <c r="D14" s="114"/>
      <c r="E14" s="115"/>
      <c r="F14" s="114"/>
      <c r="G14" s="114"/>
      <c r="H14" s="114"/>
      <c r="I14" s="114"/>
      <c r="J14" s="116"/>
      <c r="K14" s="116"/>
      <c r="L14" s="116"/>
    </row>
    <row r="15" spans="1:255" ht="14.25">
      <c r="A15" s="61" t="str">
        <f>HLOOKUP(INDICE!$F$2,Nombres!$C$3:$D$636,13,FALSE)</f>
        <v>América del Sur </v>
      </c>
      <c r="B15" s="117">
        <v>38.434859777498055</v>
      </c>
      <c r="C15" s="117">
        <v>39.07273965705206</v>
      </c>
      <c r="D15" s="117">
        <v>39.89381406091345</v>
      </c>
      <c r="E15" s="118">
        <v>40.88862772625679</v>
      </c>
      <c r="F15" s="119">
        <v>45.162542141840625</v>
      </c>
      <c r="G15" s="119">
        <v>43.20517871190888</v>
      </c>
      <c r="H15" s="119">
        <v>42.757550133713465</v>
      </c>
      <c r="I15" s="119">
        <v>0</v>
      </c>
      <c r="J15" s="113"/>
      <c r="K15" s="113"/>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12" ht="14.25">
      <c r="A16" s="104"/>
      <c r="B16" s="114"/>
      <c r="C16" s="114"/>
      <c r="D16" s="114"/>
      <c r="E16" s="115"/>
      <c r="F16" s="114"/>
      <c r="G16" s="114"/>
      <c r="H16" s="114"/>
      <c r="I16" s="114"/>
      <c r="J16" s="116"/>
      <c r="K16" s="116"/>
      <c r="L16" s="116"/>
    </row>
    <row r="17" spans="1:9" ht="14.25">
      <c r="A17" s="61" t="str">
        <f>HLOOKUP(INDICE!$F$2,Nombres!$C$3:$D$636,18,FALSE)</f>
        <v>Resto de Eurasia</v>
      </c>
      <c r="B17" s="117">
        <v>67.52414495610812</v>
      </c>
      <c r="C17" s="117">
        <v>64.48105170334877</v>
      </c>
      <c r="D17" s="117">
        <v>62.82403675974927</v>
      </c>
      <c r="E17" s="118">
        <v>64.6255188514793</v>
      </c>
      <c r="F17" s="119">
        <v>57.70917426851325</v>
      </c>
      <c r="G17" s="119">
        <v>51.05076415117365</v>
      </c>
      <c r="H17" s="119">
        <v>52.59685348827661</v>
      </c>
      <c r="I17" s="119">
        <v>0</v>
      </c>
    </row>
    <row r="18" spans="1:12" ht="14.25">
      <c r="A18" s="104"/>
      <c r="B18" s="121"/>
      <c r="C18" s="121"/>
      <c r="D18" s="121"/>
      <c r="E18" s="121"/>
      <c r="F18" s="121"/>
      <c r="G18" s="121"/>
      <c r="H18" s="104"/>
      <c r="I18" s="282"/>
      <c r="J18" s="116"/>
      <c r="K18" s="116"/>
      <c r="L18" s="116"/>
    </row>
    <row r="19" spans="1:12" ht="14.25">
      <c r="A19" s="122" t="str">
        <f>HLOOKUP(INDICE!$F$2,Nombres!$C$3:$D$636,83,FALSE)</f>
        <v>(*) Gastos de explotación / Margen bruto. Incluye amortizaciones</v>
      </c>
      <c r="B19" s="104"/>
      <c r="C19" s="104"/>
      <c r="D19" s="104"/>
      <c r="E19" s="104"/>
      <c r="F19" s="104"/>
      <c r="G19" s="104"/>
      <c r="H19" s="104"/>
      <c r="I19" s="282"/>
      <c r="J19" s="116"/>
      <c r="K19" s="116"/>
      <c r="L19" s="116"/>
    </row>
    <row r="20" spans="1:12" ht="14.25">
      <c r="A20" s="123"/>
      <c r="B20" s="123"/>
      <c r="C20" s="123"/>
      <c r="D20" s="123"/>
      <c r="E20" s="123"/>
      <c r="F20" s="123"/>
      <c r="G20" s="123"/>
      <c r="H20" s="123"/>
      <c r="I20" s="283"/>
      <c r="J20" s="116"/>
      <c r="K20" s="116"/>
      <c r="L20" s="116"/>
    </row>
    <row r="21" spans="1:9" ht="14.25">
      <c r="A21" s="123"/>
      <c r="B21" s="123"/>
      <c r="C21" s="123"/>
      <c r="D21" s="123"/>
      <c r="E21" s="123"/>
      <c r="F21" s="123"/>
      <c r="G21" s="123"/>
      <c r="H21" s="123"/>
      <c r="I21" s="123"/>
    </row>
    <row r="1000" ht="14.25">
      <c r="A1000" s="102" t="s">
        <v>397</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IU1000"/>
  <sheetViews>
    <sheetView showGridLines="0" zoomScalePageLayoutView="0" workbookViewId="0" topLeftCell="A1">
      <selection activeCell="I1" sqref="I1:I16384"/>
    </sheetView>
  </sheetViews>
  <sheetFormatPr defaultColWidth="12.57421875" defaultRowHeight="15"/>
  <cols>
    <col min="1" max="1" width="45.7109375" style="160" customWidth="1"/>
    <col min="2" max="6" width="10.8515625" style="102" customWidth="1" collapsed="1"/>
    <col min="7" max="7" width="10.8515625" style="102" customWidth="1"/>
    <col min="8" max="8" width="10.8515625" style="125" customWidth="1"/>
    <col min="9" max="9" width="10.8515625" style="125" hidden="1" customWidth="1"/>
    <col min="10" max="11" width="9.57421875" style="125" customWidth="1"/>
    <col min="12" max="255" width="12.57421875" style="125" customWidth="1"/>
  </cols>
  <sheetData>
    <row r="1" spans="1:9" ht="19.5">
      <c r="A1" s="100" t="str">
        <f>HLOOKUP(INDICE!$F$2,Nombres!$C$3:$D$636,85,FALSE)</f>
        <v>Tasa de mora</v>
      </c>
      <c r="B1" s="124"/>
      <c r="C1" s="124"/>
      <c r="D1" s="124"/>
      <c r="E1" s="124"/>
      <c r="F1" s="124"/>
      <c r="G1" s="101"/>
      <c r="H1" s="101"/>
      <c r="I1" s="101"/>
    </row>
    <row r="2" spans="1:9" ht="14.25">
      <c r="A2" s="103" t="str">
        <f>HLOOKUP(INDICE!$F$2,Nombres!$C$3:$D$636,84,FALSE)</f>
        <v>(Porcentaje)</v>
      </c>
      <c r="B2" s="104"/>
      <c r="C2" s="104"/>
      <c r="D2" s="104"/>
      <c r="E2" s="104"/>
      <c r="F2" s="104"/>
      <c r="G2" s="104"/>
      <c r="H2" s="104"/>
      <c r="I2" s="104"/>
    </row>
    <row r="3" spans="1:9" ht="14.25">
      <c r="A3" s="104"/>
      <c r="B3" s="126">
        <f>+España!B$30</f>
        <v>43555</v>
      </c>
      <c r="C3" s="126">
        <f>+España!C$30</f>
        <v>43646</v>
      </c>
      <c r="D3" s="126">
        <f>+España!D$30</f>
        <v>43738</v>
      </c>
      <c r="E3" s="126">
        <f>+España!E$30</f>
        <v>43830</v>
      </c>
      <c r="F3" s="126">
        <f>+España!F$30</f>
        <v>43921</v>
      </c>
      <c r="G3" s="126">
        <f>+España!G$30</f>
        <v>44012</v>
      </c>
      <c r="H3" s="126">
        <f>+España!H$30</f>
        <v>44104</v>
      </c>
      <c r="I3" s="126">
        <f>+España!I$30</f>
        <v>44196</v>
      </c>
    </row>
    <row r="4" spans="1:9" ht="14.25">
      <c r="A4" s="104"/>
      <c r="B4" s="107"/>
      <c r="C4" s="107"/>
      <c r="D4" s="104"/>
      <c r="E4" s="127"/>
      <c r="F4" s="107"/>
      <c r="G4" s="107"/>
      <c r="H4" s="104"/>
      <c r="I4" s="104"/>
    </row>
    <row r="5" spans="1:255" ht="14.25">
      <c r="A5" s="109" t="str">
        <f>HLOOKUP(INDICE!$F$2,Nombres!$C$3:$D$636,3,FALSE)</f>
        <v>Grupo BBVA</v>
      </c>
      <c r="B5" s="110">
        <v>3.93879770745977</v>
      </c>
      <c r="C5" s="110">
        <v>3.8407509380267926</v>
      </c>
      <c r="D5" s="110">
        <v>3.9006646127381375</v>
      </c>
      <c r="E5" s="111">
        <v>3.785391068472362</v>
      </c>
      <c r="F5" s="110">
        <v>3.6142588207116035</v>
      </c>
      <c r="G5" s="112">
        <v>3.6686111342032106</v>
      </c>
      <c r="H5" s="112">
        <v>3.840577849871045</v>
      </c>
      <c r="I5" s="112">
        <v>0</v>
      </c>
      <c r="J5" s="128"/>
      <c r="K5" s="129"/>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4.25">
      <c r="A6" s="104"/>
      <c r="B6" s="114"/>
      <c r="C6" s="114"/>
      <c r="D6" s="114"/>
      <c r="E6" s="115"/>
      <c r="F6" s="114"/>
      <c r="G6" s="114"/>
      <c r="H6" s="114"/>
      <c r="I6" s="114"/>
      <c r="J6" s="128"/>
      <c r="K6" s="129"/>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c r="IU6" s="130"/>
    </row>
    <row r="7" spans="1:255" ht="14.25">
      <c r="A7" s="61" t="str">
        <f>HLOOKUP(INDICE!$F$2,Nombres!$C$3:$D$636,7,FALSE)</f>
        <v>España</v>
      </c>
      <c r="B7" s="117">
        <v>4.948680298608416</v>
      </c>
      <c r="C7" s="117">
        <v>4.604227344147789</v>
      </c>
      <c r="D7" s="117">
        <v>4.578404699933968</v>
      </c>
      <c r="E7" s="118">
        <v>4.4409759266746756</v>
      </c>
      <c r="F7" s="117">
        <v>4.305978274605477</v>
      </c>
      <c r="G7" s="119">
        <v>4.263709627936691</v>
      </c>
      <c r="H7" s="119">
        <v>4.322662789330809</v>
      </c>
      <c r="I7" s="119">
        <v>0</v>
      </c>
      <c r="J7" s="128"/>
      <c r="K7" s="129"/>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1" ht="14.25">
      <c r="A8" s="104"/>
      <c r="B8" s="114"/>
      <c r="C8" s="114"/>
      <c r="D8" s="114"/>
      <c r="E8" s="115"/>
      <c r="F8" s="114"/>
      <c r="G8" s="114"/>
      <c r="H8" s="114"/>
      <c r="I8" s="114"/>
      <c r="J8" s="128"/>
      <c r="K8" s="131"/>
    </row>
    <row r="9" spans="1:255" ht="14.25">
      <c r="A9" s="61" t="str">
        <f>HLOOKUP(INDICE!$F$2,Nombres!$C$3:$D$636,10,FALSE)</f>
        <v>EEUU</v>
      </c>
      <c r="B9" s="117">
        <v>1.4029665896688346</v>
      </c>
      <c r="C9" s="117">
        <v>1.3086170514450985</v>
      </c>
      <c r="D9" s="117">
        <v>1.097404607491746</v>
      </c>
      <c r="E9" s="118">
        <v>1.1006195277304418</v>
      </c>
      <c r="F9" s="117">
        <v>1.008674455100381</v>
      </c>
      <c r="G9" s="119">
        <v>1.140557593864889</v>
      </c>
      <c r="H9" s="119">
        <v>1.9343227376189316</v>
      </c>
      <c r="I9" s="119">
        <v>0</v>
      </c>
      <c r="J9" s="128"/>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1" ht="14.25">
      <c r="A10" s="104"/>
      <c r="B10" s="114"/>
      <c r="C10" s="114"/>
      <c r="D10" s="114"/>
      <c r="E10" s="115"/>
      <c r="F10" s="114"/>
      <c r="G10" s="114"/>
      <c r="H10" s="114"/>
      <c r="I10" s="114"/>
      <c r="J10" s="128"/>
      <c r="K10" s="131"/>
    </row>
    <row r="11" spans="1:11" ht="14.25">
      <c r="A11" s="61" t="str">
        <f>HLOOKUP(INDICE!$F$2,Nombres!$C$3:$D$636,11,FALSE)</f>
        <v>México</v>
      </c>
      <c r="B11" s="117">
        <v>2.038759011769962</v>
      </c>
      <c r="C11" s="117">
        <v>2.1863170630165305</v>
      </c>
      <c r="D11" s="117">
        <v>2.3885296676855936</v>
      </c>
      <c r="E11" s="118">
        <v>2.355912915894848</v>
      </c>
      <c r="F11" s="117">
        <v>2.281269629812707</v>
      </c>
      <c r="G11" s="119">
        <v>2.2208094687269857</v>
      </c>
      <c r="H11" s="119">
        <v>2.29237538034301</v>
      </c>
      <c r="I11" s="119">
        <v>0</v>
      </c>
      <c r="J11" s="128"/>
      <c r="K11" s="131"/>
    </row>
    <row r="12" spans="1:11" ht="14.25">
      <c r="A12" s="104"/>
      <c r="B12" s="114"/>
      <c r="C12" s="114"/>
      <c r="D12" s="114"/>
      <c r="E12" s="115"/>
      <c r="F12" s="114"/>
      <c r="G12" s="114"/>
      <c r="H12" s="114"/>
      <c r="I12" s="114"/>
      <c r="J12" s="128"/>
      <c r="K12" s="131"/>
    </row>
    <row r="13" spans="1:255" ht="14.25">
      <c r="A13" s="61" t="str">
        <f>HLOOKUP(INDICE!$F$2,Nombres!$C$3:$D$636,12,FALSE)</f>
        <v>Turquía </v>
      </c>
      <c r="B13" s="117">
        <v>5.747430227097583</v>
      </c>
      <c r="C13" s="117">
        <v>6.329489946442274</v>
      </c>
      <c r="D13" s="117">
        <v>7.189493216331347</v>
      </c>
      <c r="E13" s="118">
        <v>6.9899061302184515</v>
      </c>
      <c r="F13" s="117">
        <v>6.736531074635012</v>
      </c>
      <c r="G13" s="119">
        <v>7.019466719362834</v>
      </c>
      <c r="H13" s="119">
        <v>7.11405458809955</v>
      </c>
      <c r="I13" s="119">
        <v>0</v>
      </c>
      <c r="J13" s="128"/>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1" ht="14.25">
      <c r="A14" s="104"/>
      <c r="B14" s="114"/>
      <c r="C14" s="114"/>
      <c r="D14" s="114"/>
      <c r="E14" s="115"/>
      <c r="F14" s="114"/>
      <c r="G14" s="114"/>
      <c r="H14" s="114"/>
      <c r="I14" s="114"/>
      <c r="J14" s="128"/>
      <c r="K14" s="131"/>
    </row>
    <row r="15" spans="1:255" ht="14.25">
      <c r="A15" s="61" t="str">
        <f>HLOOKUP(INDICE!$F$2,Nombres!$C$3:$D$636,13,FALSE)</f>
        <v>América del Sur </v>
      </c>
      <c r="B15" s="117">
        <v>4.375262622171092</v>
      </c>
      <c r="C15" s="117">
        <v>4.431586678553112</v>
      </c>
      <c r="D15" s="117">
        <v>4.401656122016425</v>
      </c>
      <c r="E15" s="118">
        <v>4.405304640281197</v>
      </c>
      <c r="F15" s="117">
        <v>4.4385311534910175</v>
      </c>
      <c r="G15" s="119">
        <v>4.504578134978346</v>
      </c>
      <c r="H15" s="119">
        <v>4.345264892563691</v>
      </c>
      <c r="I15" s="119">
        <v>0</v>
      </c>
      <c r="J15" s="128"/>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4.25">
      <c r="A16" s="104"/>
      <c r="B16" s="132"/>
      <c r="C16" s="132"/>
      <c r="D16" s="132"/>
      <c r="E16" s="133"/>
      <c r="F16" s="132"/>
      <c r="G16" s="252"/>
      <c r="H16" s="252"/>
      <c r="I16" s="252"/>
      <c r="J16" s="128"/>
      <c r="K16" s="131"/>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130"/>
      <c r="EP16" s="130"/>
      <c r="EQ16" s="130"/>
      <c r="ER16" s="130"/>
      <c r="ES16" s="130"/>
      <c r="ET16" s="130"/>
      <c r="EU16" s="130"/>
      <c r="EV16" s="130"/>
      <c r="EW16" s="130"/>
      <c r="EX16" s="130"/>
      <c r="EY16" s="130"/>
      <c r="EZ16" s="130"/>
      <c r="FA16" s="130"/>
      <c r="FB16" s="130"/>
      <c r="FC16" s="130"/>
      <c r="FD16" s="130"/>
      <c r="FE16" s="130"/>
      <c r="FF16" s="130"/>
      <c r="FG16" s="130"/>
      <c r="FH16" s="130"/>
      <c r="FI16" s="130"/>
      <c r="FJ16" s="130"/>
      <c r="FK16" s="130"/>
      <c r="FL16" s="130"/>
      <c r="FM16" s="130"/>
      <c r="FN16" s="130"/>
      <c r="FO16" s="130"/>
      <c r="FP16" s="130"/>
      <c r="FQ16" s="130"/>
      <c r="FR16" s="130"/>
      <c r="FS16" s="130"/>
      <c r="FT16" s="130"/>
      <c r="FU16" s="130"/>
      <c r="FV16" s="130"/>
      <c r="FW16" s="130"/>
      <c r="FX16" s="130"/>
      <c r="FY16" s="130"/>
      <c r="FZ16" s="130"/>
      <c r="GA16" s="130"/>
      <c r="GB16" s="130"/>
      <c r="GC16" s="130"/>
      <c r="GD16" s="130"/>
      <c r="GE16" s="130"/>
      <c r="GF16" s="130"/>
      <c r="GG16" s="130"/>
      <c r="GH16" s="130"/>
      <c r="GI16" s="130"/>
      <c r="GJ16" s="130"/>
      <c r="GK16" s="130"/>
      <c r="GL16" s="130"/>
      <c r="GM16" s="130"/>
      <c r="GN16" s="130"/>
      <c r="GO16" s="130"/>
      <c r="GP16" s="130"/>
      <c r="GQ16" s="130"/>
      <c r="GR16" s="130"/>
      <c r="GS16" s="130"/>
      <c r="GT16" s="130"/>
      <c r="GU16" s="130"/>
      <c r="GV16" s="130"/>
      <c r="GW16" s="130"/>
      <c r="GX16" s="130"/>
      <c r="GY16" s="130"/>
      <c r="GZ16" s="130"/>
      <c r="HA16" s="130"/>
      <c r="HB16" s="130"/>
      <c r="HC16" s="130"/>
      <c r="HD16" s="130"/>
      <c r="HE16" s="130"/>
      <c r="HF16" s="130"/>
      <c r="HG16" s="130"/>
      <c r="HH16" s="130"/>
      <c r="HI16" s="130"/>
      <c r="HJ16" s="130"/>
      <c r="HK16" s="130"/>
      <c r="HL16" s="130"/>
      <c r="HM16" s="130"/>
      <c r="HN16" s="130"/>
      <c r="HO16" s="130"/>
      <c r="HP16" s="130"/>
      <c r="HQ16" s="130"/>
      <c r="HR16" s="130"/>
      <c r="HS16" s="130"/>
      <c r="HT16" s="130"/>
      <c r="HU16" s="130"/>
      <c r="HV16" s="130"/>
      <c r="HW16" s="130"/>
      <c r="HX16" s="130"/>
      <c r="HY16" s="130"/>
      <c r="HZ16" s="130"/>
      <c r="IA16" s="130"/>
      <c r="IB16" s="130"/>
      <c r="IC16" s="130"/>
      <c r="ID16" s="130"/>
      <c r="IE16" s="130"/>
      <c r="IF16" s="130"/>
      <c r="IG16" s="130"/>
      <c r="IH16" s="130"/>
      <c r="II16" s="130"/>
      <c r="IJ16" s="130"/>
      <c r="IK16" s="130"/>
      <c r="IL16" s="130"/>
      <c r="IM16" s="130"/>
      <c r="IN16" s="130"/>
      <c r="IO16" s="130"/>
      <c r="IP16" s="130"/>
      <c r="IQ16" s="130"/>
      <c r="IR16" s="130"/>
      <c r="IS16" s="130"/>
      <c r="IT16" s="130"/>
      <c r="IU16" s="130"/>
    </row>
    <row r="17" spans="1:9" ht="14.25">
      <c r="A17" s="61" t="str">
        <f>HLOOKUP(INDICE!$F$2,Nombres!$C$3:$D$636,18,FALSE)</f>
        <v>Resto de Eurasia</v>
      </c>
      <c r="B17" s="117">
        <v>1.5900898968657418</v>
      </c>
      <c r="C17" s="117">
        <v>1.3874501153710503</v>
      </c>
      <c r="D17" s="117">
        <v>1.3318546145352217</v>
      </c>
      <c r="E17" s="118">
        <v>1.2252298494980849</v>
      </c>
      <c r="F17" s="117">
        <v>0.8806642529445077</v>
      </c>
      <c r="G17" s="119">
        <v>0.8126162206947469</v>
      </c>
      <c r="H17" s="119">
        <v>0.9047165684259971</v>
      </c>
      <c r="I17" s="119">
        <v>0</v>
      </c>
    </row>
    <row r="18" spans="1:255" ht="14.25">
      <c r="A18" s="134"/>
      <c r="B18" s="132"/>
      <c r="C18" s="132"/>
      <c r="D18" s="135"/>
      <c r="E18" s="135"/>
      <c r="F18" s="132"/>
      <c r="G18" s="132"/>
      <c r="H18" s="135"/>
      <c r="I18" s="135"/>
      <c r="J18" s="131"/>
      <c r="K18" s="131"/>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c r="EP18" s="130"/>
      <c r="EQ18" s="130"/>
      <c r="ER18" s="130"/>
      <c r="ES18" s="130"/>
      <c r="ET18" s="130"/>
      <c r="EU18" s="130"/>
      <c r="EV18" s="130"/>
      <c r="EW18" s="130"/>
      <c r="EX18" s="130"/>
      <c r="EY18" s="130"/>
      <c r="EZ18" s="130"/>
      <c r="FA18" s="130"/>
      <c r="FB18" s="130"/>
      <c r="FC18" s="130"/>
      <c r="FD18" s="130"/>
      <c r="FE18" s="130"/>
      <c r="FF18" s="130"/>
      <c r="FG18" s="130"/>
      <c r="FH18" s="130"/>
      <c r="FI18" s="130"/>
      <c r="FJ18" s="130"/>
      <c r="FK18" s="130"/>
      <c r="FL18" s="130"/>
      <c r="FM18" s="130"/>
      <c r="FN18" s="130"/>
      <c r="FO18" s="130"/>
      <c r="FP18" s="130"/>
      <c r="FQ18" s="130"/>
      <c r="FR18" s="130"/>
      <c r="FS18" s="130"/>
      <c r="FT18" s="130"/>
      <c r="FU18" s="130"/>
      <c r="FV18" s="130"/>
      <c r="FW18" s="130"/>
      <c r="FX18" s="130"/>
      <c r="FY18" s="130"/>
      <c r="FZ18" s="130"/>
      <c r="GA18" s="130"/>
      <c r="GB18" s="130"/>
      <c r="GC18" s="130"/>
      <c r="GD18" s="130"/>
      <c r="GE18" s="130"/>
      <c r="GF18" s="130"/>
      <c r="GG18" s="130"/>
      <c r="GH18" s="130"/>
      <c r="GI18" s="130"/>
      <c r="GJ18" s="130"/>
      <c r="GK18" s="130"/>
      <c r="GL18" s="130"/>
      <c r="GM18" s="130"/>
      <c r="GN18" s="130"/>
      <c r="GO18" s="130"/>
      <c r="GP18" s="130"/>
      <c r="GQ18" s="130"/>
      <c r="GR18" s="130"/>
      <c r="GS18" s="130"/>
      <c r="GT18" s="130"/>
      <c r="GU18" s="130"/>
      <c r="GV18" s="130"/>
      <c r="GW18" s="130"/>
      <c r="GX18" s="130"/>
      <c r="GY18" s="130"/>
      <c r="GZ18" s="130"/>
      <c r="HA18" s="130"/>
      <c r="HB18" s="130"/>
      <c r="HC18" s="130"/>
      <c r="HD18" s="130"/>
      <c r="HE18" s="130"/>
      <c r="HF18" s="130"/>
      <c r="HG18" s="130"/>
      <c r="HH18" s="130"/>
      <c r="HI18" s="130"/>
      <c r="HJ18" s="130"/>
      <c r="HK18" s="130"/>
      <c r="HL18" s="130"/>
      <c r="HM18" s="130"/>
      <c r="HN18" s="130"/>
      <c r="HO18" s="130"/>
      <c r="HP18" s="130"/>
      <c r="HQ18" s="130"/>
      <c r="HR18" s="130"/>
      <c r="HS18" s="130"/>
      <c r="HT18" s="130"/>
      <c r="HU18" s="130"/>
      <c r="HV18" s="130"/>
      <c r="HW18" s="130"/>
      <c r="HX18" s="130"/>
      <c r="HY18" s="130"/>
      <c r="HZ18" s="130"/>
      <c r="IA18" s="130"/>
      <c r="IB18" s="130"/>
      <c r="IC18" s="130"/>
      <c r="ID18" s="130"/>
      <c r="IE18" s="130"/>
      <c r="IF18" s="130"/>
      <c r="IG18" s="130"/>
      <c r="IH18" s="130"/>
      <c r="II18" s="130"/>
      <c r="IJ18" s="130"/>
      <c r="IK18" s="130"/>
      <c r="IL18" s="130"/>
      <c r="IM18" s="130"/>
      <c r="IN18" s="130"/>
      <c r="IO18" s="130"/>
      <c r="IP18" s="130"/>
      <c r="IQ18" s="130"/>
      <c r="IR18" s="130"/>
      <c r="IS18" s="130"/>
      <c r="IT18" s="130"/>
      <c r="IU18" s="130"/>
    </row>
    <row r="19" spans="1:11" ht="14.25">
      <c r="A19" s="104"/>
      <c r="B19" s="132"/>
      <c r="C19" s="132"/>
      <c r="D19" s="135"/>
      <c r="E19" s="135"/>
      <c r="F19" s="132"/>
      <c r="G19" s="132"/>
      <c r="H19" s="135"/>
      <c r="I19" s="135"/>
      <c r="J19" s="131"/>
      <c r="K19" s="131"/>
    </row>
    <row r="20" spans="1:255" ht="16.5">
      <c r="A20" s="100" t="str">
        <f>HLOOKUP(INDICE!$F$2,Nombres!$C$3:$D$636,86,FALSE)</f>
        <v>Tasa de cobertura</v>
      </c>
      <c r="B20" s="136"/>
      <c r="C20" s="136"/>
      <c r="D20" s="137"/>
      <c r="E20" s="137"/>
      <c r="F20" s="136"/>
      <c r="G20" s="136"/>
      <c r="H20" s="137"/>
      <c r="I20" s="137"/>
      <c r="J20" s="131"/>
      <c r="K20" s="131"/>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38"/>
      <c r="DK20" s="138"/>
      <c r="DL20" s="138"/>
      <c r="DM20" s="138"/>
      <c r="DN20" s="138"/>
      <c r="DO20" s="138"/>
      <c r="DP20" s="138"/>
      <c r="DQ20" s="138"/>
      <c r="DR20" s="138"/>
      <c r="DS20" s="138"/>
      <c r="DT20" s="138"/>
      <c r="DU20" s="138"/>
      <c r="DV20" s="138"/>
      <c r="DW20" s="138"/>
      <c r="DX20" s="138"/>
      <c r="DY20" s="138"/>
      <c r="DZ20" s="138"/>
      <c r="EA20" s="138"/>
      <c r="EB20" s="138"/>
      <c r="EC20" s="138"/>
      <c r="ED20" s="138"/>
      <c r="EE20" s="138"/>
      <c r="EF20" s="138"/>
      <c r="EG20" s="138"/>
      <c r="EH20" s="138"/>
      <c r="EI20" s="138"/>
      <c r="EJ20" s="138"/>
      <c r="EK20" s="138"/>
      <c r="EL20" s="138"/>
      <c r="EM20" s="138"/>
      <c r="EN20" s="138"/>
      <c r="EO20" s="138"/>
      <c r="EP20" s="138"/>
      <c r="EQ20" s="138"/>
      <c r="ER20" s="138"/>
      <c r="ES20" s="138"/>
      <c r="ET20" s="138"/>
      <c r="EU20" s="138"/>
      <c r="EV20" s="138"/>
      <c r="EW20" s="138"/>
      <c r="EX20" s="138"/>
      <c r="EY20" s="138"/>
      <c r="EZ20" s="138"/>
      <c r="FA20" s="138"/>
      <c r="FB20" s="138"/>
      <c r="FC20" s="138"/>
      <c r="FD20" s="138"/>
      <c r="FE20" s="138"/>
      <c r="FF20" s="138"/>
      <c r="FG20" s="138"/>
      <c r="FH20" s="138"/>
      <c r="FI20" s="138"/>
      <c r="FJ20" s="138"/>
      <c r="FK20" s="138"/>
      <c r="FL20" s="138"/>
      <c r="FM20" s="138"/>
      <c r="FN20" s="138"/>
      <c r="FO20" s="138"/>
      <c r="FP20" s="138"/>
      <c r="FQ20" s="138"/>
      <c r="FR20" s="138"/>
      <c r="FS20" s="138"/>
      <c r="FT20" s="138"/>
      <c r="FU20" s="138"/>
      <c r="FV20" s="138"/>
      <c r="FW20" s="138"/>
      <c r="FX20" s="138"/>
      <c r="FY20" s="138"/>
      <c r="FZ20" s="138"/>
      <c r="GA20" s="138"/>
      <c r="GB20" s="138"/>
      <c r="GC20" s="138"/>
      <c r="GD20" s="138"/>
      <c r="GE20" s="138"/>
      <c r="GF20" s="138"/>
      <c r="GG20" s="138"/>
      <c r="GH20" s="138"/>
      <c r="GI20" s="138"/>
      <c r="GJ20" s="138"/>
      <c r="GK20" s="138"/>
      <c r="GL20" s="138"/>
      <c r="GM20" s="138"/>
      <c r="GN20" s="138"/>
      <c r="GO20" s="138"/>
      <c r="GP20" s="138"/>
      <c r="GQ20" s="138"/>
      <c r="GR20" s="138"/>
      <c r="GS20" s="138"/>
      <c r="GT20" s="138"/>
      <c r="GU20" s="138"/>
      <c r="GV20" s="138"/>
      <c r="GW20" s="138"/>
      <c r="GX20" s="138"/>
      <c r="GY20" s="138"/>
      <c r="GZ20" s="138"/>
      <c r="HA20" s="138"/>
      <c r="HB20" s="138"/>
      <c r="HC20" s="138"/>
      <c r="HD20" s="138"/>
      <c r="HE20" s="138"/>
      <c r="HF20" s="138"/>
      <c r="HG20" s="138"/>
      <c r="HH20" s="138"/>
      <c r="HI20" s="138"/>
      <c r="HJ20" s="138"/>
      <c r="HK20" s="138"/>
      <c r="HL20" s="138"/>
      <c r="HM20" s="138"/>
      <c r="HN20" s="138"/>
      <c r="HO20" s="138"/>
      <c r="HP20" s="138"/>
      <c r="HQ20" s="138"/>
      <c r="HR20" s="138"/>
      <c r="HS20" s="138"/>
      <c r="HT20" s="138"/>
      <c r="HU20" s="138"/>
      <c r="HV20" s="138"/>
      <c r="HW20" s="138"/>
      <c r="HX20" s="138"/>
      <c r="HY20" s="138"/>
      <c r="HZ20" s="138"/>
      <c r="IA20" s="138"/>
      <c r="IB20" s="138"/>
      <c r="IC20" s="138"/>
      <c r="ID20" s="138"/>
      <c r="IE20" s="138"/>
      <c r="IF20" s="138"/>
      <c r="IG20" s="138"/>
      <c r="IH20" s="138"/>
      <c r="II20" s="138"/>
      <c r="IJ20" s="138"/>
      <c r="IK20" s="138"/>
      <c r="IL20" s="138"/>
      <c r="IM20" s="138"/>
      <c r="IN20" s="138"/>
      <c r="IO20" s="138"/>
      <c r="IP20" s="138"/>
      <c r="IQ20" s="138"/>
      <c r="IR20" s="138"/>
      <c r="IS20" s="138"/>
      <c r="IT20" s="138"/>
      <c r="IU20" s="138"/>
    </row>
    <row r="21" spans="1:11" ht="14.25">
      <c r="A21" s="103" t="str">
        <f>HLOOKUP(INDICE!$F$2,Nombres!$C$3:$D$636,84,FALSE)</f>
        <v>(Porcentaje)</v>
      </c>
      <c r="B21" s="121"/>
      <c r="C21" s="121"/>
      <c r="D21" s="135"/>
      <c r="E21" s="135"/>
      <c r="F21" s="121"/>
      <c r="G21" s="121"/>
      <c r="H21" s="135"/>
      <c r="I21" s="135"/>
      <c r="J21" s="131"/>
      <c r="K21" s="131"/>
    </row>
    <row r="22" spans="1:11" ht="14.25">
      <c r="A22" s="104"/>
      <c r="B22" s="126">
        <f>+B$3</f>
        <v>43555</v>
      </c>
      <c r="C22" s="126">
        <f aca="true" t="shared" si="0" ref="C22:I22">+C$3</f>
        <v>43646</v>
      </c>
      <c r="D22" s="126">
        <f t="shared" si="0"/>
        <v>43738</v>
      </c>
      <c r="E22" s="126">
        <f t="shared" si="0"/>
        <v>43830</v>
      </c>
      <c r="F22" s="126">
        <f t="shared" si="0"/>
        <v>43921</v>
      </c>
      <c r="G22" s="126">
        <f t="shared" si="0"/>
        <v>44012</v>
      </c>
      <c r="H22" s="126">
        <f t="shared" si="0"/>
        <v>44104</v>
      </c>
      <c r="I22" s="126">
        <f t="shared" si="0"/>
        <v>44196</v>
      </c>
      <c r="J22" s="131"/>
      <c r="K22" s="131"/>
    </row>
    <row r="23" spans="1:11" ht="14.25">
      <c r="A23" s="104"/>
      <c r="B23" s="139"/>
      <c r="C23" s="139"/>
      <c r="D23" s="135"/>
      <c r="E23" s="135"/>
      <c r="F23" s="139"/>
      <c r="G23" s="139"/>
      <c r="H23" s="135"/>
      <c r="I23" s="135"/>
      <c r="J23" s="131"/>
      <c r="K23" s="131"/>
    </row>
    <row r="24" spans="1:255" ht="14.25">
      <c r="A24" s="109" t="str">
        <f>HLOOKUP(INDICE!$F$2,Nombres!$C$3:$D$636,3,FALSE)</f>
        <v>Grupo BBVA</v>
      </c>
      <c r="B24" s="140">
        <v>74.08333514985355</v>
      </c>
      <c r="C24" s="140">
        <v>74.63307846211158</v>
      </c>
      <c r="D24" s="140">
        <v>75.4239590258165</v>
      </c>
      <c r="E24" s="141">
        <v>76.61105282926411</v>
      </c>
      <c r="F24" s="140">
        <v>85.93109615225586</v>
      </c>
      <c r="G24" s="253">
        <v>85.43052181928229</v>
      </c>
      <c r="H24" s="253">
        <v>85.33785394299862</v>
      </c>
      <c r="I24" s="253">
        <v>0</v>
      </c>
      <c r="J24" s="142"/>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4.25">
      <c r="A25" s="104"/>
      <c r="B25" s="143"/>
      <c r="C25" s="143"/>
      <c r="D25" s="143"/>
      <c r="E25" s="144"/>
      <c r="F25" s="143"/>
      <c r="G25" s="143"/>
      <c r="H25" s="143"/>
      <c r="I25" s="143"/>
      <c r="J25" s="142"/>
      <c r="K25" s="131"/>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30"/>
      <c r="DT25" s="130"/>
      <c r="DU25" s="130"/>
      <c r="DV25" s="130"/>
      <c r="DW25" s="130"/>
      <c r="DX25" s="130"/>
      <c r="DY25" s="130"/>
      <c r="DZ25" s="130"/>
      <c r="EA25" s="130"/>
      <c r="EB25" s="130"/>
      <c r="EC25" s="130"/>
      <c r="ED25" s="130"/>
      <c r="EE25" s="130"/>
      <c r="EF25" s="130"/>
      <c r="EG25" s="130"/>
      <c r="EH25" s="130"/>
      <c r="EI25" s="130"/>
      <c r="EJ25" s="130"/>
      <c r="EK25" s="130"/>
      <c r="EL25" s="130"/>
      <c r="EM25" s="130"/>
      <c r="EN25" s="130"/>
      <c r="EO25" s="130"/>
      <c r="EP25" s="130"/>
      <c r="EQ25" s="130"/>
      <c r="ER25" s="130"/>
      <c r="ES25" s="130"/>
      <c r="ET25" s="130"/>
      <c r="EU25" s="130"/>
      <c r="EV25" s="130"/>
      <c r="EW25" s="130"/>
      <c r="EX25" s="130"/>
      <c r="EY25" s="130"/>
      <c r="EZ25" s="130"/>
      <c r="FA25" s="130"/>
      <c r="FB25" s="130"/>
      <c r="FC25" s="130"/>
      <c r="FD25" s="130"/>
      <c r="FE25" s="130"/>
      <c r="FF25" s="130"/>
      <c r="FG25" s="130"/>
      <c r="FH25" s="130"/>
      <c r="FI25" s="130"/>
      <c r="FJ25" s="130"/>
      <c r="FK25" s="130"/>
      <c r="FL25" s="130"/>
      <c r="FM25" s="130"/>
      <c r="FN25" s="130"/>
      <c r="FO25" s="130"/>
      <c r="FP25" s="130"/>
      <c r="FQ25" s="130"/>
      <c r="FR25" s="130"/>
      <c r="FS25" s="130"/>
      <c r="FT25" s="130"/>
      <c r="FU25" s="130"/>
      <c r="FV25" s="130"/>
      <c r="FW25" s="130"/>
      <c r="FX25" s="130"/>
      <c r="FY25" s="130"/>
      <c r="FZ25" s="130"/>
      <c r="GA25" s="130"/>
      <c r="GB25" s="130"/>
      <c r="GC25" s="130"/>
      <c r="GD25" s="130"/>
      <c r="GE25" s="130"/>
      <c r="GF25" s="130"/>
      <c r="GG25" s="130"/>
      <c r="GH25" s="130"/>
      <c r="GI25" s="130"/>
      <c r="GJ25" s="130"/>
      <c r="GK25" s="130"/>
      <c r="GL25" s="130"/>
      <c r="GM25" s="130"/>
      <c r="GN25" s="130"/>
      <c r="GO25" s="130"/>
      <c r="GP25" s="130"/>
      <c r="GQ25" s="130"/>
      <c r="GR25" s="130"/>
      <c r="GS25" s="130"/>
      <c r="GT25" s="130"/>
      <c r="GU25" s="130"/>
      <c r="GV25" s="130"/>
      <c r="GW25" s="130"/>
      <c r="GX25" s="130"/>
      <c r="GY25" s="130"/>
      <c r="GZ25" s="130"/>
      <c r="HA25" s="130"/>
      <c r="HB25" s="130"/>
      <c r="HC25" s="130"/>
      <c r="HD25" s="130"/>
      <c r="HE25" s="130"/>
      <c r="HF25" s="130"/>
      <c r="HG25" s="130"/>
      <c r="HH25" s="130"/>
      <c r="HI25" s="130"/>
      <c r="HJ25" s="130"/>
      <c r="HK25" s="130"/>
      <c r="HL25" s="130"/>
      <c r="HM25" s="130"/>
      <c r="HN25" s="130"/>
      <c r="HO25" s="130"/>
      <c r="HP25" s="130"/>
      <c r="HQ25" s="130"/>
      <c r="HR25" s="130"/>
      <c r="HS25" s="130"/>
      <c r="HT25" s="130"/>
      <c r="HU25" s="130"/>
      <c r="HV25" s="130"/>
      <c r="HW25" s="130"/>
      <c r="HX25" s="130"/>
      <c r="HY25" s="130"/>
      <c r="HZ25" s="130"/>
      <c r="IA25" s="130"/>
      <c r="IB25" s="130"/>
      <c r="IC25" s="130"/>
      <c r="ID25" s="130"/>
      <c r="IE25" s="130"/>
      <c r="IF25" s="130"/>
      <c r="IG25" s="130"/>
      <c r="IH25" s="130"/>
      <c r="II25" s="130"/>
      <c r="IJ25" s="130"/>
      <c r="IK25" s="130"/>
      <c r="IL25" s="130"/>
      <c r="IM25" s="130"/>
      <c r="IN25" s="130"/>
      <c r="IO25" s="130"/>
      <c r="IP25" s="130"/>
      <c r="IQ25" s="130"/>
      <c r="IR25" s="130"/>
      <c r="IS25" s="130"/>
      <c r="IT25" s="130"/>
      <c r="IU25" s="130"/>
    </row>
    <row r="26" spans="1:255" ht="14.25">
      <c r="A26" s="61" t="str">
        <f>HLOOKUP(INDICE!$F$2,Nombres!$C$3:$D$636,7,FALSE)</f>
        <v>España</v>
      </c>
      <c r="B26" s="145">
        <v>57.80994094305567</v>
      </c>
      <c r="C26" s="145">
        <v>57.971644227190055</v>
      </c>
      <c r="D26" s="145">
        <v>58.86825405938978</v>
      </c>
      <c r="E26" s="146">
        <v>59.70507822628394</v>
      </c>
      <c r="F26" s="145">
        <v>66.13243939724384</v>
      </c>
      <c r="G26" s="254">
        <v>65.65056768167248</v>
      </c>
      <c r="H26" s="254">
        <v>67.58018072748976</v>
      </c>
      <c r="I26" s="254">
        <v>0</v>
      </c>
      <c r="J26" s="142"/>
      <c r="K26" s="147"/>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1" ht="14.25">
      <c r="A27" s="104"/>
      <c r="B27" s="143"/>
      <c r="C27" s="143"/>
      <c r="D27" s="143"/>
      <c r="E27" s="144"/>
      <c r="F27" s="143"/>
      <c r="G27" s="143"/>
      <c r="H27" s="143"/>
      <c r="I27" s="143"/>
      <c r="J27" s="142"/>
      <c r="K27" s="131"/>
    </row>
    <row r="28" spans="1:255" ht="14.25">
      <c r="A28" s="61" t="str">
        <f>HLOOKUP(INDICE!$F$2,Nombres!$C$3:$D$636,10,FALSE)</f>
        <v>EEUU</v>
      </c>
      <c r="B28" s="145">
        <v>84.87265564593577</v>
      </c>
      <c r="C28" s="145">
        <v>91.17346647632841</v>
      </c>
      <c r="D28" s="145">
        <v>102.14036710893441</v>
      </c>
      <c r="E28" s="146">
        <v>101.18163272482039</v>
      </c>
      <c r="F28" s="145">
        <v>142.2752532513545</v>
      </c>
      <c r="G28" s="254">
        <v>133.06892371841334</v>
      </c>
      <c r="H28" s="254">
        <v>94.54715959096553</v>
      </c>
      <c r="I28" s="254">
        <v>0</v>
      </c>
      <c r="J28" s="142"/>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11" ht="14.25">
      <c r="A29" s="104"/>
      <c r="B29" s="143"/>
      <c r="C29" s="143"/>
      <c r="D29" s="143"/>
      <c r="E29" s="144"/>
      <c r="F29" s="143"/>
      <c r="G29" s="143"/>
      <c r="H29" s="143"/>
      <c r="I29" s="143"/>
      <c r="J29" s="142"/>
      <c r="K29" s="131"/>
    </row>
    <row r="30" spans="1:255" ht="14.25">
      <c r="A30" s="61" t="str">
        <f>HLOOKUP(INDICE!$F$2,Nombres!$C$3:$D$636,11,FALSE)</f>
        <v>México</v>
      </c>
      <c r="B30" s="145">
        <v>158.74652569918757</v>
      </c>
      <c r="C30" s="145">
        <v>147.66842995668318</v>
      </c>
      <c r="D30" s="145">
        <v>136.2228297468643</v>
      </c>
      <c r="E30" s="146">
        <v>136.33729486919793</v>
      </c>
      <c r="F30" s="145">
        <v>155.1299650820022</v>
      </c>
      <c r="G30" s="254">
        <v>165.45673791558647</v>
      </c>
      <c r="H30" s="254">
        <v>170.20065910476924</v>
      </c>
      <c r="I30" s="254">
        <v>0</v>
      </c>
      <c r="J30" s="142"/>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4.25">
      <c r="A31" s="104"/>
      <c r="B31" s="143"/>
      <c r="C31" s="143"/>
      <c r="D31" s="143"/>
      <c r="E31" s="144"/>
      <c r="F31" s="143"/>
      <c r="G31" s="143"/>
      <c r="H31" s="143"/>
      <c r="I31" s="143"/>
      <c r="J31" s="142"/>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4.25">
      <c r="A32" s="61" t="str">
        <f>HLOOKUP(INDICE!$F$2,Nombres!$C$3:$D$636,12,FALSE)</f>
        <v>Turquía </v>
      </c>
      <c r="B32" s="145">
        <v>77.64504167900049</v>
      </c>
      <c r="C32" s="145">
        <v>75.46014947289873</v>
      </c>
      <c r="D32" s="145">
        <v>74.52845459036169</v>
      </c>
      <c r="E32" s="146">
        <v>75.4109785168987</v>
      </c>
      <c r="F32" s="145">
        <v>86.33491378867349</v>
      </c>
      <c r="G32" s="254">
        <v>81.90898276777581</v>
      </c>
      <c r="H32" s="254">
        <v>81.90746572086384</v>
      </c>
      <c r="I32" s="254">
        <v>0</v>
      </c>
      <c r="J32" s="14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11" ht="14.25">
      <c r="A33" s="104"/>
      <c r="B33" s="143"/>
      <c r="C33" s="143"/>
      <c r="D33" s="143"/>
      <c r="E33" s="144"/>
      <c r="F33" s="143"/>
      <c r="G33" s="143"/>
      <c r="H33" s="143"/>
      <c r="I33" s="143"/>
      <c r="J33" s="142"/>
      <c r="K33" s="131"/>
    </row>
    <row r="34" spans="1:255" ht="14.25">
      <c r="A34" s="61" t="str">
        <f>HLOOKUP(INDICE!$F$2,Nombres!$C$3:$D$636,13,FALSE)</f>
        <v>América del Sur </v>
      </c>
      <c r="B34" s="145">
        <v>95.7417895156241</v>
      </c>
      <c r="C34" s="145">
        <v>95.08380871360156</v>
      </c>
      <c r="D34" s="145">
        <v>96.55302078028674</v>
      </c>
      <c r="E34" s="146">
        <v>99.82865447621964</v>
      </c>
      <c r="F34" s="145">
        <v>104.35242601463545</v>
      </c>
      <c r="G34" s="254">
        <v>107.87035050497826</v>
      </c>
      <c r="H34" s="254">
        <v>109.91333998259583</v>
      </c>
      <c r="I34" s="254">
        <v>0</v>
      </c>
      <c r="J34" s="142"/>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4.25">
      <c r="A35" s="104"/>
      <c r="B35" s="148"/>
      <c r="C35" s="148"/>
      <c r="D35" s="148"/>
      <c r="E35" s="149"/>
      <c r="F35" s="148"/>
      <c r="G35" s="255"/>
      <c r="H35" s="255"/>
      <c r="I35" s="255"/>
      <c r="J35" s="142"/>
      <c r="K35" s="131"/>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130"/>
      <c r="EL35" s="130"/>
      <c r="EM35" s="130"/>
      <c r="EN35" s="130"/>
      <c r="EO35" s="130"/>
      <c r="EP35" s="130"/>
      <c r="EQ35" s="130"/>
      <c r="ER35" s="130"/>
      <c r="ES35" s="130"/>
      <c r="ET35" s="130"/>
      <c r="EU35" s="130"/>
      <c r="EV35" s="130"/>
      <c r="EW35" s="130"/>
      <c r="EX35" s="130"/>
      <c r="EY35" s="130"/>
      <c r="EZ35" s="130"/>
      <c r="FA35" s="130"/>
      <c r="FB35" s="130"/>
      <c r="FC35" s="130"/>
      <c r="FD35" s="130"/>
      <c r="FE35" s="130"/>
      <c r="FF35" s="130"/>
      <c r="FG35" s="130"/>
      <c r="FH35" s="130"/>
      <c r="FI35" s="130"/>
      <c r="FJ35" s="130"/>
      <c r="FK35" s="130"/>
      <c r="FL35" s="130"/>
      <c r="FM35" s="130"/>
      <c r="FN35" s="130"/>
      <c r="FO35" s="130"/>
      <c r="FP35" s="130"/>
      <c r="FQ35" s="130"/>
      <c r="FR35" s="130"/>
      <c r="FS35" s="130"/>
      <c r="FT35" s="130"/>
      <c r="FU35" s="130"/>
      <c r="FV35" s="130"/>
      <c r="FW35" s="130"/>
      <c r="FX35" s="130"/>
      <c r="FY35" s="130"/>
      <c r="FZ35" s="130"/>
      <c r="GA35" s="130"/>
      <c r="GB35" s="130"/>
      <c r="GC35" s="130"/>
      <c r="GD35" s="130"/>
      <c r="GE35" s="130"/>
      <c r="GF35" s="130"/>
      <c r="GG35" s="130"/>
      <c r="GH35" s="130"/>
      <c r="GI35" s="130"/>
      <c r="GJ35" s="130"/>
      <c r="GK35" s="130"/>
      <c r="GL35" s="130"/>
      <c r="GM35" s="130"/>
      <c r="GN35" s="130"/>
      <c r="GO35" s="130"/>
      <c r="GP35" s="130"/>
      <c r="GQ35" s="130"/>
      <c r="GR35" s="130"/>
      <c r="GS35" s="130"/>
      <c r="GT35" s="130"/>
      <c r="GU35" s="130"/>
      <c r="GV35" s="130"/>
      <c r="GW35" s="130"/>
      <c r="GX35" s="130"/>
      <c r="GY35" s="130"/>
      <c r="GZ35" s="130"/>
      <c r="HA35" s="130"/>
      <c r="HB35" s="130"/>
      <c r="HC35" s="130"/>
      <c r="HD35" s="130"/>
      <c r="HE35" s="130"/>
      <c r="HF35" s="130"/>
      <c r="HG35" s="130"/>
      <c r="HH35" s="130"/>
      <c r="HI35" s="130"/>
      <c r="HJ35" s="130"/>
      <c r="HK35" s="130"/>
      <c r="HL35" s="130"/>
      <c r="HM35" s="130"/>
      <c r="HN35" s="130"/>
      <c r="HO35" s="130"/>
      <c r="HP35" s="130"/>
      <c r="HQ35" s="130"/>
      <c r="HR35" s="130"/>
      <c r="HS35" s="130"/>
      <c r="HT35" s="130"/>
      <c r="HU35" s="130"/>
      <c r="HV35" s="130"/>
      <c r="HW35" s="130"/>
      <c r="HX35" s="130"/>
      <c r="HY35" s="130"/>
      <c r="HZ35" s="130"/>
      <c r="IA35" s="130"/>
      <c r="IB35" s="130"/>
      <c r="IC35" s="130"/>
      <c r="ID35" s="130"/>
      <c r="IE35" s="130"/>
      <c r="IF35" s="130"/>
      <c r="IG35" s="130"/>
      <c r="IH35" s="130"/>
      <c r="II35" s="130"/>
      <c r="IJ35" s="130"/>
      <c r="IK35" s="130"/>
      <c r="IL35" s="130"/>
      <c r="IM35" s="130"/>
      <c r="IN35" s="130"/>
      <c r="IO35" s="130"/>
      <c r="IP35" s="130"/>
      <c r="IQ35" s="130"/>
      <c r="IR35" s="130"/>
      <c r="IS35" s="130"/>
      <c r="IT35" s="130"/>
      <c r="IU35" s="130"/>
    </row>
    <row r="36" spans="1:9" ht="14.25">
      <c r="A36" s="61" t="str">
        <f>HLOOKUP(INDICE!$F$2,Nombres!$C$3:$D$636,18,FALSE)</f>
        <v>Resto de Eurasia</v>
      </c>
      <c r="B36" s="145">
        <v>83.87201053957257</v>
      </c>
      <c r="C36" s="145">
        <v>97.58515774918767</v>
      </c>
      <c r="D36" s="145">
        <v>96.69508985407002</v>
      </c>
      <c r="E36" s="146">
        <v>97.7184024674819</v>
      </c>
      <c r="F36" s="145">
        <v>120.57285550334731</v>
      </c>
      <c r="G36" s="254">
        <v>125.82229057957126</v>
      </c>
      <c r="H36" s="254">
        <v>124.4084881200131</v>
      </c>
      <c r="I36" s="254">
        <v>0</v>
      </c>
    </row>
    <row r="37" spans="1:255" ht="14.25">
      <c r="A37" s="134"/>
      <c r="B37" s="150"/>
      <c r="C37" s="150"/>
      <c r="D37" s="135"/>
      <c r="E37" s="135"/>
      <c r="F37" s="150"/>
      <c r="G37" s="150"/>
      <c r="H37" s="135"/>
      <c r="I37" s="135"/>
      <c r="J37" s="131"/>
      <c r="K37" s="131"/>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30"/>
      <c r="DT37" s="130"/>
      <c r="DU37" s="130"/>
      <c r="DV37" s="130"/>
      <c r="DW37" s="130"/>
      <c r="DX37" s="130"/>
      <c r="DY37" s="130"/>
      <c r="DZ37" s="130"/>
      <c r="EA37" s="130"/>
      <c r="EB37" s="130"/>
      <c r="EC37" s="130"/>
      <c r="ED37" s="130"/>
      <c r="EE37" s="130"/>
      <c r="EF37" s="130"/>
      <c r="EG37" s="130"/>
      <c r="EH37" s="130"/>
      <c r="EI37" s="130"/>
      <c r="EJ37" s="130"/>
      <c r="EK37" s="130"/>
      <c r="EL37" s="130"/>
      <c r="EM37" s="130"/>
      <c r="EN37" s="130"/>
      <c r="EO37" s="130"/>
      <c r="EP37" s="130"/>
      <c r="EQ37" s="130"/>
      <c r="ER37" s="130"/>
      <c r="ES37" s="130"/>
      <c r="ET37" s="130"/>
      <c r="EU37" s="130"/>
      <c r="EV37" s="130"/>
      <c r="EW37" s="130"/>
      <c r="EX37" s="130"/>
      <c r="EY37" s="130"/>
      <c r="EZ37" s="130"/>
      <c r="FA37" s="130"/>
      <c r="FB37" s="130"/>
      <c r="FC37" s="130"/>
      <c r="FD37" s="130"/>
      <c r="FE37" s="130"/>
      <c r="FF37" s="130"/>
      <c r="FG37" s="130"/>
      <c r="FH37" s="130"/>
      <c r="FI37" s="130"/>
      <c r="FJ37" s="130"/>
      <c r="FK37" s="130"/>
      <c r="FL37" s="130"/>
      <c r="FM37" s="130"/>
      <c r="FN37" s="130"/>
      <c r="FO37" s="130"/>
      <c r="FP37" s="130"/>
      <c r="FQ37" s="130"/>
      <c r="FR37" s="130"/>
      <c r="FS37" s="130"/>
      <c r="FT37" s="130"/>
      <c r="FU37" s="130"/>
      <c r="FV37" s="130"/>
      <c r="FW37" s="130"/>
      <c r="FX37" s="130"/>
      <c r="FY37" s="130"/>
      <c r="FZ37" s="130"/>
      <c r="GA37" s="130"/>
      <c r="GB37" s="130"/>
      <c r="GC37" s="130"/>
      <c r="GD37" s="130"/>
      <c r="GE37" s="130"/>
      <c r="GF37" s="130"/>
      <c r="GG37" s="130"/>
      <c r="GH37" s="130"/>
      <c r="GI37" s="130"/>
      <c r="GJ37" s="130"/>
      <c r="GK37" s="130"/>
      <c r="GL37" s="130"/>
      <c r="GM37" s="130"/>
      <c r="GN37" s="130"/>
      <c r="GO37" s="130"/>
      <c r="GP37" s="130"/>
      <c r="GQ37" s="130"/>
      <c r="GR37" s="130"/>
      <c r="GS37" s="130"/>
      <c r="GT37" s="130"/>
      <c r="GU37" s="130"/>
      <c r="GV37" s="130"/>
      <c r="GW37" s="130"/>
      <c r="GX37" s="130"/>
      <c r="GY37" s="130"/>
      <c r="GZ37" s="130"/>
      <c r="HA37" s="130"/>
      <c r="HB37" s="130"/>
      <c r="HC37" s="130"/>
      <c r="HD37" s="130"/>
      <c r="HE37" s="130"/>
      <c r="HF37" s="130"/>
      <c r="HG37" s="130"/>
      <c r="HH37" s="130"/>
      <c r="HI37" s="130"/>
      <c r="HJ37" s="130"/>
      <c r="HK37" s="130"/>
      <c r="HL37" s="130"/>
      <c r="HM37" s="130"/>
      <c r="HN37" s="130"/>
      <c r="HO37" s="130"/>
      <c r="HP37" s="130"/>
      <c r="HQ37" s="130"/>
      <c r="HR37" s="130"/>
      <c r="HS37" s="130"/>
      <c r="HT37" s="130"/>
      <c r="HU37" s="130"/>
      <c r="HV37" s="130"/>
      <c r="HW37" s="130"/>
      <c r="HX37" s="130"/>
      <c r="HY37" s="130"/>
      <c r="HZ37" s="130"/>
      <c r="IA37" s="130"/>
      <c r="IB37" s="130"/>
      <c r="IC37" s="130"/>
      <c r="ID37" s="130"/>
      <c r="IE37" s="130"/>
      <c r="IF37" s="130"/>
      <c r="IG37" s="130"/>
      <c r="IH37" s="130"/>
      <c r="II37" s="130"/>
      <c r="IJ37" s="130"/>
      <c r="IK37" s="130"/>
      <c r="IL37" s="130"/>
      <c r="IM37" s="130"/>
      <c r="IN37" s="130"/>
      <c r="IO37" s="130"/>
      <c r="IP37" s="130"/>
      <c r="IQ37" s="130"/>
      <c r="IR37" s="130"/>
      <c r="IS37" s="130"/>
      <c r="IT37" s="130"/>
      <c r="IU37" s="130"/>
    </row>
    <row r="38" spans="1:11" ht="14.25">
      <c r="A38" s="104"/>
      <c r="B38" s="150"/>
      <c r="C38" s="150"/>
      <c r="D38" s="135"/>
      <c r="E38" s="135"/>
      <c r="F38" s="150"/>
      <c r="G38" s="150"/>
      <c r="H38" s="135"/>
      <c r="I38" s="135"/>
      <c r="J38" s="131"/>
      <c r="K38" s="131"/>
    </row>
    <row r="39" spans="1:11" ht="16.5">
      <c r="A39" s="100" t="str">
        <f>HLOOKUP(INDICE!$F$2,Nombres!$C$3:$D$636,87,FALSE)</f>
        <v>Coste del riesgo acumulado</v>
      </c>
      <c r="B39" s="136"/>
      <c r="C39" s="136"/>
      <c r="D39" s="137"/>
      <c r="E39" s="137"/>
      <c r="F39" s="136"/>
      <c r="G39" s="136"/>
      <c r="H39" s="137"/>
      <c r="I39" s="137"/>
      <c r="J39" s="131"/>
      <c r="K39" s="131"/>
    </row>
    <row r="40" spans="1:11" ht="14.25">
      <c r="A40" s="103" t="str">
        <f>HLOOKUP(INDICE!$F$2,Nombres!$C$3:$D$636,84,FALSE)</f>
        <v>(Porcentaje)</v>
      </c>
      <c r="B40" s="150"/>
      <c r="C40" s="150"/>
      <c r="D40" s="135"/>
      <c r="E40" s="135"/>
      <c r="F40" s="150"/>
      <c r="G40" s="150"/>
      <c r="H40" s="135"/>
      <c r="I40" s="135"/>
      <c r="J40" s="131"/>
      <c r="K40" s="131"/>
    </row>
    <row r="41" spans="1:11" ht="14.25">
      <c r="A41" s="104"/>
      <c r="B41" s="126">
        <f>+B$3</f>
        <v>43555</v>
      </c>
      <c r="C41" s="126">
        <f aca="true" t="shared" si="1" ref="C41:I41">+C$3</f>
        <v>43646</v>
      </c>
      <c r="D41" s="126">
        <f t="shared" si="1"/>
        <v>43738</v>
      </c>
      <c r="E41" s="126">
        <f t="shared" si="1"/>
        <v>43830</v>
      </c>
      <c r="F41" s="126">
        <f t="shared" si="1"/>
        <v>43921</v>
      </c>
      <c r="G41" s="126">
        <f t="shared" si="1"/>
        <v>44012</v>
      </c>
      <c r="H41" s="126">
        <f t="shared" si="1"/>
        <v>44104</v>
      </c>
      <c r="I41" s="126">
        <f t="shared" si="1"/>
        <v>44196</v>
      </c>
      <c r="J41" s="131"/>
      <c r="K41" s="131"/>
    </row>
    <row r="42" spans="1:11" ht="14.25">
      <c r="A42" s="104"/>
      <c r="B42" s="139"/>
      <c r="C42" s="139"/>
      <c r="D42" s="135"/>
      <c r="E42" s="135"/>
      <c r="F42" s="139"/>
      <c r="G42" s="139"/>
      <c r="H42" s="135"/>
      <c r="I42" s="135"/>
      <c r="J42" s="131"/>
      <c r="K42" s="131"/>
    </row>
    <row r="43" spans="1:255" ht="14.25">
      <c r="A43" s="109" t="str">
        <f>HLOOKUP(INDICE!$F$2,Nombres!$C$3:$D$636,3,FALSE)</f>
        <v>Grupo BBVA</v>
      </c>
      <c r="B43" s="151">
        <v>1.0333331447417757</v>
      </c>
      <c r="C43" s="151">
        <v>0.8912620201106092</v>
      </c>
      <c r="D43" s="151">
        <v>0.985725717670557</v>
      </c>
      <c r="E43" s="152">
        <v>1.0199473602725737</v>
      </c>
      <c r="F43" s="151">
        <v>2.5744022604407615</v>
      </c>
      <c r="G43" s="151">
        <v>2.039897873339665</v>
      </c>
      <c r="H43" s="256">
        <v>1.6908618970780376</v>
      </c>
      <c r="I43" s="256">
        <v>0</v>
      </c>
      <c r="J43" s="11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4.25">
      <c r="A44" s="104"/>
      <c r="B44" s="153"/>
      <c r="C44" s="153"/>
      <c r="D44" s="153"/>
      <c r="E44" s="154"/>
      <c r="F44" s="153"/>
      <c r="G44" s="153"/>
      <c r="H44" s="153"/>
      <c r="I44" s="153"/>
      <c r="J44" s="131"/>
      <c r="K44" s="131"/>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c r="EC44" s="130"/>
      <c r="ED44" s="130"/>
      <c r="EE44" s="130"/>
      <c r="EF44" s="130"/>
      <c r="EG44" s="130"/>
      <c r="EH44" s="130"/>
      <c r="EI44" s="130"/>
      <c r="EJ44" s="130"/>
      <c r="EK44" s="130"/>
      <c r="EL44" s="130"/>
      <c r="EM44" s="130"/>
      <c r="EN44" s="130"/>
      <c r="EO44" s="130"/>
      <c r="EP44" s="130"/>
      <c r="EQ44" s="130"/>
      <c r="ER44" s="130"/>
      <c r="ES44" s="130"/>
      <c r="ET44" s="130"/>
      <c r="EU44" s="130"/>
      <c r="EV44" s="130"/>
      <c r="EW44" s="130"/>
      <c r="EX44" s="130"/>
      <c r="EY44" s="130"/>
      <c r="EZ44" s="130"/>
      <c r="FA44" s="130"/>
      <c r="FB44" s="130"/>
      <c r="FC44" s="130"/>
      <c r="FD44" s="130"/>
      <c r="FE44" s="130"/>
      <c r="FF44" s="130"/>
      <c r="FG44" s="130"/>
      <c r="FH44" s="130"/>
      <c r="FI44" s="130"/>
      <c r="FJ44" s="130"/>
      <c r="FK44" s="130"/>
      <c r="FL44" s="130"/>
      <c r="FM44" s="130"/>
      <c r="FN44" s="130"/>
      <c r="FO44" s="130"/>
      <c r="FP44" s="130"/>
      <c r="FQ44" s="130"/>
      <c r="FR44" s="130"/>
      <c r="FS44" s="130"/>
      <c r="FT44" s="130"/>
      <c r="FU44" s="130"/>
      <c r="FV44" s="130"/>
      <c r="FW44" s="130"/>
      <c r="FX44" s="130"/>
      <c r="FY44" s="130"/>
      <c r="FZ44" s="130"/>
      <c r="GA44" s="130"/>
      <c r="GB44" s="130"/>
      <c r="GC44" s="130"/>
      <c r="GD44" s="130"/>
      <c r="GE44" s="130"/>
      <c r="GF44" s="130"/>
      <c r="GG44" s="130"/>
      <c r="GH44" s="130"/>
      <c r="GI44" s="130"/>
      <c r="GJ44" s="130"/>
      <c r="GK44" s="130"/>
      <c r="GL44" s="130"/>
      <c r="GM44" s="130"/>
      <c r="GN44" s="130"/>
      <c r="GO44" s="130"/>
      <c r="GP44" s="130"/>
      <c r="GQ44" s="130"/>
      <c r="GR44" s="130"/>
      <c r="GS44" s="130"/>
      <c r="GT44" s="130"/>
      <c r="GU44" s="130"/>
      <c r="GV44" s="130"/>
      <c r="GW44" s="130"/>
      <c r="GX44" s="130"/>
      <c r="GY44" s="130"/>
      <c r="GZ44" s="130"/>
      <c r="HA44" s="130"/>
      <c r="HB44" s="130"/>
      <c r="HC44" s="130"/>
      <c r="HD44" s="130"/>
      <c r="HE44" s="130"/>
      <c r="HF44" s="130"/>
      <c r="HG44" s="130"/>
      <c r="HH44" s="130"/>
      <c r="HI44" s="130"/>
      <c r="HJ44" s="130"/>
      <c r="HK44" s="130"/>
      <c r="HL44" s="130"/>
      <c r="HM44" s="130"/>
      <c r="HN44" s="130"/>
      <c r="HO44" s="130"/>
      <c r="HP44" s="130"/>
      <c r="HQ44" s="130"/>
      <c r="HR44" s="130"/>
      <c r="HS44" s="130"/>
      <c r="HT44" s="130"/>
      <c r="HU44" s="130"/>
      <c r="HV44" s="130"/>
      <c r="HW44" s="130"/>
      <c r="HX44" s="130"/>
      <c r="HY44" s="130"/>
      <c r="HZ44" s="130"/>
      <c r="IA44" s="130"/>
      <c r="IB44" s="130"/>
      <c r="IC44" s="130"/>
      <c r="ID44" s="130"/>
      <c r="IE44" s="130"/>
      <c r="IF44" s="130"/>
      <c r="IG44" s="130"/>
      <c r="IH44" s="130"/>
      <c r="II44" s="130"/>
      <c r="IJ44" s="130"/>
      <c r="IK44" s="130"/>
      <c r="IL44" s="130"/>
      <c r="IM44" s="130"/>
      <c r="IN44" s="130"/>
      <c r="IO44" s="130"/>
      <c r="IP44" s="130"/>
      <c r="IQ44" s="130"/>
      <c r="IR44" s="130"/>
      <c r="IS44" s="130"/>
      <c r="IT44" s="130"/>
      <c r="IU44" s="130"/>
    </row>
    <row r="45" spans="1:255" ht="14.25">
      <c r="A45" s="61" t="str">
        <f>HLOOKUP(INDICE!$F$2,Nombres!$C$3:$D$636,7,FALSE)</f>
        <v>España</v>
      </c>
      <c r="B45" s="155">
        <v>0.1234276495120529</v>
      </c>
      <c r="C45" s="155">
        <v>-0.08475447665859123</v>
      </c>
      <c r="D45" s="155">
        <v>0.034578801410655495</v>
      </c>
      <c r="E45" s="156">
        <v>0.07785893665748483</v>
      </c>
      <c r="F45" s="155">
        <v>1.544409409647122</v>
      </c>
      <c r="G45" s="257">
        <v>0.9979745714575966</v>
      </c>
      <c r="H45" s="257">
        <v>0.7988389827135876</v>
      </c>
      <c r="I45" s="257">
        <v>0</v>
      </c>
      <c r="J45" s="113"/>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11" ht="14.25">
      <c r="A46" s="104"/>
      <c r="B46" s="153"/>
      <c r="C46" s="153"/>
      <c r="D46" s="153"/>
      <c r="E46" s="154"/>
      <c r="F46" s="153"/>
      <c r="G46" s="153"/>
      <c r="H46" s="153"/>
      <c r="I46" s="153"/>
      <c r="J46" s="131"/>
      <c r="K46" s="131"/>
    </row>
    <row r="47" spans="1:255" ht="14.25">
      <c r="A47" s="61" t="str">
        <f>HLOOKUP(INDICE!$F$2,Nombres!$C$3:$D$636,10,FALSE)</f>
        <v>EEUU</v>
      </c>
      <c r="B47" s="155">
        <v>1.0569485211591347</v>
      </c>
      <c r="C47" s="155">
        <v>0.9371799424657477</v>
      </c>
      <c r="D47" s="155">
        <v>0.8738324074603137</v>
      </c>
      <c r="E47" s="156">
        <v>0.8815652437952928</v>
      </c>
      <c r="F47" s="155">
        <v>2.5996849918249643</v>
      </c>
      <c r="G47" s="257">
        <v>1.7991069947499523</v>
      </c>
      <c r="H47" s="257">
        <v>1.6856028126923228</v>
      </c>
      <c r="I47" s="257">
        <v>0</v>
      </c>
      <c r="J47" s="113"/>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4.25">
      <c r="A48" s="104"/>
      <c r="B48" s="153"/>
      <c r="C48" s="153"/>
      <c r="D48" s="153"/>
      <c r="E48" s="154"/>
      <c r="F48" s="153"/>
      <c r="G48" s="153"/>
      <c r="H48" s="153"/>
      <c r="I48" s="153"/>
      <c r="J48" s="113"/>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4.25">
      <c r="A49" s="61" t="str">
        <f>HLOOKUP(INDICE!$F$2,Nombres!$C$3:$D$636,11,FALSE)</f>
        <v>México</v>
      </c>
      <c r="B49" s="155">
        <v>2.927113611979617</v>
      </c>
      <c r="C49" s="155">
        <v>2.9809075380220866</v>
      </c>
      <c r="D49" s="155">
        <v>2.9782791981454326</v>
      </c>
      <c r="E49" s="156">
        <v>3.0092318086992624</v>
      </c>
      <c r="F49" s="155">
        <v>5.295406173722853</v>
      </c>
      <c r="G49" s="257">
        <v>4.9524596348533745</v>
      </c>
      <c r="H49" s="257">
        <v>4.270227834950893</v>
      </c>
      <c r="I49" s="257">
        <v>0</v>
      </c>
      <c r="J49" s="113"/>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11" ht="14.25">
      <c r="A50" s="104"/>
      <c r="B50" s="153"/>
      <c r="C50" s="153"/>
      <c r="D50" s="153"/>
      <c r="E50" s="154"/>
      <c r="F50" s="153"/>
      <c r="G50" s="153"/>
      <c r="H50" s="153"/>
      <c r="I50" s="153"/>
      <c r="J50" s="131"/>
      <c r="K50" s="131"/>
    </row>
    <row r="51" spans="1:255" ht="14.25">
      <c r="A51" s="61" t="str">
        <f>HLOOKUP(INDICE!$F$2,Nombres!$C$3:$D$636,12,FALSE)</f>
        <v>Turquía </v>
      </c>
      <c r="B51" s="155">
        <v>1.8248649866104254</v>
      </c>
      <c r="C51" s="155">
        <v>1.5677462595029057</v>
      </c>
      <c r="D51" s="155">
        <v>1.9872476707283087</v>
      </c>
      <c r="E51" s="156">
        <v>2.0680710457236664</v>
      </c>
      <c r="F51" s="155">
        <v>3.8024182672734006</v>
      </c>
      <c r="G51" s="257">
        <v>2.712512697205996</v>
      </c>
      <c r="H51" s="257">
        <v>2.0049306351797798</v>
      </c>
      <c r="I51" s="257">
        <v>0</v>
      </c>
      <c r="J51" s="113"/>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11" ht="14.25">
      <c r="A52" s="104"/>
      <c r="B52" s="153"/>
      <c r="C52" s="153"/>
      <c r="D52" s="153"/>
      <c r="E52" s="154"/>
      <c r="F52" s="153"/>
      <c r="G52" s="153"/>
      <c r="H52" s="153"/>
      <c r="I52" s="153"/>
      <c r="J52" s="131"/>
      <c r="K52" s="131"/>
    </row>
    <row r="53" spans="1:255" ht="14.25">
      <c r="A53" s="61" t="str">
        <f>HLOOKUP(INDICE!$F$2,Nombres!$C$3:$D$636,13,FALSE)</f>
        <v>América del Sur </v>
      </c>
      <c r="B53" s="155">
        <v>1.9374738013166797</v>
      </c>
      <c r="C53" s="155">
        <v>1.8853968635210474</v>
      </c>
      <c r="D53" s="155">
        <v>1.9088296075876736</v>
      </c>
      <c r="E53" s="156">
        <v>1.8795182409744322</v>
      </c>
      <c r="F53" s="155">
        <v>2.9978563658050255</v>
      </c>
      <c r="G53" s="257">
        <v>3.1004639627851667</v>
      </c>
      <c r="H53" s="257">
        <v>2.4878915183229866</v>
      </c>
      <c r="I53" s="257">
        <v>0</v>
      </c>
      <c r="J53" s="11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255" ht="14.25">
      <c r="A54" s="104"/>
      <c r="B54" s="157"/>
      <c r="C54" s="157"/>
      <c r="D54" s="157"/>
      <c r="E54" s="158"/>
      <c r="F54" s="157"/>
      <c r="G54" s="258"/>
      <c r="H54" s="258"/>
      <c r="I54" s="258"/>
      <c r="J54" s="131"/>
      <c r="K54" s="131"/>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30"/>
      <c r="EJ54" s="130"/>
      <c r="EK54" s="130"/>
      <c r="EL54" s="130"/>
      <c r="EM54" s="130"/>
      <c r="EN54" s="130"/>
      <c r="EO54" s="130"/>
      <c r="EP54" s="130"/>
      <c r="EQ54" s="130"/>
      <c r="ER54" s="130"/>
      <c r="ES54" s="130"/>
      <c r="ET54" s="130"/>
      <c r="EU54" s="130"/>
      <c r="EV54" s="130"/>
      <c r="EW54" s="130"/>
      <c r="EX54" s="130"/>
      <c r="EY54" s="130"/>
      <c r="EZ54" s="130"/>
      <c r="FA54" s="130"/>
      <c r="FB54" s="130"/>
      <c r="FC54" s="130"/>
      <c r="FD54" s="130"/>
      <c r="FE54" s="130"/>
      <c r="FF54" s="130"/>
      <c r="FG54" s="130"/>
      <c r="FH54" s="130"/>
      <c r="FI54" s="130"/>
      <c r="FJ54" s="130"/>
      <c r="FK54" s="130"/>
      <c r="FL54" s="130"/>
      <c r="FM54" s="130"/>
      <c r="FN54" s="130"/>
      <c r="FO54" s="130"/>
      <c r="FP54" s="130"/>
      <c r="FQ54" s="130"/>
      <c r="FR54" s="130"/>
      <c r="FS54" s="130"/>
      <c r="FT54" s="130"/>
      <c r="FU54" s="130"/>
      <c r="FV54" s="130"/>
      <c r="FW54" s="130"/>
      <c r="FX54" s="130"/>
      <c r="FY54" s="130"/>
      <c r="FZ54" s="130"/>
      <c r="GA54" s="130"/>
      <c r="GB54" s="130"/>
      <c r="GC54" s="130"/>
      <c r="GD54" s="130"/>
      <c r="GE54" s="130"/>
      <c r="GF54" s="130"/>
      <c r="GG54" s="130"/>
      <c r="GH54" s="130"/>
      <c r="GI54" s="130"/>
      <c r="GJ54" s="130"/>
      <c r="GK54" s="130"/>
      <c r="GL54" s="130"/>
      <c r="GM54" s="130"/>
      <c r="GN54" s="130"/>
      <c r="GO54" s="130"/>
      <c r="GP54" s="130"/>
      <c r="GQ54" s="130"/>
      <c r="GR54" s="130"/>
      <c r="GS54" s="130"/>
      <c r="GT54" s="130"/>
      <c r="GU54" s="130"/>
      <c r="GV54" s="130"/>
      <c r="GW54" s="130"/>
      <c r="GX54" s="130"/>
      <c r="GY54" s="130"/>
      <c r="GZ54" s="130"/>
      <c r="HA54" s="130"/>
      <c r="HB54" s="130"/>
      <c r="HC54" s="130"/>
      <c r="HD54" s="130"/>
      <c r="HE54" s="130"/>
      <c r="HF54" s="130"/>
      <c r="HG54" s="130"/>
      <c r="HH54" s="130"/>
      <c r="HI54" s="130"/>
      <c r="HJ54" s="130"/>
      <c r="HK54" s="130"/>
      <c r="HL54" s="130"/>
      <c r="HM54" s="130"/>
      <c r="HN54" s="130"/>
      <c r="HO54" s="130"/>
      <c r="HP54" s="130"/>
      <c r="HQ54" s="130"/>
      <c r="HR54" s="130"/>
      <c r="HS54" s="130"/>
      <c r="HT54" s="130"/>
      <c r="HU54" s="130"/>
      <c r="HV54" s="130"/>
      <c r="HW54" s="130"/>
      <c r="HX54" s="130"/>
      <c r="HY54" s="130"/>
      <c r="HZ54" s="130"/>
      <c r="IA54" s="130"/>
      <c r="IB54" s="130"/>
      <c r="IC54" s="130"/>
      <c r="ID54" s="130"/>
      <c r="IE54" s="130"/>
      <c r="IF54" s="130"/>
      <c r="IG54" s="130"/>
      <c r="IH54" s="130"/>
      <c r="II54" s="130"/>
      <c r="IJ54" s="130"/>
      <c r="IK54" s="130"/>
      <c r="IL54" s="130"/>
      <c r="IM54" s="130"/>
      <c r="IN54" s="130"/>
      <c r="IO54" s="130"/>
      <c r="IP54" s="130"/>
      <c r="IQ54" s="130"/>
      <c r="IR54" s="130"/>
      <c r="IS54" s="130"/>
      <c r="IT54" s="130"/>
      <c r="IU54" s="130"/>
    </row>
    <row r="55" spans="1:9" ht="14.25">
      <c r="A55" s="61" t="str">
        <f>HLOOKUP(INDICE!$F$2,Nombres!$C$3:$D$636,18,FALSE)</f>
        <v>Resto de Eurasia</v>
      </c>
      <c r="B55" s="155">
        <v>0.2355583362775045</v>
      </c>
      <c r="C55" s="155">
        <v>0.11956787130641562</v>
      </c>
      <c r="D55" s="155">
        <v>0.04861133142621849</v>
      </c>
      <c r="E55" s="156">
        <v>0.02378945522420447</v>
      </c>
      <c r="F55" s="155">
        <v>-0.12362220436503608</v>
      </c>
      <c r="G55" s="257">
        <v>0.32236295094849116</v>
      </c>
      <c r="H55" s="257">
        <v>0.3008311682899301</v>
      </c>
      <c r="I55" s="257">
        <v>0</v>
      </c>
    </row>
    <row r="56" spans="1:9" ht="14.25">
      <c r="A56" s="134"/>
      <c r="B56" s="104"/>
      <c r="C56" s="150"/>
      <c r="D56" s="150"/>
      <c r="E56" s="150"/>
      <c r="F56" s="104"/>
      <c r="G56" s="259"/>
      <c r="H56" s="259"/>
      <c r="I56" s="259"/>
    </row>
    <row r="57" spans="1:9" ht="14.25">
      <c r="A57" s="104"/>
      <c r="B57" s="104"/>
      <c r="C57" s="104"/>
      <c r="D57" s="104"/>
      <c r="E57" s="104"/>
      <c r="F57" s="104"/>
      <c r="G57" s="104"/>
      <c r="H57" s="104"/>
      <c r="I57" s="104"/>
    </row>
    <row r="58" spans="1:9" ht="14.25">
      <c r="A58" s="104"/>
      <c r="B58" s="104"/>
      <c r="C58" s="104"/>
      <c r="D58" s="104"/>
      <c r="E58" s="104"/>
      <c r="F58" s="104"/>
      <c r="G58" s="104"/>
      <c r="H58" s="104"/>
      <c r="I58" s="104"/>
    </row>
    <row r="59" spans="1:9" ht="14.25">
      <c r="A59" s="159"/>
      <c r="B59" s="123"/>
      <c r="C59" s="123"/>
      <c r="D59" s="123"/>
      <c r="E59" s="123"/>
      <c r="F59" s="123"/>
      <c r="G59" s="123"/>
      <c r="H59" s="159"/>
      <c r="I59" s="159"/>
    </row>
    <row r="1000" ht="14.25">
      <c r="A1000" s="160" t="s">
        <v>397</v>
      </c>
    </row>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O1000"/>
  <sheetViews>
    <sheetView showGridLines="0" zoomScalePageLayoutView="0" workbookViewId="0" topLeftCell="A1">
      <selection activeCell="I1" sqref="I1:I16384"/>
    </sheetView>
  </sheetViews>
  <sheetFormatPr defaultColWidth="11.421875" defaultRowHeight="15"/>
  <cols>
    <col min="1" max="1" width="23.8515625" style="0" customWidth="1"/>
    <col min="9" max="9" width="0" style="0" hidden="1" customWidth="1"/>
  </cols>
  <sheetData>
    <row r="1" spans="1:41" ht="16.5">
      <c r="A1" s="260" t="str">
        <f>HLOOKUP(INDICE!$F$2,Nombres!$C$3:$D$636,123,FALSE)</f>
        <v>Oficinas</v>
      </c>
      <c r="B1" s="161"/>
      <c r="C1" s="161"/>
      <c r="D1" s="162"/>
      <c r="E1" s="162"/>
      <c r="F1" s="162"/>
      <c r="G1" s="162"/>
      <c r="H1" s="162"/>
      <c r="I1" s="162"/>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row>
    <row r="2" spans="1:41" ht="33.75" customHeight="1">
      <c r="A2" s="163"/>
      <c r="B2" s="106">
        <f>+España!B30</f>
        <v>43555</v>
      </c>
      <c r="C2" s="106">
        <f>+España!C30</f>
        <v>43646</v>
      </c>
      <c r="D2" s="106">
        <f>+España!D30</f>
        <v>43738</v>
      </c>
      <c r="E2" s="106">
        <f>+España!E30</f>
        <v>43830</v>
      </c>
      <c r="F2" s="106">
        <f>+España!F30</f>
        <v>43921</v>
      </c>
      <c r="G2" s="106">
        <f>+España!G30</f>
        <v>44012</v>
      </c>
      <c r="H2" s="106">
        <f>+España!H30</f>
        <v>44104</v>
      </c>
      <c r="I2" s="106">
        <f>+España!I30</f>
        <v>44196</v>
      </c>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ht="14.25">
      <c r="A3" s="261" t="str">
        <f>HLOOKUP(INDICE!$F$2,Nombres!$C$3:$D$636,7,FALSE)</f>
        <v>España</v>
      </c>
      <c r="B3" s="41">
        <v>2774</v>
      </c>
      <c r="C3" s="41">
        <v>2733</v>
      </c>
      <c r="D3" s="41">
        <v>2696</v>
      </c>
      <c r="E3" s="41">
        <v>2642</v>
      </c>
      <c r="F3" s="41">
        <v>2593</v>
      </c>
      <c r="G3" s="41">
        <v>2592</v>
      </c>
      <c r="H3" s="41">
        <v>2521</v>
      </c>
      <c r="I3" s="41">
        <v>0</v>
      </c>
      <c r="J3" s="56"/>
      <c r="K3" s="31"/>
      <c r="L3" s="123"/>
      <c r="M3" s="123"/>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41" ht="14.25">
      <c r="A4" s="261" t="str">
        <f>HLOOKUP(INDICE!$F$2,Nombres!$C$3:$D$636,10,FALSE)</f>
        <v>EEUU</v>
      </c>
      <c r="B4" s="41">
        <v>643</v>
      </c>
      <c r="C4" s="41">
        <v>644</v>
      </c>
      <c r="D4" s="41">
        <v>643</v>
      </c>
      <c r="E4" s="41">
        <v>643</v>
      </c>
      <c r="F4" s="41">
        <v>643</v>
      </c>
      <c r="G4" s="41">
        <v>643</v>
      </c>
      <c r="H4" s="41">
        <v>639</v>
      </c>
      <c r="I4" s="41">
        <v>0</v>
      </c>
      <c r="J4" s="56"/>
      <c r="K4" s="31"/>
      <c r="L4" s="123"/>
      <c r="M4" s="123"/>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ht="14.25">
      <c r="A5" s="261" t="str">
        <f>HLOOKUP(INDICE!$F$2,Nombres!$C$3:$D$636,11,FALSE)</f>
        <v>México</v>
      </c>
      <c r="B5" s="41">
        <v>1794</v>
      </c>
      <c r="C5" s="41">
        <v>1821</v>
      </c>
      <c r="D5" s="41">
        <v>1848</v>
      </c>
      <c r="E5" s="41">
        <v>1860</v>
      </c>
      <c r="F5" s="41">
        <v>1864</v>
      </c>
      <c r="G5" s="41">
        <v>1866</v>
      </c>
      <c r="H5" s="41">
        <v>1814</v>
      </c>
      <c r="I5" s="41">
        <v>0</v>
      </c>
      <c r="J5" s="56"/>
      <c r="K5" s="31"/>
      <c r="L5" s="123"/>
      <c r="M5" s="123"/>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ht="14.25">
      <c r="A6" s="261" t="str">
        <f>HLOOKUP(INDICE!$F$2,Nombres!$C$3:$D$636,12,FALSE)</f>
        <v>Turquía </v>
      </c>
      <c r="B6" s="41">
        <v>1060</v>
      </c>
      <c r="C6" s="41">
        <v>1051</v>
      </c>
      <c r="D6" s="41">
        <v>1044</v>
      </c>
      <c r="E6" s="41">
        <v>1038</v>
      </c>
      <c r="F6" s="41">
        <v>1038</v>
      </c>
      <c r="G6" s="41">
        <v>1035</v>
      </c>
      <c r="H6" s="41">
        <v>1028</v>
      </c>
      <c r="I6" s="41">
        <v>0</v>
      </c>
      <c r="J6" s="56"/>
      <c r="K6" s="31"/>
      <c r="L6" s="123"/>
      <c r="M6" s="123"/>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ht="14.25">
      <c r="A7" s="261" t="str">
        <f>HLOOKUP(INDICE!$F$2,Nombres!$C$3:$D$636,13,FALSE)</f>
        <v>América del Sur </v>
      </c>
      <c r="B7" s="41">
        <v>1541</v>
      </c>
      <c r="C7" s="41">
        <v>1542</v>
      </c>
      <c r="D7" s="41">
        <v>1535</v>
      </c>
      <c r="E7" s="41">
        <v>1530</v>
      </c>
      <c r="F7" s="41">
        <v>1525</v>
      </c>
      <c r="G7" s="41">
        <v>1533</v>
      </c>
      <c r="H7" s="41">
        <v>1533</v>
      </c>
      <c r="I7" s="41">
        <v>0</v>
      </c>
      <c r="J7" s="56"/>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ht="14.25">
      <c r="A8" s="164" t="str">
        <f>HLOOKUP(INDICE!$F$2,Nombres!$C$3:$D$636,14,FALSE)</f>
        <v>Argentina</v>
      </c>
      <c r="B8" s="262">
        <v>253</v>
      </c>
      <c r="C8" s="262">
        <v>253</v>
      </c>
      <c r="D8" s="262">
        <v>252</v>
      </c>
      <c r="E8" s="262">
        <v>252</v>
      </c>
      <c r="F8" s="262">
        <v>247</v>
      </c>
      <c r="G8" s="262">
        <v>248</v>
      </c>
      <c r="H8" s="262">
        <v>248</v>
      </c>
      <c r="I8" s="262">
        <v>0</v>
      </c>
      <c r="J8" s="56"/>
      <c r="K8" s="31"/>
      <c r="L8" s="123"/>
      <c r="M8" s="123"/>
      <c r="N8" s="276"/>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ht="14.25">
      <c r="A9" s="263" t="str">
        <f>HLOOKUP(INDICE!$F$2,Nombres!$C$3:$D$636,15,FALSE)</f>
        <v>Chile</v>
      </c>
      <c r="B9" s="44">
        <v>14</v>
      </c>
      <c r="C9" s="44">
        <v>14</v>
      </c>
      <c r="D9" s="44">
        <v>18</v>
      </c>
      <c r="E9" s="44">
        <v>17</v>
      </c>
      <c r="F9" s="44">
        <v>17</v>
      </c>
      <c r="G9" s="44">
        <v>17</v>
      </c>
      <c r="H9" s="44">
        <v>17</v>
      </c>
      <c r="I9" s="44">
        <v>0</v>
      </c>
      <c r="J9" s="56"/>
      <c r="K9" s="31"/>
      <c r="L9" s="123"/>
      <c r="M9" s="123"/>
      <c r="N9" s="276"/>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14.25">
      <c r="A10" s="263" t="str">
        <f>HLOOKUP(INDICE!$F$2,Nombres!$C$3:$D$636,16,FALSE)</f>
        <v>Colombia</v>
      </c>
      <c r="B10" s="44">
        <v>557</v>
      </c>
      <c r="C10" s="44">
        <v>557</v>
      </c>
      <c r="D10" s="44">
        <v>548</v>
      </c>
      <c r="E10" s="44">
        <v>551</v>
      </c>
      <c r="F10" s="44">
        <v>551</v>
      </c>
      <c r="G10" s="44">
        <v>560</v>
      </c>
      <c r="H10" s="44">
        <v>559</v>
      </c>
      <c r="I10" s="44">
        <v>0</v>
      </c>
      <c r="J10" s="56"/>
      <c r="K10" s="123"/>
      <c r="L10" s="123"/>
      <c r="M10" s="123"/>
      <c r="N10" s="276"/>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4.25">
      <c r="A11" s="263" t="str">
        <f>HLOOKUP(INDICE!$F$2,Nombres!$C$3:$D$636,17,FALSE)</f>
        <v>Perú</v>
      </c>
      <c r="B11" s="44">
        <v>332</v>
      </c>
      <c r="C11" s="44">
        <v>333</v>
      </c>
      <c r="D11" s="44">
        <v>333</v>
      </c>
      <c r="E11" s="44">
        <v>332</v>
      </c>
      <c r="F11" s="44">
        <v>332</v>
      </c>
      <c r="G11" s="44">
        <v>332</v>
      </c>
      <c r="H11" s="44">
        <v>332</v>
      </c>
      <c r="I11" s="44">
        <v>0</v>
      </c>
      <c r="J11" s="56"/>
      <c r="K11" s="123"/>
      <c r="L11" s="123"/>
      <c r="M11" s="123"/>
      <c r="N11" s="276"/>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4.25">
      <c r="A12" s="263" t="str">
        <f>HLOOKUP(INDICE!$F$2,Nombres!$C$3:$D$636,89,FALSE)</f>
        <v>Resto de América del Sur</v>
      </c>
      <c r="B12" s="44">
        <v>385</v>
      </c>
      <c r="C12" s="44">
        <v>385</v>
      </c>
      <c r="D12" s="44">
        <v>384</v>
      </c>
      <c r="E12" s="44">
        <v>378</v>
      </c>
      <c r="F12" s="44">
        <v>378</v>
      </c>
      <c r="G12" s="44">
        <v>376</v>
      </c>
      <c r="H12" s="44">
        <v>377</v>
      </c>
      <c r="I12" s="44">
        <v>0</v>
      </c>
      <c r="J12" s="56"/>
      <c r="K12" s="123"/>
      <c r="L12" s="123"/>
      <c r="M12" s="123"/>
      <c r="N12" s="276"/>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14.25">
      <c r="A13" s="261" t="str">
        <f>HLOOKUP(INDICE!$F$2,Nombres!$C$3:$D$636,18,FALSE)</f>
        <v>Resto de Eurasia</v>
      </c>
      <c r="B13" s="41">
        <v>32</v>
      </c>
      <c r="C13" s="41">
        <v>32</v>
      </c>
      <c r="D13" s="41">
        <v>32</v>
      </c>
      <c r="E13" s="41">
        <v>31</v>
      </c>
      <c r="F13" s="41">
        <v>31</v>
      </c>
      <c r="G13" s="41">
        <v>30</v>
      </c>
      <c r="H13" s="41">
        <v>30</v>
      </c>
      <c r="I13" s="41">
        <v>0</v>
      </c>
      <c r="J13" s="56"/>
      <c r="K13" s="123"/>
      <c r="L13" s="123"/>
      <c r="M13" s="123"/>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1" ht="14.25">
      <c r="A14" s="261" t="s">
        <v>6</v>
      </c>
      <c r="B14" s="41">
        <f aca="true" t="shared" si="0" ref="B14:I14">+SUM(B3:B6,B8:B13)</f>
        <v>7844</v>
      </c>
      <c r="C14" s="41">
        <f t="shared" si="0"/>
        <v>7823</v>
      </c>
      <c r="D14" s="41">
        <f t="shared" si="0"/>
        <v>7798</v>
      </c>
      <c r="E14" s="41">
        <f t="shared" si="0"/>
        <v>7744</v>
      </c>
      <c r="F14" s="41">
        <f t="shared" si="0"/>
        <v>7694</v>
      </c>
      <c r="G14" s="41">
        <f t="shared" si="0"/>
        <v>7699</v>
      </c>
      <c r="H14" s="41">
        <f t="shared" si="0"/>
        <v>7565</v>
      </c>
      <c r="I14" s="41">
        <f t="shared" si="0"/>
        <v>0</v>
      </c>
      <c r="J14" s="56"/>
      <c r="K14" s="123"/>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1:41" ht="14.25">
      <c r="A15" s="165"/>
      <c r="B15" s="166">
        <v>0</v>
      </c>
      <c r="C15" s="166">
        <v>0</v>
      </c>
      <c r="D15" s="166">
        <v>0</v>
      </c>
      <c r="E15" s="166">
        <v>0</v>
      </c>
      <c r="F15" s="166">
        <v>0</v>
      </c>
      <c r="G15" s="166">
        <v>0</v>
      </c>
      <c r="H15" s="166">
        <v>0</v>
      </c>
      <c r="I15" s="166">
        <v>0</v>
      </c>
      <c r="J15" s="31"/>
      <c r="K15" s="123"/>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1" ht="14.25">
      <c r="A16" s="165"/>
      <c r="B16" s="166"/>
      <c r="C16" s="166"/>
      <c r="D16" s="166"/>
      <c r="E16" s="166"/>
      <c r="F16" s="166"/>
      <c r="G16" s="166"/>
      <c r="H16" s="166"/>
      <c r="I16" s="166"/>
      <c r="J16" s="31"/>
      <c r="K16" s="123"/>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ht="16.5">
      <c r="A17" s="260" t="str">
        <f>HLOOKUP(INDICE!$F$2,Nombres!$C$3:$D$636,124,FALSE)</f>
        <v>Empleados</v>
      </c>
      <c r="B17" s="161"/>
      <c r="C17" s="161"/>
      <c r="D17" s="162"/>
      <c r="E17" s="162"/>
      <c r="F17" s="162"/>
      <c r="G17" s="162"/>
      <c r="H17" s="162"/>
      <c r="I17" s="162"/>
      <c r="J17" s="167"/>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ht="33.75" customHeight="1">
      <c r="A18" s="163"/>
      <c r="B18" s="106">
        <f aca="true" t="shared" si="1" ref="B18:I18">+B$2</f>
        <v>43555</v>
      </c>
      <c r="C18" s="106">
        <f t="shared" si="1"/>
        <v>43646</v>
      </c>
      <c r="D18" s="106">
        <f t="shared" si="1"/>
        <v>43738</v>
      </c>
      <c r="E18" s="106">
        <f t="shared" si="1"/>
        <v>43830</v>
      </c>
      <c r="F18" s="106">
        <f t="shared" si="1"/>
        <v>43921</v>
      </c>
      <c r="G18" s="106">
        <f t="shared" si="1"/>
        <v>44012</v>
      </c>
      <c r="H18" s="106">
        <f t="shared" si="1"/>
        <v>44104</v>
      </c>
      <c r="I18" s="106">
        <f t="shared" si="1"/>
        <v>44196</v>
      </c>
      <c r="J18" s="167"/>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ht="14.25">
      <c r="A19" s="261" t="str">
        <f>HLOOKUP(INDICE!$F$2,Nombres!$C$3:$D$636,7,FALSE)</f>
        <v>España</v>
      </c>
      <c r="B19" s="41">
        <v>30292</v>
      </c>
      <c r="C19" s="41">
        <v>30275</v>
      </c>
      <c r="D19" s="41">
        <v>30233</v>
      </c>
      <c r="E19" s="41">
        <v>30283</v>
      </c>
      <c r="F19" s="41">
        <v>29753</v>
      </c>
      <c r="G19" s="41">
        <v>29406</v>
      </c>
      <c r="H19" s="41">
        <v>29475</v>
      </c>
      <c r="I19" s="41">
        <v>0</v>
      </c>
      <c r="J19" s="123"/>
      <c r="K19" s="41"/>
      <c r="L19" s="31"/>
      <c r="M19" s="56"/>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14.25">
      <c r="A20" s="261" t="str">
        <f>HLOOKUP(INDICE!$F$2,Nombres!$C$3:$D$636,10,FALSE)</f>
        <v>EEUU</v>
      </c>
      <c r="B20" s="41">
        <v>10933</v>
      </c>
      <c r="C20" s="41">
        <v>10866</v>
      </c>
      <c r="D20" s="41">
        <v>10771</v>
      </c>
      <c r="E20" s="41">
        <v>10825</v>
      </c>
      <c r="F20" s="41">
        <v>10895</v>
      </c>
      <c r="G20" s="41">
        <v>10945</v>
      </c>
      <c r="H20" s="41">
        <v>10867</v>
      </c>
      <c r="I20" s="41">
        <v>0</v>
      </c>
      <c r="J20" s="123"/>
      <c r="K20" s="41"/>
      <c r="L20" s="31"/>
      <c r="M20" s="56"/>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14.25">
      <c r="A21" s="261" t="str">
        <f>HLOOKUP(INDICE!$F$2,Nombres!$C$3:$D$636,11,FALSE)</f>
        <v>México</v>
      </c>
      <c r="B21" s="41">
        <v>36701</v>
      </c>
      <c r="C21" s="41">
        <v>37335</v>
      </c>
      <c r="D21" s="41">
        <v>37613</v>
      </c>
      <c r="E21" s="41">
        <v>37805</v>
      </c>
      <c r="F21" s="41">
        <v>37885</v>
      </c>
      <c r="G21" s="41">
        <v>37480</v>
      </c>
      <c r="H21" s="41">
        <v>37217</v>
      </c>
      <c r="I21" s="41">
        <v>0</v>
      </c>
      <c r="J21" s="123"/>
      <c r="K21" s="41"/>
      <c r="L21" s="31"/>
      <c r="M21" s="56"/>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ht="14.25">
      <c r="A22" s="261" t="str">
        <f>HLOOKUP(INDICE!$F$2,Nombres!$C$3:$D$636,12,FALSE)</f>
        <v>Turquía </v>
      </c>
      <c r="B22" s="41">
        <v>21884</v>
      </c>
      <c r="C22" s="41">
        <v>21950</v>
      </c>
      <c r="D22" s="41">
        <v>22118</v>
      </c>
      <c r="E22" s="41">
        <v>22275</v>
      </c>
      <c r="F22" s="41">
        <v>22068</v>
      </c>
      <c r="G22" s="41">
        <v>21964</v>
      </c>
      <c r="H22" s="41">
        <v>21964</v>
      </c>
      <c r="I22" s="41">
        <v>0</v>
      </c>
      <c r="J22" s="123"/>
      <c r="K22" s="41"/>
      <c r="L22" s="31"/>
      <c r="M22" s="56"/>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ht="14.25">
      <c r="A23" s="261" t="str">
        <f>HLOOKUP(INDICE!$F$2,Nombres!$C$3:$D$636,13,FALSE)</f>
        <v>América del Sur </v>
      </c>
      <c r="B23" s="41">
        <v>24773</v>
      </c>
      <c r="C23" s="41">
        <v>24432</v>
      </c>
      <c r="D23" s="41">
        <v>24456</v>
      </c>
      <c r="E23" s="41">
        <v>24644</v>
      </c>
      <c r="F23" s="41">
        <v>24294</v>
      </c>
      <c r="G23" s="41">
        <v>24107</v>
      </c>
      <c r="H23" s="41">
        <v>23453</v>
      </c>
      <c r="I23" s="41">
        <v>0</v>
      </c>
      <c r="J23" s="56"/>
      <c r="K23" s="44"/>
      <c r="L23" s="31"/>
      <c r="M23" s="56"/>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ht="14.25">
      <c r="A24" s="164" t="str">
        <f>HLOOKUP(INDICE!$F$2,Nombres!$C$3:$D$636,14,FALSE)</f>
        <v>Argentina</v>
      </c>
      <c r="B24" s="44">
        <v>6313</v>
      </c>
      <c r="C24" s="44">
        <v>6402</v>
      </c>
      <c r="D24" s="44">
        <v>6398</v>
      </c>
      <c r="E24" s="44">
        <v>6402</v>
      </c>
      <c r="F24" s="44">
        <v>6315</v>
      </c>
      <c r="G24" s="44">
        <v>6266</v>
      </c>
      <c r="H24" s="44">
        <v>6143</v>
      </c>
      <c r="I24" s="44">
        <v>0</v>
      </c>
      <c r="J24" s="56"/>
      <c r="K24" s="44"/>
      <c r="L24" s="123"/>
      <c r="M24" s="56"/>
      <c r="N24" s="277"/>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14.25">
      <c r="A25" s="263" t="str">
        <f>HLOOKUP(INDICE!$F$2,Nombres!$C$3:$D$636,15,FALSE)</f>
        <v>Chile</v>
      </c>
      <c r="B25" s="44">
        <v>933</v>
      </c>
      <c r="C25" s="44">
        <v>947</v>
      </c>
      <c r="D25" s="44">
        <v>962</v>
      </c>
      <c r="E25" s="44">
        <v>956</v>
      </c>
      <c r="F25" s="44">
        <v>794</v>
      </c>
      <c r="G25" s="44">
        <v>721</v>
      </c>
      <c r="H25" s="44">
        <v>706</v>
      </c>
      <c r="I25" s="44">
        <v>0</v>
      </c>
      <c r="J25" s="56"/>
      <c r="K25" s="44"/>
      <c r="L25" s="123"/>
      <c r="M25" s="56"/>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14.25">
      <c r="A26" s="263" t="str">
        <f>HLOOKUP(INDICE!$F$2,Nombres!$C$3:$D$636,16,FALSE)</f>
        <v>Colombia</v>
      </c>
      <c r="B26" s="44">
        <v>6769</v>
      </c>
      <c r="C26" s="44">
        <v>6778</v>
      </c>
      <c r="D26" s="44">
        <v>6847</v>
      </c>
      <c r="E26" s="44">
        <v>6899</v>
      </c>
      <c r="F26" s="44">
        <v>6919</v>
      </c>
      <c r="G26" s="44">
        <v>6893</v>
      </c>
      <c r="H26" s="44">
        <v>6754</v>
      </c>
      <c r="I26" s="44">
        <v>0</v>
      </c>
      <c r="J26" s="56"/>
      <c r="K26" s="44"/>
      <c r="L26" s="123"/>
      <c r="M26" s="56"/>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ht="14.25">
      <c r="A27" s="263" t="str">
        <f>HLOOKUP(INDICE!$F$2,Nombres!$C$3:$D$636,17,FALSE)</f>
        <v>Perú</v>
      </c>
      <c r="B27" s="44">
        <v>6142</v>
      </c>
      <c r="C27" s="44">
        <v>6216</v>
      </c>
      <c r="D27" s="44">
        <v>6269</v>
      </c>
      <c r="E27" s="44">
        <v>6420</v>
      </c>
      <c r="F27" s="44">
        <v>6455</v>
      </c>
      <c r="G27" s="44">
        <v>6525</v>
      </c>
      <c r="H27" s="44">
        <v>6299</v>
      </c>
      <c r="I27" s="44">
        <v>0</v>
      </c>
      <c r="J27" s="56"/>
      <c r="K27" s="44"/>
      <c r="L27" s="123"/>
      <c r="M27" s="56"/>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ht="14.25">
      <c r="A28" s="263" t="str">
        <f>HLOOKUP(INDICE!$F$2,Nombres!$C$3:$D$636,89,FALSE)</f>
        <v>Resto de América del Sur</v>
      </c>
      <c r="B28" s="44">
        <v>4616</v>
      </c>
      <c r="C28" s="44">
        <v>4089</v>
      </c>
      <c r="D28" s="44">
        <v>3980</v>
      </c>
      <c r="E28" s="44">
        <v>3967</v>
      </c>
      <c r="F28" s="44">
        <v>3811</v>
      </c>
      <c r="G28" s="44">
        <v>3702</v>
      </c>
      <c r="H28" s="44">
        <v>3551</v>
      </c>
      <c r="I28" s="44">
        <v>0</v>
      </c>
      <c r="J28" s="56"/>
      <c r="K28" s="44"/>
      <c r="L28" s="123"/>
      <c r="M28" s="56"/>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ht="14.25">
      <c r="A29" s="261" t="str">
        <f>HLOOKUP(INDICE!$F$2,Nombres!$C$3:$D$636,18,FALSE)</f>
        <v>Resto de Eurasia</v>
      </c>
      <c r="B29" s="41">
        <v>1166</v>
      </c>
      <c r="C29" s="41">
        <v>1159</v>
      </c>
      <c r="D29" s="41">
        <v>1141</v>
      </c>
      <c r="E29" s="41">
        <v>1141</v>
      </c>
      <c r="F29" s="41">
        <v>1146</v>
      </c>
      <c r="G29" s="41">
        <v>1139</v>
      </c>
      <c r="H29" s="41">
        <v>1134</v>
      </c>
      <c r="I29" s="41">
        <v>0</v>
      </c>
      <c r="J29" s="123"/>
      <c r="K29" s="44"/>
      <c r="L29" s="31"/>
      <c r="M29" s="56"/>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ht="14.25">
      <c r="A30" s="261" t="s">
        <v>6</v>
      </c>
      <c r="B30" s="41">
        <f aca="true" t="shared" si="2" ref="B30:I30">+SUM(B19:B22,B24:B29)</f>
        <v>125749</v>
      </c>
      <c r="C30" s="41">
        <f t="shared" si="2"/>
        <v>126017</v>
      </c>
      <c r="D30" s="41">
        <f t="shared" si="2"/>
        <v>126332</v>
      </c>
      <c r="E30" s="41">
        <f t="shared" si="2"/>
        <v>126973</v>
      </c>
      <c r="F30" s="41">
        <f t="shared" si="2"/>
        <v>126041</v>
      </c>
      <c r="G30" s="41">
        <f t="shared" si="2"/>
        <v>125041</v>
      </c>
      <c r="H30" s="41">
        <f t="shared" si="2"/>
        <v>124110</v>
      </c>
      <c r="I30" s="41">
        <f t="shared" si="2"/>
        <v>0</v>
      </c>
      <c r="J30" s="56"/>
      <c r="K30" s="31"/>
      <c r="L30" s="31"/>
      <c r="M30" s="56"/>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ht="14.25">
      <c r="A31" s="165"/>
      <c r="B31" s="166">
        <v>0</v>
      </c>
      <c r="C31" s="166">
        <v>0</v>
      </c>
      <c r="D31" s="166">
        <v>0</v>
      </c>
      <c r="E31" s="166">
        <v>0</v>
      </c>
      <c r="F31" s="166">
        <v>0</v>
      </c>
      <c r="G31" s="166">
        <v>0</v>
      </c>
      <c r="H31" s="166">
        <v>0</v>
      </c>
      <c r="I31" s="166">
        <v>0</v>
      </c>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ht="14.25">
      <c r="A32" s="165"/>
      <c r="B32" s="166"/>
      <c r="C32" s="166"/>
      <c r="D32" s="166"/>
      <c r="E32" s="166"/>
      <c r="F32" s="166"/>
      <c r="G32" s="166"/>
      <c r="H32" s="166"/>
      <c r="I32" s="166"/>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ht="16.5">
      <c r="A33" s="260" t="str">
        <f>HLOOKUP(INDICE!$F$2,Nombres!$C$3:$D$636,125,FALSE)</f>
        <v>Cajeros automáticos</v>
      </c>
      <c r="B33" s="161"/>
      <c r="C33" s="161"/>
      <c r="D33" s="162"/>
      <c r="E33" s="162"/>
      <c r="F33" s="162"/>
      <c r="G33" s="162"/>
      <c r="H33" s="162"/>
      <c r="I33" s="162"/>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ht="30" customHeight="1">
      <c r="A34" s="150"/>
      <c r="B34" s="106">
        <f aca="true" t="shared" si="3" ref="B34:I34">+B$2</f>
        <v>43555</v>
      </c>
      <c r="C34" s="106">
        <f t="shared" si="3"/>
        <v>43646</v>
      </c>
      <c r="D34" s="106">
        <f t="shared" si="3"/>
        <v>43738</v>
      </c>
      <c r="E34" s="106">
        <f t="shared" si="3"/>
        <v>43830</v>
      </c>
      <c r="F34" s="106">
        <f t="shared" si="3"/>
        <v>43921</v>
      </c>
      <c r="G34" s="106">
        <f t="shared" si="3"/>
        <v>44012</v>
      </c>
      <c r="H34" s="106">
        <f t="shared" si="3"/>
        <v>44104</v>
      </c>
      <c r="I34" s="106">
        <f t="shared" si="3"/>
        <v>44196</v>
      </c>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ht="14.25">
      <c r="A35" s="261" t="str">
        <f>HLOOKUP(INDICE!$F$2,Nombres!$C$3:$D$636,7,FALSE)</f>
        <v>España</v>
      </c>
      <c r="B35" s="41">
        <v>6095</v>
      </c>
      <c r="C35" s="41">
        <v>6025</v>
      </c>
      <c r="D35" s="41">
        <v>5978</v>
      </c>
      <c r="E35" s="41">
        <v>5880</v>
      </c>
      <c r="F35" s="41">
        <v>5840</v>
      </c>
      <c r="G35" s="41">
        <v>5829</v>
      </c>
      <c r="H35" s="41">
        <v>5746</v>
      </c>
      <c r="I35" s="41">
        <v>0</v>
      </c>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14.25">
      <c r="A36" s="261" t="str">
        <f>HLOOKUP(INDICE!$F$2,Nombres!$C$3:$D$636,245,FALSE)</f>
        <v>EEUU (*)</v>
      </c>
      <c r="B36" s="41">
        <v>1403</v>
      </c>
      <c r="C36" s="41">
        <v>1392</v>
      </c>
      <c r="D36" s="41">
        <v>1391</v>
      </c>
      <c r="E36" s="41">
        <v>1386</v>
      </c>
      <c r="F36" s="41">
        <v>1384</v>
      </c>
      <c r="G36" s="41">
        <v>1375</v>
      </c>
      <c r="H36" s="41">
        <v>1369</v>
      </c>
      <c r="I36" s="41">
        <v>0</v>
      </c>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ht="14.25">
      <c r="A37" s="261" t="str">
        <f>HLOOKUP(INDICE!$F$2,Nombres!$C$3:$D$636,246,FALSE)</f>
        <v>Mexico (**)</v>
      </c>
      <c r="B37" s="41">
        <v>12640</v>
      </c>
      <c r="C37" s="41">
        <v>12839</v>
      </c>
      <c r="D37" s="41">
        <v>13005</v>
      </c>
      <c r="E37" s="41">
        <v>13170</v>
      </c>
      <c r="F37" s="41">
        <v>13066</v>
      </c>
      <c r="G37" s="41">
        <v>13115</v>
      </c>
      <c r="H37" s="41">
        <v>12923</v>
      </c>
      <c r="I37" s="41">
        <v>0</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ht="14.25">
      <c r="A38" s="261" t="str">
        <f>HLOOKUP(INDICE!$F$2,Nombres!$C$3:$D$636,12,FALSE)</f>
        <v>Turquía </v>
      </c>
      <c r="B38" s="41">
        <v>5420</v>
      </c>
      <c r="C38" s="41">
        <v>5422</v>
      </c>
      <c r="D38" s="41">
        <v>5454</v>
      </c>
      <c r="E38" s="41">
        <v>5484</v>
      </c>
      <c r="F38" s="41">
        <v>5431</v>
      </c>
      <c r="G38" s="41">
        <v>5443</v>
      </c>
      <c r="H38" s="41">
        <v>5440</v>
      </c>
      <c r="I38" s="41">
        <v>0</v>
      </c>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ht="14.25">
      <c r="A39" s="261" t="str">
        <f>HLOOKUP(INDICE!$F$2,Nombres!$C$3:$D$636,13,FALSE)</f>
        <v>América del Sur </v>
      </c>
      <c r="B39" s="41">
        <v>6946</v>
      </c>
      <c r="C39" s="41">
        <v>6946</v>
      </c>
      <c r="D39" s="41">
        <v>6979</v>
      </c>
      <c r="E39" s="41">
        <v>6715</v>
      </c>
      <c r="F39" s="41">
        <v>6531</v>
      </c>
      <c r="G39" s="41">
        <v>6525</v>
      </c>
      <c r="H39" s="41">
        <v>5536</v>
      </c>
      <c r="I39" s="41">
        <v>0</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ht="14.25">
      <c r="A40" s="164" t="str">
        <f>HLOOKUP(INDICE!$F$2,Nombres!$C$3:$D$636,14,FALSE)</f>
        <v>Argentina</v>
      </c>
      <c r="B40" s="44">
        <v>1694</v>
      </c>
      <c r="C40" s="44">
        <v>1694</v>
      </c>
      <c r="D40" s="44">
        <v>1720</v>
      </c>
      <c r="E40" s="44">
        <v>1733</v>
      </c>
      <c r="F40" s="44">
        <v>1712</v>
      </c>
      <c r="G40" s="44">
        <v>1712</v>
      </c>
      <c r="H40" s="44">
        <v>1709</v>
      </c>
      <c r="I40" s="44">
        <v>0</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ht="14.25">
      <c r="A41" s="263" t="str">
        <f>HLOOKUP(INDICE!$F$2,Nombres!$C$3:$D$636,15,FALSE)</f>
        <v>Chile</v>
      </c>
      <c r="B41" s="44">
        <v>0</v>
      </c>
      <c r="C41" s="44">
        <v>0</v>
      </c>
      <c r="D41" s="44">
        <v>0</v>
      </c>
      <c r="E41" s="44">
        <v>0</v>
      </c>
      <c r="F41" s="44">
        <v>0</v>
      </c>
      <c r="G41" s="44">
        <v>0</v>
      </c>
      <c r="H41" s="44">
        <v>0</v>
      </c>
      <c r="I41" s="44">
        <v>0</v>
      </c>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ht="14.25">
      <c r="A42" s="263" t="str">
        <f>HLOOKUP(INDICE!$F$2,Nombres!$C$3:$D$636,16,FALSE)</f>
        <v>Colombia</v>
      </c>
      <c r="B42" s="44">
        <v>1350</v>
      </c>
      <c r="C42" s="44">
        <v>1357</v>
      </c>
      <c r="D42" s="44">
        <v>1359</v>
      </c>
      <c r="E42" s="44">
        <v>1361</v>
      </c>
      <c r="F42" s="44">
        <v>1360</v>
      </c>
      <c r="G42" s="44">
        <v>1360</v>
      </c>
      <c r="H42" s="44">
        <v>1359</v>
      </c>
      <c r="I42" s="44">
        <v>0</v>
      </c>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14.25">
      <c r="A43" s="263" t="str">
        <f>HLOOKUP(INDICE!$F$2,Nombres!$C$3:$D$636,17,FALSE)</f>
        <v>Perú</v>
      </c>
      <c r="B43" s="44">
        <v>1975</v>
      </c>
      <c r="C43" s="44">
        <v>1969</v>
      </c>
      <c r="D43" s="44">
        <v>1974</v>
      </c>
      <c r="E43" s="44">
        <v>1969</v>
      </c>
      <c r="F43" s="44">
        <v>1964</v>
      </c>
      <c r="G43" s="44">
        <v>1958</v>
      </c>
      <c r="H43" s="44">
        <v>1954</v>
      </c>
      <c r="I43" s="44">
        <v>0</v>
      </c>
      <c r="J43" s="31"/>
      <c r="K43" s="31"/>
      <c r="L43" s="167"/>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ht="14.25">
      <c r="A44" s="263" t="str">
        <f>HLOOKUP(INDICE!$F$2,Nombres!$C$3:$D$636,89,FALSE)</f>
        <v>Resto de América del Sur</v>
      </c>
      <c r="B44" s="44">
        <v>1927</v>
      </c>
      <c r="C44" s="44">
        <v>1926</v>
      </c>
      <c r="D44" s="44">
        <v>1926</v>
      </c>
      <c r="E44" s="44">
        <v>1652</v>
      </c>
      <c r="F44" s="44">
        <v>1495</v>
      </c>
      <c r="G44" s="44">
        <v>1495</v>
      </c>
      <c r="H44" s="44">
        <v>514</v>
      </c>
      <c r="I44" s="44">
        <v>0</v>
      </c>
      <c r="J44" s="31"/>
      <c r="K44" s="31"/>
      <c r="L44" s="167"/>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ht="14.25">
      <c r="A45" s="261" t="str">
        <f>HLOOKUP(INDICE!$F$2,Nombres!$C$3:$D$636,18,FALSE)</f>
        <v>Resto de Eurasia</v>
      </c>
      <c r="B45" s="41">
        <v>24</v>
      </c>
      <c r="C45" s="41">
        <v>24</v>
      </c>
      <c r="D45" s="41">
        <v>23</v>
      </c>
      <c r="E45" s="41">
        <v>23</v>
      </c>
      <c r="F45" s="41">
        <v>23</v>
      </c>
      <c r="G45" s="41">
        <v>23</v>
      </c>
      <c r="H45" s="41">
        <v>23</v>
      </c>
      <c r="I45" s="41">
        <v>0</v>
      </c>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14.25">
      <c r="A46" s="261" t="s">
        <v>6</v>
      </c>
      <c r="B46" s="41">
        <f aca="true" t="shared" si="4" ref="B46:I46">+SUM(B35:B38,B40:B45)</f>
        <v>32528</v>
      </c>
      <c r="C46" s="41">
        <f t="shared" si="4"/>
        <v>32648</v>
      </c>
      <c r="D46" s="41">
        <f t="shared" si="4"/>
        <v>32830</v>
      </c>
      <c r="E46" s="41">
        <f t="shared" si="4"/>
        <v>32658</v>
      </c>
      <c r="F46" s="41">
        <f t="shared" si="4"/>
        <v>32275</v>
      </c>
      <c r="G46" s="41">
        <f t="shared" si="4"/>
        <v>32310</v>
      </c>
      <c r="H46" s="41">
        <f t="shared" si="4"/>
        <v>31037</v>
      </c>
      <c r="I46" s="41">
        <f t="shared" si="4"/>
        <v>0</v>
      </c>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14.25">
      <c r="A47" s="104"/>
      <c r="B47" s="166">
        <v>0</v>
      </c>
      <c r="C47" s="166">
        <v>0</v>
      </c>
      <c r="D47" s="166">
        <v>0</v>
      </c>
      <c r="E47" s="166">
        <v>0</v>
      </c>
      <c r="F47" s="166">
        <v>0</v>
      </c>
      <c r="G47" s="166">
        <v>0</v>
      </c>
      <c r="H47" s="166">
        <v>0</v>
      </c>
      <c r="I47" s="166">
        <v>0</v>
      </c>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14.25">
      <c r="A48" s="264" t="str">
        <f>HLOOKUP(INDICE!$F$2,Nombres!$C$3:$D$636,243,FALSE)</f>
        <v>(*) Serie de datos revisada 18-19 debido a cambio de criterio en la contabilización de cajeros.</v>
      </c>
      <c r="B48" s="104"/>
      <c r="C48" s="104"/>
      <c r="D48" s="104"/>
      <c r="E48" s="104"/>
      <c r="F48" s="104"/>
      <c r="G48" s="104"/>
      <c r="H48" s="104"/>
      <c r="I48" s="104"/>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14.25">
      <c r="A49" s="264" t="str">
        <f>HLOOKUP(INDICE!$F$2,Nombres!$C$3:$D$636,244,FALSE)</f>
        <v>(**) Reajuste del dato del 1T en 2T</v>
      </c>
      <c r="B49" s="104"/>
      <c r="C49" s="104"/>
      <c r="D49" s="104"/>
      <c r="E49" s="104"/>
      <c r="F49" s="104"/>
      <c r="G49" s="104"/>
      <c r="H49" s="104"/>
      <c r="I49" s="104"/>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14.25">
      <c r="A50" s="104"/>
      <c r="B50" s="104"/>
      <c r="C50" s="104"/>
      <c r="D50" s="104"/>
      <c r="E50" s="104"/>
      <c r="F50" s="104"/>
      <c r="G50" s="104"/>
      <c r="H50" s="104"/>
      <c r="I50" s="104"/>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ht="14.25">
      <c r="A51" s="104"/>
      <c r="B51" s="104"/>
      <c r="C51" s="104"/>
      <c r="D51" s="104"/>
      <c r="E51" s="104"/>
      <c r="F51" s="104"/>
      <c r="G51" s="104"/>
      <c r="H51" s="104"/>
      <c r="I51" s="104"/>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ht="14.25">
      <c r="A52" s="104"/>
      <c r="B52" s="104"/>
      <c r="C52" s="104"/>
      <c r="D52" s="104"/>
      <c r="E52" s="104"/>
      <c r="F52" s="104"/>
      <c r="G52" s="104"/>
      <c r="H52" s="104"/>
      <c r="I52" s="104"/>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ht="14.25">
      <c r="A53" s="104"/>
      <c r="B53" s="104"/>
      <c r="C53" s="104"/>
      <c r="D53" s="104"/>
      <c r="E53" s="104"/>
      <c r="F53" s="104"/>
      <c r="G53" s="104"/>
      <c r="H53" s="104"/>
      <c r="I53" s="104"/>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14.25">
      <c r="A54" s="104"/>
      <c r="B54" s="104"/>
      <c r="C54" s="104"/>
      <c r="D54" s="104"/>
      <c r="E54" s="104"/>
      <c r="F54" s="104"/>
      <c r="G54" s="104"/>
      <c r="H54" s="104"/>
      <c r="I54" s="104"/>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ht="14.25">
      <c r="A55" s="104"/>
      <c r="B55" s="104"/>
      <c r="C55" s="104"/>
      <c r="D55" s="104"/>
      <c r="E55" s="104"/>
      <c r="F55" s="104"/>
      <c r="G55" s="104"/>
      <c r="H55" s="104"/>
      <c r="I55" s="104"/>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ht="14.25">
      <c r="A56" s="104"/>
      <c r="B56" s="104"/>
      <c r="C56" s="104"/>
      <c r="D56" s="104"/>
      <c r="E56" s="104"/>
      <c r="F56" s="104"/>
      <c r="G56" s="104"/>
      <c r="H56" s="104"/>
      <c r="I56" s="104"/>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ht="14.25">
      <c r="A57" s="104"/>
      <c r="B57" s="104"/>
      <c r="C57" s="104"/>
      <c r="D57" s="104"/>
      <c r="E57" s="104"/>
      <c r="F57" s="104"/>
      <c r="G57" s="104"/>
      <c r="H57" s="104"/>
      <c r="I57" s="104"/>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ht="14.25">
      <c r="A58" s="104"/>
      <c r="B58" s="104"/>
      <c r="C58" s="104"/>
      <c r="D58" s="104"/>
      <c r="E58" s="104"/>
      <c r="F58" s="104"/>
      <c r="G58" s="104"/>
      <c r="H58" s="104"/>
      <c r="I58" s="104"/>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ht="14.25">
      <c r="A59" s="104"/>
      <c r="B59" s="104"/>
      <c r="C59" s="104"/>
      <c r="D59" s="104"/>
      <c r="E59" s="104"/>
      <c r="F59" s="104"/>
      <c r="G59" s="104"/>
      <c r="H59" s="104"/>
      <c r="I59" s="104"/>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ht="14.25">
      <c r="A60" s="104"/>
      <c r="B60" s="104"/>
      <c r="C60" s="104"/>
      <c r="D60" s="104"/>
      <c r="E60" s="104"/>
      <c r="F60" s="104"/>
      <c r="G60" s="104"/>
      <c r="H60" s="104"/>
      <c r="I60" s="104"/>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ht="14.2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ht="14.2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ht="14.2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ht="14.2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1:41" ht="14.2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row>
    <row r="66" spans="1:41" ht="14.2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row>
    <row r="67" spans="1:41" ht="14.2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ht="14.2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ht="14.2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31" customFormat="1" ht="14.25"/>
    <row r="71" s="31" customFormat="1" ht="14.25"/>
    <row r="72" s="31" customFormat="1" ht="14.25"/>
    <row r="73" s="31" customFormat="1" ht="14.25"/>
    <row r="74" s="31" customFormat="1" ht="14.25"/>
    <row r="75" s="31" customFormat="1" ht="14.25"/>
    <row r="76" s="31" customFormat="1" ht="14.25"/>
    <row r="77" s="31" customFormat="1" ht="14.25"/>
    <row r="78" s="31" customFormat="1" ht="14.25"/>
    <row r="79" s="31" customFormat="1" ht="14.25"/>
    <row r="80" s="31" customFormat="1" ht="14.25"/>
    <row r="81" s="31" customFormat="1" ht="14.25"/>
    <row r="82" s="31" customFormat="1" ht="14.25"/>
    <row r="83" s="31" customFormat="1" ht="14.25"/>
    <row r="84" s="31" customFormat="1" ht="14.25"/>
    <row r="85" s="31" customFormat="1" ht="14.25"/>
    <row r="86" s="31" customFormat="1" ht="14.25"/>
    <row r="87" s="31" customFormat="1" ht="14.25"/>
    <row r="88" s="31" customFormat="1" ht="14.25"/>
    <row r="89" s="31" customFormat="1" ht="14.25"/>
    <row r="90" s="31" customFormat="1" ht="14.25"/>
    <row r="91" s="31" customFormat="1" ht="14.25"/>
    <row r="92" s="31" customFormat="1" ht="14.25"/>
    <row r="93" s="31" customFormat="1" ht="14.25"/>
    <row r="94" s="31" customFormat="1" ht="14.25"/>
    <row r="95" s="31" customFormat="1" ht="14.25"/>
    <row r="96" s="31" customFormat="1" ht="14.25"/>
    <row r="97" s="31" customFormat="1" ht="14.25"/>
    <row r="98" s="31" customFormat="1" ht="14.25"/>
    <row r="99" s="31" customFormat="1" ht="14.25"/>
    <row r="100" s="31" customFormat="1" ht="14.25"/>
    <row r="101" s="31" customFormat="1" ht="14.25"/>
    <row r="102" s="31" customFormat="1" ht="14.25"/>
    <row r="103" s="31" customFormat="1" ht="14.25"/>
    <row r="104" s="31" customFormat="1" ht="14.25"/>
    <row r="105" s="31" customFormat="1" ht="14.25"/>
    <row r="106" s="31" customFormat="1" ht="14.25"/>
    <row r="107" s="31" customFormat="1" ht="14.25"/>
    <row r="108" s="31" customFormat="1" ht="14.25"/>
    <row r="109" s="31" customFormat="1" ht="14.25"/>
    <row r="110" s="31" customFormat="1" ht="14.25"/>
    <row r="111" s="31" customFormat="1" ht="14.25"/>
    <row r="112" s="31" customFormat="1" ht="14.25"/>
    <row r="113" s="31" customFormat="1" ht="14.25"/>
    <row r="114" s="31" customFormat="1" ht="14.25"/>
    <row r="115" s="31" customFormat="1" ht="14.25"/>
    <row r="116" s="31" customFormat="1" ht="14.25"/>
    <row r="117" s="31" customFormat="1" ht="14.25"/>
    <row r="118" s="31" customFormat="1" ht="14.25"/>
    <row r="119" s="31" customFormat="1" ht="14.25"/>
    <row r="120" s="31" customFormat="1" ht="14.25"/>
    <row r="121" s="31" customFormat="1" ht="14.25"/>
    <row r="122" s="31" customFormat="1" ht="14.25"/>
    <row r="123" s="31" customFormat="1" ht="14.25"/>
    <row r="124" s="31" customFormat="1" ht="14.25"/>
    <row r="125" s="31" customFormat="1" ht="14.25"/>
    <row r="126" s="31" customFormat="1" ht="14.25"/>
    <row r="127" s="31" customFormat="1" ht="14.25"/>
    <row r="128" s="31" customFormat="1" ht="14.25"/>
    <row r="129" s="31" customFormat="1" ht="14.25"/>
    <row r="130" s="31" customFormat="1" ht="14.25"/>
    <row r="131" s="31" customFormat="1" ht="14.25"/>
    <row r="132" s="31" customFormat="1" ht="14.25"/>
    <row r="133" s="31" customFormat="1" ht="14.25"/>
    <row r="134" s="31" customFormat="1" ht="14.25"/>
    <row r="135" s="31" customFormat="1" ht="14.25"/>
    <row r="136" s="31" customFormat="1" ht="14.25"/>
    <row r="137" s="31" customFormat="1" ht="14.25"/>
    <row r="138" s="31" customFormat="1" ht="14.25"/>
    <row r="139" s="31" customFormat="1" ht="14.25"/>
    <row r="140" s="31" customFormat="1" ht="14.25"/>
    <row r="141" s="31" customFormat="1" ht="14.25"/>
    <row r="142" s="31" customFormat="1" ht="14.25"/>
    <row r="143" s="31" customFormat="1" ht="14.25"/>
    <row r="144" s="31" customFormat="1" ht="14.25"/>
    <row r="145" s="31" customFormat="1" ht="14.25"/>
    <row r="146" s="31" customFormat="1" ht="14.25"/>
    <row r="147" s="31" customFormat="1" ht="14.25"/>
    <row r="148" s="31" customFormat="1" ht="14.25"/>
    <row r="149" s="31" customFormat="1" ht="14.25"/>
    <row r="150" s="31" customFormat="1" ht="14.25"/>
    <row r="151" s="31" customFormat="1" ht="14.25"/>
    <row r="152" s="31" customFormat="1" ht="14.25"/>
    <row r="153" s="31" customFormat="1" ht="14.25"/>
    <row r="154" s="31" customFormat="1" ht="14.25"/>
    <row r="155" s="31" customFormat="1" ht="14.25"/>
    <row r="156" s="31" customFormat="1" ht="14.25"/>
    <row r="157" s="31" customFormat="1" ht="14.25"/>
    <row r="158" s="31" customFormat="1" ht="14.25"/>
    <row r="159" s="31" customFormat="1" ht="14.25"/>
    <row r="160" s="31" customFormat="1" ht="14.25"/>
    <row r="161" s="31" customFormat="1" ht="14.25"/>
    <row r="162" s="31" customFormat="1" ht="14.25"/>
    <row r="163" s="31" customFormat="1" ht="14.25"/>
    <row r="164" s="31" customFormat="1" ht="14.25"/>
    <row r="165" s="31" customFormat="1" ht="14.25"/>
    <row r="166" s="31" customFormat="1" ht="14.25"/>
    <row r="167" s="31" customFormat="1" ht="14.25"/>
    <row r="168" s="31" customFormat="1" ht="14.25"/>
    <row r="169" s="31" customFormat="1" ht="14.25"/>
    <row r="170" s="31" customFormat="1" ht="14.25"/>
    <row r="171" s="31" customFormat="1" ht="14.25"/>
    <row r="172" s="31" customFormat="1" ht="14.25"/>
    <row r="173" s="31" customFormat="1" ht="14.25"/>
    <row r="174" s="31" customFormat="1" ht="14.25"/>
    <row r="175" s="31" customFormat="1" ht="14.25"/>
    <row r="176" s="31" customFormat="1" ht="14.25"/>
    <row r="177" s="31" customFormat="1" ht="14.25"/>
    <row r="178" s="31" customFormat="1" ht="14.25"/>
    <row r="179" s="31" customFormat="1" ht="14.25"/>
    <row r="180" s="31" customFormat="1" ht="14.25"/>
    <row r="181" s="31" customFormat="1" ht="14.25"/>
    <row r="182" s="31" customFormat="1" ht="14.25"/>
    <row r="183" s="31" customFormat="1" ht="14.25"/>
    <row r="184" s="31" customFormat="1" ht="14.25"/>
    <row r="185" s="31" customFormat="1" ht="14.25"/>
    <row r="186" s="31" customFormat="1" ht="14.25"/>
    <row r="187" s="31" customFormat="1" ht="14.25"/>
    <row r="188" s="31" customFormat="1" ht="14.25"/>
    <row r="189" s="31" customFormat="1" ht="14.25"/>
    <row r="190" s="31" customFormat="1" ht="14.25"/>
    <row r="191" s="31" customFormat="1" ht="14.25"/>
    <row r="192" s="31" customFormat="1" ht="14.25"/>
    <row r="193" s="31" customFormat="1" ht="14.25"/>
    <row r="194" s="31" customFormat="1" ht="14.25"/>
    <row r="195" s="31" customFormat="1" ht="14.25"/>
    <row r="196" s="31" customFormat="1" ht="14.25"/>
    <row r="197" s="31" customFormat="1" ht="14.25"/>
    <row r="198" s="31" customFormat="1" ht="14.25"/>
    <row r="199" s="31" customFormat="1" ht="14.25"/>
    <row r="200" s="31" customFormat="1" ht="14.25"/>
    <row r="201" s="31" customFormat="1" ht="14.25"/>
    <row r="202" s="31" customFormat="1" ht="14.25"/>
    <row r="203" s="31" customFormat="1" ht="14.25"/>
    <row r="204" s="31" customFormat="1" ht="14.25"/>
    <row r="205" s="31" customFormat="1" ht="14.25"/>
    <row r="206" s="31" customFormat="1" ht="14.25"/>
    <row r="207" s="31" customFormat="1" ht="14.25"/>
    <row r="208" s="31" customFormat="1" ht="14.25"/>
    <row r="209" s="31" customFormat="1" ht="14.25"/>
    <row r="210" s="31" customFormat="1" ht="14.25"/>
    <row r="211" s="31" customFormat="1" ht="14.25"/>
    <row r="212" s="31" customFormat="1" ht="14.25"/>
    <row r="213" s="31" customFormat="1" ht="14.25"/>
    <row r="214" s="31" customFormat="1" ht="14.25"/>
    <row r="215" s="31" customFormat="1" ht="14.25"/>
    <row r="216" s="31" customFormat="1" ht="14.25"/>
    <row r="217" s="31" customFormat="1" ht="14.25"/>
    <row r="218" s="31" customFormat="1" ht="14.25"/>
    <row r="219" s="31" customFormat="1" ht="14.25"/>
    <row r="220" s="31" customFormat="1" ht="14.25"/>
    <row r="221" s="31" customFormat="1" ht="14.25"/>
    <row r="222" s="31" customFormat="1" ht="14.25"/>
    <row r="223" s="31" customFormat="1" ht="14.25"/>
    <row r="224" s="31" customFormat="1" ht="14.25"/>
    <row r="225" s="31" customFormat="1" ht="14.25"/>
    <row r="226" s="31" customFormat="1" ht="14.25"/>
    <row r="227" s="31" customFormat="1" ht="14.25"/>
    <row r="228" s="31" customFormat="1" ht="14.25"/>
    <row r="229" s="31" customFormat="1" ht="14.25"/>
    <row r="230" s="31" customFormat="1" ht="14.25"/>
    <row r="231" s="31" customFormat="1" ht="14.25"/>
    <row r="232" s="31" customFormat="1" ht="14.25"/>
    <row r="233" s="31" customFormat="1" ht="14.25"/>
    <row r="234" s="31" customFormat="1" ht="14.25"/>
    <row r="235" s="31" customFormat="1" ht="14.25"/>
    <row r="236" s="31" customFormat="1" ht="14.25"/>
    <row r="237" s="31" customFormat="1" ht="14.25"/>
    <row r="238" s="31" customFormat="1" ht="14.25"/>
    <row r="239" s="31" customFormat="1" ht="14.25"/>
    <row r="240" s="31" customFormat="1" ht="14.25"/>
    <row r="241" s="31" customFormat="1" ht="14.25"/>
    <row r="242" s="31" customFormat="1" ht="14.25"/>
    <row r="243" s="31" customFormat="1" ht="14.25"/>
    <row r="244" s="31" customFormat="1" ht="14.25"/>
    <row r="245" s="31" customFormat="1" ht="14.25"/>
    <row r="246" s="31" customFormat="1" ht="14.25"/>
    <row r="247" s="31" customFormat="1" ht="14.25"/>
    <row r="248" s="31" customFormat="1" ht="14.25"/>
    <row r="249" s="31" customFormat="1" ht="14.25"/>
    <row r="250" s="31" customFormat="1" ht="14.25"/>
    <row r="251" s="31" customFormat="1" ht="14.25"/>
    <row r="252" s="31" customFormat="1" ht="14.25"/>
    <row r="253" s="31" customFormat="1" ht="14.25"/>
    <row r="254" s="31" customFormat="1" ht="14.25"/>
    <row r="255" s="31" customFormat="1" ht="14.25"/>
    <row r="256" s="31" customFormat="1" ht="14.25"/>
    <row r="257" s="31" customFormat="1" ht="14.25"/>
    <row r="258" s="31" customFormat="1" ht="14.25"/>
    <row r="259" s="31" customFormat="1" ht="14.25"/>
    <row r="260" s="31" customFormat="1" ht="14.25"/>
    <row r="261" s="31" customFormat="1" ht="14.25"/>
    <row r="262" s="31" customFormat="1" ht="14.25"/>
    <row r="263" s="31" customFormat="1" ht="14.25"/>
    <row r="264" s="31" customFormat="1" ht="14.25"/>
    <row r="265" s="31" customFormat="1" ht="14.25"/>
    <row r="266" s="31" customFormat="1" ht="14.25"/>
    <row r="267" s="31" customFormat="1" ht="14.25"/>
    <row r="268" s="31" customFormat="1" ht="14.25"/>
    <row r="269" s="31" customFormat="1" ht="14.25"/>
    <row r="270" s="31" customFormat="1" ht="14.25"/>
    <row r="271" s="31" customFormat="1" ht="14.25"/>
    <row r="272" s="31" customFormat="1" ht="14.25"/>
    <row r="273" s="31" customFormat="1" ht="14.25"/>
    <row r="274" s="31" customFormat="1" ht="14.25"/>
    <row r="275" s="31" customFormat="1" ht="14.25"/>
    <row r="276" s="31" customFormat="1" ht="14.25"/>
    <row r="277" s="31" customFormat="1" ht="14.25"/>
    <row r="278" s="31" customFormat="1" ht="14.25"/>
    <row r="279" s="31" customFormat="1" ht="14.25"/>
    <row r="280" s="31" customFormat="1" ht="14.25"/>
    <row r="281" s="31" customFormat="1" ht="14.25"/>
    <row r="282" s="31" customFormat="1" ht="14.25"/>
    <row r="283" s="31" customFormat="1" ht="14.25"/>
    <row r="284" s="31" customFormat="1" ht="14.25"/>
    <row r="285" s="31" customFormat="1" ht="14.25"/>
    <row r="286" s="31" customFormat="1" ht="14.25"/>
    <row r="287" s="31" customFormat="1" ht="14.25"/>
    <row r="288" s="31" customFormat="1" ht="14.25"/>
    <row r="289" s="31" customFormat="1" ht="14.25"/>
    <row r="290" s="31" customFormat="1" ht="14.25"/>
    <row r="291" s="31" customFormat="1" ht="14.25"/>
    <row r="292" s="31" customFormat="1" ht="14.25"/>
    <row r="293" s="31" customFormat="1" ht="14.25"/>
    <row r="294" s="31" customFormat="1" ht="14.25"/>
    <row r="295" s="31" customFormat="1" ht="14.25"/>
    <row r="296" s="31" customFormat="1" ht="14.25"/>
    <row r="297" s="31" customFormat="1" ht="14.25"/>
    <row r="298" s="31" customFormat="1" ht="14.25"/>
    <row r="299" s="31" customFormat="1" ht="14.25"/>
    <row r="300" s="31" customFormat="1" ht="14.25"/>
    <row r="301" s="31" customFormat="1" ht="14.25"/>
    <row r="302" s="31" customFormat="1" ht="14.25"/>
    <row r="303" s="31" customFormat="1" ht="14.25"/>
    <row r="304" s="31" customFormat="1" ht="14.25"/>
    <row r="305" s="31" customFormat="1" ht="14.25"/>
    <row r="306" s="31" customFormat="1" ht="14.25"/>
    <row r="307" s="31" customFormat="1" ht="14.25"/>
    <row r="308" s="31" customFormat="1" ht="14.25"/>
    <row r="309" s="31" customFormat="1" ht="14.25"/>
    <row r="310" s="31" customFormat="1" ht="14.25"/>
    <row r="311" s="31" customFormat="1" ht="14.25"/>
    <row r="312" s="31" customFormat="1" ht="14.25"/>
    <row r="313" s="31" customFormat="1" ht="14.25"/>
    <row r="314" s="31" customFormat="1" ht="14.25"/>
    <row r="315" s="31" customFormat="1" ht="14.25"/>
    <row r="316" s="31" customFormat="1" ht="14.25"/>
    <row r="317" s="31" customFormat="1" ht="14.25"/>
    <row r="318" s="31" customFormat="1" ht="14.25"/>
    <row r="319" s="31" customFormat="1" ht="14.25"/>
    <row r="320" s="31" customFormat="1" ht="14.25"/>
    <row r="321" s="31" customFormat="1" ht="14.25"/>
    <row r="322" s="31" customFormat="1" ht="14.25"/>
    <row r="323" s="31" customFormat="1" ht="14.25"/>
    <row r="324" s="31" customFormat="1" ht="14.25"/>
    <row r="325" s="31" customFormat="1" ht="14.25"/>
    <row r="326" s="31" customFormat="1" ht="14.25"/>
    <row r="327" s="31" customFormat="1" ht="14.25"/>
    <row r="328" s="31" customFormat="1" ht="14.25"/>
    <row r="329" s="31" customFormat="1" ht="14.25"/>
    <row r="330" s="31" customFormat="1" ht="14.25"/>
    <row r="331" s="31" customFormat="1" ht="14.25"/>
    <row r="332" s="31" customFormat="1" ht="14.25"/>
    <row r="333" s="31" customFormat="1" ht="14.25"/>
    <row r="334" s="31" customFormat="1" ht="14.25"/>
    <row r="335" s="31" customFormat="1" ht="14.25"/>
    <row r="336" s="31" customFormat="1" ht="14.25"/>
    <row r="337" s="31" customFormat="1" ht="14.25"/>
    <row r="338" s="31" customFormat="1" ht="14.25"/>
    <row r="339" s="31" customFormat="1" ht="14.25"/>
    <row r="340" s="31" customFormat="1" ht="14.25"/>
    <row r="341" s="31" customFormat="1" ht="14.25"/>
    <row r="342" s="31" customFormat="1" ht="14.25"/>
    <row r="343" s="31" customFormat="1" ht="14.25"/>
    <row r="344" s="31" customFormat="1" ht="14.25"/>
    <row r="345" s="31" customFormat="1" ht="14.25"/>
    <row r="346" s="31" customFormat="1" ht="14.25"/>
    <row r="347" s="31" customFormat="1" ht="14.25"/>
    <row r="348" s="31" customFormat="1" ht="14.25"/>
    <row r="349" s="31" customFormat="1" ht="14.25"/>
    <row r="350" s="31" customFormat="1" ht="14.25"/>
    <row r="351" s="31" customFormat="1" ht="14.25"/>
    <row r="352" s="31" customFormat="1" ht="14.25"/>
    <row r="353" s="31" customFormat="1" ht="14.25"/>
    <row r="354" s="31" customFormat="1" ht="14.25"/>
    <row r="355" s="31" customFormat="1" ht="14.25"/>
    <row r="356" s="31" customFormat="1" ht="14.25"/>
    <row r="357" s="31" customFormat="1" ht="14.25"/>
    <row r="358" s="31" customFormat="1" ht="14.25"/>
    <row r="359" s="31" customFormat="1" ht="14.25"/>
    <row r="360" s="31" customFormat="1" ht="14.25"/>
    <row r="361" s="31" customFormat="1" ht="14.25"/>
    <row r="362" s="31" customFormat="1" ht="14.25"/>
    <row r="363" s="31" customFormat="1" ht="14.25"/>
    <row r="364" s="31" customFormat="1" ht="14.25"/>
    <row r="365" s="31" customFormat="1" ht="14.25"/>
    <row r="366" s="31" customFormat="1" ht="14.25"/>
    <row r="367" s="31" customFormat="1" ht="14.25"/>
    <row r="368" s="31" customFormat="1" ht="14.25"/>
    <row r="369" s="31" customFormat="1" ht="14.25"/>
    <row r="370" s="31" customFormat="1" ht="14.25"/>
    <row r="371" s="31" customFormat="1" ht="14.25"/>
    <row r="372" s="31" customFormat="1" ht="14.25"/>
    <row r="373" s="31" customFormat="1" ht="14.25"/>
    <row r="374" s="31" customFormat="1" ht="14.25"/>
    <row r="375" s="31" customFormat="1" ht="14.25"/>
    <row r="376" s="31" customFormat="1" ht="14.25"/>
    <row r="377" s="31" customFormat="1" ht="14.25"/>
    <row r="378" s="31" customFormat="1" ht="14.25"/>
    <row r="379" s="31" customFormat="1" ht="14.25"/>
    <row r="380" s="31" customFormat="1" ht="14.25"/>
    <row r="381" s="31" customFormat="1" ht="14.25"/>
    <row r="382" s="31" customFormat="1" ht="14.25"/>
    <row r="383" s="31" customFormat="1" ht="14.25"/>
    <row r="384" s="31" customFormat="1" ht="14.25"/>
    <row r="385" s="31" customFormat="1" ht="14.25"/>
    <row r="386" s="31" customFormat="1" ht="14.25"/>
    <row r="387" s="31" customFormat="1" ht="14.25"/>
    <row r="388" s="31" customFormat="1" ht="14.25"/>
    <row r="389" s="31" customFormat="1" ht="14.25"/>
    <row r="390" s="31" customFormat="1" ht="14.25"/>
    <row r="391" s="31" customFormat="1" ht="14.25"/>
    <row r="392" s="31" customFormat="1" ht="14.25"/>
    <row r="393" s="31" customFormat="1" ht="14.25"/>
    <row r="394" s="31" customFormat="1" ht="14.25"/>
    <row r="395" s="31" customFormat="1" ht="14.25"/>
    <row r="396" s="31" customFormat="1" ht="14.25"/>
    <row r="397" s="31" customFormat="1" ht="14.25"/>
    <row r="398" s="31" customFormat="1" ht="14.25"/>
    <row r="399" s="31" customFormat="1" ht="14.25"/>
    <row r="400" s="31" customFormat="1" ht="14.25"/>
    <row r="401" s="31" customFormat="1" ht="14.25"/>
    <row r="402" s="31" customFormat="1" ht="14.25"/>
    <row r="403" s="31" customFormat="1" ht="14.25"/>
    <row r="404" s="31" customFormat="1" ht="14.25"/>
    <row r="405" s="31" customFormat="1" ht="14.25"/>
    <row r="406" s="31" customFormat="1" ht="14.25"/>
    <row r="407" s="31" customFormat="1" ht="14.25"/>
    <row r="408" s="31" customFormat="1" ht="14.25"/>
    <row r="1000" ht="14.25">
      <c r="A1000" t="s">
        <v>397</v>
      </c>
    </row>
  </sheetData>
  <sheetProtection/>
  <conditionalFormatting sqref="B15:B16">
    <cfRule type="cellIs" priority="6" dxfId="16" operator="notEqual">
      <formula>0</formula>
    </cfRule>
  </conditionalFormatting>
  <conditionalFormatting sqref="C15:C16">
    <cfRule type="cellIs" priority="5" dxfId="16" operator="notEqual">
      <formula>0</formula>
    </cfRule>
  </conditionalFormatting>
  <conditionalFormatting sqref="D15:D16">
    <cfRule type="cellIs" priority="4" dxfId="16" operator="notEqual">
      <formula>0</formula>
    </cfRule>
  </conditionalFormatting>
  <conditionalFormatting sqref="E15:I16">
    <cfRule type="cellIs" priority="3" dxfId="16" operator="notEqual">
      <formula>0</formula>
    </cfRule>
  </conditionalFormatting>
  <conditionalFormatting sqref="B31:I32">
    <cfRule type="cellIs" priority="2" dxfId="16" operator="notEqual">
      <formula>0</formula>
    </cfRule>
  </conditionalFormatting>
  <conditionalFormatting sqref="B47:I47">
    <cfRule type="cellIs" priority="1" dxfId="16" operator="notEqual">
      <formula>0</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H1000"/>
  <sheetViews>
    <sheetView showGridLines="0" tabSelected="1" zoomScale="80" zoomScaleNormal="80" zoomScalePageLayoutView="0" workbookViewId="0" topLeftCell="A1">
      <selection activeCell="H30" sqref="H30"/>
    </sheetView>
  </sheetViews>
  <sheetFormatPr defaultColWidth="12.57421875" defaultRowHeight="23.25" customHeight="1"/>
  <cols>
    <col min="1" max="1" width="40.421875" style="1" customWidth="1"/>
    <col min="2" max="2" width="21.8515625" style="1" customWidth="1"/>
    <col min="3" max="3" width="115.7109375" style="28" customWidth="1"/>
    <col min="4" max="4" width="13.28125" style="1" customWidth="1"/>
    <col min="5" max="5" width="18.140625" style="1" hidden="1" customWidth="1"/>
    <col min="6" max="6" width="12.57421875" style="1" hidden="1" customWidth="1"/>
    <col min="7" max="16384" width="12.57421875" style="1" customWidth="1"/>
  </cols>
  <sheetData>
    <row r="1" spans="2:5" ht="23.25" customHeight="1">
      <c r="B1" s="2"/>
      <c r="C1" s="3"/>
      <c r="D1" s="2"/>
      <c r="E1" s="2"/>
    </row>
    <row r="2" spans="2:6" ht="23.25" customHeight="1">
      <c r="B2" s="2"/>
      <c r="C2" s="4" t="str">
        <f>HLOOKUP($F$2,Nombres!$C$3:$D$636,2,FALSE)</f>
        <v>Series trimestrales 2019-2020</v>
      </c>
      <c r="D2" s="2"/>
      <c r="E2" s="2"/>
      <c r="F2" s="5">
        <v>7</v>
      </c>
    </row>
    <row r="3" spans="2:5" ht="23.25" customHeight="1">
      <c r="B3" s="2"/>
      <c r="C3" s="3"/>
      <c r="D3" s="2"/>
      <c r="E3" s="2"/>
    </row>
    <row r="4" spans="1:7" ht="23.25" customHeight="1">
      <c r="A4" s="6"/>
      <c r="B4" s="2"/>
      <c r="C4" s="7" t="str">
        <f>HLOOKUP($F$2,Nombres!$C$3:$D$636,3,FALSE)</f>
        <v>Grupo BBVA</v>
      </c>
      <c r="D4" s="8"/>
      <c r="E4" s="2" t="b">
        <v>0</v>
      </c>
      <c r="G4" s="9"/>
    </row>
    <row r="5" spans="2:7" ht="23.25" customHeight="1">
      <c r="B5" s="2"/>
      <c r="C5" s="10" t="str">
        <f>HLOOKUP($F$2,Nombres!$C$3:$D$636,4,FALSE)</f>
        <v>Cuentas de resultados consolidadas</v>
      </c>
      <c r="D5" s="2"/>
      <c r="E5" s="2" t="b">
        <v>0</v>
      </c>
      <c r="F5" s="1" t="b">
        <f>OR($E$4,E5)</f>
        <v>0</v>
      </c>
      <c r="G5" s="9"/>
    </row>
    <row r="6" spans="2:7" ht="23.25" customHeight="1" hidden="1">
      <c r="B6" s="2"/>
      <c r="C6" s="10"/>
      <c r="D6" s="2"/>
      <c r="E6" s="2"/>
      <c r="G6" s="9"/>
    </row>
    <row r="7" spans="2:7" ht="23.25" customHeight="1">
      <c r="B7" s="2"/>
      <c r="C7" s="10" t="str">
        <f>HLOOKUP($F$2,Nombres!$C$3:$D$636,5,FALSE)</f>
        <v>Balances de situación consolidados</v>
      </c>
      <c r="D7" s="2"/>
      <c r="E7" s="2"/>
      <c r="G7" s="9"/>
    </row>
    <row r="8" spans="2:7" ht="23.25" customHeight="1">
      <c r="B8" s="11"/>
      <c r="C8" s="7" t="str">
        <f>HLOOKUP($F$2,Nombres!$C$3:$D$636,6,FALSE)</f>
        <v>Áreas de negocio</v>
      </c>
      <c r="D8" s="11"/>
      <c r="E8" s="11" t="b">
        <v>0</v>
      </c>
      <c r="F8" s="12"/>
      <c r="G8" s="13"/>
    </row>
    <row r="9" spans="1:7" s="16" customFormat="1" ht="23.25" customHeight="1">
      <c r="A9" s="1"/>
      <c r="B9" s="14"/>
      <c r="C9" s="249" t="str">
        <f>HLOOKUP($F$2,Nombres!$C$3:$D$636,7,FALSE)</f>
        <v>España</v>
      </c>
      <c r="D9" s="14"/>
      <c r="E9" s="14" t="b">
        <v>1</v>
      </c>
      <c r="F9" s="1" t="b">
        <f aca="true" t="shared" si="0" ref="F9:F19">OR($E$8,E9)</f>
        <v>1</v>
      </c>
      <c r="G9" s="15"/>
    </row>
    <row r="10" spans="1:7" ht="23.25" customHeight="1">
      <c r="A10" s="17"/>
      <c r="B10" s="2"/>
      <c r="C10" s="10" t="str">
        <f>HLOOKUP($F$2,Nombres!$C$3:$D$636,10,FALSE)</f>
        <v>EEUU</v>
      </c>
      <c r="D10" s="2"/>
      <c r="E10" s="2" t="b">
        <v>1</v>
      </c>
      <c r="F10" s="1" t="b">
        <f t="shared" si="0"/>
        <v>1</v>
      </c>
      <c r="G10" s="9"/>
    </row>
    <row r="11" spans="2:7" ht="23.25" customHeight="1">
      <c r="B11" s="2"/>
      <c r="C11" s="10" t="str">
        <f>HLOOKUP($F$2,Nombres!$C$3:$D$636,11,FALSE)</f>
        <v>México</v>
      </c>
      <c r="D11" s="2"/>
      <c r="E11" s="2" t="b">
        <v>1</v>
      </c>
      <c r="F11" s="1" t="b">
        <f t="shared" si="0"/>
        <v>1</v>
      </c>
      <c r="G11" s="9"/>
    </row>
    <row r="12" spans="1:7" ht="23.25" customHeight="1">
      <c r="A12" s="18"/>
      <c r="B12" s="2"/>
      <c r="C12" s="10" t="str">
        <f>HLOOKUP($F$2,Nombres!$C$3:$D$636,12,FALSE)</f>
        <v>Turquía </v>
      </c>
      <c r="D12" s="2"/>
      <c r="E12" s="2" t="b">
        <v>1</v>
      </c>
      <c r="F12" s="1" t="b">
        <f t="shared" si="0"/>
        <v>1</v>
      </c>
      <c r="G12" s="9"/>
    </row>
    <row r="13" spans="1:7" s="17" customFormat="1" ht="23.25" customHeight="1">
      <c r="A13" s="18"/>
      <c r="B13" s="19"/>
      <c r="C13" s="10" t="str">
        <f>HLOOKUP($F$2,Nombres!$C$3:$D$636,13,FALSE)</f>
        <v>América del Sur </v>
      </c>
      <c r="D13" s="2"/>
      <c r="E13" s="2" t="b">
        <v>1</v>
      </c>
      <c r="F13" s="20" t="b">
        <f>OR($E$8,E13)</f>
        <v>1</v>
      </c>
      <c r="G13" s="21"/>
    </row>
    <row r="14" spans="2:7" ht="23.25" customHeight="1">
      <c r="B14" s="2"/>
      <c r="C14" s="10" t="str">
        <f>HLOOKUP($F$2,Nombres!$C$3:$D$636,14,FALSE)</f>
        <v>Argentina</v>
      </c>
      <c r="D14" s="2"/>
      <c r="E14" s="2" t="b">
        <v>0</v>
      </c>
      <c r="F14" s="1" t="b">
        <f t="shared" si="0"/>
        <v>0</v>
      </c>
      <c r="G14" s="9"/>
    </row>
    <row r="15" spans="1:7" s="17" customFormat="1" ht="23.25" customHeight="1">
      <c r="A15" s="1"/>
      <c r="B15" s="19"/>
      <c r="C15" s="10" t="str">
        <f>HLOOKUP($F$2,Nombres!$C$3:$D$636,15,FALSE)</f>
        <v>Chile</v>
      </c>
      <c r="D15" s="22"/>
      <c r="E15" s="2" t="b">
        <v>0</v>
      </c>
      <c r="F15" s="20" t="b">
        <f t="shared" si="0"/>
        <v>0</v>
      </c>
      <c r="G15" s="21"/>
    </row>
    <row r="16" spans="1:7" s="17" customFormat="1" ht="23.25" customHeight="1">
      <c r="A16" s="6"/>
      <c r="B16" s="19"/>
      <c r="C16" s="10" t="str">
        <f>HLOOKUP($F$2,Nombres!$C$3:$D$636,16,FALSE)</f>
        <v>Colombia</v>
      </c>
      <c r="D16" s="22"/>
      <c r="E16" s="2" t="b">
        <v>1</v>
      </c>
      <c r="F16" s="20" t="b">
        <f t="shared" si="0"/>
        <v>1</v>
      </c>
      <c r="G16" s="21"/>
    </row>
    <row r="17" spans="2:7" ht="23.25" customHeight="1">
      <c r="B17" s="2"/>
      <c r="C17" s="10" t="str">
        <f>HLOOKUP($F$2,Nombres!$C$3:$D$636,17,FALSE)</f>
        <v>Perú</v>
      </c>
      <c r="D17" s="22"/>
      <c r="E17" s="2" t="b">
        <v>0</v>
      </c>
      <c r="F17" s="1" t="b">
        <f t="shared" si="0"/>
        <v>0</v>
      </c>
      <c r="G17" s="9"/>
    </row>
    <row r="18" spans="2:7" ht="21.75" customHeight="1">
      <c r="B18" s="2"/>
      <c r="C18" s="10" t="str">
        <f>HLOOKUP($F$2,Nombres!$C$3:$D$636,18,FALSE)</f>
        <v>Resto de Eurasia</v>
      </c>
      <c r="D18" s="22"/>
      <c r="E18" s="2" t="b">
        <v>0</v>
      </c>
      <c r="F18" s="1" t="b">
        <f t="shared" si="0"/>
        <v>0</v>
      </c>
      <c r="G18" s="9"/>
    </row>
    <row r="19" spans="2:7" ht="23.25" customHeight="1">
      <c r="B19" s="2"/>
      <c r="C19" s="10" t="str">
        <f>HLOOKUP($F$2,Nombres!$C$3:$D$636,19,FALSE)</f>
        <v>Centro Corporativo</v>
      </c>
      <c r="D19" s="22"/>
      <c r="E19" s="2" t="b">
        <v>0</v>
      </c>
      <c r="F19" s="1" t="b">
        <f t="shared" si="0"/>
        <v>0</v>
      </c>
      <c r="G19" s="9"/>
    </row>
    <row r="20" spans="2:7" ht="23.25" customHeight="1">
      <c r="B20" s="2"/>
      <c r="C20" s="23"/>
      <c r="D20" s="2"/>
      <c r="E20" s="2"/>
      <c r="G20" s="9"/>
    </row>
    <row r="21" spans="1:7" ht="23.25" customHeight="1">
      <c r="A21" s="16"/>
      <c r="B21" s="2"/>
      <c r="C21" s="7" t="str">
        <f>HLOOKUP($F$2,Nombres!$C$3:$D$636,20,FALSE)</f>
        <v>Información adicional:</v>
      </c>
      <c r="D21" s="2"/>
      <c r="E21" s="2"/>
      <c r="G21" s="9"/>
    </row>
    <row r="22" spans="1:7" ht="23.25" customHeight="1">
      <c r="A22" s="24"/>
      <c r="B22" s="2"/>
      <c r="C22" s="10" t="str">
        <f>HLOOKUP($F$2,Nombres!$C$3:$D$636,21,FALSE)</f>
        <v>Corporate &amp; Investment Banking</v>
      </c>
      <c r="D22" s="2"/>
      <c r="E22" s="2" t="b">
        <v>0</v>
      </c>
      <c r="F22" s="1" t="b">
        <f>OR($E$8,E22)</f>
        <v>0</v>
      </c>
      <c r="G22" s="9"/>
    </row>
    <row r="23" spans="2:7" ht="24.75" customHeight="1">
      <c r="B23" s="2"/>
      <c r="C23" s="7" t="str">
        <f>HLOOKUP($F$2,Nombres!$C$3:$D$636,22,FALSE)</f>
        <v>Anexo:</v>
      </c>
      <c r="D23" s="14"/>
      <c r="E23" s="2"/>
      <c r="G23" s="9"/>
    </row>
    <row r="24" spans="1:7" s="16" customFormat="1" ht="23.25" customHeight="1">
      <c r="A24" s="1"/>
      <c r="B24" s="14"/>
      <c r="C24" s="25" t="str">
        <f>HLOOKUP($F$2,Nombres!$C$3:$D$636,23,FALSE)</f>
        <v>Eficiencia</v>
      </c>
      <c r="D24" s="2"/>
      <c r="E24" s="14" t="b">
        <v>0</v>
      </c>
      <c r="F24" s="1" t="b">
        <f aca="true" t="shared" si="1" ref="F24:F31">OR($E$23,E24)</f>
        <v>0</v>
      </c>
      <c r="G24" s="15"/>
    </row>
    <row r="25" spans="1:7" s="24" customFormat="1" ht="23.25" customHeight="1">
      <c r="A25" s="1"/>
      <c r="B25" s="26"/>
      <c r="C25" s="25" t="str">
        <f>HLOOKUP($F$2,Nombres!$C$3:$D$636,24,FALSE)</f>
        <v>Tasas de mora, cobertura y coste de riesgo</v>
      </c>
      <c r="D25" s="2"/>
      <c r="E25" s="26" t="b">
        <v>0</v>
      </c>
      <c r="F25" s="24" t="b">
        <f t="shared" si="1"/>
        <v>0</v>
      </c>
      <c r="G25" s="27"/>
    </row>
    <row r="26" spans="2:7" ht="23.25" customHeight="1">
      <c r="B26" s="2"/>
      <c r="C26" s="25" t="str">
        <f>HLOOKUP($F$2,Nombres!$C$3:$D$636,25,FALSE)</f>
        <v>Empleados, oficinas y cajeros automáticos</v>
      </c>
      <c r="D26" s="2"/>
      <c r="E26" s="2" t="b">
        <v>0</v>
      </c>
      <c r="F26" s="1" t="b">
        <f t="shared" si="1"/>
        <v>0</v>
      </c>
      <c r="G26" s="9"/>
    </row>
    <row r="27" spans="2:7" ht="22.5" customHeight="1">
      <c r="B27" s="2"/>
      <c r="C27" s="25" t="str">
        <f>HLOOKUP($F$2,Nombres!$C$3:$D$636,26,FALSE)</f>
        <v>Tipos de cambio</v>
      </c>
      <c r="D27" s="2"/>
      <c r="E27" s="2" t="b">
        <v>0</v>
      </c>
      <c r="F27" s="1" t="b">
        <f t="shared" si="1"/>
        <v>0</v>
      </c>
      <c r="G27" s="9"/>
    </row>
    <row r="28" spans="2:6" ht="22.5" customHeight="1">
      <c r="B28" s="2"/>
      <c r="C28" s="25" t="str">
        <f>HLOOKUP($F$2,Nombres!$C$3:$D$636,27,FALSE)</f>
        <v>Diferenciales de la clientela</v>
      </c>
      <c r="D28" s="14"/>
      <c r="E28" s="2" t="b">
        <v>1</v>
      </c>
      <c r="F28" s="1" t="b">
        <f t="shared" si="1"/>
        <v>1</v>
      </c>
    </row>
    <row r="29" spans="2:6" ht="23.25" customHeight="1">
      <c r="B29" s="2"/>
      <c r="C29" s="25" t="str">
        <f>HLOOKUP($F$2,Nombres!$C$3:$D$636,28,FALSE)</f>
        <v>Activos ponderados por riesgo. Desglose por áreas de negocio y principales países</v>
      </c>
      <c r="D29" s="26"/>
      <c r="E29" s="2" t="b">
        <v>0</v>
      </c>
      <c r="F29" s="1" t="b">
        <f t="shared" si="1"/>
        <v>0</v>
      </c>
    </row>
    <row r="30" spans="2:6" ht="23.25" customHeight="1">
      <c r="B30" s="2"/>
      <c r="C30" s="25" t="str">
        <f>HLOOKUP($F$2,Nombres!$C$3:$D$636,29,FALSE)</f>
        <v>Desglose del crédito no dudoso en gestión</v>
      </c>
      <c r="D30" s="2"/>
      <c r="E30" s="2" t="b">
        <v>0</v>
      </c>
      <c r="F30" s="1" t="b">
        <f t="shared" si="1"/>
        <v>0</v>
      </c>
    </row>
    <row r="31" spans="2:6" ht="23.25" customHeight="1">
      <c r="B31" s="2"/>
      <c r="C31" s="25" t="str">
        <f>HLOOKUP($F$2,Nombres!$C$3:$D$636,120,FALSE)</f>
        <v>Desglose de los recursos de clientes en gestión</v>
      </c>
      <c r="D31" s="2"/>
      <c r="E31" s="2" t="b">
        <v>0</v>
      </c>
      <c r="F31" s="1" t="b">
        <f t="shared" si="1"/>
        <v>0</v>
      </c>
    </row>
    <row r="32" spans="2:5" ht="23.25" customHeight="1">
      <c r="B32" s="2"/>
      <c r="C32" s="25" t="str">
        <f>HLOOKUP($F$2,Nombres!$C$3:$D$636,242,FALSE)</f>
        <v>Carteras Coap</v>
      </c>
      <c r="D32" s="2"/>
      <c r="E32" s="2"/>
    </row>
    <row r="33" spans="2:5" ht="23.25" customHeight="1">
      <c r="B33" s="2"/>
      <c r="C33" s="3"/>
      <c r="D33" s="2"/>
      <c r="E33" s="2"/>
    </row>
    <row r="34" spans="2:8" ht="23.25" customHeight="1">
      <c r="B34" s="2"/>
      <c r="C34" s="304"/>
      <c r="D34" s="304"/>
      <c r="E34" s="304"/>
      <c r="F34" s="304"/>
      <c r="G34" s="304"/>
      <c r="H34" s="304"/>
    </row>
    <row r="35" spans="2:5" ht="23.25" customHeight="1">
      <c r="B35" s="2"/>
      <c r="C35" s="3"/>
      <c r="D35" s="2"/>
      <c r="E35" s="2"/>
    </row>
    <row r="36" spans="2:5" ht="23.25" customHeight="1">
      <c r="B36" s="2"/>
      <c r="C36" s="3"/>
      <c r="D36" s="2"/>
      <c r="E36" s="2"/>
    </row>
    <row r="37" spans="2:5" ht="23.25" customHeight="1">
      <c r="B37" s="2"/>
      <c r="C37" s="3"/>
      <c r="D37" s="2"/>
      <c r="E37" s="2"/>
    </row>
    <row r="38" spans="2:5" ht="23.25" customHeight="1">
      <c r="B38" s="2"/>
      <c r="C38" s="3"/>
      <c r="D38" s="2"/>
      <c r="E38" s="2"/>
    </row>
    <row r="1000" ht="23.25" customHeight="1">
      <c r="A1000" s="1" t="s">
        <v>397</v>
      </c>
    </row>
  </sheetData>
  <sheetProtection/>
  <mergeCells count="1">
    <mergeCell ref="C34:H34"/>
  </mergeCells>
  <hyperlinks>
    <hyperlink ref="C5" location="'Cuenta de Resultados'!A1" display="'Cuenta de Resultados'!A1"/>
    <hyperlink ref="C9" location="España!A1" display="España!A1"/>
    <hyperlink ref="C10" location="EEUU!A1" display="EEUU!A1"/>
    <hyperlink ref="C11" location="Mexico!A1" display="Mexico!A1"/>
    <hyperlink ref="C12" location="Turquia!A1" display="Turquia!A1"/>
    <hyperlink ref="C13" location="AdS!A1" display="AdS!A1"/>
    <hyperlink ref="C14" location="Argentina!A1" display="Argentina!A1"/>
    <hyperlink ref="C15" location="Chile!A1" display="Chile!A1"/>
    <hyperlink ref="C16" location="Colombia!A1" display="Colombia!A1"/>
    <hyperlink ref="C17" location="Peru!A1" display="Peru!A1"/>
    <hyperlink ref="C18" location="'Resto de Eurasia'!A1" display="'Resto de Eurasia'!A1"/>
    <hyperlink ref="C19" location="'Centro Corporativo'!A1" display="'Centro Corporativo'!A1"/>
    <hyperlink ref="C22" location="'Corporate &amp; Investment Banking'!A1" display="'Corporate &amp; Investment Banking'!A1"/>
    <hyperlink ref="C24" location="Eficiencia!A1" display="Eficiencia!A1"/>
    <hyperlink ref="C25" location="'Mora,cobertura,coste de riesgo'!A1" display="'Mora,cobertura,coste de riesgo'!A1"/>
    <hyperlink ref="C26" location="'Empleados, oficinas y cajeros'!A1" display="'Empleados, oficinas y cajeros'!A1"/>
    <hyperlink ref="C27" location="'Tipos de Cambio'!A1" display="'Tipos de Cambio'!A1"/>
    <hyperlink ref="C29" location="APRs!A1" display="APRs!A1"/>
    <hyperlink ref="C30" location="Inversion!A1" display="Inversion!A1"/>
    <hyperlink ref="C28" location="Diferenciales!A1" display="Diferenciales!A1"/>
    <hyperlink ref="C31" location="Recursos!A1" display="Recursos!A1"/>
    <hyperlink ref="C32" location="ALCO!A1" display="ALCO!A1"/>
    <hyperlink ref="C7" location="Balance!A1" display="Balance!A1"/>
  </hyperlinks>
  <printOptions/>
  <pageMargins left="0.7" right="0.7" top="0.75" bottom="0.75" header="0.3" footer="0.3"/>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dimension ref="A1:W1000"/>
  <sheetViews>
    <sheetView showGridLines="0" zoomScalePageLayoutView="0" workbookViewId="0" topLeftCell="A1">
      <selection activeCell="A1" sqref="A1:O16384"/>
    </sheetView>
  </sheetViews>
  <sheetFormatPr defaultColWidth="11.421875" defaultRowHeight="15"/>
  <cols>
    <col min="1" max="1" width="13.421875" style="0" customWidth="1"/>
    <col min="2" max="2" width="32.140625" style="0" customWidth="1"/>
    <col min="6" max="6" width="8.140625" style="0" customWidth="1"/>
    <col min="7" max="7" width="7.421875" style="0" customWidth="1"/>
    <col min="8" max="9" width="14.140625" style="0" customWidth="1"/>
  </cols>
  <sheetData>
    <row r="1" spans="1:23" ht="16.5">
      <c r="A1" s="100" t="str">
        <f>HLOOKUP(INDICE!$F$2,Nombres!$C$3:$D$636,161,FALSE)</f>
        <v>Tipos de cambio</v>
      </c>
      <c r="B1" s="100"/>
      <c r="C1" s="101"/>
      <c r="D1" s="101"/>
      <c r="E1" s="101"/>
      <c r="F1" s="101"/>
      <c r="G1" s="101"/>
      <c r="H1" s="101"/>
      <c r="I1" s="101"/>
      <c r="J1" s="123"/>
      <c r="K1" s="102"/>
      <c r="L1" s="102"/>
      <c r="M1" s="102"/>
      <c r="N1" s="168"/>
      <c r="O1" s="168"/>
      <c r="P1" s="168"/>
      <c r="Q1" s="168"/>
      <c r="R1" s="168"/>
      <c r="S1" s="168"/>
      <c r="T1" s="168"/>
      <c r="U1" s="168"/>
      <c r="V1" s="168"/>
      <c r="W1" s="168"/>
    </row>
    <row r="2" spans="1:13" ht="14.25">
      <c r="A2" s="169" t="str">
        <f>HLOOKUP(INDICE!$F$2,Nombres!$C$3:$D$636,162,FALSE)</f>
        <v>(Expresados en divisa/euro)</v>
      </c>
      <c r="B2" s="169"/>
      <c r="C2" s="170"/>
      <c r="D2" s="170"/>
      <c r="E2" s="170"/>
      <c r="F2" s="170"/>
      <c r="G2" s="170"/>
      <c r="H2" s="170"/>
      <c r="I2" s="170"/>
      <c r="J2" s="123"/>
      <c r="K2" s="102"/>
      <c r="L2" s="102"/>
      <c r="M2" s="102"/>
    </row>
    <row r="3" spans="1:9" ht="19.5">
      <c r="A3" s="171"/>
      <c r="B3" s="171"/>
      <c r="C3" s="308" t="str">
        <f>HLOOKUP(INDICE!$F$2,Nombres!$C$3:$D$636,163,FALSE)</f>
        <v>Cambios finales (*)</v>
      </c>
      <c r="D3" s="308"/>
      <c r="E3" s="308"/>
      <c r="F3" s="172"/>
      <c r="G3" s="173"/>
      <c r="H3" s="308" t="str">
        <f>HLOOKUP(INDICE!$F$2,Nombres!$C$3:$D$636,164,FALSE)</f>
        <v>Cambios medios (**)</v>
      </c>
      <c r="I3" s="308"/>
    </row>
    <row r="4" spans="1:9" ht="14.25">
      <c r="A4" s="105"/>
      <c r="B4" s="105"/>
      <c r="C4" s="80"/>
      <c r="D4" s="174" t="str">
        <f>HLOOKUP(INDICE!$F$2,Nombres!$C$3:$D$636,165,FALSE)</f>
        <v>∆% sobre</v>
      </c>
      <c r="E4" s="174" t="str">
        <f>HLOOKUP(INDICE!$F$2,Nombres!$C$3:$D$636,165,FALSE)</f>
        <v>∆% sobre</v>
      </c>
      <c r="F4" s="172"/>
      <c r="G4" s="173"/>
      <c r="H4" s="175"/>
      <c r="I4" s="174" t="str">
        <f>HLOOKUP(INDICE!$F$2,Nombres!$C$3:$D$636,165,FALSE)</f>
        <v>∆% sobre</v>
      </c>
    </row>
    <row r="5" spans="1:9" ht="14.25">
      <c r="A5" s="105"/>
      <c r="B5" s="105"/>
      <c r="C5" s="176">
        <v>44104</v>
      </c>
      <c r="D5" s="176">
        <f>DATE(YEAR(C5),MONTH(C5)-12,DAY(C5))</f>
        <v>43738</v>
      </c>
      <c r="E5" s="176">
        <v>43830</v>
      </c>
      <c r="F5" s="177"/>
      <c r="G5" s="178"/>
      <c r="H5" s="176">
        <f>+C5</f>
        <v>44104</v>
      </c>
      <c r="I5" s="179">
        <f>+D5</f>
        <v>43738</v>
      </c>
    </row>
    <row r="6" spans="1:9" ht="14.25">
      <c r="A6" s="61" t="str">
        <f>HLOOKUP(INDICE!$F$2,Nombres!$C$3:$D$636,152,FALSE)</f>
        <v>Peso mexicano</v>
      </c>
      <c r="B6" s="61"/>
      <c r="C6" s="180">
        <v>26.184799999970107</v>
      </c>
      <c r="D6" s="181">
        <v>-0.18073844367336112</v>
      </c>
      <c r="E6" s="181">
        <v>-0.18959854572800172</v>
      </c>
      <c r="F6" s="182"/>
      <c r="G6" s="60"/>
      <c r="H6" s="180">
        <v>24.53750899985743</v>
      </c>
      <c r="I6" s="181">
        <v>-0.11843097031139982</v>
      </c>
    </row>
    <row r="7" spans="1:9" ht="14.25">
      <c r="A7" s="61" t="str">
        <f>HLOOKUP(INDICE!$F$2,Nombres!$C$3:$D$636,153,FALSE)</f>
        <v>Dólar estadounidense</v>
      </c>
      <c r="B7" s="61"/>
      <c r="C7" s="180">
        <v>1.1708000000002023</v>
      </c>
      <c r="D7" s="181">
        <v>-0.06995216945692107</v>
      </c>
      <c r="E7" s="181">
        <v>-0.04048513836673928</v>
      </c>
      <c r="F7" s="150"/>
      <c r="G7" s="60"/>
      <c r="H7" s="180">
        <v>1.1246399999996104</v>
      </c>
      <c r="I7" s="181">
        <v>-0.0009016218524985353</v>
      </c>
    </row>
    <row r="8" spans="1:9" ht="14.25">
      <c r="A8" s="61" t="str">
        <f>HLOOKUP(INDICE!$F$2,Nombres!$C$3:$D$636,154,FALSE)</f>
        <v>Peso argentino</v>
      </c>
      <c r="B8" s="292" t="s">
        <v>430</v>
      </c>
      <c r="C8" s="293">
        <v>89.11544199948433</v>
      </c>
      <c r="D8" s="181">
        <v>-0.29963848463629195</v>
      </c>
      <c r="E8" s="181">
        <v>-0.24495641282399672</v>
      </c>
      <c r="F8" s="150"/>
      <c r="G8" s="60"/>
      <c r="H8" s="285" t="s">
        <v>421</v>
      </c>
      <c r="I8" s="285" t="s">
        <v>421</v>
      </c>
    </row>
    <row r="9" spans="1:9" ht="14.25">
      <c r="A9" s="61" t="str">
        <f>HLOOKUP(INDICE!$F$2,Nombres!$C$3:$D$636,155,FALSE)</f>
        <v>Peso chileno</v>
      </c>
      <c r="B9" s="61"/>
      <c r="C9" s="180">
        <v>918.4457676808972</v>
      </c>
      <c r="D9" s="181">
        <v>-0.13964114186762977</v>
      </c>
      <c r="E9" s="181">
        <v>-0.08417617500193897</v>
      </c>
      <c r="F9" s="150"/>
      <c r="G9" s="60"/>
      <c r="H9" s="180">
        <v>901.2665910381425</v>
      </c>
      <c r="I9" s="181">
        <v>-0.14515717554483099</v>
      </c>
    </row>
    <row r="10" spans="1:9" ht="14.25">
      <c r="A10" s="61" t="str">
        <f>HLOOKUP(INDICE!$F$2,Nombres!$C$3:$D$636,156,FALSE)</f>
        <v>Peso colombiano</v>
      </c>
      <c r="B10" s="61"/>
      <c r="C10" s="180">
        <v>4541.4629504523255</v>
      </c>
      <c r="D10" s="181">
        <v>-0.16991887201467137</v>
      </c>
      <c r="E10" s="181">
        <v>-0.1893495290716949</v>
      </c>
      <c r="F10" s="150"/>
      <c r="G10" s="60"/>
      <c r="H10" s="180">
        <v>4166.666684027778</v>
      </c>
      <c r="I10" s="181">
        <v>-0.1264885336078333</v>
      </c>
    </row>
    <row r="11" spans="1:9" ht="14.25">
      <c r="A11" s="61" t="str">
        <f>HLOOKUP(INDICE!$F$2,Nombres!$C$3:$D$636,157,FALSE)</f>
        <v>Sol peruano</v>
      </c>
      <c r="B11" s="61"/>
      <c r="C11" s="180">
        <v>4.213474999994051</v>
      </c>
      <c r="D11" s="181">
        <v>-0.12649724989272593</v>
      </c>
      <c r="E11" s="181">
        <v>-0.117005322209918</v>
      </c>
      <c r="F11" s="150"/>
      <c r="G11" s="60"/>
      <c r="H11" s="180">
        <v>3.8908760000060485</v>
      </c>
      <c r="I11" s="181">
        <v>-0.03933638594515476</v>
      </c>
    </row>
    <row r="12" spans="1:9" ht="14.25">
      <c r="A12" s="61" t="str">
        <f>HLOOKUP(INDICE!$F$2,Nombres!$C$3:$D$636,158,FALSE)</f>
        <v>Lira turca</v>
      </c>
      <c r="B12" s="61"/>
      <c r="C12" s="180">
        <v>9.098999999960457</v>
      </c>
      <c r="D12" s="181">
        <v>-0.3242004615865709</v>
      </c>
      <c r="E12" s="181">
        <v>-0.2653808110729867</v>
      </c>
      <c r="F12" s="150"/>
      <c r="G12" s="60"/>
      <c r="H12" s="180">
        <v>7.597685000028827</v>
      </c>
      <c r="I12" s="181">
        <v>-0.1655217345856893</v>
      </c>
    </row>
    <row r="13" spans="1:9" ht="14.25">
      <c r="A13" s="104"/>
      <c r="B13" s="104"/>
      <c r="D13" s="183"/>
      <c r="E13" s="183"/>
      <c r="F13" s="183"/>
      <c r="G13" s="183"/>
      <c r="H13" s="104"/>
      <c r="I13" s="104"/>
    </row>
    <row r="14" spans="1:9" ht="14.25">
      <c r="A14" s="104"/>
      <c r="B14" s="104"/>
      <c r="C14" s="184"/>
      <c r="D14" s="183"/>
      <c r="E14" s="183"/>
      <c r="F14" s="183"/>
      <c r="G14" s="183"/>
      <c r="H14" s="104"/>
      <c r="I14" s="104"/>
    </row>
    <row r="15" spans="1:9" ht="14.25">
      <c r="A15" s="122" t="str">
        <f>HLOOKUP(INDICE!$F$2,Nombres!$C$3:$D$636,159,FALSE)</f>
        <v>(*) Utilizados en el cálculo de euros constantes de los datos de balance y actividad</v>
      </c>
      <c r="B15" s="122"/>
      <c r="C15" s="134"/>
      <c r="D15" s="134"/>
      <c r="E15" s="134"/>
      <c r="F15" s="183"/>
      <c r="G15" s="183"/>
      <c r="H15" s="104"/>
      <c r="I15" s="104"/>
    </row>
    <row r="16" spans="1:9" ht="14.25">
      <c r="A16" s="122" t="str">
        <f>HLOOKUP(INDICE!$F$2,Nombres!$C$3:$D$636,160,FALSE)</f>
        <v>(**) Utilizados en el cálculo de euros constantes de los datos de resultados</v>
      </c>
      <c r="B16" s="122"/>
      <c r="C16" s="134"/>
      <c r="D16" s="134"/>
      <c r="E16" s="134"/>
      <c r="F16" s="183"/>
      <c r="G16" s="183"/>
      <c r="H16" s="104"/>
      <c r="I16" s="104"/>
    </row>
    <row r="17" ht="14.25">
      <c r="A17" s="122" t="str">
        <f>HLOOKUP(INDICE!$F$2,Nombres!$C$3:$D$636,256,FALSE)</f>
        <v>(1) En aplicación de la NIC 29 "Información en economías hiperinflacionarias", la conversión de la cuenta de resultados de Argentina se hace empleando el tipo de cambio final.</v>
      </c>
    </row>
    <row r="20" ht="14.25">
      <c r="D20" s="183"/>
    </row>
    <row r="25" spans="3:5" ht="14.25">
      <c r="C25" s="300"/>
      <c r="D25" s="300"/>
      <c r="E25" s="300"/>
    </row>
    <row r="27" ht="14.25">
      <c r="E27" s="300"/>
    </row>
    <row r="1000" ht="14.25">
      <c r="A1000" t="s">
        <v>397</v>
      </c>
    </row>
  </sheetData>
  <sheetProtection/>
  <mergeCells count="2">
    <mergeCell ref="C3:E3"/>
    <mergeCell ref="H3:I3"/>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D1000"/>
  <sheetViews>
    <sheetView showGridLines="0" zoomScalePageLayoutView="0" workbookViewId="0" topLeftCell="A1">
      <selection activeCell="I1" sqref="I1:I16384"/>
    </sheetView>
  </sheetViews>
  <sheetFormatPr defaultColWidth="11.421875" defaultRowHeight="15"/>
  <cols>
    <col min="1" max="1" width="30.7109375" style="186" customWidth="1"/>
    <col min="2" max="8" width="10.7109375" style="186" customWidth="1"/>
    <col min="9" max="9" width="10.7109375" style="186" hidden="1" customWidth="1"/>
    <col min="10" max="255" width="11.421875" style="186" customWidth="1"/>
  </cols>
  <sheetData>
    <row r="1" spans="1:9" ht="19.5">
      <c r="A1" s="100" t="str">
        <f>HLOOKUP(INDICE!$F$2,Nombres!$C$3:$D$636,171,FALSE)</f>
        <v>Diferenciales de la clientela (*)</v>
      </c>
      <c r="B1" s="185"/>
      <c r="C1" s="185"/>
      <c r="D1" s="185"/>
      <c r="E1" s="185"/>
      <c r="F1" s="185"/>
      <c r="G1" s="265"/>
      <c r="H1" s="265"/>
      <c r="I1" s="265"/>
    </row>
    <row r="2" spans="1:9" ht="19.5">
      <c r="A2" s="187" t="str">
        <f>HLOOKUP(INDICE!$F$2,Nombres!$C$3:$D$636,172,FALSE)</f>
        <v>(Porcentaje)</v>
      </c>
      <c r="B2" s="188"/>
      <c r="C2" s="188"/>
      <c r="D2" s="188"/>
      <c r="E2" s="188"/>
      <c r="F2" s="188"/>
      <c r="G2" s="189"/>
      <c r="H2" s="189"/>
      <c r="I2" s="189"/>
    </row>
    <row r="3" spans="1:9" ht="14.25">
      <c r="A3" s="189"/>
      <c r="B3" s="309">
        <f>+España!B6</f>
        <v>2019</v>
      </c>
      <c r="C3" s="309"/>
      <c r="D3" s="309"/>
      <c r="E3" s="309"/>
      <c r="F3" s="309">
        <f>+España!F6</f>
        <v>2020</v>
      </c>
      <c r="G3" s="309"/>
      <c r="H3" s="309"/>
      <c r="I3" s="309"/>
    </row>
    <row r="4" spans="1:9" ht="14.25">
      <c r="A4" s="150"/>
      <c r="B4" s="190" t="str">
        <f>HLOOKUP(INDICE!$F$2,Nombres!$C$3:$D$636,167,FALSE)</f>
        <v>1er Trim.</v>
      </c>
      <c r="C4" s="190" t="str">
        <f>HLOOKUP(INDICE!$F$2,Nombres!$C$3:$D$636,168,FALSE)</f>
        <v>2º Trim.</v>
      </c>
      <c r="D4" s="190" t="str">
        <f>HLOOKUP(INDICE!$F$2,Nombres!$C$3:$D$636,169,FALSE)</f>
        <v>3er Trim.</v>
      </c>
      <c r="E4" s="190" t="str">
        <f>HLOOKUP(INDICE!$F$2,Nombres!$C$3:$D$636,170,FALSE)</f>
        <v>4º Trim.</v>
      </c>
      <c r="F4" s="190" t="str">
        <f>HLOOKUP(INDICE!$F$2,Nombres!$C$3:$D$636,167,FALSE)</f>
        <v>1er Trim.</v>
      </c>
      <c r="G4" s="190" t="str">
        <f>HLOOKUP(INDICE!$F$2,Nombres!$C$3:$D$636,168,FALSE)</f>
        <v>2º Trim.</v>
      </c>
      <c r="H4" s="190" t="str">
        <f>HLOOKUP(INDICE!$F$2,Nombres!$C$3:$D$636,169,FALSE)</f>
        <v>3er Trim.</v>
      </c>
      <c r="I4" s="190" t="str">
        <f>HLOOKUP(INDICE!$F$2,Nombres!$C$3:$D$636,170,FALSE)</f>
        <v>4º Trim.</v>
      </c>
    </row>
    <row r="5" spans="1:9" ht="14.25">
      <c r="A5" s="150"/>
      <c r="B5" s="107"/>
      <c r="C5" s="107"/>
      <c r="D5" s="107"/>
      <c r="E5" s="107"/>
      <c r="F5" s="107"/>
      <c r="G5" s="189"/>
      <c r="H5" s="189"/>
      <c r="I5" s="189"/>
    </row>
    <row r="6" spans="1:30" ht="14.25">
      <c r="A6" s="191" t="str">
        <f>HLOOKUP(INDICE!$F$2,Nombres!$C$3:$D$636,173,FALSE)</f>
        <v>Rentabilidad de los prestamos</v>
      </c>
      <c r="B6" s="192">
        <v>0.020351645017163765</v>
      </c>
      <c r="C6" s="192">
        <v>0.020551099349604435</v>
      </c>
      <c r="D6" s="192">
        <v>0.02045087474035144</v>
      </c>
      <c r="E6" s="192">
        <v>0.020239704480605195</v>
      </c>
      <c r="F6" s="192">
        <v>0.01991849576316028</v>
      </c>
      <c r="G6" s="192">
        <v>0.019253154408987685</v>
      </c>
      <c r="H6" s="192">
        <v>0.018918033666108874</v>
      </c>
      <c r="I6" s="192">
        <v>0</v>
      </c>
      <c r="J6" s="301"/>
      <c r="K6" s="301"/>
      <c r="L6" s="301"/>
      <c r="M6" s="301"/>
      <c r="O6" s="193"/>
      <c r="P6" s="193"/>
      <c r="Q6" s="193"/>
      <c r="R6" s="193"/>
      <c r="W6" s="193"/>
      <c r="X6" s="193"/>
      <c r="Y6" s="193"/>
      <c r="Z6" s="193"/>
      <c r="AA6" s="193"/>
      <c r="AB6" s="193"/>
      <c r="AC6" s="193"/>
      <c r="AD6" s="193"/>
    </row>
    <row r="7" spans="1:30" ht="14.25">
      <c r="A7" s="191" t="str">
        <f>HLOOKUP(INDICE!$F$2,Nombres!$C$3:$D$636,174,FALSE)</f>
        <v>Coste de los depositos</v>
      </c>
      <c r="B7" s="192">
        <v>-0.0007079484064170578</v>
      </c>
      <c r="C7" s="192">
        <v>-0.0006129971692167433</v>
      </c>
      <c r="D7" s="192">
        <v>-0.0004684084662086657</v>
      </c>
      <c r="E7" s="192">
        <v>-0.00037320126871388375</v>
      </c>
      <c r="F7" s="192">
        <v>-0.0002841364447818753</v>
      </c>
      <c r="G7" s="192">
        <v>-0.00010090867490470549</v>
      </c>
      <c r="H7" s="192">
        <v>-6.477276928691589E-05</v>
      </c>
      <c r="I7" s="192">
        <v>0</v>
      </c>
      <c r="J7" s="301"/>
      <c r="K7" s="301"/>
      <c r="L7" s="301"/>
      <c r="M7" s="301"/>
      <c r="O7" s="193"/>
      <c r="P7" s="193"/>
      <c r="Q7" s="193"/>
      <c r="R7" s="193"/>
      <c r="W7" s="193"/>
      <c r="X7" s="193"/>
      <c r="Y7" s="193"/>
      <c r="Z7" s="193"/>
      <c r="AA7" s="193"/>
      <c r="AB7" s="193"/>
      <c r="AC7" s="193"/>
      <c r="AD7" s="193"/>
    </row>
    <row r="8" spans="1:30" ht="14.25">
      <c r="A8" s="194" t="str">
        <f>HLOOKUP(INDICE!$F$2,Nombres!$C$3:$D$636,175,FALSE)</f>
        <v>Actividad bancaria en España</v>
      </c>
      <c r="B8" s="195">
        <v>0.01964369661074671</v>
      </c>
      <c r="C8" s="195">
        <v>0.019938102180387694</v>
      </c>
      <c r="D8" s="195">
        <v>0.019982466274142775</v>
      </c>
      <c r="E8" s="195">
        <v>0.01986650321189131</v>
      </c>
      <c r="F8" s="195">
        <v>0.019634359318378404</v>
      </c>
      <c r="G8" s="195">
        <v>0.01915224573408298</v>
      </c>
      <c r="H8" s="195">
        <v>0.018853260896821957</v>
      </c>
      <c r="I8" s="195">
        <v>0</v>
      </c>
      <c r="J8" s="301"/>
      <c r="K8" s="301"/>
      <c r="L8" s="301"/>
      <c r="M8" s="301"/>
      <c r="O8" s="193"/>
      <c r="P8" s="193"/>
      <c r="Q8" s="193"/>
      <c r="R8" s="193"/>
      <c r="W8" s="193"/>
      <c r="X8" s="193"/>
      <c r="Y8" s="193"/>
      <c r="Z8" s="193"/>
      <c r="AA8" s="193"/>
      <c r="AB8" s="193"/>
      <c r="AC8" s="193"/>
      <c r="AD8" s="193"/>
    </row>
    <row r="9" spans="1:30" ht="14.25">
      <c r="A9" s="150"/>
      <c r="B9" s="196"/>
      <c r="C9" s="196"/>
      <c r="D9" s="196"/>
      <c r="E9" s="196"/>
      <c r="F9" s="196"/>
      <c r="G9" s="196"/>
      <c r="H9" s="196"/>
      <c r="I9" s="196"/>
      <c r="O9" s="193"/>
      <c r="P9" s="193"/>
      <c r="Q9" s="193"/>
      <c r="R9" s="193"/>
      <c r="W9" s="193"/>
      <c r="X9" s="193"/>
      <c r="Y9" s="193"/>
      <c r="Z9" s="193"/>
      <c r="AA9" s="193"/>
      <c r="AB9" s="193"/>
      <c r="AC9" s="193"/>
      <c r="AD9" s="193"/>
    </row>
    <row r="10" spans="1:30" ht="14.25">
      <c r="A10" s="191" t="str">
        <f>HLOOKUP(INDICE!$F$2,Nombres!$C$3:$D$636,173,FALSE)</f>
        <v>Rentabilidad de los prestamos</v>
      </c>
      <c r="B10" s="192">
        <v>0.050387928711691066</v>
      </c>
      <c r="C10" s="192">
        <v>0.050388555592085806</v>
      </c>
      <c r="D10" s="192">
        <v>0.049302107425794946</v>
      </c>
      <c r="E10" s="192">
        <v>0.046834834943257804</v>
      </c>
      <c r="F10" s="192">
        <v>0.045672295054219915</v>
      </c>
      <c r="G10" s="192">
        <v>0.03993263221990524</v>
      </c>
      <c r="H10" s="192">
        <v>0.03890702849001951</v>
      </c>
      <c r="I10" s="192">
        <v>0</v>
      </c>
      <c r="J10" s="301"/>
      <c r="K10" s="301"/>
      <c r="L10" s="301"/>
      <c r="M10" s="301"/>
      <c r="O10" s="193"/>
      <c r="P10" s="193"/>
      <c r="Q10" s="193"/>
      <c r="R10" s="193"/>
      <c r="W10" s="193"/>
      <c r="X10" s="193"/>
      <c r="Y10" s="193"/>
      <c r="Z10" s="193"/>
      <c r="AA10" s="193"/>
      <c r="AB10" s="193"/>
      <c r="AC10" s="193"/>
      <c r="AD10" s="193"/>
    </row>
    <row r="11" spans="1:30" ht="14.25">
      <c r="A11" s="191" t="str">
        <f>HLOOKUP(INDICE!$F$2,Nombres!$C$3:$D$636,174,FALSE)</f>
        <v>Coste de los depositos</v>
      </c>
      <c r="B11" s="192">
        <v>-0.008444088241841879</v>
      </c>
      <c r="C11" s="192">
        <v>-0.00962859154855532</v>
      </c>
      <c r="D11" s="192">
        <v>-0.01016193322521777</v>
      </c>
      <c r="E11" s="192">
        <v>-0.00954307302646493</v>
      </c>
      <c r="F11" s="192">
        <v>-0.00831618733052044</v>
      </c>
      <c r="G11" s="192">
        <v>-0.004406806467831812</v>
      </c>
      <c r="H11" s="192">
        <v>-0.002562942141864513</v>
      </c>
      <c r="I11" s="192">
        <v>0</v>
      </c>
      <c r="J11" s="301"/>
      <c r="K11" s="301"/>
      <c r="L11" s="301"/>
      <c r="M11" s="301"/>
      <c r="O11" s="193"/>
      <c r="P11" s="193"/>
      <c r="Q11" s="193"/>
      <c r="R11" s="193"/>
      <c r="W11" s="193"/>
      <c r="X11" s="193"/>
      <c r="Y11" s="193"/>
      <c r="Z11" s="193"/>
      <c r="AA11" s="193"/>
      <c r="AB11" s="193"/>
      <c r="AC11" s="193"/>
      <c r="AD11" s="193"/>
    </row>
    <row r="12" spans="1:30" ht="14.25">
      <c r="A12" s="194" t="str">
        <f>HLOOKUP(INDICE!$F$2,Nombres!$C$3:$D$636,176,FALSE)</f>
        <v>Estados Unidos (**)</v>
      </c>
      <c r="B12" s="195">
        <v>0.04194384046984918</v>
      </c>
      <c r="C12" s="195">
        <v>0.04075996404353049</v>
      </c>
      <c r="D12" s="195">
        <v>0.03914017420057718</v>
      </c>
      <c r="E12" s="195">
        <v>0.03729176191679287</v>
      </c>
      <c r="F12" s="195">
        <v>0.037356107723699475</v>
      </c>
      <c r="G12" s="195">
        <v>0.03552582575207343</v>
      </c>
      <c r="H12" s="195">
        <v>0.036344086348154996</v>
      </c>
      <c r="I12" s="195">
        <v>0</v>
      </c>
      <c r="J12" s="301"/>
      <c r="K12" s="301"/>
      <c r="L12" s="301"/>
      <c r="M12" s="301"/>
      <c r="O12" s="193"/>
      <c r="P12" s="193"/>
      <c r="Q12" s="193"/>
      <c r="R12" s="193"/>
      <c r="W12" s="193"/>
      <c r="X12" s="193"/>
      <c r="Y12" s="193"/>
      <c r="Z12" s="193"/>
      <c r="AA12" s="193"/>
      <c r="AB12" s="193"/>
      <c r="AC12" s="193"/>
      <c r="AD12" s="193"/>
    </row>
    <row r="13" spans="1:30" ht="14.25">
      <c r="A13" s="150"/>
      <c r="B13" s="196"/>
      <c r="C13" s="196"/>
      <c r="D13" s="196"/>
      <c r="E13" s="196"/>
      <c r="F13" s="196"/>
      <c r="G13" s="196"/>
      <c r="H13" s="196"/>
      <c r="I13" s="196"/>
      <c r="O13" s="193"/>
      <c r="P13" s="193"/>
      <c r="Q13" s="193"/>
      <c r="R13" s="193"/>
      <c r="W13" s="193"/>
      <c r="X13" s="193"/>
      <c r="Y13" s="193"/>
      <c r="Z13" s="193"/>
      <c r="AA13" s="193"/>
      <c r="AB13" s="193"/>
      <c r="AC13" s="193"/>
      <c r="AD13" s="193"/>
    </row>
    <row r="14" spans="1:30" ht="14.25">
      <c r="A14" s="191" t="str">
        <f>HLOOKUP(INDICE!$F$2,Nombres!$C$3:$D$636,173,FALSE)</f>
        <v>Rentabilidad de los prestamos</v>
      </c>
      <c r="B14" s="192">
        <v>0.14498939498770308</v>
      </c>
      <c r="C14" s="192">
        <v>0.14555500935000304</v>
      </c>
      <c r="D14" s="192">
        <v>0.14503377708489937</v>
      </c>
      <c r="E14" s="192">
        <v>0.14323353022236252</v>
      </c>
      <c r="F14" s="192">
        <v>0.13856445865805508</v>
      </c>
      <c r="G14" s="192">
        <v>0.12100770872281284</v>
      </c>
      <c r="H14" s="192">
        <v>0.12818879887129644</v>
      </c>
      <c r="I14" s="192">
        <v>0</v>
      </c>
      <c r="J14" s="301"/>
      <c r="K14" s="301"/>
      <c r="L14" s="301"/>
      <c r="M14" s="301"/>
      <c r="O14" s="193"/>
      <c r="P14" s="193"/>
      <c r="Q14" s="193"/>
      <c r="R14" s="193"/>
      <c r="W14" s="193"/>
      <c r="X14" s="193"/>
      <c r="Y14" s="193"/>
      <c r="Z14" s="193"/>
      <c r="AA14" s="193"/>
      <c r="AB14" s="193"/>
      <c r="AC14" s="193"/>
      <c r="AD14" s="193"/>
    </row>
    <row r="15" spans="1:30" ht="14.25">
      <c r="A15" s="191" t="str">
        <f>HLOOKUP(INDICE!$F$2,Nombres!$C$3:$D$636,174,FALSE)</f>
        <v>Coste de los depositos</v>
      </c>
      <c r="B15" s="192">
        <v>-0.026852633302494596</v>
      </c>
      <c r="C15" s="192">
        <v>-0.027501700582947562</v>
      </c>
      <c r="D15" s="192">
        <v>-0.02913650070428849</v>
      </c>
      <c r="E15" s="192">
        <v>-0.026290599858240105</v>
      </c>
      <c r="F15" s="192">
        <v>-0.024666632238023473</v>
      </c>
      <c r="G15" s="192">
        <v>-0.02213570138477802</v>
      </c>
      <c r="H15" s="192">
        <v>-0.016530572823665653</v>
      </c>
      <c r="I15" s="192">
        <v>0</v>
      </c>
      <c r="J15" s="301"/>
      <c r="K15" s="301"/>
      <c r="L15" s="301"/>
      <c r="M15" s="301"/>
      <c r="O15" s="193"/>
      <c r="P15" s="193"/>
      <c r="Q15" s="193"/>
      <c r="R15" s="193"/>
      <c r="W15" s="193"/>
      <c r="X15" s="193"/>
      <c r="Y15" s="193"/>
      <c r="Z15" s="193"/>
      <c r="AA15" s="193"/>
      <c r="AB15" s="193"/>
      <c r="AC15" s="193"/>
      <c r="AD15" s="193"/>
    </row>
    <row r="16" spans="1:30" ht="14.25">
      <c r="A16" s="194" t="str">
        <f>HLOOKUP(INDICE!$F$2,Nombres!$C$3:$D$636,177,FALSE)</f>
        <v>México pesos mexicanos</v>
      </c>
      <c r="B16" s="195">
        <v>0.11813676168520848</v>
      </c>
      <c r="C16" s="195">
        <v>0.11805330876705547</v>
      </c>
      <c r="D16" s="195">
        <v>0.11589727638061087</v>
      </c>
      <c r="E16" s="195">
        <v>0.11694293036412241</v>
      </c>
      <c r="F16" s="195">
        <v>0.11389782642003161</v>
      </c>
      <c r="G16" s="195">
        <v>0.09887200733803482</v>
      </c>
      <c r="H16" s="195">
        <v>0.11165822604763079</v>
      </c>
      <c r="I16" s="195">
        <v>0</v>
      </c>
      <c r="J16" s="301"/>
      <c r="K16" s="301"/>
      <c r="L16" s="301"/>
      <c r="M16" s="301"/>
      <c r="O16" s="193"/>
      <c r="P16" s="193"/>
      <c r="Q16" s="193"/>
      <c r="R16" s="193"/>
      <c r="W16" s="193"/>
      <c r="X16" s="193"/>
      <c r="Y16" s="193"/>
      <c r="Z16" s="193"/>
      <c r="AA16" s="193"/>
      <c r="AB16" s="193"/>
      <c r="AC16" s="193"/>
      <c r="AD16" s="193"/>
    </row>
    <row r="17" spans="1:30" ht="14.25">
      <c r="A17" s="150"/>
      <c r="B17" s="196"/>
      <c r="C17" s="196"/>
      <c r="D17" s="196"/>
      <c r="E17" s="196"/>
      <c r="F17" s="196"/>
      <c r="G17" s="196"/>
      <c r="H17" s="196"/>
      <c r="I17" s="196"/>
      <c r="O17" s="193"/>
      <c r="P17" s="193"/>
      <c r="Q17" s="193"/>
      <c r="R17" s="193"/>
      <c r="W17" s="193"/>
      <c r="X17" s="193"/>
      <c r="Y17" s="193"/>
      <c r="Z17" s="193"/>
      <c r="AA17" s="193"/>
      <c r="AB17" s="193"/>
      <c r="AC17" s="193"/>
      <c r="AD17" s="193"/>
    </row>
    <row r="18" spans="1:30" ht="14.25">
      <c r="A18" s="191" t="str">
        <f>HLOOKUP(INDICE!$F$2,Nombres!$C$3:$D$636,173,FALSE)</f>
        <v>Rentabilidad de los prestamos</v>
      </c>
      <c r="B18" s="196">
        <v>0.046648646094920455</v>
      </c>
      <c r="C18" s="196">
        <v>0.04614444324285154</v>
      </c>
      <c r="D18" s="196">
        <v>0.044381731410295375</v>
      </c>
      <c r="E18" s="196">
        <v>0.04141821217130468</v>
      </c>
      <c r="F18" s="196">
        <v>0.04030369454623085</v>
      </c>
      <c r="G18" s="196">
        <v>0.0347989576703468</v>
      </c>
      <c r="H18" s="196">
        <v>0.030442610713643677</v>
      </c>
      <c r="I18" s="196">
        <v>0</v>
      </c>
      <c r="O18" s="193"/>
      <c r="P18" s="193"/>
      <c r="Q18" s="193"/>
      <c r="R18" s="193"/>
      <c r="W18" s="193"/>
      <c r="X18" s="193"/>
      <c r="Y18" s="193"/>
      <c r="Z18" s="193"/>
      <c r="AA18" s="193"/>
      <c r="AB18" s="193"/>
      <c r="AC18" s="193"/>
      <c r="AD18" s="193"/>
    </row>
    <row r="19" spans="1:30" ht="14.25">
      <c r="A19" s="191" t="str">
        <f>HLOOKUP(INDICE!$F$2,Nombres!$C$3:$D$636,174,FALSE)</f>
        <v>Coste de los depositos</v>
      </c>
      <c r="B19" s="196">
        <v>-0.002409387115802023</v>
      </c>
      <c r="C19" s="196">
        <v>-0.003076417278350444</v>
      </c>
      <c r="D19" s="196">
        <v>-0.0036005796424752445</v>
      </c>
      <c r="E19" s="196">
        <v>-0.003017096480601097</v>
      </c>
      <c r="F19" s="196">
        <v>-0.0022562904884840798</v>
      </c>
      <c r="G19" s="196">
        <v>-0.0014076015592446483</v>
      </c>
      <c r="H19" s="196">
        <v>-0.0006171507298293055</v>
      </c>
      <c r="I19" s="196">
        <v>0</v>
      </c>
      <c r="O19" s="193"/>
      <c r="P19" s="193"/>
      <c r="Q19" s="193"/>
      <c r="R19" s="193"/>
      <c r="W19" s="193"/>
      <c r="X19" s="193"/>
      <c r="Y19" s="193"/>
      <c r="Z19" s="193"/>
      <c r="AA19" s="193"/>
      <c r="AB19" s="193"/>
      <c r="AC19" s="193"/>
      <c r="AD19" s="193"/>
    </row>
    <row r="20" spans="1:30" ht="14.25">
      <c r="A20" s="194" t="str">
        <f>HLOOKUP(INDICE!$F$2,Nombres!$C$3:$D$636,178,FALSE)</f>
        <v>México moneda extranjera</v>
      </c>
      <c r="B20" s="197">
        <v>0.04423925897911843</v>
      </c>
      <c r="C20" s="197">
        <v>0.04306802596450109</v>
      </c>
      <c r="D20" s="197">
        <v>0.04078115176782013</v>
      </c>
      <c r="E20" s="197">
        <v>0.038401115690703584</v>
      </c>
      <c r="F20" s="197">
        <v>0.03804740405774677</v>
      </c>
      <c r="G20" s="197">
        <v>0.03339135611110215</v>
      </c>
      <c r="H20" s="197">
        <v>0.029825459983814372</v>
      </c>
      <c r="I20" s="197">
        <v>0</v>
      </c>
      <c r="O20" s="193"/>
      <c r="P20" s="193"/>
      <c r="Q20" s="193"/>
      <c r="R20" s="193"/>
      <c r="W20" s="193"/>
      <c r="X20" s="193"/>
      <c r="Y20" s="193"/>
      <c r="Z20" s="193"/>
      <c r="AA20" s="193"/>
      <c r="AB20" s="193"/>
      <c r="AC20" s="193"/>
      <c r="AD20" s="193"/>
    </row>
    <row r="21" spans="1:30" ht="14.25">
      <c r="A21" s="150"/>
      <c r="B21" s="196"/>
      <c r="C21" s="196"/>
      <c r="D21" s="196"/>
      <c r="E21" s="196"/>
      <c r="F21" s="196"/>
      <c r="G21" s="196"/>
      <c r="H21" s="196"/>
      <c r="I21" s="196"/>
      <c r="O21" s="193"/>
      <c r="P21" s="193"/>
      <c r="Q21" s="193"/>
      <c r="R21" s="193"/>
      <c r="W21" s="193"/>
      <c r="X21" s="193"/>
      <c r="Y21" s="193"/>
      <c r="Z21" s="193"/>
      <c r="AA21" s="193"/>
      <c r="AB21" s="193"/>
      <c r="AC21" s="193"/>
      <c r="AD21" s="193"/>
    </row>
    <row r="22" spans="1:30" ht="14.25">
      <c r="A22" s="191" t="str">
        <f>HLOOKUP(INDICE!$F$2,Nombres!$C$3:$D$636,173,FALSE)</f>
        <v>Rentabilidad de los prestamos</v>
      </c>
      <c r="B22" s="192">
        <v>0.19017727480570767</v>
      </c>
      <c r="C22" s="192">
        <v>0.19088657833660883</v>
      </c>
      <c r="D22" s="192">
        <v>0.18562842116570288</v>
      </c>
      <c r="E22" s="192">
        <v>0.16457807120632795</v>
      </c>
      <c r="F22" s="192">
        <v>0.1457972762524551</v>
      </c>
      <c r="G22" s="192">
        <v>0.13223221716743155</v>
      </c>
      <c r="H22" s="192">
        <v>0.12169318670817222</v>
      </c>
      <c r="I22" s="192">
        <v>0</v>
      </c>
      <c r="J22" s="301"/>
      <c r="K22" s="301"/>
      <c r="L22" s="301"/>
      <c r="M22" s="301"/>
      <c r="O22" s="193"/>
      <c r="P22" s="193"/>
      <c r="Q22" s="193"/>
      <c r="R22" s="193"/>
      <c r="W22" s="193"/>
      <c r="X22" s="193"/>
      <c r="Y22" s="193"/>
      <c r="Z22" s="193"/>
      <c r="AA22" s="193"/>
      <c r="AB22" s="193"/>
      <c r="AC22" s="193"/>
      <c r="AD22" s="193"/>
    </row>
    <row r="23" spans="1:30" ht="14.25">
      <c r="A23" s="191" t="str">
        <f>HLOOKUP(INDICE!$F$2,Nombres!$C$3:$D$636,174,FALSE)</f>
        <v>Coste de los depositos</v>
      </c>
      <c r="B23" s="192">
        <v>-0.16518269688597997</v>
      </c>
      <c r="C23" s="192">
        <v>-0.16369924267697866</v>
      </c>
      <c r="D23" s="192">
        <v>-0.1446070042922885</v>
      </c>
      <c r="E23" s="192">
        <v>-0.09340047129807973</v>
      </c>
      <c r="F23" s="192">
        <v>-0.07122935045239195</v>
      </c>
      <c r="G23" s="192">
        <v>-0.05925141394336347</v>
      </c>
      <c r="H23" s="192">
        <v>-0.06119945613812864</v>
      </c>
      <c r="I23" s="192">
        <v>0</v>
      </c>
      <c r="J23" s="301"/>
      <c r="K23" s="301"/>
      <c r="L23" s="301"/>
      <c r="M23" s="301"/>
      <c r="O23" s="193"/>
      <c r="P23" s="193"/>
      <c r="Q23" s="193"/>
      <c r="R23" s="193"/>
      <c r="W23" s="193"/>
      <c r="X23" s="193"/>
      <c r="Y23" s="193"/>
      <c r="Z23" s="193"/>
      <c r="AA23" s="193"/>
      <c r="AB23" s="193"/>
      <c r="AC23" s="193"/>
      <c r="AD23" s="193"/>
    </row>
    <row r="24" spans="1:30" ht="14.25">
      <c r="A24" s="194" t="str">
        <f>HLOOKUP(INDICE!$F$2,Nombres!$C$3:$D$636,179,FALSE)</f>
        <v>Turquía liras turcas</v>
      </c>
      <c r="B24" s="195">
        <v>0.0249945779197277</v>
      </c>
      <c r="C24" s="195">
        <v>0.027187335659630163</v>
      </c>
      <c r="D24" s="195">
        <v>0.041021416873414374</v>
      </c>
      <c r="E24" s="195">
        <v>0.07117759990824822</v>
      </c>
      <c r="F24" s="195">
        <v>0.07456792580006313</v>
      </c>
      <c r="G24" s="195">
        <v>0.07298080322406808</v>
      </c>
      <c r="H24" s="195">
        <v>0.060493730570043584</v>
      </c>
      <c r="I24" s="195">
        <v>0</v>
      </c>
      <c r="J24" s="301"/>
      <c r="K24" s="301"/>
      <c r="L24" s="301"/>
      <c r="M24" s="301"/>
      <c r="O24" s="193"/>
      <c r="P24" s="193"/>
      <c r="Q24" s="193"/>
      <c r="R24" s="193"/>
      <c r="W24" s="193"/>
      <c r="X24" s="193"/>
      <c r="Y24" s="193"/>
      <c r="Z24" s="193"/>
      <c r="AA24" s="193"/>
      <c r="AB24" s="193"/>
      <c r="AC24" s="193"/>
      <c r="AD24" s="193"/>
    </row>
    <row r="25" spans="1:30" ht="14.25">
      <c r="A25" s="194"/>
      <c r="B25" s="195"/>
      <c r="C25" s="195"/>
      <c r="D25" s="195"/>
      <c r="E25" s="195"/>
      <c r="F25" s="195"/>
      <c r="G25" s="195"/>
      <c r="H25" s="195"/>
      <c r="I25" s="195"/>
      <c r="J25" s="301"/>
      <c r="K25" s="301"/>
      <c r="L25" s="301"/>
      <c r="M25" s="301"/>
      <c r="O25" s="193"/>
      <c r="P25" s="193"/>
      <c r="Q25" s="193"/>
      <c r="R25" s="193"/>
      <c r="W25" s="193"/>
      <c r="X25" s="193"/>
      <c r="Y25" s="193"/>
      <c r="Z25" s="193"/>
      <c r="AA25" s="193"/>
      <c r="AB25" s="193"/>
      <c r="AC25" s="193"/>
      <c r="AD25" s="193"/>
    </row>
    <row r="26" spans="1:30" ht="14.25">
      <c r="A26" s="191" t="str">
        <f>HLOOKUP(INDICE!$F$2,Nombres!$C$3:$D$636,173,FALSE)</f>
        <v>Rentabilidad de los prestamos</v>
      </c>
      <c r="B26" s="198">
        <v>0.07468097349664432</v>
      </c>
      <c r="C26" s="198">
        <v>0.07302623956024035</v>
      </c>
      <c r="D26" s="198">
        <v>0.07037401880067953</v>
      </c>
      <c r="E26" s="198">
        <v>0.06708090909668922</v>
      </c>
      <c r="F26" s="198">
        <v>0.06218068238492689</v>
      </c>
      <c r="G26" s="198">
        <v>0.053749685757730765</v>
      </c>
      <c r="H26" s="198">
        <v>0.05037076981933646</v>
      </c>
      <c r="I26" s="198">
        <v>0</v>
      </c>
      <c r="J26" s="301"/>
      <c r="K26" s="301"/>
      <c r="L26" s="301"/>
      <c r="M26" s="301"/>
      <c r="O26" s="193"/>
      <c r="P26" s="193"/>
      <c r="Q26" s="193"/>
      <c r="R26" s="193"/>
      <c r="W26" s="193"/>
      <c r="X26" s="193"/>
      <c r="Y26" s="193"/>
      <c r="Z26" s="193"/>
      <c r="AA26" s="193"/>
      <c r="AB26" s="193"/>
      <c r="AC26" s="193"/>
      <c r="AD26" s="193"/>
    </row>
    <row r="27" spans="1:30" ht="14.25">
      <c r="A27" s="191" t="str">
        <f>HLOOKUP(INDICE!$F$2,Nombres!$C$3:$D$636,174,FALSE)</f>
        <v>Coste de los depositos</v>
      </c>
      <c r="B27" s="198">
        <v>-0.025179314777140912</v>
      </c>
      <c r="C27" s="198">
        <v>-0.02130771023550386</v>
      </c>
      <c r="D27" s="198">
        <v>-0.017862961977656844</v>
      </c>
      <c r="E27" s="198">
        <v>-0.014130801987506592</v>
      </c>
      <c r="F27" s="198">
        <v>-0.009191274794191162</v>
      </c>
      <c r="G27" s="198">
        <v>-0.004309127182139025</v>
      </c>
      <c r="H27" s="198">
        <v>-0.002010039753048756</v>
      </c>
      <c r="I27" s="198">
        <v>0</v>
      </c>
      <c r="J27" s="301"/>
      <c r="K27" s="301"/>
      <c r="L27" s="301"/>
      <c r="M27" s="301"/>
      <c r="O27" s="193"/>
      <c r="P27" s="193"/>
      <c r="Q27" s="193"/>
      <c r="R27" s="193"/>
      <c r="W27" s="193"/>
      <c r="X27" s="193"/>
      <c r="Y27" s="193"/>
      <c r="Z27" s="193"/>
      <c r="AA27" s="193"/>
      <c r="AB27" s="193"/>
      <c r="AC27" s="193"/>
      <c r="AD27" s="193"/>
    </row>
    <row r="28" spans="1:30" ht="14.25">
      <c r="A28" s="194" t="str">
        <f>HLOOKUP(INDICE!$F$2,Nombres!$C$3:$D$636,180,FALSE)</f>
        <v>Turquía moneda extranjera</v>
      </c>
      <c r="B28" s="195">
        <v>0.049501658719503405</v>
      </c>
      <c r="C28" s="195">
        <v>0.05171852932473649</v>
      </c>
      <c r="D28" s="195">
        <v>0.05251105682302269</v>
      </c>
      <c r="E28" s="195">
        <v>0.05295010710918263</v>
      </c>
      <c r="F28" s="195">
        <v>0.052989407590735726</v>
      </c>
      <c r="G28" s="195">
        <v>0.04944055857559174</v>
      </c>
      <c r="H28" s="195">
        <v>0.04836073006628771</v>
      </c>
      <c r="I28" s="195">
        <v>0</v>
      </c>
      <c r="J28" s="301"/>
      <c r="K28" s="301"/>
      <c r="L28" s="301"/>
      <c r="M28" s="301"/>
      <c r="O28" s="193"/>
      <c r="P28" s="193"/>
      <c r="Q28" s="193"/>
      <c r="R28" s="193"/>
      <c r="W28" s="193"/>
      <c r="X28" s="193"/>
      <c r="Y28" s="193"/>
      <c r="Z28" s="193"/>
      <c r="AA28" s="193"/>
      <c r="AB28" s="193"/>
      <c r="AC28" s="193"/>
      <c r="AD28" s="193"/>
    </row>
    <row r="29" spans="1:30" ht="14.25">
      <c r="A29" s="150"/>
      <c r="B29" s="196"/>
      <c r="C29" s="196"/>
      <c r="D29" s="196"/>
      <c r="E29" s="196"/>
      <c r="F29" s="196"/>
      <c r="G29" s="196"/>
      <c r="H29" s="196"/>
      <c r="I29" s="196"/>
      <c r="O29" s="193"/>
      <c r="P29" s="193"/>
      <c r="Q29" s="193"/>
      <c r="R29" s="193"/>
      <c r="W29" s="193"/>
      <c r="X29" s="193"/>
      <c r="Y29" s="193"/>
      <c r="Z29" s="193"/>
      <c r="AA29" s="193"/>
      <c r="AB29" s="193"/>
      <c r="AC29" s="193"/>
      <c r="AD29" s="193"/>
    </row>
    <row r="30" spans="1:30" ht="14.25">
      <c r="A30" s="191" t="str">
        <f>HLOOKUP(INDICE!$F$2,Nombres!$C$3:$D$636,173,FALSE)</f>
        <v>Rentabilidad de los prestamos</v>
      </c>
      <c r="B30" s="192">
        <v>0.28504103188804114</v>
      </c>
      <c r="C30" s="192">
        <v>0.29270701598692633</v>
      </c>
      <c r="D30" s="192">
        <v>0.2936044746786395</v>
      </c>
      <c r="E30" s="192">
        <v>0.3653761080175471</v>
      </c>
      <c r="F30" s="192">
        <v>0.31991610287004885</v>
      </c>
      <c r="G30" s="192">
        <v>0.25734070691470634</v>
      </c>
      <c r="H30" s="192">
        <v>0.24785641646487547</v>
      </c>
      <c r="I30" s="192">
        <v>0</v>
      </c>
      <c r="J30" s="301"/>
      <c r="K30" s="301"/>
      <c r="L30" s="301"/>
      <c r="M30" s="301"/>
      <c r="O30" s="193"/>
      <c r="P30" s="193"/>
      <c r="Q30" s="193"/>
      <c r="R30" s="193"/>
      <c r="W30" s="193"/>
      <c r="X30" s="193"/>
      <c r="Y30" s="193"/>
      <c r="Z30" s="193"/>
      <c r="AA30" s="193"/>
      <c r="AB30" s="193"/>
      <c r="AC30" s="193"/>
      <c r="AD30" s="193"/>
    </row>
    <row r="31" spans="1:30" ht="14.25">
      <c r="A31" s="191" t="str">
        <f>HLOOKUP(INDICE!$F$2,Nombres!$C$3:$D$636,174,FALSE)</f>
        <v>Coste de los depositos</v>
      </c>
      <c r="B31" s="192">
        <v>-0.12525660667951358</v>
      </c>
      <c r="C31" s="192">
        <v>-0.13023559460080653</v>
      </c>
      <c r="D31" s="192">
        <v>-0.1306487092753034</v>
      </c>
      <c r="E31" s="192">
        <v>-0.12126845945347617</v>
      </c>
      <c r="F31" s="192">
        <v>-0.09195033518363706</v>
      </c>
      <c r="G31" s="192">
        <v>-0.06410693852930854</v>
      </c>
      <c r="H31" s="192">
        <v>-0.08711671547285336</v>
      </c>
      <c r="I31" s="192">
        <v>0</v>
      </c>
      <c r="J31" s="301"/>
      <c r="K31" s="301"/>
      <c r="L31" s="301"/>
      <c r="M31" s="301"/>
      <c r="O31" s="193"/>
      <c r="P31" s="193"/>
      <c r="Q31" s="193"/>
      <c r="R31" s="193"/>
      <c r="W31" s="193"/>
      <c r="X31" s="193"/>
      <c r="Y31" s="193"/>
      <c r="Z31" s="193"/>
      <c r="AA31" s="193"/>
      <c r="AB31" s="193"/>
      <c r="AC31" s="193"/>
      <c r="AD31" s="193"/>
    </row>
    <row r="32" spans="1:30" ht="14.25">
      <c r="A32" s="194" t="str">
        <f>HLOOKUP(INDICE!$F$2,Nombres!$C$3:$D$636,181,FALSE)</f>
        <v>Argentina</v>
      </c>
      <c r="B32" s="199">
        <v>0.15978442520852756</v>
      </c>
      <c r="C32" s="199">
        <v>0.1624714213861198</v>
      </c>
      <c r="D32" s="199">
        <v>0.1629557654033361</v>
      </c>
      <c r="E32" s="199">
        <v>0.24410764856407094</v>
      </c>
      <c r="F32" s="199">
        <v>0.2279657676864118</v>
      </c>
      <c r="G32" s="199">
        <v>0.1932337683853978</v>
      </c>
      <c r="H32" s="199">
        <v>0.16073970099202212</v>
      </c>
      <c r="I32" s="199">
        <v>0</v>
      </c>
      <c r="J32" s="301"/>
      <c r="K32" s="301"/>
      <c r="L32" s="301"/>
      <c r="M32" s="301"/>
      <c r="O32" s="193"/>
      <c r="P32" s="193"/>
      <c r="Q32" s="193"/>
      <c r="R32" s="193"/>
      <c r="W32" s="193"/>
      <c r="X32" s="193"/>
      <c r="Y32" s="193"/>
      <c r="Z32" s="193"/>
      <c r="AA32" s="193"/>
      <c r="AB32" s="193"/>
      <c r="AC32" s="193"/>
      <c r="AD32" s="193"/>
    </row>
    <row r="33" spans="1:30" ht="14.25">
      <c r="A33" s="150"/>
      <c r="B33" s="196"/>
      <c r="C33" s="196"/>
      <c r="D33" s="196"/>
      <c r="E33" s="196"/>
      <c r="F33" s="196"/>
      <c r="G33" s="196"/>
      <c r="H33" s="196"/>
      <c r="I33" s="196"/>
      <c r="O33" s="193"/>
      <c r="P33" s="193"/>
      <c r="Q33" s="193"/>
      <c r="R33" s="193"/>
      <c r="W33" s="193"/>
      <c r="X33" s="193"/>
      <c r="Y33" s="193"/>
      <c r="Z33" s="193"/>
      <c r="AA33" s="193"/>
      <c r="AB33" s="193"/>
      <c r="AC33" s="193"/>
      <c r="AD33" s="193"/>
    </row>
    <row r="34" spans="1:30" ht="14.25">
      <c r="A34" s="191" t="str">
        <f>HLOOKUP(INDICE!$F$2,Nombres!$C$3:$D$636,173,FALSE)</f>
        <v>Rentabilidad de los prestamos</v>
      </c>
      <c r="B34" s="192">
        <v>0.10896278064021056</v>
      </c>
      <c r="C34" s="192">
        <v>0.10877566846312808</v>
      </c>
      <c r="D34" s="192">
        <v>0.10820642181563203</v>
      </c>
      <c r="E34" s="192">
        <v>0.10631871386270016</v>
      </c>
      <c r="F34" s="192">
        <v>0.10420609702542187</v>
      </c>
      <c r="G34" s="192">
        <v>0.10144140828029898</v>
      </c>
      <c r="H34" s="192">
        <v>0.09777337072839347</v>
      </c>
      <c r="I34" s="192">
        <v>0</v>
      </c>
      <c r="J34" s="301"/>
      <c r="K34" s="301"/>
      <c r="L34" s="301"/>
      <c r="M34" s="301"/>
      <c r="O34" s="193"/>
      <c r="P34" s="193"/>
      <c r="Q34" s="193"/>
      <c r="R34" s="193"/>
      <c r="W34" s="193"/>
      <c r="X34" s="193"/>
      <c r="Y34" s="193"/>
      <c r="Z34" s="193"/>
      <c r="AA34" s="193"/>
      <c r="AB34" s="193"/>
      <c r="AC34" s="193"/>
      <c r="AD34" s="193"/>
    </row>
    <row r="35" spans="1:30" ht="14.25">
      <c r="A35" s="191" t="str">
        <f>HLOOKUP(INDICE!$F$2,Nombres!$C$3:$D$636,174,FALSE)</f>
        <v>Coste de los depositos</v>
      </c>
      <c r="B35" s="192">
        <v>-0.04134885064968871</v>
      </c>
      <c r="C35" s="192">
        <v>-0.04089258146462727</v>
      </c>
      <c r="D35" s="192">
        <v>-0.04183714919583777</v>
      </c>
      <c r="E35" s="192">
        <v>-0.040904318460166046</v>
      </c>
      <c r="F35" s="192">
        <v>-0.04059609847919352</v>
      </c>
      <c r="G35" s="192">
        <v>-0.03728764569179078</v>
      </c>
      <c r="H35" s="192">
        <v>-0.031545343483443615</v>
      </c>
      <c r="I35" s="192">
        <v>0</v>
      </c>
      <c r="J35" s="301"/>
      <c r="K35" s="301"/>
      <c r="L35" s="301"/>
      <c r="M35" s="301"/>
      <c r="O35" s="193"/>
      <c r="P35" s="193"/>
      <c r="Q35" s="193"/>
      <c r="R35" s="193"/>
      <c r="W35" s="193"/>
      <c r="X35" s="193"/>
      <c r="Y35" s="193"/>
      <c r="Z35" s="193"/>
      <c r="AA35" s="193"/>
      <c r="AB35" s="193"/>
      <c r="AC35" s="193"/>
      <c r="AD35" s="193"/>
    </row>
    <row r="36" spans="1:30" ht="14.25">
      <c r="A36" s="194" t="str">
        <f>HLOOKUP(INDICE!$F$2,Nombres!$C$3:$D$636,182,FALSE)</f>
        <v>Colombia</v>
      </c>
      <c r="B36" s="195">
        <v>0.06761392999052185</v>
      </c>
      <c r="C36" s="195">
        <v>0.06788308699850082</v>
      </c>
      <c r="D36" s="195">
        <v>0.06636927261979426</v>
      </c>
      <c r="E36" s="195">
        <v>0.0654143954025341</v>
      </c>
      <c r="F36" s="195">
        <v>0.06360999854622834</v>
      </c>
      <c r="G36" s="195">
        <v>0.06415376258850819</v>
      </c>
      <c r="H36" s="195">
        <v>0.06622802724494986</v>
      </c>
      <c r="I36" s="195">
        <v>0</v>
      </c>
      <c r="J36" s="301"/>
      <c r="K36" s="301"/>
      <c r="L36" s="301"/>
      <c r="M36" s="301"/>
      <c r="O36" s="193"/>
      <c r="P36" s="193"/>
      <c r="Q36" s="193"/>
      <c r="R36" s="193"/>
      <c r="W36" s="193"/>
      <c r="X36" s="193"/>
      <c r="Y36" s="193"/>
      <c r="Z36" s="193"/>
      <c r="AA36" s="193"/>
      <c r="AB36" s="193"/>
      <c r="AC36" s="193"/>
      <c r="AD36" s="193"/>
    </row>
    <row r="37" spans="1:30" ht="14.25">
      <c r="A37" s="150"/>
      <c r="B37" s="196"/>
      <c r="C37" s="196"/>
      <c r="D37" s="196"/>
      <c r="E37" s="196"/>
      <c r="F37" s="196"/>
      <c r="G37" s="196"/>
      <c r="H37" s="196"/>
      <c r="I37" s="196"/>
      <c r="O37" s="193"/>
      <c r="P37" s="193"/>
      <c r="Q37" s="193"/>
      <c r="R37" s="193"/>
      <c r="W37" s="193"/>
      <c r="X37" s="193"/>
      <c r="Y37" s="193"/>
      <c r="Z37" s="193"/>
      <c r="AA37" s="193"/>
      <c r="AB37" s="193"/>
      <c r="AC37" s="193"/>
      <c r="AD37" s="193"/>
    </row>
    <row r="38" spans="1:30" ht="14.25">
      <c r="A38" s="191" t="str">
        <f>HLOOKUP(INDICE!$F$2,Nombres!$C$3:$D$636,173,FALSE)</f>
        <v>Rentabilidad de los prestamos</v>
      </c>
      <c r="B38" s="192">
        <v>0.07893236824016377</v>
      </c>
      <c r="C38" s="192">
        <v>0.07849160662168242</v>
      </c>
      <c r="D38" s="192">
        <v>0.07783019900355526</v>
      </c>
      <c r="E38" s="192">
        <v>0.07428275375942259</v>
      </c>
      <c r="F38" s="192">
        <v>0.07365269738258541</v>
      </c>
      <c r="G38" s="192">
        <v>0.06573472646968637</v>
      </c>
      <c r="H38" s="192">
        <v>0.058814429453178683</v>
      </c>
      <c r="I38" s="192">
        <v>0</v>
      </c>
      <c r="J38" s="301"/>
      <c r="K38" s="301"/>
      <c r="L38" s="301"/>
      <c r="M38" s="301"/>
      <c r="O38" s="193"/>
      <c r="P38" s="193"/>
      <c r="Q38" s="193"/>
      <c r="R38" s="193"/>
      <c r="W38" s="193"/>
      <c r="X38" s="193"/>
      <c r="Y38" s="193"/>
      <c r="Z38" s="193"/>
      <c r="AA38" s="193"/>
      <c r="AB38" s="193"/>
      <c r="AC38" s="193"/>
      <c r="AD38" s="193"/>
    </row>
    <row r="39" spans="1:30" ht="14.25">
      <c r="A39" s="191" t="str">
        <f>HLOOKUP(INDICE!$F$2,Nombres!$C$3:$D$636,174,FALSE)</f>
        <v>Coste de los depositos</v>
      </c>
      <c r="B39" s="192">
        <v>-0.012696981868987054</v>
      </c>
      <c r="C39" s="192">
        <v>-0.014012516285399434</v>
      </c>
      <c r="D39" s="192">
        <v>-0.014538669131027512</v>
      </c>
      <c r="E39" s="192">
        <v>-0.013706786087149677</v>
      </c>
      <c r="F39" s="192">
        <v>-0.011615505287869537</v>
      </c>
      <c r="G39" s="192">
        <v>-0.00958689719151348</v>
      </c>
      <c r="H39" s="192">
        <v>-0.005668703360217166</v>
      </c>
      <c r="I39" s="192">
        <v>0</v>
      </c>
      <c r="J39" s="301"/>
      <c r="K39" s="301"/>
      <c r="L39" s="301"/>
      <c r="M39" s="301"/>
      <c r="O39" s="193"/>
      <c r="P39" s="193"/>
      <c r="Q39" s="193"/>
      <c r="R39" s="193"/>
      <c r="W39" s="193"/>
      <c r="X39" s="193"/>
      <c r="Y39" s="193"/>
      <c r="Z39" s="193"/>
      <c r="AA39" s="193"/>
      <c r="AB39" s="193"/>
      <c r="AC39" s="193"/>
      <c r="AD39" s="193"/>
    </row>
    <row r="40" spans="1:30" ht="14.25">
      <c r="A40" s="194" t="str">
        <f>HLOOKUP(INDICE!$F$2,Nombres!$C$3:$D$636,183,FALSE)</f>
        <v>Perú</v>
      </c>
      <c r="B40" s="195">
        <v>0.06623538637117671</v>
      </c>
      <c r="C40" s="195">
        <v>0.06447909033628299</v>
      </c>
      <c r="D40" s="195">
        <v>0.06329152987252774</v>
      </c>
      <c r="E40" s="195">
        <v>0.06057596767227291</v>
      </c>
      <c r="F40" s="195">
        <v>0.06203719209471587</v>
      </c>
      <c r="G40" s="195">
        <v>0.056147829278172884</v>
      </c>
      <c r="H40" s="195">
        <v>0.05314572609296152</v>
      </c>
      <c r="I40" s="195">
        <v>0</v>
      </c>
      <c r="J40" s="301"/>
      <c r="K40" s="301"/>
      <c r="L40" s="301"/>
      <c r="M40" s="301"/>
      <c r="O40" s="193"/>
      <c r="P40" s="193"/>
      <c r="Q40" s="193"/>
      <c r="R40" s="193"/>
      <c r="W40" s="193"/>
      <c r="X40" s="193"/>
      <c r="Y40" s="193"/>
      <c r="Z40" s="193"/>
      <c r="AA40" s="193"/>
      <c r="AB40" s="193"/>
      <c r="AC40" s="193"/>
      <c r="AD40" s="193"/>
    </row>
    <row r="41" spans="1:18" ht="14.25">
      <c r="A41" s="150"/>
      <c r="B41" s="196"/>
      <c r="C41" s="196"/>
      <c r="D41" s="196"/>
      <c r="E41" s="196"/>
      <c r="F41" s="196"/>
      <c r="G41" s="196"/>
      <c r="H41" s="196"/>
      <c r="I41" s="196"/>
      <c r="O41" s="193"/>
      <c r="P41" s="193"/>
      <c r="Q41" s="193"/>
      <c r="R41" s="193"/>
    </row>
    <row r="42" spans="1:9" ht="14.25">
      <c r="A42" s="200" t="str">
        <f>HLOOKUP(INDICE!$F$2,Nombres!$C$3:$D$636,184,FALSE)</f>
        <v>(*) Diferencia entre el rendimiento de los préstamos y el coste de los depósitos de los clientes.</v>
      </c>
      <c r="B42" s="189"/>
      <c r="C42" s="189"/>
      <c r="D42" s="189"/>
      <c r="E42" s="189"/>
      <c r="F42" s="310"/>
      <c r="G42" s="310"/>
      <c r="H42" s="189"/>
      <c r="I42" s="189"/>
    </row>
    <row r="43" spans="1:9" ht="14.25">
      <c r="A43" s="200" t="str">
        <f>HLOOKUP(INDICE!$F$2,Nombres!$C$3:$D$636,185,FALSE)</f>
        <v>(**)  Excluye la actividad en Nueva York.</v>
      </c>
      <c r="B43" s="189"/>
      <c r="C43" s="189"/>
      <c r="D43" s="189"/>
      <c r="E43" s="189"/>
      <c r="F43" s="189"/>
      <c r="G43" s="296"/>
      <c r="H43" s="189"/>
      <c r="I43" s="189"/>
    </row>
    <row r="44" ht="14.25">
      <c r="A44" s="200" t="str">
        <f>HLOOKUP(INDICE!$F$2,Nombres!$C$3:$D$636,186,FALSE)</f>
        <v>Nota: Los diferenciales de la clientela han sido actualizados.</v>
      </c>
    </row>
    <row r="1000" ht="14.25">
      <c r="A1000" t="s">
        <v>397</v>
      </c>
    </row>
  </sheetData>
  <sheetProtection/>
  <mergeCells count="3">
    <mergeCell ref="B3:E3"/>
    <mergeCell ref="F42:G42"/>
    <mergeCell ref="F3:I3"/>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L1000"/>
  <sheetViews>
    <sheetView showGridLines="0" zoomScalePageLayoutView="0" workbookViewId="0" topLeftCell="A1">
      <selection activeCell="M14" sqref="M14"/>
    </sheetView>
  </sheetViews>
  <sheetFormatPr defaultColWidth="11.421875" defaultRowHeight="15"/>
  <cols>
    <col min="1" max="1" width="40.28125" style="0" customWidth="1"/>
    <col min="2" max="2" width="15.8515625" style="0" customWidth="1"/>
    <col min="3" max="3" width="14.140625" style="0" customWidth="1"/>
    <col min="4" max="4" width="14.57421875" style="0" customWidth="1"/>
    <col min="5" max="5" width="13.421875" style="0" customWidth="1"/>
    <col min="6" max="6" width="12.8515625" style="0" customWidth="1"/>
    <col min="7" max="8" width="11.421875" style="0" customWidth="1"/>
    <col min="9" max="9" width="11.421875" style="0" hidden="1" customWidth="1"/>
    <col min="10" max="10" width="11.421875" style="0" customWidth="1"/>
    <col min="11" max="12" width="14.7109375" style="0" bestFit="1" customWidth="1"/>
  </cols>
  <sheetData>
    <row r="1" spans="1:9" ht="16.5">
      <c r="A1" s="100" t="str">
        <f>HLOOKUP(INDICE!$F$2,Nombres!$C$3:$D$636,88,FALSE)</f>
        <v>Activos ponderados por riesgo. Desglose por áreas de negocio y principales países</v>
      </c>
      <c r="B1" s="161"/>
      <c r="C1" s="161"/>
      <c r="D1" s="162"/>
      <c r="E1" s="162"/>
      <c r="F1" s="162"/>
      <c r="G1" s="162"/>
      <c r="H1" s="162"/>
      <c r="I1" s="162"/>
    </row>
    <row r="2" spans="1:9" ht="14.25">
      <c r="A2" s="169" t="str">
        <f>HLOOKUP(INDICE!$F$2,Nombres!$C$3:$D$636,32,FALSE)</f>
        <v>(Millones de euros)</v>
      </c>
      <c r="B2" s="60"/>
      <c r="C2" s="60"/>
      <c r="D2" s="201"/>
      <c r="E2" s="201"/>
      <c r="F2" s="201"/>
      <c r="G2" s="201"/>
      <c r="H2" s="201"/>
      <c r="I2" s="201"/>
    </row>
    <row r="3" spans="1:9" ht="15">
      <c r="A3" s="202"/>
      <c r="B3" s="60"/>
      <c r="C3" s="60"/>
      <c r="D3" s="165"/>
      <c r="E3" s="165"/>
      <c r="F3" s="165"/>
      <c r="G3" s="165"/>
      <c r="H3" s="165"/>
      <c r="I3" s="165"/>
    </row>
    <row r="4" spans="1:9" ht="15.75" customHeight="1">
      <c r="A4" s="203"/>
      <c r="B4" s="311" t="str">
        <f>HLOOKUP(INDICE!$F$2,Nombres!$C$3:$D$636,222,FALSE)</f>
        <v>CRD IV fully loaded</v>
      </c>
      <c r="C4" s="311"/>
      <c r="D4" s="311"/>
      <c r="E4" s="311"/>
      <c r="F4" s="311"/>
      <c r="G4" s="311"/>
      <c r="H4" s="311"/>
      <c r="I4" s="311"/>
    </row>
    <row r="5" spans="1:11" ht="14.25">
      <c r="A5" s="203"/>
      <c r="B5" s="204">
        <f>+España!B30</f>
        <v>43555</v>
      </c>
      <c r="C5" s="204">
        <f>+España!C30</f>
        <v>43646</v>
      </c>
      <c r="D5" s="204">
        <f>+España!D30</f>
        <v>43738</v>
      </c>
      <c r="E5" s="204">
        <f>+España!E30</f>
        <v>43830</v>
      </c>
      <c r="F5" s="204">
        <f>+España!F30</f>
        <v>43921</v>
      </c>
      <c r="G5" s="204">
        <f>+España!G30</f>
        <v>44012</v>
      </c>
      <c r="H5" s="204">
        <f>+España!H30</f>
        <v>44104</v>
      </c>
      <c r="I5" s="204">
        <f>+España!I30</f>
        <v>44196</v>
      </c>
      <c r="K5" s="205"/>
    </row>
    <row r="6" spans="1:12" ht="14.25">
      <c r="A6" s="109" t="str">
        <f>HLOOKUP(INDICE!$F$2,Nombres!$C$3:$D$636,3,FALSE)</f>
        <v>Grupo BBVA</v>
      </c>
      <c r="B6" s="206">
        <v>361172.827013</v>
      </c>
      <c r="C6" s="206">
        <v>360563.461</v>
      </c>
      <c r="D6" s="206">
        <v>368690</v>
      </c>
      <c r="E6" s="206">
        <v>364942.445075333</v>
      </c>
      <c r="F6" s="206">
        <v>368826.520013</v>
      </c>
      <c r="G6" s="206">
        <v>362388</v>
      </c>
      <c r="H6" s="206">
        <v>344220</v>
      </c>
      <c r="I6" s="206">
        <v>0</v>
      </c>
      <c r="K6" s="207"/>
      <c r="L6" s="208"/>
    </row>
    <row r="7" spans="1:12" ht="14.25">
      <c r="A7" s="61" t="str">
        <f>HLOOKUP(INDICE!$F$2,Nombres!$C$3:$D$636,7,FALSE)</f>
        <v>España</v>
      </c>
      <c r="B7" s="44">
        <v>107570.22350214</v>
      </c>
      <c r="C7" s="44">
        <v>107274.35981424</v>
      </c>
      <c r="D7" s="44">
        <v>105856.32334321001</v>
      </c>
      <c r="E7" s="44">
        <v>104910.72974136</v>
      </c>
      <c r="F7" s="44">
        <v>110929.24808813</v>
      </c>
      <c r="G7" s="44">
        <v>109624.8745692</v>
      </c>
      <c r="H7" s="44">
        <v>107046.03951275</v>
      </c>
      <c r="I7" s="44">
        <v>0</v>
      </c>
      <c r="K7" s="207"/>
      <c r="L7" s="208"/>
    </row>
    <row r="8" spans="1:12" ht="14.25">
      <c r="A8" s="61" t="str">
        <f>HLOOKUP(INDICE!$F$2,Nombres!$C$3:$D$636,10,FALSE)</f>
        <v>EEUU</v>
      </c>
      <c r="B8" s="44">
        <v>65216.61492801</v>
      </c>
      <c r="C8" s="44">
        <v>62383.25559174</v>
      </c>
      <c r="D8" s="44">
        <v>65901.90966342001</v>
      </c>
      <c r="E8" s="44">
        <v>65169.67996071</v>
      </c>
      <c r="F8" s="44">
        <v>68765.4467977</v>
      </c>
      <c r="G8" s="44">
        <v>66888.83342711002</v>
      </c>
      <c r="H8" s="44">
        <v>63021.20538109999</v>
      </c>
      <c r="I8" s="44">
        <v>0</v>
      </c>
      <c r="K8" s="207"/>
      <c r="L8" s="208"/>
    </row>
    <row r="9" spans="1:12" ht="14.25">
      <c r="A9" s="61" t="str">
        <f>HLOOKUP(INDICE!$F$2,Nombres!$C$3:$D$636,11,FALSE)</f>
        <v>México</v>
      </c>
      <c r="B9" s="44">
        <v>54831.199512349995</v>
      </c>
      <c r="C9" s="44">
        <v>55918.63351754</v>
      </c>
      <c r="D9" s="44">
        <v>57453.72837060001</v>
      </c>
      <c r="E9" s="44">
        <v>59298.60472881999</v>
      </c>
      <c r="F9" s="44">
        <v>53521.82533836</v>
      </c>
      <c r="G9" s="44">
        <v>54946.7507876</v>
      </c>
      <c r="H9" s="44">
        <v>53443.19572113</v>
      </c>
      <c r="I9" s="44">
        <v>0</v>
      </c>
      <c r="K9" s="207"/>
      <c r="L9" s="208"/>
    </row>
    <row r="10" spans="1:12" ht="14.25">
      <c r="A10" s="61" t="str">
        <f>HLOOKUP(INDICE!$F$2,Nombres!$C$3:$D$636,12,FALSE)</f>
        <v>Turquía </v>
      </c>
      <c r="B10" s="44">
        <v>58526.021</v>
      </c>
      <c r="C10" s="44">
        <v>57550.859</v>
      </c>
      <c r="D10" s="44">
        <v>58520.61499999999</v>
      </c>
      <c r="E10" s="44">
        <v>56641.584009540005</v>
      </c>
      <c r="F10" s="44">
        <v>59163.223</v>
      </c>
      <c r="G10" s="44">
        <v>57189.86</v>
      </c>
      <c r="H10" s="44">
        <v>50130.676999999996</v>
      </c>
      <c r="I10" s="44">
        <v>0</v>
      </c>
      <c r="K10" s="207"/>
      <c r="L10" s="208"/>
    </row>
    <row r="11" spans="1:12" ht="14.25">
      <c r="A11" s="61" t="str">
        <f>HLOOKUP(INDICE!$F$2,Nombres!$C$3:$D$636,13,FALSE)</f>
        <v>América del Sur </v>
      </c>
      <c r="B11" s="44">
        <v>44970.24216547001</v>
      </c>
      <c r="C11" s="44">
        <v>43995.12974497</v>
      </c>
      <c r="D11" s="44">
        <v>45283.813445730004</v>
      </c>
      <c r="E11" s="44">
        <v>45412.657526279996</v>
      </c>
      <c r="F11" s="44">
        <v>44876.2198411</v>
      </c>
      <c r="G11" s="44">
        <v>44015.12571731</v>
      </c>
      <c r="H11" s="44">
        <v>40087.41454002001</v>
      </c>
      <c r="I11" s="44">
        <v>0</v>
      </c>
      <c r="K11" s="207"/>
      <c r="L11" s="208"/>
    </row>
    <row r="12" spans="1:12" ht="14.25">
      <c r="A12" s="209" t="str">
        <f>HLOOKUP(INDICE!$F$2,Nombres!$C$3:$D$636,14,FALSE)</f>
        <v>Argentina</v>
      </c>
      <c r="B12" s="44">
        <v>7963.333204000001</v>
      </c>
      <c r="C12" s="44">
        <v>6434.68821648</v>
      </c>
      <c r="D12" s="44">
        <v>6070.40200074</v>
      </c>
      <c r="E12" s="44">
        <v>6093.43560626</v>
      </c>
      <c r="F12" s="44">
        <v>6910.432117140001</v>
      </c>
      <c r="G12" s="44">
        <v>6353.540634369999</v>
      </c>
      <c r="H12" s="44">
        <v>5987.350096560001</v>
      </c>
      <c r="I12" s="44">
        <v>0</v>
      </c>
      <c r="K12" s="207"/>
      <c r="L12" s="208"/>
    </row>
    <row r="13" spans="1:12" ht="14.25">
      <c r="A13" s="209" t="str">
        <f>HLOOKUP(INDICE!$F$2,Nombres!$C$3:$D$636,15,FALSE)</f>
        <v>Chile</v>
      </c>
      <c r="B13" s="44">
        <v>2361.031</v>
      </c>
      <c r="C13" s="44">
        <v>2268.095</v>
      </c>
      <c r="D13" s="44">
        <v>2247.5370000000003</v>
      </c>
      <c r="E13" s="44">
        <v>1859.0869999999998</v>
      </c>
      <c r="F13" s="44">
        <v>1748.7650000000003</v>
      </c>
      <c r="G13" s="44">
        <v>1736.961</v>
      </c>
      <c r="H13" s="44">
        <v>2140.844</v>
      </c>
      <c r="I13" s="44">
        <v>0</v>
      </c>
      <c r="K13" s="207"/>
      <c r="L13" s="208"/>
    </row>
    <row r="14" spans="1:12" ht="14.25">
      <c r="A14" s="209" t="str">
        <f>HLOOKUP(INDICE!$F$2,Nombres!$C$3:$D$636,16,FALSE)</f>
        <v>Colombia</v>
      </c>
      <c r="B14" s="44">
        <v>13671.303591090002</v>
      </c>
      <c r="C14" s="44">
        <v>13777.74060688</v>
      </c>
      <c r="D14" s="44">
        <v>14051.3617015</v>
      </c>
      <c r="E14" s="44">
        <v>14172.45169123</v>
      </c>
      <c r="F14" s="44">
        <v>13100.23941101</v>
      </c>
      <c r="G14" s="44">
        <v>13499.063104820001</v>
      </c>
      <c r="H14" s="44">
        <v>12079.82684906</v>
      </c>
      <c r="I14" s="44">
        <v>0</v>
      </c>
      <c r="K14" s="207"/>
      <c r="L14" s="208"/>
    </row>
    <row r="15" spans="1:12" ht="14.25">
      <c r="A15" s="209" t="str">
        <f>HLOOKUP(INDICE!$F$2,Nombres!$C$3:$D$636,17,FALSE)</f>
        <v>Perú</v>
      </c>
      <c r="B15" s="44">
        <v>17134.89837038</v>
      </c>
      <c r="C15" s="44">
        <v>17715.26892161</v>
      </c>
      <c r="D15" s="44">
        <v>19130.248743490003</v>
      </c>
      <c r="E15" s="44">
        <v>19292.970229629995</v>
      </c>
      <c r="F15" s="44">
        <v>19278.294312949998</v>
      </c>
      <c r="G15" s="44">
        <v>18734.891978120002</v>
      </c>
      <c r="H15" s="44">
        <v>16439.1045944</v>
      </c>
      <c r="I15" s="44">
        <v>0</v>
      </c>
      <c r="K15" s="207"/>
      <c r="L15" s="208"/>
    </row>
    <row r="16" spans="1:12" ht="14.25">
      <c r="A16" s="209" t="str">
        <f>HLOOKUP(INDICE!$F$2,Nombres!$C$3:$D$636,89,FALSE)</f>
        <v>Resto de América del Sur</v>
      </c>
      <c r="B16" s="44">
        <v>3839.676</v>
      </c>
      <c r="C16" s="44">
        <v>3799.337</v>
      </c>
      <c r="D16" s="44">
        <v>3784.264</v>
      </c>
      <c r="E16" s="44">
        <v>3994.7129991600004</v>
      </c>
      <c r="F16" s="44">
        <v>3838.489</v>
      </c>
      <c r="G16" s="44">
        <v>3690.669</v>
      </c>
      <c r="H16" s="44">
        <v>3440.2890000000007</v>
      </c>
      <c r="I16" s="44">
        <v>0</v>
      </c>
      <c r="K16" s="207"/>
      <c r="L16" s="208"/>
    </row>
    <row r="17" spans="1:12" ht="14.25">
      <c r="A17" s="61" t="str">
        <f>HLOOKUP(INDICE!$F$2,Nombres!$C$3:$D$636,18,FALSE)</f>
        <v>Resto de Eurasia</v>
      </c>
      <c r="B17" s="44">
        <v>16080.685377499996</v>
      </c>
      <c r="C17" s="44">
        <v>16415.345291110003</v>
      </c>
      <c r="D17" s="44">
        <v>17622.03304609</v>
      </c>
      <c r="E17" s="44">
        <v>17988.90490152</v>
      </c>
      <c r="F17" s="44">
        <v>18878.16899056</v>
      </c>
      <c r="G17" s="44">
        <v>20247.356880549996</v>
      </c>
      <c r="H17" s="44">
        <v>18854.58486242</v>
      </c>
      <c r="I17" s="44">
        <v>0</v>
      </c>
      <c r="K17" s="207"/>
      <c r="L17" s="208"/>
    </row>
    <row r="18" spans="1:12" ht="14.25">
      <c r="A18" s="61" t="str">
        <f>HLOOKUP(INDICE!$F$2,Nombres!$C$3:$D$636,19,FALSE)</f>
        <v>Centro Corporativo</v>
      </c>
      <c r="B18" s="44">
        <f aca="true" t="shared" si="0" ref="B18:I18">+B6-B7-B8-B9-B10-B11-B17</f>
        <v>13977.840527529961</v>
      </c>
      <c r="C18" s="44">
        <f t="shared" si="0"/>
        <v>17025.878040399977</v>
      </c>
      <c r="D18" s="44">
        <f t="shared" si="0"/>
        <v>18051.57713094997</v>
      </c>
      <c r="E18" s="44">
        <f t="shared" si="0"/>
        <v>15520.284207103025</v>
      </c>
      <c r="F18" s="44">
        <f t="shared" si="0"/>
        <v>12692.387957150007</v>
      </c>
      <c r="G18" s="44">
        <f t="shared" si="0"/>
        <v>9475.198618230002</v>
      </c>
      <c r="H18" s="44">
        <f t="shared" si="0"/>
        <v>11636.882982579991</v>
      </c>
      <c r="I18" s="44">
        <f t="shared" si="0"/>
        <v>0</v>
      </c>
      <c r="K18" s="207"/>
      <c r="L18" s="208"/>
    </row>
    <row r="19" spans="1:9" ht="14.25">
      <c r="A19" s="30"/>
      <c r="B19" s="210">
        <f>+B7+B8+B9+B10+B11+B17+B18-B6</f>
        <v>0</v>
      </c>
      <c r="C19" s="210">
        <f aca="true" t="shared" si="1" ref="C19:I19">+C7+C8+C9+C10+C11+C17+C18-C6</f>
        <v>0</v>
      </c>
      <c r="D19" s="210">
        <f t="shared" si="1"/>
        <v>0</v>
      </c>
      <c r="E19" s="210">
        <f t="shared" si="1"/>
        <v>0</v>
      </c>
      <c r="F19" s="210">
        <f t="shared" si="1"/>
        <v>0</v>
      </c>
      <c r="G19" s="210">
        <f t="shared" si="1"/>
        <v>0</v>
      </c>
      <c r="H19" s="210">
        <f t="shared" si="1"/>
        <v>0</v>
      </c>
      <c r="I19" s="210">
        <f t="shared" si="1"/>
        <v>0</v>
      </c>
    </row>
    <row r="20" spans="1:6" ht="14.25">
      <c r="A20" s="165"/>
      <c r="B20" s="165"/>
      <c r="C20" s="165"/>
      <c r="D20" s="165"/>
      <c r="E20" s="165"/>
      <c r="F20" s="165"/>
    </row>
    <row r="21" spans="1:8" ht="14.25">
      <c r="A21" s="266"/>
      <c r="B21" s="211"/>
      <c r="C21" s="211"/>
      <c r="D21" s="211"/>
      <c r="E21" s="211"/>
      <c r="F21" s="211"/>
      <c r="H21" s="113"/>
    </row>
    <row r="22" spans="2:8" ht="14.25">
      <c r="B22" s="113"/>
      <c r="F22" s="31"/>
      <c r="H22" s="113"/>
    </row>
    <row r="1000" ht="14.25">
      <c r="A1000" t="s">
        <v>397</v>
      </c>
    </row>
  </sheetData>
  <sheetProtection/>
  <mergeCells count="1">
    <mergeCell ref="B4:I4"/>
  </mergeCells>
  <conditionalFormatting sqref="B19:I19">
    <cfRule type="cellIs" priority="1" dxfId="98" operator="notBetween">
      <formula>0.5</formula>
      <formula>-0.5</formula>
    </cfRule>
  </conditionalFormatting>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I1" sqref="I1:I16384"/>
    </sheetView>
  </sheetViews>
  <sheetFormatPr defaultColWidth="11.421875" defaultRowHeight="15"/>
  <cols>
    <col min="1" max="1" width="42.421875" style="215" customWidth="1"/>
    <col min="2" max="2" width="13.57421875" style="215" bestFit="1" customWidth="1"/>
    <col min="3" max="4" width="11.421875" style="215" customWidth="1"/>
    <col min="5" max="5" width="11.7109375" style="215" bestFit="1" customWidth="1"/>
    <col min="6" max="8" width="11.421875" style="215" customWidth="1"/>
    <col min="9" max="9" width="11.421875" style="215" hidden="1" customWidth="1"/>
    <col min="10" max="10" width="4.7109375" style="214" customWidth="1"/>
    <col min="11" max="11" width="11.421875" style="215" customWidth="1"/>
    <col min="12" max="12" width="11.7109375" style="215" bestFit="1" customWidth="1"/>
    <col min="13" max="16384" width="11.421875" style="215" customWidth="1"/>
  </cols>
  <sheetData>
    <row r="1" spans="1:12" ht="16.5">
      <c r="A1" s="212" t="str">
        <f>HLOOKUP(INDICE!$F$2,Nombres!$C$3:$D$636,113,FALSE)</f>
        <v>Desglose del crédito no dudoso en gestión</v>
      </c>
      <c r="B1" s="213"/>
      <c r="C1" s="213"/>
      <c r="D1" s="213"/>
      <c r="E1" s="213"/>
      <c r="F1" s="213"/>
      <c r="G1" s="213"/>
      <c r="H1" s="213"/>
      <c r="I1" s="213"/>
      <c r="L1" s="216"/>
    </row>
    <row r="2" spans="1:12" ht="14.25">
      <c r="A2" s="217" t="str">
        <f>HLOOKUP(INDICE!$F$2,Nombres!$C$3:$D$636,73,FALSE)</f>
        <v>(Millones de euros constantes)</v>
      </c>
      <c r="B2" s="216"/>
      <c r="C2" s="216"/>
      <c r="D2" s="216"/>
      <c r="E2" s="216"/>
      <c r="F2" s="216"/>
      <c r="L2" s="216"/>
    </row>
    <row r="3" spans="1:12" ht="14.25">
      <c r="A3" s="218"/>
      <c r="B3" s="216"/>
      <c r="C3" s="216"/>
      <c r="D3" s="216"/>
      <c r="E3" s="216"/>
      <c r="F3" s="216"/>
      <c r="L3" s="216"/>
    </row>
    <row r="4" spans="1:9" ht="15.75" customHeight="1">
      <c r="A4" s="219"/>
      <c r="B4" s="312" t="str">
        <f>HLOOKUP(INDICE!$F$2,Nombres!$C$3:$D$636,7,FALSE)</f>
        <v>España</v>
      </c>
      <c r="C4" s="312"/>
      <c r="D4" s="312"/>
      <c r="E4" s="312"/>
      <c r="F4" s="312"/>
      <c r="G4" s="312"/>
      <c r="H4" s="312"/>
      <c r="I4" s="312"/>
    </row>
    <row r="5" spans="1:12" ht="14.25">
      <c r="A5" s="220"/>
      <c r="B5" s="126">
        <f>+España!B30</f>
        <v>43555</v>
      </c>
      <c r="C5" s="126">
        <f>+España!C30</f>
        <v>43646</v>
      </c>
      <c r="D5" s="126">
        <f>+España!D30</f>
        <v>43738</v>
      </c>
      <c r="E5" s="126">
        <f>+España!E30</f>
        <v>43830</v>
      </c>
      <c r="F5" s="126">
        <f>+España!F30</f>
        <v>43921</v>
      </c>
      <c r="G5" s="126">
        <f>+España!G30</f>
        <v>44012</v>
      </c>
      <c r="H5" s="126">
        <f>+España!H30</f>
        <v>44104</v>
      </c>
      <c r="I5" s="126">
        <f>+España!I30</f>
        <v>44196</v>
      </c>
      <c r="L5" s="126"/>
    </row>
    <row r="6" spans="1:14" ht="14.25">
      <c r="A6" s="221" t="str">
        <f>HLOOKUP(INDICE!$F$2,Nombres!$C$3:$D$636,209,FALSE)</f>
        <v>Hipotecario</v>
      </c>
      <c r="B6" s="222">
        <v>74148.28465300001</v>
      </c>
      <c r="C6" s="222">
        <v>73355.266244</v>
      </c>
      <c r="D6" s="222">
        <v>72461.449828</v>
      </c>
      <c r="E6" s="222">
        <v>72147.68396</v>
      </c>
      <c r="F6" s="222">
        <v>71518.73296000001</v>
      </c>
      <c r="G6" s="222">
        <v>70700.413705</v>
      </c>
      <c r="H6" s="222">
        <v>70123.828433</v>
      </c>
      <c r="I6" s="222">
        <v>0</v>
      </c>
      <c r="L6" s="222"/>
      <c r="N6" s="278"/>
    </row>
    <row r="7" spans="1:14" ht="14.25">
      <c r="A7" s="221" t="str">
        <f>HLOOKUP(INDICE!$F$2,Nombres!$C$3:$D$636,210,FALSE)</f>
        <v>Consumo  y tarjetas de Credito</v>
      </c>
      <c r="B7" s="222">
        <v>12152.644683999999</v>
      </c>
      <c r="C7" s="222">
        <v>12829.867209999997</v>
      </c>
      <c r="D7" s="222">
        <v>13018.849938</v>
      </c>
      <c r="E7" s="222">
        <v>13603.417357</v>
      </c>
      <c r="F7" s="222">
        <v>13534.321819000003</v>
      </c>
      <c r="G7" s="222">
        <v>13340.822999</v>
      </c>
      <c r="H7" s="222">
        <v>13586.875076999999</v>
      </c>
      <c r="I7" s="222">
        <v>0</v>
      </c>
      <c r="J7" s="302"/>
      <c r="L7" s="222"/>
      <c r="N7" s="278"/>
    </row>
    <row r="8" spans="1:14" ht="14.25">
      <c r="A8" s="221" t="str">
        <f>HLOOKUP(INDICE!$F$2,Nombres!$C$3:$D$636,211,FALSE)</f>
        <v>Negocios retail</v>
      </c>
      <c r="B8" s="222">
        <v>13428.085543999998</v>
      </c>
      <c r="C8" s="222">
        <v>13629.510632000001</v>
      </c>
      <c r="D8" s="222">
        <v>13525.689344999999</v>
      </c>
      <c r="E8" s="222">
        <v>13797.169812000002</v>
      </c>
      <c r="F8" s="222">
        <v>13758.711669999999</v>
      </c>
      <c r="G8" s="222">
        <v>14850.759936999997</v>
      </c>
      <c r="H8" s="222">
        <v>15037.313575999999</v>
      </c>
      <c r="I8" s="222">
        <v>0</v>
      </c>
      <c r="J8" s="302"/>
      <c r="L8" s="222"/>
      <c r="N8" s="278"/>
    </row>
    <row r="9" spans="1:14" ht="14.25">
      <c r="A9" s="221" t="str">
        <f>HLOOKUP(INDICE!$F$2,Nombres!$C$3:$D$636,212,FALSE)</f>
        <v>Empresas medianas</v>
      </c>
      <c r="B9" s="222">
        <v>16427.036564</v>
      </c>
      <c r="C9" s="222">
        <v>16813.21256</v>
      </c>
      <c r="D9" s="222">
        <v>16669.095063999997</v>
      </c>
      <c r="E9" s="222">
        <v>17085.896316000002</v>
      </c>
      <c r="F9" s="222">
        <v>17087.961375</v>
      </c>
      <c r="G9" s="222">
        <v>18043.224456</v>
      </c>
      <c r="H9" s="222">
        <v>17806.629531</v>
      </c>
      <c r="I9" s="222">
        <v>0</v>
      </c>
      <c r="J9" s="302"/>
      <c r="L9" s="222"/>
      <c r="N9" s="278"/>
    </row>
    <row r="10" spans="1:14" ht="14.25">
      <c r="A10" s="221" t="str">
        <f>HLOOKUP(INDICE!$F$2,Nombres!$C$3:$D$636,213,FALSE)</f>
        <v>Corporativa + CIB</v>
      </c>
      <c r="B10" s="222">
        <v>24578.77303602</v>
      </c>
      <c r="C10" s="222">
        <v>23801.786917489997</v>
      </c>
      <c r="D10" s="222">
        <v>22044.21142149</v>
      </c>
      <c r="E10" s="222">
        <v>23095.503167000003</v>
      </c>
      <c r="F10" s="222">
        <v>24784.800434</v>
      </c>
      <c r="G10" s="222">
        <v>25217.900888</v>
      </c>
      <c r="H10" s="222">
        <v>24353.853532</v>
      </c>
      <c r="I10" s="222">
        <v>0</v>
      </c>
      <c r="L10" s="222"/>
      <c r="N10" s="278"/>
    </row>
    <row r="11" spans="1:14" ht="14.25">
      <c r="A11" s="221" t="str">
        <f>HLOOKUP(INDICE!$F$2,Nombres!$C$3:$D$636,214,FALSE)</f>
        <v>Sector público</v>
      </c>
      <c r="B11" s="222">
        <v>16750.453855</v>
      </c>
      <c r="C11" s="222">
        <v>18530.475404000004</v>
      </c>
      <c r="D11" s="222">
        <v>16092.142047000001</v>
      </c>
      <c r="E11" s="222">
        <v>15298.7735</v>
      </c>
      <c r="F11" s="222">
        <v>15193.973656</v>
      </c>
      <c r="G11" s="222">
        <v>16255.107344999999</v>
      </c>
      <c r="H11" s="222">
        <v>13834.594334000001</v>
      </c>
      <c r="I11" s="222">
        <v>0</v>
      </c>
      <c r="L11" s="222"/>
      <c r="N11" s="278"/>
    </row>
    <row r="12" spans="1:14" ht="14.25">
      <c r="A12" s="221" t="str">
        <f>HLOOKUP(INDICE!$F$2,Nombres!$C$3:$D$636,215,FALSE)</f>
        <v>Otros</v>
      </c>
      <c r="B12" s="222">
        <v>9305.955561419996</v>
      </c>
      <c r="C12" s="222">
        <v>8570.208338999977</v>
      </c>
      <c r="D12" s="222">
        <v>9038.586744619997</v>
      </c>
      <c r="E12" s="222">
        <v>9111.916533109972</v>
      </c>
      <c r="F12" s="222">
        <v>9907.910753619977</v>
      </c>
      <c r="G12" s="222">
        <v>10120.075048570005</v>
      </c>
      <c r="H12" s="222">
        <v>9407.360923999995</v>
      </c>
      <c r="I12" s="222">
        <v>0</v>
      </c>
      <c r="L12" s="222"/>
      <c r="N12" s="278"/>
    </row>
    <row r="13" spans="1:14" ht="14.25">
      <c r="A13" s="223" t="str">
        <f>HLOOKUP(INDICE!$F$2,Nombres!$C$3:$D$636,112,FALSE)</f>
        <v>Crédito no dudoso en gestión (*)</v>
      </c>
      <c r="B13" s="224">
        <v>166791.23389744002</v>
      </c>
      <c r="C13" s="224">
        <v>167530.32730648998</v>
      </c>
      <c r="D13" s="224">
        <v>162850.02438811</v>
      </c>
      <c r="E13" s="224">
        <v>164140.36064510996</v>
      </c>
      <c r="F13" s="224">
        <v>165786.41266761997</v>
      </c>
      <c r="G13" s="224">
        <v>168528.30437856997</v>
      </c>
      <c r="H13" s="224">
        <v>164150.455407</v>
      </c>
      <c r="I13" s="224">
        <v>0</v>
      </c>
      <c r="L13" s="223"/>
      <c r="N13" s="278"/>
    </row>
    <row r="14" spans="1:14" ht="14.25">
      <c r="A14" s="216"/>
      <c r="B14" s="225">
        <f>+SUM(B6:B12)-B13</f>
        <v>0</v>
      </c>
      <c r="C14" s="225">
        <f aca="true" t="shared" si="0" ref="C14:I14">+SUM(C6:C12)-C13</f>
        <v>0</v>
      </c>
      <c r="D14" s="225">
        <f t="shared" si="0"/>
        <v>0</v>
      </c>
      <c r="E14" s="225">
        <f t="shared" si="0"/>
        <v>0</v>
      </c>
      <c r="F14" s="225">
        <f t="shared" si="0"/>
        <v>0</v>
      </c>
      <c r="G14" s="225">
        <f t="shared" si="0"/>
        <v>0</v>
      </c>
      <c r="H14" s="225">
        <f t="shared" si="0"/>
        <v>0</v>
      </c>
      <c r="I14" s="225">
        <f t="shared" si="0"/>
        <v>0</v>
      </c>
      <c r="L14" s="226"/>
      <c r="N14" s="278"/>
    </row>
    <row r="15" spans="1:14" ht="14.25">
      <c r="A15" s="303"/>
      <c r="B15" s="222"/>
      <c r="C15" s="222"/>
      <c r="D15" s="222"/>
      <c r="E15" s="222"/>
      <c r="F15" s="222"/>
      <c r="G15" s="222"/>
      <c r="H15" s="222"/>
      <c r="I15" s="222"/>
      <c r="L15" s="222"/>
      <c r="N15" s="278"/>
    </row>
    <row r="16" spans="1:12" ht="14.25">
      <c r="A16" s="216"/>
      <c r="B16" s="227"/>
      <c r="C16" s="227"/>
      <c r="D16" s="227"/>
      <c r="E16" s="227"/>
      <c r="F16" s="227"/>
      <c r="L16" s="227"/>
    </row>
    <row r="17" spans="1:9" ht="14.25">
      <c r="A17" s="219"/>
      <c r="B17" s="312" t="str">
        <f>HLOOKUP(INDICE!$F$2,Nombres!$C$3:$D$636,10,FALSE)</f>
        <v>EEUU</v>
      </c>
      <c r="C17" s="312"/>
      <c r="D17" s="312"/>
      <c r="E17" s="312"/>
      <c r="F17" s="312"/>
      <c r="G17" s="312"/>
      <c r="H17" s="312"/>
      <c r="I17" s="312"/>
    </row>
    <row r="18" spans="1:12" ht="14.25">
      <c r="A18" s="220"/>
      <c r="B18" s="126">
        <f>+B$5</f>
        <v>43555</v>
      </c>
      <c r="C18" s="126">
        <f aca="true" t="shared" si="1" ref="C18:I18">+C$5</f>
        <v>43646</v>
      </c>
      <c r="D18" s="126">
        <f t="shared" si="1"/>
        <v>43738</v>
      </c>
      <c r="E18" s="126">
        <f t="shared" si="1"/>
        <v>43830</v>
      </c>
      <c r="F18" s="126">
        <f t="shared" si="1"/>
        <v>43921</v>
      </c>
      <c r="G18" s="126">
        <f t="shared" si="1"/>
        <v>44012</v>
      </c>
      <c r="H18" s="126">
        <f t="shared" si="1"/>
        <v>44104</v>
      </c>
      <c r="I18" s="126">
        <f t="shared" si="1"/>
        <v>44196</v>
      </c>
      <c r="L18" s="55"/>
    </row>
    <row r="19" spans="1:14" ht="14.25">
      <c r="A19" s="221" t="str">
        <f>HLOOKUP(INDICE!$F$2,Nombres!$C$3:$D$636,105,FALSE)</f>
        <v>Hipotecario</v>
      </c>
      <c r="B19" s="222">
        <v>13589.134998063</v>
      </c>
      <c r="C19" s="222">
        <v>13598.942312778621</v>
      </c>
      <c r="D19" s="222">
        <v>13557.556656135375</v>
      </c>
      <c r="E19" s="222">
        <v>13586.481699289427</v>
      </c>
      <c r="F19" s="222">
        <v>13425.651292740358</v>
      </c>
      <c r="G19" s="222">
        <v>13398.685561408562</v>
      </c>
      <c r="H19" s="222">
        <v>13315.44761508</v>
      </c>
      <c r="I19" s="222">
        <v>0</v>
      </c>
      <c r="L19" s="222"/>
      <c r="N19" s="278"/>
    </row>
    <row r="20" spans="1:14" ht="14.25">
      <c r="A20" s="221" t="str">
        <f>HLOOKUP(INDICE!$F$2,Nombres!$C$3:$D$636,210,FALSE)</f>
        <v>Consumo  y tarjetas de Credito</v>
      </c>
      <c r="B20" s="222">
        <v>5909.7462194594755</v>
      </c>
      <c r="C20" s="222">
        <v>5843.442637086483</v>
      </c>
      <c r="D20" s="222">
        <v>5795.82704242886</v>
      </c>
      <c r="E20" s="222">
        <v>5837.797381749508</v>
      </c>
      <c r="F20" s="222">
        <v>5950.0438664898575</v>
      </c>
      <c r="G20" s="222">
        <v>5805.584314885004</v>
      </c>
      <c r="H20" s="222">
        <v>5653.89778542</v>
      </c>
      <c r="I20" s="222">
        <v>0</v>
      </c>
      <c r="L20" s="222"/>
      <c r="N20" s="278"/>
    </row>
    <row r="21" spans="1:14" ht="15.75" customHeight="1">
      <c r="A21" s="221" t="str">
        <f>HLOOKUP(INDICE!$F$2,Nombres!$C$3:$D$636,108,FALSE)</f>
        <v>Sector público</v>
      </c>
      <c r="B21" s="222">
        <v>5308.561451064123</v>
      </c>
      <c r="C21" s="222">
        <v>5290.3622411581</v>
      </c>
      <c r="D21" s="222">
        <v>5251.437220280972</v>
      </c>
      <c r="E21" s="222">
        <v>5156.10111684997</v>
      </c>
      <c r="F21" s="222">
        <v>5288.361081231816</v>
      </c>
      <c r="G21" s="222">
        <v>5402.866689706949</v>
      </c>
      <c r="H21" s="222">
        <v>5133.616901969999</v>
      </c>
      <c r="I21" s="222">
        <v>0</v>
      </c>
      <c r="L21" s="222"/>
      <c r="N21" s="278"/>
    </row>
    <row r="22" spans="1:14" ht="14.25">
      <c r="A22" s="221" t="s">
        <v>7</v>
      </c>
      <c r="B22" s="222">
        <v>9024.409997976445</v>
      </c>
      <c r="C22" s="222">
        <v>8940.612539939317</v>
      </c>
      <c r="D22" s="222">
        <v>8873.585475859798</v>
      </c>
      <c r="E22" s="222">
        <v>10061.65116163227</v>
      </c>
      <c r="F22" s="222">
        <v>13032.93890751706</v>
      </c>
      <c r="G22" s="222">
        <v>12332.316230485114</v>
      </c>
      <c r="H22" s="222">
        <v>10220.95749016</v>
      </c>
      <c r="I22" s="222">
        <v>0</v>
      </c>
      <c r="L22" s="222"/>
      <c r="N22" s="278"/>
    </row>
    <row r="23" spans="1:14" ht="14.25">
      <c r="A23" s="221" t="str">
        <f>HLOOKUP(INDICE!$F$2,Nombres!$C$3:$D$636,203,FALSE)</f>
        <v>Resto Comercial</v>
      </c>
      <c r="B23" s="222">
        <v>24266.583369655535</v>
      </c>
      <c r="C23" s="222">
        <v>23768.598122796066</v>
      </c>
      <c r="D23" s="222">
        <v>24325.869834028235</v>
      </c>
      <c r="E23" s="222">
        <v>24827.173807935338</v>
      </c>
      <c r="F23" s="222">
        <v>26682.213423714187</v>
      </c>
      <c r="G23" s="222">
        <v>27983.7619302632</v>
      </c>
      <c r="H23" s="222">
        <v>27078.33140999999</v>
      </c>
      <c r="I23" s="222">
        <v>0</v>
      </c>
      <c r="L23" s="222"/>
      <c r="N23" s="278"/>
    </row>
    <row r="24" spans="1:14" ht="14.25">
      <c r="A24" s="221" t="str">
        <f>HLOOKUP(INDICE!$F$2,Nombres!$C$3:$D$636,111,FALSE)</f>
        <v>Otros</v>
      </c>
      <c r="B24" s="222">
        <v>1104.907264759955</v>
      </c>
      <c r="C24" s="222">
        <v>1286.7992973751211</v>
      </c>
      <c r="D24" s="222">
        <v>1200.5704319320034</v>
      </c>
      <c r="E24" s="222">
        <v>1211.8903989647424</v>
      </c>
      <c r="F24" s="222">
        <v>1234.1816094146325</v>
      </c>
      <c r="G24" s="222">
        <v>1268.0673437822452</v>
      </c>
      <c r="H24" s="222">
        <v>1296.2311246599998</v>
      </c>
      <c r="I24" s="222">
        <v>0</v>
      </c>
      <c r="L24" s="222"/>
      <c r="N24" s="278"/>
    </row>
    <row r="25" spans="1:14" ht="14.25">
      <c r="A25" s="223" t="str">
        <f>HLOOKUP(INDICE!$F$2,Nombres!$C$3:$D$636,112,FALSE)</f>
        <v>Crédito no dudoso en gestión (*)</v>
      </c>
      <c r="B25" s="224">
        <v>59203.34330097852</v>
      </c>
      <c r="C25" s="224">
        <v>58728.7571511337</v>
      </c>
      <c r="D25" s="224">
        <v>59004.84666066525</v>
      </c>
      <c r="E25" s="224">
        <v>60681.09556642125</v>
      </c>
      <c r="F25" s="224">
        <v>65613.39018110791</v>
      </c>
      <c r="G25" s="224">
        <v>66191.28207053109</v>
      </c>
      <c r="H25" s="224">
        <v>62698.482327289996</v>
      </c>
      <c r="I25" s="224">
        <v>0</v>
      </c>
      <c r="L25" s="222"/>
      <c r="N25" s="278"/>
    </row>
    <row r="26" spans="1:14" ht="14.25">
      <c r="A26" s="216"/>
      <c r="B26" s="225">
        <f aca="true" t="shared" si="2" ref="B26:I26">+SUM(B19:B24)-B25</f>
        <v>0</v>
      </c>
      <c r="C26" s="225">
        <f t="shared" si="2"/>
        <v>0</v>
      </c>
      <c r="D26" s="225">
        <f t="shared" si="2"/>
        <v>0</v>
      </c>
      <c r="E26" s="225">
        <f t="shared" si="2"/>
        <v>0</v>
      </c>
      <c r="F26" s="225">
        <f t="shared" si="2"/>
        <v>0</v>
      </c>
      <c r="G26" s="225">
        <f t="shared" si="2"/>
        <v>0</v>
      </c>
      <c r="H26" s="225">
        <f t="shared" si="2"/>
        <v>0</v>
      </c>
      <c r="I26" s="225">
        <f t="shared" si="2"/>
        <v>0</v>
      </c>
      <c r="L26" s="228"/>
      <c r="N26" s="278"/>
    </row>
    <row r="27" spans="1:14" ht="14.25">
      <c r="A27" s="216"/>
      <c r="B27" s="226"/>
      <c r="C27" s="226"/>
      <c r="D27" s="226"/>
      <c r="E27" s="226"/>
      <c r="F27" s="226"/>
      <c r="G27" s="226"/>
      <c r="H27" s="226"/>
      <c r="I27" s="226"/>
      <c r="L27" s="229"/>
      <c r="N27" s="278"/>
    </row>
    <row r="28" spans="1:14" ht="14.25">
      <c r="A28" s="303"/>
      <c r="F28" s="227"/>
      <c r="G28" s="227"/>
      <c r="H28" s="227"/>
      <c r="I28" s="227"/>
      <c r="L28" s="222"/>
      <c r="N28" s="278"/>
    </row>
    <row r="29" spans="1:12" ht="14.25">
      <c r="A29" s="216"/>
      <c r="B29" s="227"/>
      <c r="C29" s="227"/>
      <c r="D29" s="227"/>
      <c r="E29" s="227"/>
      <c r="F29" s="227"/>
      <c r="L29" s="230"/>
    </row>
    <row r="30" spans="1:12" ht="14.25">
      <c r="A30" s="219"/>
      <c r="B30" s="312" t="str">
        <f>HLOOKUP(INDICE!$F$2,Nombres!$C$3:$D$636,204,FALSE)</f>
        <v>Mexico (***)</v>
      </c>
      <c r="C30" s="312"/>
      <c r="D30" s="312"/>
      <c r="E30" s="312"/>
      <c r="F30" s="312"/>
      <c r="G30" s="312"/>
      <c r="H30" s="312"/>
      <c r="I30" s="312"/>
      <c r="L30" s="231"/>
    </row>
    <row r="31" spans="1:12" ht="14.25">
      <c r="A31" s="220"/>
      <c r="B31" s="126">
        <f>+B$5</f>
        <v>43555</v>
      </c>
      <c r="C31" s="126">
        <f aca="true" t="shared" si="3" ref="C31:I31">+C$5</f>
        <v>43646</v>
      </c>
      <c r="D31" s="126">
        <f t="shared" si="3"/>
        <v>43738</v>
      </c>
      <c r="E31" s="126">
        <f t="shared" si="3"/>
        <v>43830</v>
      </c>
      <c r="F31" s="126">
        <f t="shared" si="3"/>
        <v>43921</v>
      </c>
      <c r="G31" s="126">
        <f t="shared" si="3"/>
        <v>44012</v>
      </c>
      <c r="H31" s="126">
        <f t="shared" si="3"/>
        <v>44104</v>
      </c>
      <c r="I31" s="126">
        <f t="shared" si="3"/>
        <v>44196</v>
      </c>
      <c r="L31" s="55"/>
    </row>
    <row r="32" spans="1:14" ht="14.25">
      <c r="A32" s="221" t="str">
        <f>HLOOKUP(INDICE!$F$2,Nombres!$C$3:$D$636,105,FALSE)</f>
        <v>Hipotecario</v>
      </c>
      <c r="B32" s="222">
        <v>8220.622093689159</v>
      </c>
      <c r="C32" s="222">
        <v>8452.537206926369</v>
      </c>
      <c r="D32" s="222">
        <v>8639.980310354527</v>
      </c>
      <c r="E32" s="222">
        <v>8828.608313034249</v>
      </c>
      <c r="F32" s="222">
        <v>8945.653580931687</v>
      </c>
      <c r="G32" s="222">
        <v>9243.57144905897</v>
      </c>
      <c r="H32" s="222">
        <v>9328.438086870416</v>
      </c>
      <c r="I32" s="222">
        <v>0</v>
      </c>
      <c r="L32" s="222"/>
      <c r="N32" s="278"/>
    </row>
    <row r="33" spans="1:14" ht="14.25">
      <c r="A33" s="221" t="str">
        <f>HLOOKUP(INDICE!$F$2,Nombres!$C$3:$D$636,106,FALSE)</f>
        <v>Consumo</v>
      </c>
      <c r="B33" s="222">
        <v>6706.799163916113</v>
      </c>
      <c r="C33" s="222">
        <v>6915.797480609235</v>
      </c>
      <c r="D33" s="222">
        <v>7164.135420713698</v>
      </c>
      <c r="E33" s="222">
        <v>7222.5005489920095</v>
      </c>
      <c r="F33" s="222">
        <v>7297.249704780183</v>
      </c>
      <c r="G33" s="222">
        <v>7124.997309808479</v>
      </c>
      <c r="H33" s="222">
        <v>7063.547984449045</v>
      </c>
      <c r="I33" s="222">
        <v>0</v>
      </c>
      <c r="L33" s="222"/>
      <c r="N33" s="278"/>
    </row>
    <row r="34" spans="1:14" ht="14.25">
      <c r="A34" s="221" t="str">
        <f>HLOOKUP(INDICE!$F$2,Nombres!$C$3:$D$636,107,FALSE)</f>
        <v>Tarjetas de Crédito</v>
      </c>
      <c r="B34" s="222">
        <v>3916.4059041523033</v>
      </c>
      <c r="C34" s="222">
        <v>4020.2603311650323</v>
      </c>
      <c r="D34" s="222">
        <v>4082.9437031954426</v>
      </c>
      <c r="E34" s="222">
        <v>4249.582635623227</v>
      </c>
      <c r="F34" s="222">
        <v>4029.2437656965326</v>
      </c>
      <c r="G34" s="222">
        <v>3894.0204475110218</v>
      </c>
      <c r="H34" s="222">
        <v>3941.8310631384575</v>
      </c>
      <c r="I34" s="222">
        <v>0</v>
      </c>
      <c r="L34" s="222"/>
      <c r="N34" s="278"/>
    </row>
    <row r="35" spans="1:14" ht="14.25">
      <c r="A35" s="221" t="str">
        <f>HLOOKUP(INDICE!$F$2,Nombres!$C$3:$D$636,110,FALSE)</f>
        <v>Pymes</v>
      </c>
      <c r="B35" s="222">
        <v>3001.4821187005286</v>
      </c>
      <c r="C35" s="222">
        <v>2982.4896076731216</v>
      </c>
      <c r="D35" s="222">
        <v>2906.628323933138</v>
      </c>
      <c r="E35" s="222">
        <v>2777.474106996403</v>
      </c>
      <c r="F35" s="222">
        <v>2783.9626117804673</v>
      </c>
      <c r="G35" s="222">
        <v>2790.7808867026692</v>
      </c>
      <c r="H35" s="222">
        <v>2744.2789606570395</v>
      </c>
      <c r="I35" s="222">
        <v>0</v>
      </c>
      <c r="L35" s="222"/>
      <c r="N35" s="278"/>
    </row>
    <row r="36" spans="1:14" ht="14.25">
      <c r="A36" s="221" t="str">
        <f>HLOOKUP(INDICE!$F$2,Nombres!$C$3:$D$636,216,FALSE)</f>
        <v>Resto Minorista</v>
      </c>
      <c r="B36" s="222">
        <v>8.247080081198025</v>
      </c>
      <c r="C36" s="222">
        <v>8.257648295582763</v>
      </c>
      <c r="D36" s="222">
        <v>8.026452606488904</v>
      </c>
      <c r="E36" s="222">
        <v>8.067892884046215</v>
      </c>
      <c r="F36" s="222">
        <v>84.4024398888853</v>
      </c>
      <c r="G36" s="222">
        <v>73.26623297379146</v>
      </c>
      <c r="H36" s="222">
        <v>73.29405770035387</v>
      </c>
      <c r="I36" s="222">
        <v>0</v>
      </c>
      <c r="L36" s="222"/>
      <c r="N36" s="278"/>
    </row>
    <row r="37" spans="1:14" ht="14.25">
      <c r="A37" s="221" t="str">
        <f>HLOOKUP(INDICE!$F$2,Nombres!$C$3:$D$636,217,FALSE)</f>
        <v>Resto Empresas</v>
      </c>
      <c r="B37" s="222">
        <v>19105.3332230608</v>
      </c>
      <c r="C37" s="222">
        <v>19702.979821813406</v>
      </c>
      <c r="D37" s="222">
        <v>19517.74237855255</v>
      </c>
      <c r="E37" s="222">
        <v>20219.7548282886</v>
      </c>
      <c r="F37" s="222">
        <v>23634.536195323097</v>
      </c>
      <c r="G37" s="222">
        <v>22559.19239251378</v>
      </c>
      <c r="H37" s="222">
        <v>21103.28988232372</v>
      </c>
      <c r="I37" s="222">
        <v>0</v>
      </c>
      <c r="L37" s="222"/>
      <c r="N37" s="278"/>
    </row>
    <row r="38" spans="1:14" ht="14.25">
      <c r="A38" s="221" t="str">
        <f>HLOOKUP(INDICE!$F$2,Nombres!$C$3:$D$636,108,FALSE)</f>
        <v>Sector público</v>
      </c>
      <c r="B38" s="222">
        <v>2965.7069831610575</v>
      </c>
      <c r="C38" s="222">
        <v>2963.0131148768737</v>
      </c>
      <c r="D38" s="222">
        <v>3097.0202034657673</v>
      </c>
      <c r="E38" s="222">
        <v>3489.72318305183</v>
      </c>
      <c r="F38" s="222">
        <v>3672.926841836269</v>
      </c>
      <c r="G38" s="222">
        <v>3626.12314454864</v>
      </c>
      <c r="H38" s="222">
        <v>3768.814193210697</v>
      </c>
      <c r="I38" s="222">
        <v>0</v>
      </c>
      <c r="L38" s="222"/>
      <c r="N38" s="278"/>
    </row>
    <row r="39" spans="1:14" ht="15.75" customHeight="1">
      <c r="A39" s="223" t="str">
        <f>HLOOKUP(INDICE!$F$2,Nombres!$C$3:$D$636,112,FALSE)</f>
        <v>Crédito no dudoso en gestión (*)</v>
      </c>
      <c r="B39" s="224">
        <v>43924.59656676116</v>
      </c>
      <c r="C39" s="224">
        <v>45045.33521135962</v>
      </c>
      <c r="D39" s="224">
        <v>45416.47679282161</v>
      </c>
      <c r="E39" s="224">
        <v>46795.711508870365</v>
      </c>
      <c r="F39" s="224">
        <v>50447.97514023712</v>
      </c>
      <c r="G39" s="224">
        <v>49311.951863117356</v>
      </c>
      <c r="H39" s="224">
        <v>48023.49422834973</v>
      </c>
      <c r="I39" s="224">
        <v>0</v>
      </c>
      <c r="J39" s="284"/>
      <c r="L39" s="228"/>
      <c r="N39" s="278"/>
    </row>
    <row r="40" spans="1:12" ht="14.25">
      <c r="A40" s="232" t="str">
        <f>HLOOKUP(INDICE!$F$2,Nombres!$C$3:$D$636,205,FALSE)</f>
        <v>Criterio Local Contable(***) </v>
      </c>
      <c r="B40" s="225">
        <f>+SUM(B32:B38)-B39</f>
        <v>0</v>
      </c>
      <c r="C40" s="225">
        <f aca="true" t="shared" si="4" ref="C40:I40">+SUM(C32:C38)-C39</f>
        <v>0</v>
      </c>
      <c r="D40" s="225">
        <f t="shared" si="4"/>
        <v>0</v>
      </c>
      <c r="E40" s="225">
        <f t="shared" si="4"/>
        <v>0</v>
      </c>
      <c r="F40" s="225">
        <f t="shared" si="4"/>
        <v>0</v>
      </c>
      <c r="G40" s="225">
        <f t="shared" si="4"/>
        <v>0</v>
      </c>
      <c r="H40" s="225">
        <f t="shared" si="4"/>
        <v>0</v>
      </c>
      <c r="I40" s="225">
        <f t="shared" si="4"/>
        <v>0</v>
      </c>
      <c r="L40" s="229"/>
    </row>
    <row r="41" spans="1:12" ht="14.25">
      <c r="A41" s="303"/>
      <c r="B41" s="222"/>
      <c r="C41" s="222"/>
      <c r="D41" s="222"/>
      <c r="E41" s="222"/>
      <c r="F41" s="222"/>
      <c r="G41" s="222"/>
      <c r="H41" s="222"/>
      <c r="I41" s="222"/>
      <c r="L41" s="222"/>
    </row>
    <row r="42" spans="2:12" ht="14.25">
      <c r="B42" s="227"/>
      <c r="C42" s="227"/>
      <c r="D42" s="227"/>
      <c r="E42" s="227"/>
      <c r="F42" s="227"/>
      <c r="L42" s="227"/>
    </row>
    <row r="43" spans="1:13" ht="14.25">
      <c r="A43" s="219"/>
      <c r="B43" s="312" t="str">
        <f>HLOOKUP(INDICE!$F$2,Nombres!$C$3:$D$636,12,FALSE)</f>
        <v>Turquía </v>
      </c>
      <c r="C43" s="312"/>
      <c r="D43" s="312"/>
      <c r="E43" s="312"/>
      <c r="F43" s="312"/>
      <c r="G43" s="312"/>
      <c r="H43" s="312"/>
      <c r="I43" s="312"/>
      <c r="L43" s="233"/>
      <c r="M43" s="233"/>
    </row>
    <row r="44" spans="1:13" ht="14.25">
      <c r="A44" s="220"/>
      <c r="B44" s="126">
        <f>+B$5</f>
        <v>43555</v>
      </c>
      <c r="C44" s="126">
        <f aca="true" t="shared" si="5" ref="C44:I44">+C$5</f>
        <v>43646</v>
      </c>
      <c r="D44" s="126">
        <f t="shared" si="5"/>
        <v>43738</v>
      </c>
      <c r="E44" s="126">
        <f t="shared" si="5"/>
        <v>43830</v>
      </c>
      <c r="F44" s="126">
        <f t="shared" si="5"/>
        <v>43921</v>
      </c>
      <c r="G44" s="126">
        <f t="shared" si="5"/>
        <v>44012</v>
      </c>
      <c r="H44" s="126">
        <f t="shared" si="5"/>
        <v>44104</v>
      </c>
      <c r="I44" s="126">
        <f t="shared" si="5"/>
        <v>44196</v>
      </c>
      <c r="L44" s="55"/>
      <c r="M44" s="233"/>
    </row>
    <row r="45" spans="1:14" ht="14.25">
      <c r="A45" s="221" t="str">
        <f>HLOOKUP(INDICE!$F$2,Nombres!$C$3:$D$636,105,FALSE)</f>
        <v>Hipotecario</v>
      </c>
      <c r="B45" s="222">
        <v>2258.159953200434</v>
      </c>
      <c r="C45" s="222">
        <v>2172.044505969705</v>
      </c>
      <c r="D45" s="222">
        <v>2099.651261683606</v>
      </c>
      <c r="E45" s="222">
        <v>2150.993556516716</v>
      </c>
      <c r="F45" s="222">
        <v>2252.4841577637135</v>
      </c>
      <c r="G45" s="222">
        <v>2243.675596517423</v>
      </c>
      <c r="H45" s="222">
        <v>2328.8902589599998</v>
      </c>
      <c r="I45" s="222">
        <v>0</v>
      </c>
      <c r="L45" s="222"/>
      <c r="M45" s="233"/>
      <c r="N45" s="278"/>
    </row>
    <row r="46" spans="1:14" ht="14.25">
      <c r="A46" s="221" t="str">
        <f>HLOOKUP(INDICE!$F$2,Nombres!$C$3:$D$636,106,FALSE)</f>
        <v>Consumo</v>
      </c>
      <c r="B46" s="222">
        <v>3396.2096234188793</v>
      </c>
      <c r="C46" s="222">
        <v>3404.286182017439</v>
      </c>
      <c r="D46" s="222">
        <v>3499.9346868605226</v>
      </c>
      <c r="E46" s="222">
        <v>4116.110734173228</v>
      </c>
      <c r="F46" s="222">
        <v>4630.772596357456</v>
      </c>
      <c r="G46" s="222">
        <v>4974.844328907627</v>
      </c>
      <c r="H46" s="222">
        <v>5388.01489189</v>
      </c>
      <c r="I46" s="222">
        <v>0</v>
      </c>
      <c r="L46" s="222"/>
      <c r="M46" s="233"/>
      <c r="N46" s="278"/>
    </row>
    <row r="47" spans="1:14" ht="14.25">
      <c r="A47" s="221" t="str">
        <f>HLOOKUP(INDICE!$F$2,Nombres!$C$3:$D$636,107,FALSE)</f>
        <v>Tarjetas de Crédito</v>
      </c>
      <c r="B47" s="222">
        <v>2578.708595532959</v>
      </c>
      <c r="C47" s="222">
        <v>2655.818710198868</v>
      </c>
      <c r="D47" s="222">
        <v>2760.842502681305</v>
      </c>
      <c r="E47" s="222">
        <v>2818.9755176261074</v>
      </c>
      <c r="F47" s="222">
        <v>2647.348628497261</v>
      </c>
      <c r="G47" s="222">
        <v>2709.3756255299604</v>
      </c>
      <c r="H47" s="222">
        <v>3098.7270000000003</v>
      </c>
      <c r="I47" s="222">
        <v>0</v>
      </c>
      <c r="L47" s="222"/>
      <c r="M47" s="233"/>
      <c r="N47" s="278"/>
    </row>
    <row r="48" spans="1:14" ht="14.25">
      <c r="A48" s="221" t="str">
        <f>HLOOKUP(INDICE!$F$2,Nombres!$C$3:$D$636,108,FALSE)</f>
        <v>Sector público</v>
      </c>
      <c r="B48" s="222">
        <v>47.27525391832405</v>
      </c>
      <c r="C48" s="222">
        <v>47.10073392699908</v>
      </c>
      <c r="D48" s="222">
        <v>67.02782561845913</v>
      </c>
      <c r="E48" s="222">
        <v>78.65714579679317</v>
      </c>
      <c r="F48" s="222">
        <v>76.18767418428172</v>
      </c>
      <c r="G48" s="222">
        <v>162.69721305702072</v>
      </c>
      <c r="H48" s="222">
        <v>174.95399999999998</v>
      </c>
      <c r="I48" s="222">
        <v>0</v>
      </c>
      <c r="L48" s="222"/>
      <c r="M48" s="233"/>
      <c r="N48" s="278"/>
    </row>
    <row r="49" spans="1:14" ht="14.25">
      <c r="A49" s="221" t="str">
        <f>HLOOKUP(INDICE!$F$2,Nombres!$C$3:$D$636,109,FALSE)</f>
        <v>Sociedades financieras y sociedades no financieras</v>
      </c>
      <c r="B49" s="222">
        <v>20186.09064688521</v>
      </c>
      <c r="C49" s="222">
        <v>19101.35643825867</v>
      </c>
      <c r="D49" s="222">
        <v>18055.03486119745</v>
      </c>
      <c r="E49" s="222">
        <v>19505.612377486</v>
      </c>
      <c r="F49" s="222">
        <v>21116.96326655351</v>
      </c>
      <c r="G49" s="222">
        <v>23617.259929469885</v>
      </c>
      <c r="H49" s="222">
        <v>24587.947</v>
      </c>
      <c r="I49" s="222">
        <v>0</v>
      </c>
      <c r="L49" s="221"/>
      <c r="M49" s="233"/>
      <c r="N49" s="278"/>
    </row>
    <row r="50" spans="1:14" ht="14.25">
      <c r="A50" s="221" t="str">
        <f>HLOOKUP(INDICE!$F$2,Nombres!$C$3:$D$636,111,FALSE)</f>
        <v>Otros</v>
      </c>
      <c r="B50" s="222">
        <v>392.54533363038934</v>
      </c>
      <c r="C50" s="222">
        <v>429.59013795252076</v>
      </c>
      <c r="D50" s="222">
        <v>452.4016578096537</v>
      </c>
      <c r="E50" s="222">
        <v>466.3784640556138</v>
      </c>
      <c r="F50" s="222">
        <v>538.0822791430074</v>
      </c>
      <c r="G50" s="222">
        <v>483.397382913895</v>
      </c>
      <c r="H50" s="222">
        <v>606.6828491499995</v>
      </c>
      <c r="I50" s="222">
        <v>0</v>
      </c>
      <c r="L50" s="221"/>
      <c r="M50" s="233"/>
      <c r="N50" s="278"/>
    </row>
    <row r="51" spans="1:14" ht="14.25">
      <c r="A51" s="223" t="str">
        <f>HLOOKUP(INDICE!$F$2,Nombres!$C$3:$D$636,112,FALSE)</f>
        <v>Crédito no dudoso en gestión (*)</v>
      </c>
      <c r="B51" s="224">
        <v>28858.989406586203</v>
      </c>
      <c r="C51" s="224">
        <v>27810.196708324198</v>
      </c>
      <c r="D51" s="224">
        <v>26934.892795851</v>
      </c>
      <c r="E51" s="224">
        <v>29136.727795654464</v>
      </c>
      <c r="F51" s="224">
        <v>31261.83860249923</v>
      </c>
      <c r="G51" s="224">
        <v>34191.25007639581</v>
      </c>
      <c r="H51" s="224">
        <v>36185.216</v>
      </c>
      <c r="I51" s="224">
        <v>0</v>
      </c>
      <c r="L51" s="221"/>
      <c r="M51" s="233"/>
      <c r="N51" s="278"/>
    </row>
    <row r="52" spans="1:14" ht="14.25">
      <c r="A52" s="216"/>
      <c r="B52" s="225">
        <f>+SUM(B45:B50)-B51</f>
        <v>0</v>
      </c>
      <c r="C52" s="225">
        <f aca="true" t="shared" si="6" ref="C52:I52">+SUM(C45:C50)-C51</f>
        <v>0</v>
      </c>
      <c r="D52" s="225">
        <f t="shared" si="6"/>
        <v>0</v>
      </c>
      <c r="E52" s="225">
        <f t="shared" si="6"/>
        <v>0</v>
      </c>
      <c r="F52" s="225">
        <f t="shared" si="6"/>
        <v>0</v>
      </c>
      <c r="G52" s="225">
        <f t="shared" si="6"/>
        <v>0</v>
      </c>
      <c r="H52" s="225">
        <f t="shared" si="6"/>
        <v>0</v>
      </c>
      <c r="I52" s="225">
        <f t="shared" si="6"/>
        <v>0</v>
      </c>
      <c r="L52" s="223"/>
      <c r="M52" s="233"/>
      <c r="N52" s="278"/>
    </row>
    <row r="53" spans="1:13" ht="14.25">
      <c r="A53" s="216"/>
      <c r="B53" s="226"/>
      <c r="C53" s="226"/>
      <c r="D53" s="226"/>
      <c r="E53" s="226"/>
      <c r="F53" s="226"/>
      <c r="G53" s="226"/>
      <c r="H53" s="226"/>
      <c r="I53" s="226"/>
      <c r="L53" s="226"/>
      <c r="M53" s="233"/>
    </row>
    <row r="54" spans="1:12" ht="14.25">
      <c r="A54" s="216"/>
      <c r="B54" s="226"/>
      <c r="C54" s="226"/>
      <c r="D54" s="226"/>
      <c r="E54" s="226"/>
      <c r="F54" s="226"/>
      <c r="G54" s="226"/>
      <c r="H54" s="226"/>
      <c r="I54" s="226"/>
      <c r="L54" s="226"/>
    </row>
    <row r="55" spans="1:9" ht="15.75" customHeight="1">
      <c r="A55" s="219"/>
      <c r="B55" s="312" t="str">
        <f>HLOOKUP(INDICE!$F$2,Nombres!$C$3:$D$636,13,FALSE)</f>
        <v>América del Sur </v>
      </c>
      <c r="C55" s="312"/>
      <c r="D55" s="312"/>
      <c r="E55" s="312"/>
      <c r="F55" s="312"/>
      <c r="G55" s="312"/>
      <c r="H55" s="312"/>
      <c r="I55" s="312"/>
    </row>
    <row r="56" spans="1:9" ht="14.25">
      <c r="A56" s="220"/>
      <c r="B56" s="126">
        <f>+B$5</f>
        <v>43555</v>
      </c>
      <c r="C56" s="126">
        <f aca="true" t="shared" si="7" ref="C56:I56">+C$5</f>
        <v>43646</v>
      </c>
      <c r="D56" s="126">
        <f t="shared" si="7"/>
        <v>43738</v>
      </c>
      <c r="E56" s="126">
        <f t="shared" si="7"/>
        <v>43830</v>
      </c>
      <c r="F56" s="126">
        <f t="shared" si="7"/>
        <v>43921</v>
      </c>
      <c r="G56" s="126">
        <f t="shared" si="7"/>
        <v>44012</v>
      </c>
      <c r="H56" s="126">
        <f t="shared" si="7"/>
        <v>44104</v>
      </c>
      <c r="I56" s="126">
        <f t="shared" si="7"/>
        <v>44196</v>
      </c>
    </row>
    <row r="57" spans="1:14" ht="14.25">
      <c r="A57" s="221" t="s">
        <v>8</v>
      </c>
      <c r="B57" s="222">
        <v>2041.6681914981648</v>
      </c>
      <c r="C57" s="222">
        <v>2034.6183320771709</v>
      </c>
      <c r="D57" s="222">
        <v>2333.4729320078764</v>
      </c>
      <c r="E57" s="222">
        <v>2211.7580936874406</v>
      </c>
      <c r="F57" s="222">
        <v>2490.8703665222974</v>
      </c>
      <c r="G57" s="222">
        <v>2806.0062997582213</v>
      </c>
      <c r="H57" s="222">
        <v>2895.3421476399994</v>
      </c>
      <c r="I57" s="222">
        <v>0</v>
      </c>
      <c r="L57" s="222"/>
      <c r="N57" s="278"/>
    </row>
    <row r="58" spans="1:14" ht="14.25">
      <c r="A58" s="221" t="s">
        <v>9</v>
      </c>
      <c r="B58" s="222">
        <v>1763.7637329597396</v>
      </c>
      <c r="C58" s="222">
        <v>1741.0789093081798</v>
      </c>
      <c r="D58" s="222">
        <v>1751.5486759459138</v>
      </c>
      <c r="E58" s="222">
        <v>1653.6545421362737</v>
      </c>
      <c r="F58" s="222">
        <v>1570.454103558151</v>
      </c>
      <c r="G58" s="222">
        <v>1413.5488845847376</v>
      </c>
      <c r="H58" s="222">
        <v>1437.6419999999998</v>
      </c>
      <c r="I58" s="222">
        <v>0</v>
      </c>
      <c r="L58" s="222"/>
      <c r="N58" s="278"/>
    </row>
    <row r="59" spans="1:14" ht="14.25">
      <c r="A59" s="221" t="s">
        <v>10</v>
      </c>
      <c r="B59" s="222">
        <v>9629.060104241475</v>
      </c>
      <c r="C59" s="222">
        <v>9814.893414795542</v>
      </c>
      <c r="D59" s="222">
        <v>10160.537013069603</v>
      </c>
      <c r="E59" s="222">
        <v>10419.403526802525</v>
      </c>
      <c r="F59" s="222">
        <v>10878.668528890381</v>
      </c>
      <c r="G59" s="222">
        <v>11015.399721888612</v>
      </c>
      <c r="H59" s="222">
        <v>10906.84103926</v>
      </c>
      <c r="I59" s="222">
        <v>0</v>
      </c>
      <c r="L59" s="222"/>
      <c r="N59" s="278"/>
    </row>
    <row r="60" spans="1:14" ht="15" customHeight="1">
      <c r="A60" s="221" t="s">
        <v>11</v>
      </c>
      <c r="B60" s="222">
        <v>12661.95658778166</v>
      </c>
      <c r="C60" s="222">
        <v>12737.438083960003</v>
      </c>
      <c r="D60" s="222">
        <v>13146.750318675005</v>
      </c>
      <c r="E60" s="222">
        <v>13271.672156437322</v>
      </c>
      <c r="F60" s="222">
        <v>13776.820446547452</v>
      </c>
      <c r="G60" s="222">
        <v>15003.405181011512</v>
      </c>
      <c r="H60" s="222">
        <v>15939.58368188</v>
      </c>
      <c r="I60" s="222">
        <v>0</v>
      </c>
      <c r="L60" s="222"/>
      <c r="N60" s="278"/>
    </row>
    <row r="61" spans="1:14" ht="15" customHeight="1">
      <c r="A61" s="221" t="s">
        <v>12</v>
      </c>
      <c r="B61" s="222">
        <v>2387.5084495853716</v>
      </c>
      <c r="C61" s="222">
        <v>2429.3120514575976</v>
      </c>
      <c r="D61" s="222">
        <v>2469.0000870850613</v>
      </c>
      <c r="E61" s="222">
        <v>2589.9597958443214</v>
      </c>
      <c r="F61" s="222">
        <v>2692.9602573012057</v>
      </c>
      <c r="G61" s="222">
        <v>2623.341227693369</v>
      </c>
      <c r="H61" s="222">
        <v>2595.9210484299997</v>
      </c>
      <c r="I61" s="222">
        <v>0</v>
      </c>
      <c r="L61" s="222"/>
      <c r="N61" s="278"/>
    </row>
    <row r="62" spans="1:14" ht="15" customHeight="1">
      <c r="A62" s="223" t="str">
        <f>HLOOKUP(INDICE!$F$2,Nombres!$C$3:$D$636,112,FALSE)</f>
        <v>Crédito no dudoso en gestión (*)</v>
      </c>
      <c r="B62" s="224">
        <v>28483.957066066414</v>
      </c>
      <c r="C62" s="224">
        <v>28757.340791598494</v>
      </c>
      <c r="D62" s="224">
        <v>29861.309026783463</v>
      </c>
      <c r="E62" s="224">
        <v>30146.448114907886</v>
      </c>
      <c r="F62" s="224">
        <v>31409.773702819486</v>
      </c>
      <c r="G62" s="224">
        <v>32861.70131493645</v>
      </c>
      <c r="H62" s="224">
        <v>33775.32991721</v>
      </c>
      <c r="I62" s="224">
        <v>0</v>
      </c>
      <c r="L62" s="223"/>
      <c r="N62" s="278"/>
    </row>
    <row r="63" spans="1:12" ht="14.25">
      <c r="A63" s="216"/>
      <c r="B63" s="225">
        <f>+SUM(B57:B61)-B62</f>
        <v>0</v>
      </c>
      <c r="C63" s="225">
        <f aca="true" t="shared" si="8" ref="C63:I63">+SUM(C57:C61)-C62</f>
        <v>0</v>
      </c>
      <c r="D63" s="225">
        <f t="shared" si="8"/>
        <v>0</v>
      </c>
      <c r="E63" s="225">
        <f t="shared" si="8"/>
        <v>0</v>
      </c>
      <c r="F63" s="225">
        <f t="shared" si="8"/>
        <v>0</v>
      </c>
      <c r="G63" s="225">
        <f t="shared" si="8"/>
        <v>0</v>
      </c>
      <c r="H63" s="225">
        <f t="shared" si="8"/>
        <v>0</v>
      </c>
      <c r="I63" s="225">
        <f t="shared" si="8"/>
        <v>0</v>
      </c>
      <c r="L63" s="226"/>
    </row>
    <row r="64" spans="1:12" ht="14.25">
      <c r="A64" s="216"/>
      <c r="B64" s="216"/>
      <c r="C64" s="216"/>
      <c r="D64" s="216"/>
      <c r="E64" s="216"/>
      <c r="F64" s="216"/>
      <c r="L64" s="216"/>
    </row>
    <row r="65" spans="1:12" ht="14.25">
      <c r="A65" s="234" t="str">
        <f>HLOOKUP(INDICE!$F$2,Nombres!$C$3:$D$636,71,FALSE)</f>
        <v>(*) No incluye las adquisiciones temporales de activos.</v>
      </c>
      <c r="B65" s="216"/>
      <c r="C65" s="216"/>
      <c r="D65" s="216"/>
      <c r="E65" s="216"/>
      <c r="F65" s="216"/>
      <c r="L65" s="216"/>
    </row>
    <row r="66" spans="1:12" ht="14.25">
      <c r="A66" s="216"/>
      <c r="B66" s="216"/>
      <c r="C66" s="216"/>
      <c r="D66" s="216"/>
      <c r="E66" s="216"/>
      <c r="F66" s="216"/>
      <c r="L66" s="216"/>
    </row>
    <row r="67" spans="1:12" ht="14.25">
      <c r="A67" s="216"/>
      <c r="B67" s="216"/>
      <c r="C67" s="216"/>
      <c r="D67" s="216"/>
      <c r="E67" s="216"/>
      <c r="F67" s="216"/>
      <c r="L67" s="216"/>
    </row>
    <row r="68" spans="1:12" ht="14.25">
      <c r="A68" s="216"/>
      <c r="B68" s="216"/>
      <c r="C68" s="216"/>
      <c r="D68" s="216"/>
      <c r="E68" s="216"/>
      <c r="F68" s="216"/>
      <c r="L68" s="216"/>
    </row>
    <row r="69" spans="1:12" ht="14.25">
      <c r="A69" s="216"/>
      <c r="B69" s="216"/>
      <c r="C69" s="216"/>
      <c r="D69" s="216"/>
      <c r="E69" s="216"/>
      <c r="F69" s="216"/>
      <c r="L69" s="216"/>
    </row>
    <row r="70" spans="1:12" ht="14.25">
      <c r="A70" s="216"/>
      <c r="B70" s="216"/>
      <c r="C70" s="216"/>
      <c r="D70" s="216"/>
      <c r="E70" s="216"/>
      <c r="F70" s="216"/>
      <c r="L70" s="216"/>
    </row>
    <row r="71" spans="1:12" ht="14.25">
      <c r="A71" s="216"/>
      <c r="B71" s="216"/>
      <c r="C71" s="216"/>
      <c r="D71" s="216"/>
      <c r="E71" s="216"/>
      <c r="F71" s="216"/>
      <c r="L71" s="216"/>
    </row>
    <row r="72" spans="1:12" ht="14.25">
      <c r="A72" s="216"/>
      <c r="B72" s="216"/>
      <c r="C72" s="216"/>
      <c r="D72" s="216"/>
      <c r="E72" s="216"/>
      <c r="F72" s="216"/>
      <c r="L72" s="216"/>
    </row>
    <row r="73" spans="1:12" ht="14.25">
      <c r="A73" s="216"/>
      <c r="B73" s="216"/>
      <c r="C73" s="216"/>
      <c r="D73" s="216"/>
      <c r="E73" s="216"/>
      <c r="F73" s="216"/>
      <c r="L73" s="216"/>
    </row>
    <row r="74" spans="1:12" ht="14.25">
      <c r="A74" s="216"/>
      <c r="B74" s="216"/>
      <c r="C74" s="216"/>
      <c r="D74" s="216"/>
      <c r="E74" s="216"/>
      <c r="F74" s="216"/>
      <c r="L74" s="216"/>
    </row>
    <row r="1000" ht="14.25">
      <c r="A1000" s="215" t="s">
        <v>397</v>
      </c>
    </row>
  </sheetData>
  <sheetProtection/>
  <mergeCells count="5">
    <mergeCell ref="B4:I4"/>
    <mergeCell ref="B17:I17"/>
    <mergeCell ref="B30:I30"/>
    <mergeCell ref="B43:I43"/>
    <mergeCell ref="B55:I55"/>
  </mergeCells>
  <conditionalFormatting sqref="B14:I14">
    <cfRule type="cellIs" priority="7" dxfId="98" operator="notBetween">
      <formula>0.5</formula>
      <formula>-0.5</formula>
    </cfRule>
  </conditionalFormatting>
  <conditionalFormatting sqref="B26:I26">
    <cfRule type="cellIs" priority="6" dxfId="98" operator="notBetween">
      <formula>0.5</formula>
      <formula>-0.5</formula>
    </cfRule>
  </conditionalFormatting>
  <conditionalFormatting sqref="B40:I40">
    <cfRule type="cellIs" priority="5" dxfId="98" operator="notBetween">
      <formula>0.5</formula>
      <formula>-0.5</formula>
    </cfRule>
  </conditionalFormatting>
  <conditionalFormatting sqref="C40:I40">
    <cfRule type="cellIs" priority="4" dxfId="98" operator="notBetween">
      <formula>0.5</formula>
      <formula>-0.5</formula>
    </cfRule>
  </conditionalFormatting>
  <conditionalFormatting sqref="B52">
    <cfRule type="cellIs" priority="3" dxfId="98" operator="notBetween">
      <formula>0.5</formula>
      <formula>-0.5</formula>
    </cfRule>
  </conditionalFormatting>
  <conditionalFormatting sqref="C52:I52">
    <cfRule type="cellIs" priority="2" dxfId="98" operator="notBetween">
      <formula>0.5</formula>
      <formula>-0.5</formula>
    </cfRule>
  </conditionalFormatting>
  <conditionalFormatting sqref="B63:I63">
    <cfRule type="cellIs" priority="1" dxfId="98" operator="notBetween">
      <formula>0.5</formula>
      <formula>-0.5</formula>
    </cfRule>
  </conditionalFormatting>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L1000"/>
  <sheetViews>
    <sheetView showGridLines="0" zoomScalePageLayoutView="0" workbookViewId="0" topLeftCell="A1">
      <selection activeCell="I1" sqref="I1:I16384"/>
    </sheetView>
  </sheetViews>
  <sheetFormatPr defaultColWidth="11.421875" defaultRowHeight="15"/>
  <cols>
    <col min="1" max="1" width="35.7109375" style="215" customWidth="1"/>
    <col min="2" max="2" width="12.28125" style="215" customWidth="1"/>
    <col min="3" max="8" width="11.421875" style="215" customWidth="1"/>
    <col min="9" max="9" width="11.421875" style="215" hidden="1" customWidth="1"/>
    <col min="10" max="11" width="5.7109375" style="215" customWidth="1"/>
    <col min="12" max="12" width="19.57421875" style="215" customWidth="1"/>
    <col min="13" max="16384" width="11.421875" style="215" customWidth="1"/>
  </cols>
  <sheetData>
    <row r="1" spans="1:9" ht="16.5">
      <c r="A1" s="212" t="str">
        <f>HLOOKUP(INDICE!$F$2,Nombres!$C$3:$D$636,120,FALSE)</f>
        <v>Desglose de los recursos de clientes en gestión</v>
      </c>
      <c r="B1" s="213"/>
      <c r="C1" s="213"/>
      <c r="D1" s="213"/>
      <c r="E1" s="213"/>
      <c r="F1" s="213"/>
      <c r="G1" s="213"/>
      <c r="H1" s="213"/>
      <c r="I1" s="213"/>
    </row>
    <row r="2" spans="1:6" ht="14.25">
      <c r="A2" s="217" t="str">
        <f>HLOOKUP(INDICE!$F$2,Nombres!$C$3:$D$636,73,FALSE)</f>
        <v>(Millones de euros constantes)</v>
      </c>
      <c r="B2" s="216"/>
      <c r="C2" s="216"/>
      <c r="D2" s="216"/>
      <c r="E2" s="216"/>
      <c r="F2" s="216"/>
    </row>
    <row r="3" spans="1:12" ht="15.75" customHeight="1">
      <c r="A3" s="219"/>
      <c r="B3" s="312" t="str">
        <f>HLOOKUP(INDICE!$F$2,Nombres!$C$3:$D$636,7,FALSE)</f>
        <v>España</v>
      </c>
      <c r="C3" s="312"/>
      <c r="D3" s="312"/>
      <c r="E3" s="312"/>
      <c r="F3" s="312"/>
      <c r="G3" s="312"/>
      <c r="H3" s="312"/>
      <c r="I3" s="312"/>
      <c r="L3" s="235"/>
    </row>
    <row r="4" spans="1:9" ht="14.25">
      <c r="A4" s="220"/>
      <c r="B4" s="126">
        <f>+España!B30</f>
        <v>43555</v>
      </c>
      <c r="C4" s="126">
        <f>+España!C30</f>
        <v>43646</v>
      </c>
      <c r="D4" s="126">
        <f>+España!D30</f>
        <v>43738</v>
      </c>
      <c r="E4" s="126">
        <f>+España!E30</f>
        <v>43830</v>
      </c>
      <c r="F4" s="126">
        <f>+España!F30</f>
        <v>43921</v>
      </c>
      <c r="G4" s="126">
        <f>+España!G30</f>
        <v>44012</v>
      </c>
      <c r="H4" s="126">
        <f>+España!H30</f>
        <v>44104</v>
      </c>
      <c r="I4" s="126">
        <f>+España!I30</f>
        <v>44196</v>
      </c>
    </row>
    <row r="5" spans="1:12" ht="14.25">
      <c r="A5" s="221" t="str">
        <f>HLOOKUP(INDICE!$F$2,Nombres!$C$3:$D$636,114,FALSE)</f>
        <v>Depósitos a la vista + Disponibles con preaviso</v>
      </c>
      <c r="B5" s="222">
        <v>146517.89825499998</v>
      </c>
      <c r="C5" s="222">
        <v>148043.270841</v>
      </c>
      <c r="D5" s="222">
        <v>148621.77461199998</v>
      </c>
      <c r="E5" s="222">
        <v>150916.6172</v>
      </c>
      <c r="F5" s="222">
        <v>158491.67497999998</v>
      </c>
      <c r="G5" s="222">
        <v>165079.441489</v>
      </c>
      <c r="H5" s="222">
        <v>165967.154141</v>
      </c>
      <c r="I5" s="222">
        <v>0</v>
      </c>
      <c r="L5" s="221"/>
    </row>
    <row r="6" spans="1:12" ht="14.25">
      <c r="A6" s="221" t="str">
        <f>HLOOKUP(INDICE!$F$2,Nombres!$C$3:$D$636,115,FALSE)</f>
        <v>Depósitos a plazo</v>
      </c>
      <c r="B6" s="222">
        <v>34765.11081499999</v>
      </c>
      <c r="C6" s="222">
        <v>32390.836123999998</v>
      </c>
      <c r="D6" s="222">
        <v>32031.019715000002</v>
      </c>
      <c r="E6" s="222">
        <v>31453.257604999995</v>
      </c>
      <c r="F6" s="222">
        <v>27835.713702999998</v>
      </c>
      <c r="G6" s="222">
        <v>30596.272778</v>
      </c>
      <c r="H6" s="222">
        <v>29715.085439</v>
      </c>
      <c r="I6" s="222">
        <v>0</v>
      </c>
      <c r="L6" s="221"/>
    </row>
    <row r="7" spans="1:12" ht="14.25">
      <c r="A7" s="221" t="str">
        <f>HLOOKUP(INDICE!$F$2,Nombres!$C$3:$D$636,116,FALSE)</f>
        <v>Recursos fuera de balance (*)</v>
      </c>
      <c r="B7" s="222">
        <v>64187.73890332</v>
      </c>
      <c r="C7" s="222">
        <v>64335.04963101</v>
      </c>
      <c r="D7" s="222">
        <v>64728.44502135999</v>
      </c>
      <c r="E7" s="222">
        <v>66068.14777471</v>
      </c>
      <c r="F7" s="222">
        <v>58528.213089720004</v>
      </c>
      <c r="G7" s="222">
        <v>60973.8758073</v>
      </c>
      <c r="H7" s="222">
        <v>60890.98777746001</v>
      </c>
      <c r="I7" s="222">
        <v>0</v>
      </c>
      <c r="L7" s="221"/>
    </row>
    <row r="8" spans="1:12" ht="14.25">
      <c r="A8" s="223" t="str">
        <f>HLOOKUP(INDICE!$F$2,Nombres!$C$3:$D$636,208,FALSE)</f>
        <v> Recursos de clientes en gestión (**)</v>
      </c>
      <c r="B8" s="223">
        <v>245470.74797332002</v>
      </c>
      <c r="C8" s="223">
        <v>244769.15659601</v>
      </c>
      <c r="D8" s="223">
        <v>245381.23934836</v>
      </c>
      <c r="E8" s="223">
        <v>248438.02257971</v>
      </c>
      <c r="F8" s="223">
        <v>244855.60177272002</v>
      </c>
      <c r="G8" s="267">
        <v>256649.5900743</v>
      </c>
      <c r="H8" s="267">
        <v>256573.22735746</v>
      </c>
      <c r="I8" s="267">
        <v>0</v>
      </c>
      <c r="L8" s="223"/>
    </row>
    <row r="9" spans="1:12" ht="14.25">
      <c r="A9" s="221" t="str">
        <f>HLOOKUP(INDICE!$F$2,Nombres!$C$3:$D$636,118,FALSE)</f>
        <v>Vista+Plazo</v>
      </c>
      <c r="B9" s="227">
        <f>+B5+B6</f>
        <v>181283.00906999997</v>
      </c>
      <c r="C9" s="227">
        <f aca="true" t="shared" si="0" ref="C9:I9">+C5+C6</f>
        <v>180434.10696499998</v>
      </c>
      <c r="D9" s="227">
        <f t="shared" si="0"/>
        <v>180652.79432699998</v>
      </c>
      <c r="E9" s="227">
        <f t="shared" si="0"/>
        <v>182369.874805</v>
      </c>
      <c r="F9" s="227">
        <f t="shared" si="0"/>
        <v>186327.38868299997</v>
      </c>
      <c r="G9" s="268">
        <f t="shared" si="0"/>
        <v>195675.71426699997</v>
      </c>
      <c r="H9" s="268">
        <f t="shared" si="0"/>
        <v>195682.23958</v>
      </c>
      <c r="I9" s="268">
        <f t="shared" si="0"/>
        <v>0</v>
      </c>
      <c r="L9" s="216"/>
    </row>
    <row r="10" spans="1:9" ht="14.25">
      <c r="A10" s="216"/>
      <c r="B10" s="225">
        <f>+B5+B6+B7-B8</f>
        <v>0</v>
      </c>
      <c r="C10" s="225">
        <f aca="true" t="shared" si="1" ref="C10:I10">+C5+C6+C7-C8</f>
        <v>0</v>
      </c>
      <c r="D10" s="225">
        <f t="shared" si="1"/>
        <v>0</v>
      </c>
      <c r="E10" s="225">
        <f t="shared" si="1"/>
        <v>0</v>
      </c>
      <c r="F10" s="225">
        <f t="shared" si="1"/>
        <v>0</v>
      </c>
      <c r="G10" s="225">
        <f t="shared" si="1"/>
        <v>0</v>
      </c>
      <c r="H10" s="225">
        <f t="shared" si="1"/>
        <v>0</v>
      </c>
      <c r="I10" s="225">
        <f t="shared" si="1"/>
        <v>0</v>
      </c>
    </row>
    <row r="11" spans="1:9" ht="14.25">
      <c r="A11" s="216"/>
      <c r="B11" s="236"/>
      <c r="C11" s="227"/>
      <c r="D11" s="227"/>
      <c r="E11" s="227"/>
      <c r="F11" s="227"/>
      <c r="G11" s="227"/>
      <c r="H11" s="227"/>
      <c r="I11" s="227"/>
    </row>
    <row r="12" spans="1:12" ht="14.25">
      <c r="A12" s="219"/>
      <c r="B12" s="312" t="str">
        <f>HLOOKUP(INDICE!$F$2,Nombres!$C$3:$D$636,10,FALSE)</f>
        <v>EEUU</v>
      </c>
      <c r="C12" s="312"/>
      <c r="D12" s="312"/>
      <c r="E12" s="312"/>
      <c r="F12" s="312"/>
      <c r="G12" s="312"/>
      <c r="H12" s="312"/>
      <c r="I12" s="312"/>
      <c r="L12" s="235"/>
    </row>
    <row r="13" spans="1:9" ht="14.25">
      <c r="A13" s="220"/>
      <c r="B13" s="126">
        <f>+B$4</f>
        <v>43555</v>
      </c>
      <c r="C13" s="126">
        <f aca="true" t="shared" si="2" ref="C13:I13">+C$4</f>
        <v>43646</v>
      </c>
      <c r="D13" s="126">
        <f t="shared" si="2"/>
        <v>43738</v>
      </c>
      <c r="E13" s="126">
        <f t="shared" si="2"/>
        <v>43830</v>
      </c>
      <c r="F13" s="126">
        <f t="shared" si="2"/>
        <v>43921</v>
      </c>
      <c r="G13" s="126">
        <f t="shared" si="2"/>
        <v>44012</v>
      </c>
      <c r="H13" s="126">
        <f t="shared" si="2"/>
        <v>44104</v>
      </c>
      <c r="I13" s="126">
        <f t="shared" si="2"/>
        <v>44196</v>
      </c>
    </row>
    <row r="14" spans="1:12" ht="14.25">
      <c r="A14" s="221" t="str">
        <f>HLOOKUP(INDICE!$F$2,Nombres!$C$3:$D$636,114,FALSE)</f>
        <v>Depósitos a la vista + Disponibles con preaviso</v>
      </c>
      <c r="B14" s="222">
        <v>46455.95777011271</v>
      </c>
      <c r="C14" s="222">
        <v>45832.52696622697</v>
      </c>
      <c r="D14" s="222">
        <v>47950.93520194382</v>
      </c>
      <c r="E14" s="222">
        <v>50855.36027681212</v>
      </c>
      <c r="F14" s="222">
        <v>53670.00997727039</v>
      </c>
      <c r="G14" s="222">
        <v>60813.84768248546</v>
      </c>
      <c r="H14" s="222">
        <v>63302.01646439</v>
      </c>
      <c r="I14" s="222">
        <v>0</v>
      </c>
      <c r="L14" s="221"/>
    </row>
    <row r="15" spans="1:12" ht="14.25">
      <c r="A15" s="221" t="str">
        <f>HLOOKUP(INDICE!$F$2,Nombres!$C$3:$D$636,115,FALSE)</f>
        <v>Depósitos a plazo</v>
      </c>
      <c r="B15" s="222">
        <v>16074.625062337765</v>
      </c>
      <c r="C15" s="222">
        <v>15518.922070555764</v>
      </c>
      <c r="D15" s="222">
        <v>14709.704815814208</v>
      </c>
      <c r="E15" s="222">
        <v>13939.122942900938</v>
      </c>
      <c r="F15" s="222">
        <v>12689.669288636891</v>
      </c>
      <c r="G15" s="222">
        <v>11542.269037755077</v>
      </c>
      <c r="H15" s="222">
        <v>9997.89616688</v>
      </c>
      <c r="I15" s="222">
        <v>0</v>
      </c>
      <c r="L15" s="221"/>
    </row>
    <row r="16" spans="1:12" ht="14.25">
      <c r="A16" s="221" t="str">
        <f>HLOOKUP(INDICE!$F$2,Nombres!$C$3:$D$636,116,FALSE)</f>
        <v>Recursos fuera de balance (*)</v>
      </c>
      <c r="B16" s="222">
        <v>0</v>
      </c>
      <c r="C16" s="222">
        <v>0</v>
      </c>
      <c r="D16" s="222">
        <v>0</v>
      </c>
      <c r="E16" s="222">
        <v>0</v>
      </c>
      <c r="F16" s="222">
        <v>0</v>
      </c>
      <c r="G16" s="222">
        <v>0</v>
      </c>
      <c r="H16" s="222">
        <v>0</v>
      </c>
      <c r="I16" s="222">
        <v>0</v>
      </c>
      <c r="L16" s="221"/>
    </row>
    <row r="17" spans="1:12" ht="14.25">
      <c r="A17" s="223" t="str">
        <f>HLOOKUP(INDICE!$F$2,Nombres!$C$3:$D$636,208,FALSE)</f>
        <v> Recursos de clientes en gestión (**)</v>
      </c>
      <c r="B17" s="223">
        <v>62530.58283245047</v>
      </c>
      <c r="C17" s="223">
        <v>61351.449036782724</v>
      </c>
      <c r="D17" s="223">
        <v>62660.64001775802</v>
      </c>
      <c r="E17" s="223">
        <v>64794.48321971305</v>
      </c>
      <c r="F17" s="223">
        <v>66359.67926590728</v>
      </c>
      <c r="G17" s="267">
        <v>72356.11672024053</v>
      </c>
      <c r="H17" s="267">
        <v>73299.91263127</v>
      </c>
      <c r="I17" s="267">
        <v>0</v>
      </c>
      <c r="L17" s="223"/>
    </row>
    <row r="18" spans="1:12" ht="14.25">
      <c r="A18" s="221" t="str">
        <f>HLOOKUP(INDICE!$F$2,Nombres!$C$3:$D$636,118,FALSE)</f>
        <v>Vista+Plazo</v>
      </c>
      <c r="B18" s="227">
        <f>+B14+B15</f>
        <v>62530.58283245048</v>
      </c>
      <c r="C18" s="227">
        <f aca="true" t="shared" si="3" ref="C18:I18">+C14+C15</f>
        <v>61351.44903678274</v>
      </c>
      <c r="D18" s="227">
        <f t="shared" si="3"/>
        <v>62660.64001775803</v>
      </c>
      <c r="E18" s="227">
        <f t="shared" si="3"/>
        <v>64794.48321971306</v>
      </c>
      <c r="F18" s="227">
        <f t="shared" si="3"/>
        <v>66359.67926590728</v>
      </c>
      <c r="G18" s="268">
        <f t="shared" si="3"/>
        <v>72356.11672024053</v>
      </c>
      <c r="H18" s="268">
        <f t="shared" si="3"/>
        <v>73299.91263127</v>
      </c>
      <c r="I18" s="268">
        <f t="shared" si="3"/>
        <v>0</v>
      </c>
      <c r="L18" s="237"/>
    </row>
    <row r="19" spans="1:9" ht="14.25">
      <c r="A19" s="216"/>
      <c r="B19" s="225">
        <f>+B14+B15+B16-B17</f>
        <v>0</v>
      </c>
      <c r="C19" s="225">
        <f aca="true" t="shared" si="4" ref="C19:I19">+C14+C15+C16-C17</f>
        <v>0</v>
      </c>
      <c r="D19" s="225">
        <f t="shared" si="4"/>
        <v>0</v>
      </c>
      <c r="E19" s="225">
        <f t="shared" si="4"/>
        <v>0</v>
      </c>
      <c r="F19" s="225">
        <f t="shared" si="4"/>
        <v>0</v>
      </c>
      <c r="G19" s="225">
        <f t="shared" si="4"/>
        <v>0</v>
      </c>
      <c r="H19" s="225">
        <f t="shared" si="4"/>
        <v>0</v>
      </c>
      <c r="I19" s="225">
        <f t="shared" si="4"/>
        <v>0</v>
      </c>
    </row>
    <row r="20" spans="1:9" ht="14.25">
      <c r="A20" s="216"/>
      <c r="B20" s="226"/>
      <c r="C20" s="226"/>
      <c r="D20" s="226"/>
      <c r="E20" s="226"/>
      <c r="F20" s="226"/>
      <c r="G20" s="226"/>
      <c r="H20" s="226"/>
      <c r="I20" s="226"/>
    </row>
    <row r="21" spans="1:12" ht="15.75" customHeight="1">
      <c r="A21" s="219"/>
      <c r="B21" s="312" t="str">
        <f>HLOOKUP(INDICE!$F$2,Nombres!$C$3:$D$636,204,FALSE)</f>
        <v>Mexico (***)</v>
      </c>
      <c r="C21" s="312"/>
      <c r="D21" s="312"/>
      <c r="E21" s="312"/>
      <c r="F21" s="312"/>
      <c r="G21" s="312"/>
      <c r="H21" s="312"/>
      <c r="I21" s="312"/>
      <c r="L21" s="235"/>
    </row>
    <row r="22" spans="1:9" ht="14.25">
      <c r="A22" s="220"/>
      <c r="B22" s="126">
        <f>+B$4</f>
        <v>43555</v>
      </c>
      <c r="C22" s="126">
        <f aca="true" t="shared" si="5" ref="C22:I22">+C$4</f>
        <v>43646</v>
      </c>
      <c r="D22" s="126">
        <f t="shared" si="5"/>
        <v>43738</v>
      </c>
      <c r="E22" s="126">
        <f t="shared" si="5"/>
        <v>43830</v>
      </c>
      <c r="F22" s="126">
        <f t="shared" si="5"/>
        <v>43921</v>
      </c>
      <c r="G22" s="126">
        <f t="shared" si="5"/>
        <v>44012</v>
      </c>
      <c r="H22" s="126">
        <f t="shared" si="5"/>
        <v>44104</v>
      </c>
      <c r="I22" s="126">
        <f t="shared" si="5"/>
        <v>44196</v>
      </c>
    </row>
    <row r="23" spans="1:12" ht="14.25">
      <c r="A23" s="221" t="str">
        <f>HLOOKUP(INDICE!$F$2,Nombres!$C$3:$D$636,114,FALSE)</f>
        <v>Depósitos a la vista + Disponibles con preaviso</v>
      </c>
      <c r="B23" s="222">
        <v>32007.240256650646</v>
      </c>
      <c r="C23" s="222">
        <v>33655.87543388333</v>
      </c>
      <c r="D23" s="222">
        <v>32085.721880705558</v>
      </c>
      <c r="E23" s="222">
        <v>35119.20529422437</v>
      </c>
      <c r="F23" s="222">
        <v>38515.94774713507</v>
      </c>
      <c r="G23" s="222">
        <v>38705.67434165585</v>
      </c>
      <c r="H23" s="222">
        <v>39899.108157645336</v>
      </c>
      <c r="I23" s="222">
        <v>0</v>
      </c>
      <c r="J23" s="222"/>
      <c r="L23" s="221"/>
    </row>
    <row r="24" spans="1:12" ht="14.25">
      <c r="A24" s="221" t="str">
        <f>HLOOKUP(INDICE!$F$2,Nombres!$C$3:$D$636,115,FALSE)</f>
        <v>Depósitos a plazo</v>
      </c>
      <c r="B24" s="222">
        <v>8797.316250647878</v>
      </c>
      <c r="C24" s="222">
        <v>9581.778484347193</v>
      </c>
      <c r="D24" s="222">
        <v>10326.001122255677</v>
      </c>
      <c r="E24" s="222">
        <v>9036.684502223961</v>
      </c>
      <c r="F24" s="222">
        <v>9694.694590929306</v>
      </c>
      <c r="G24" s="222">
        <v>9749.545668679715</v>
      </c>
      <c r="H24" s="222">
        <v>9892.670759365152</v>
      </c>
      <c r="I24" s="222">
        <v>0</v>
      </c>
      <c r="J24" s="222"/>
      <c r="L24" s="221"/>
    </row>
    <row r="25" spans="1:12" ht="14.25">
      <c r="A25" s="221" t="str">
        <f>HLOOKUP(INDICE!$F$2,Nombres!$C$3:$D$636,116,FALSE)</f>
        <v>Recursos fuera de balance (*)</v>
      </c>
      <c r="B25" s="222">
        <v>18893.722394899774</v>
      </c>
      <c r="C25" s="222">
        <v>19575.088135829345</v>
      </c>
      <c r="D25" s="222">
        <v>19851.096177766372</v>
      </c>
      <c r="E25" s="222">
        <v>19876.10982202333</v>
      </c>
      <c r="F25" s="222">
        <v>20658.93064597414</v>
      </c>
      <c r="G25" s="222">
        <v>21132.72476559926</v>
      </c>
      <c r="H25" s="222">
        <v>21388.960926091087</v>
      </c>
      <c r="I25" s="222">
        <v>0</v>
      </c>
      <c r="J25" s="222"/>
      <c r="L25" s="221"/>
    </row>
    <row r="26" spans="1:12" ht="14.25">
      <c r="A26" s="223" t="str">
        <f>HLOOKUP(INDICE!$F$2,Nombres!$C$3:$D$636,208,FALSE)</f>
        <v> Recursos de clientes en gestión (**)</v>
      </c>
      <c r="B26" s="223">
        <v>59698.2789021983</v>
      </c>
      <c r="C26" s="223">
        <v>62812.74205405987</v>
      </c>
      <c r="D26" s="223">
        <v>62262.819180727616</v>
      </c>
      <c r="E26" s="223">
        <v>64031.99961847166</v>
      </c>
      <c r="F26" s="223">
        <v>68869.5729840385</v>
      </c>
      <c r="G26" s="223">
        <v>69587.94477593483</v>
      </c>
      <c r="H26" s="223">
        <v>71180.73984310159</v>
      </c>
      <c r="I26" s="223">
        <v>0</v>
      </c>
      <c r="J26" s="222"/>
      <c r="L26" s="221"/>
    </row>
    <row r="27" spans="1:12" ht="14.25">
      <c r="A27" s="221" t="str">
        <f>HLOOKUP(INDICE!$F$2,Nombres!$C$3:$D$636,118,FALSE)</f>
        <v>Vista+Plazo</v>
      </c>
      <c r="B27" s="227">
        <f>+B23+B24</f>
        <v>40804.55650729853</v>
      </c>
      <c r="C27" s="227">
        <f aca="true" t="shared" si="6" ref="C27:I27">+C23+C24</f>
        <v>43237.65391823053</v>
      </c>
      <c r="D27" s="227">
        <f t="shared" si="6"/>
        <v>42411.72300296123</v>
      </c>
      <c r="E27" s="227">
        <f t="shared" si="6"/>
        <v>44155.88979644833</v>
      </c>
      <c r="F27" s="227">
        <f t="shared" si="6"/>
        <v>48210.642338064376</v>
      </c>
      <c r="G27" s="268">
        <f t="shared" si="6"/>
        <v>48455.22001033557</v>
      </c>
      <c r="H27" s="268">
        <f t="shared" si="6"/>
        <v>49791.77891701049</v>
      </c>
      <c r="I27" s="268">
        <f t="shared" si="6"/>
        <v>0</v>
      </c>
      <c r="J27" s="223"/>
      <c r="L27" s="223"/>
    </row>
    <row r="28" spans="1:9" ht="14.25">
      <c r="A28" s="232" t="str">
        <f>HLOOKUP(INDICE!$F$2,Nombres!$C$3:$D$636,205,FALSE)</f>
        <v>Criterio Local Contable(***) </v>
      </c>
      <c r="B28" s="225">
        <f>+B23+B24+B25-B26</f>
        <v>0</v>
      </c>
      <c r="C28" s="225">
        <f aca="true" t="shared" si="7" ref="C28:I28">+C23+C24+C25-C26</f>
        <v>0</v>
      </c>
      <c r="D28" s="225">
        <f t="shared" si="7"/>
        <v>0</v>
      </c>
      <c r="E28" s="225">
        <f t="shared" si="7"/>
        <v>0</v>
      </c>
      <c r="F28" s="225">
        <f t="shared" si="7"/>
        <v>0</v>
      </c>
      <c r="G28" s="225">
        <f t="shared" si="7"/>
        <v>0</v>
      </c>
      <c r="H28" s="225">
        <f t="shared" si="7"/>
        <v>0</v>
      </c>
      <c r="I28" s="225">
        <f t="shared" si="7"/>
        <v>0</v>
      </c>
    </row>
    <row r="29" spans="1:12" ht="14.25">
      <c r="A29" s="216"/>
      <c r="B29" s="227"/>
      <c r="C29" s="227"/>
      <c r="D29" s="227"/>
      <c r="E29" s="227"/>
      <c r="F29" s="227"/>
      <c r="L29" s="235"/>
    </row>
    <row r="30" spans="1:12" ht="15.75" customHeight="1">
      <c r="A30" s="219"/>
      <c r="B30" s="312" t="str">
        <f>HLOOKUP(INDICE!$F$2,Nombres!$C$3:$D$636,12,FALSE)</f>
        <v>Turquía </v>
      </c>
      <c r="C30" s="312"/>
      <c r="D30" s="312"/>
      <c r="E30" s="312"/>
      <c r="F30" s="312"/>
      <c r="G30" s="312"/>
      <c r="H30" s="312"/>
      <c r="I30" s="312"/>
      <c r="L30" s="235"/>
    </row>
    <row r="31" spans="1:9" ht="14.25">
      <c r="A31" s="220"/>
      <c r="B31" s="126">
        <f>+B$4</f>
        <v>43555</v>
      </c>
      <c r="C31" s="126">
        <f aca="true" t="shared" si="8" ref="C31:I31">+C$4</f>
        <v>43646</v>
      </c>
      <c r="D31" s="126">
        <f t="shared" si="8"/>
        <v>43738</v>
      </c>
      <c r="E31" s="126">
        <f t="shared" si="8"/>
        <v>43830</v>
      </c>
      <c r="F31" s="126">
        <f t="shared" si="8"/>
        <v>43921</v>
      </c>
      <c r="G31" s="126">
        <f t="shared" si="8"/>
        <v>44012</v>
      </c>
      <c r="H31" s="126">
        <f t="shared" si="8"/>
        <v>44104</v>
      </c>
      <c r="I31" s="126">
        <f t="shared" si="8"/>
        <v>44196</v>
      </c>
    </row>
    <row r="32" spans="1:12" ht="14.25">
      <c r="A32" s="221" t="str">
        <f>HLOOKUP(INDICE!$F$2,Nombres!$C$3:$D$636,114,FALSE)</f>
        <v>Depósitos a la vista + Disponibles con preaviso</v>
      </c>
      <c r="B32" s="222">
        <v>9603.833362015057</v>
      </c>
      <c r="C32" s="222">
        <v>10139.76786898339</v>
      </c>
      <c r="D32" s="222">
        <v>10297.306242703871</v>
      </c>
      <c r="E32" s="222">
        <v>11560.752864868444</v>
      </c>
      <c r="F32" s="222">
        <v>13674.660307473223</v>
      </c>
      <c r="G32" s="222">
        <v>16585.83590985762</v>
      </c>
      <c r="H32" s="222">
        <v>19532.052999999996</v>
      </c>
      <c r="I32" s="222">
        <v>0</v>
      </c>
      <c r="L32" s="221"/>
    </row>
    <row r="33" spans="1:12" ht="14.25">
      <c r="A33" s="221" t="str">
        <f>HLOOKUP(INDICE!$F$2,Nombres!$C$3:$D$636,115,FALSE)</f>
        <v>Depósitos a plazo</v>
      </c>
      <c r="B33" s="222">
        <v>18664.115310134897</v>
      </c>
      <c r="C33" s="222">
        <v>18327.38507920504</v>
      </c>
      <c r="D33" s="222">
        <v>17848.042868977725</v>
      </c>
      <c r="E33" s="222">
        <v>18797.00458480052</v>
      </c>
      <c r="F33" s="222">
        <v>18836.61797782033</v>
      </c>
      <c r="G33" s="222">
        <v>17099.275804518395</v>
      </c>
      <c r="H33" s="222">
        <v>18593.327</v>
      </c>
      <c r="I33" s="222">
        <v>0</v>
      </c>
      <c r="L33" s="221"/>
    </row>
    <row r="34" spans="1:12" ht="14.25">
      <c r="A34" s="221" t="str">
        <f>HLOOKUP(INDICE!$F$2,Nombres!$C$3:$D$636,116,FALSE)</f>
        <v>Recursos fuera de balance (*)</v>
      </c>
      <c r="B34" s="222">
        <v>2349.7158812111966</v>
      </c>
      <c r="C34" s="222">
        <v>2152.3966048555485</v>
      </c>
      <c r="D34" s="222">
        <v>2338.5569967119827</v>
      </c>
      <c r="E34" s="222">
        <v>2869.3557016027216</v>
      </c>
      <c r="F34" s="222">
        <v>3059.2576952644913</v>
      </c>
      <c r="G34" s="222">
        <v>3553.0987252365485</v>
      </c>
      <c r="H34" s="222">
        <v>3431.011</v>
      </c>
      <c r="I34" s="222">
        <v>0</v>
      </c>
      <c r="L34" s="221"/>
    </row>
    <row r="35" spans="1:12" ht="14.25">
      <c r="A35" s="223" t="str">
        <f>HLOOKUP(INDICE!$F$2,Nombres!$C$3:$D$636,208,FALSE)</f>
        <v> Recursos de clientes en gestión (**)</v>
      </c>
      <c r="B35" s="223">
        <v>30617.664553361148</v>
      </c>
      <c r="C35" s="223">
        <v>30619.549553043977</v>
      </c>
      <c r="D35" s="223">
        <v>30483.90610839358</v>
      </c>
      <c r="E35" s="223">
        <v>33227.11315127169</v>
      </c>
      <c r="F35" s="223">
        <v>35570.53598055804</v>
      </c>
      <c r="G35" s="267">
        <v>37238.21043961256</v>
      </c>
      <c r="H35" s="267">
        <v>41556.390999999996</v>
      </c>
      <c r="I35" s="267">
        <v>0</v>
      </c>
      <c r="L35" s="223"/>
    </row>
    <row r="36" spans="1:9" ht="14.25">
      <c r="A36" s="221" t="str">
        <f>HLOOKUP(INDICE!$F$2,Nombres!$C$3:$D$636,118,FALSE)</f>
        <v>Vista+Plazo</v>
      </c>
      <c r="B36" s="227">
        <f>+B32+B33</f>
        <v>28267.948672149956</v>
      </c>
      <c r="C36" s="227">
        <f aca="true" t="shared" si="9" ref="C36:I36">+C32+C33</f>
        <v>28467.152948188428</v>
      </c>
      <c r="D36" s="227">
        <f t="shared" si="9"/>
        <v>28145.349111681597</v>
      </c>
      <c r="E36" s="227">
        <f t="shared" si="9"/>
        <v>30357.757449668963</v>
      </c>
      <c r="F36" s="227">
        <f>+F32+F33</f>
        <v>32511.278285293552</v>
      </c>
      <c r="G36" s="268">
        <f t="shared" si="9"/>
        <v>33685.11171437601</v>
      </c>
      <c r="H36" s="268">
        <f t="shared" si="9"/>
        <v>38125.38</v>
      </c>
      <c r="I36" s="268">
        <f t="shared" si="9"/>
        <v>0</v>
      </c>
    </row>
    <row r="37" spans="1:9" ht="14.25">
      <c r="A37" s="216"/>
      <c r="B37" s="225">
        <f>+B32+B33+B34-B35</f>
        <v>0</v>
      </c>
      <c r="C37" s="225">
        <f aca="true" t="shared" si="10" ref="C37:I37">+C32+C33+C34-C35</f>
        <v>0</v>
      </c>
      <c r="D37" s="225">
        <f t="shared" si="10"/>
        <v>0</v>
      </c>
      <c r="E37" s="225">
        <f t="shared" si="10"/>
        <v>0</v>
      </c>
      <c r="F37" s="225">
        <f t="shared" si="10"/>
        <v>0</v>
      </c>
      <c r="G37" s="225">
        <f t="shared" si="10"/>
        <v>0</v>
      </c>
      <c r="H37" s="225">
        <f t="shared" si="10"/>
        <v>0</v>
      </c>
      <c r="I37" s="225">
        <f t="shared" si="10"/>
        <v>0</v>
      </c>
    </row>
    <row r="38" spans="1:9" ht="14.25">
      <c r="A38" s="223"/>
      <c r="B38" s="223"/>
      <c r="C38" s="223"/>
      <c r="D38" s="223"/>
      <c r="E38" s="223"/>
      <c r="F38" s="223"/>
      <c r="G38" s="223"/>
      <c r="H38" s="223"/>
      <c r="I38" s="223"/>
    </row>
    <row r="39" spans="1:12" ht="15.75" customHeight="1">
      <c r="A39" s="219"/>
      <c r="B39" s="312" t="str">
        <f>HLOOKUP(INDICE!$F$2,Nombres!$C$3:$D$636,13,FALSE)</f>
        <v>América del Sur </v>
      </c>
      <c r="C39" s="312"/>
      <c r="D39" s="312"/>
      <c r="E39" s="312"/>
      <c r="F39" s="312"/>
      <c r="G39" s="312"/>
      <c r="H39" s="312"/>
      <c r="I39" s="312"/>
      <c r="L39" s="235"/>
    </row>
    <row r="40" spans="1:9" ht="14.25">
      <c r="A40" s="220"/>
      <c r="B40" s="126">
        <f>+B$4</f>
        <v>43555</v>
      </c>
      <c r="C40" s="126">
        <f aca="true" t="shared" si="11" ref="C40:I40">+C$4</f>
        <v>43646</v>
      </c>
      <c r="D40" s="126">
        <f t="shared" si="11"/>
        <v>43738</v>
      </c>
      <c r="E40" s="126">
        <f t="shared" si="11"/>
        <v>43830</v>
      </c>
      <c r="F40" s="126">
        <f t="shared" si="11"/>
        <v>43921</v>
      </c>
      <c r="G40" s="126">
        <f t="shared" si="11"/>
        <v>44012</v>
      </c>
      <c r="H40" s="126">
        <f t="shared" si="11"/>
        <v>44104</v>
      </c>
      <c r="I40" s="126">
        <f t="shared" si="11"/>
        <v>44196</v>
      </c>
    </row>
    <row r="41" spans="1:12" ht="14.25">
      <c r="A41" s="221" t="s">
        <v>8</v>
      </c>
      <c r="B41" s="222">
        <v>3690.655200055928</v>
      </c>
      <c r="C41" s="222">
        <v>3765.7701504887714</v>
      </c>
      <c r="D41" s="222">
        <v>3536.5026556188795</v>
      </c>
      <c r="E41" s="222">
        <v>3782.843781518634</v>
      </c>
      <c r="F41" s="222">
        <v>4426.089545427179</v>
      </c>
      <c r="G41" s="222">
        <v>5471.78528057696</v>
      </c>
      <c r="H41" s="222">
        <v>5602.661300839999</v>
      </c>
      <c r="I41" s="222">
        <v>0</v>
      </c>
      <c r="L41" s="221"/>
    </row>
    <row r="42" spans="1:12" ht="14.25">
      <c r="A42" s="221" t="s">
        <v>9</v>
      </c>
      <c r="B42" s="222">
        <v>9.003036828140372</v>
      </c>
      <c r="C42" s="222">
        <v>6.122420484471028</v>
      </c>
      <c r="D42" s="222">
        <v>7.8912114467901</v>
      </c>
      <c r="E42" s="222">
        <v>5.361232671538649</v>
      </c>
      <c r="F42" s="222">
        <v>4.117907175301422</v>
      </c>
      <c r="G42" s="222">
        <v>3.5364202654667967</v>
      </c>
      <c r="H42" s="222">
        <v>4.577999999999999</v>
      </c>
      <c r="I42" s="222">
        <v>0</v>
      </c>
      <c r="L42" s="221"/>
    </row>
    <row r="43" spans="1:12" ht="14.25">
      <c r="A43" s="221" t="s">
        <v>10</v>
      </c>
      <c r="B43" s="222">
        <v>11247.310464128785</v>
      </c>
      <c r="C43" s="222">
        <v>11342.231340203403</v>
      </c>
      <c r="D43" s="222">
        <v>11651.863172726611</v>
      </c>
      <c r="E43" s="222">
        <v>11417.847751118827</v>
      </c>
      <c r="F43" s="222">
        <v>12457.84730966443</v>
      </c>
      <c r="G43" s="222">
        <v>13645.294789522794</v>
      </c>
      <c r="H43" s="222">
        <v>12852.946389919998</v>
      </c>
      <c r="I43" s="222">
        <v>0</v>
      </c>
      <c r="L43" s="221"/>
    </row>
    <row r="44" spans="1:12" ht="14.25">
      <c r="A44" s="221" t="s">
        <v>11</v>
      </c>
      <c r="B44" s="222">
        <v>14227.583695880578</v>
      </c>
      <c r="C44" s="222">
        <v>13754.906320500299</v>
      </c>
      <c r="D44" s="222">
        <v>14352.692662940079</v>
      </c>
      <c r="E44" s="222">
        <v>14537.09416087584</v>
      </c>
      <c r="F44" s="222">
        <v>14806.16339931627</v>
      </c>
      <c r="G44" s="222">
        <v>17136.65151939566</v>
      </c>
      <c r="H44" s="222">
        <v>17703.487910869997</v>
      </c>
      <c r="I44" s="222">
        <v>0</v>
      </c>
      <c r="L44" s="221"/>
    </row>
    <row r="45" spans="1:12" ht="14.25">
      <c r="A45" s="221" t="s">
        <v>12</v>
      </c>
      <c r="B45" s="222">
        <v>11617.566463671923</v>
      </c>
      <c r="C45" s="222">
        <v>12007.124487266708</v>
      </c>
      <c r="D45" s="222">
        <v>12248.643420679993</v>
      </c>
      <c r="E45" s="222">
        <v>12489.375931019775</v>
      </c>
      <c r="F45" s="222">
        <v>13101.691880076633</v>
      </c>
      <c r="G45" s="222">
        <v>13352.27268684515</v>
      </c>
      <c r="H45" s="222">
        <v>13733.0042688</v>
      </c>
      <c r="I45" s="222">
        <v>0</v>
      </c>
      <c r="L45" s="221"/>
    </row>
    <row r="46" spans="1:12" ht="14.25">
      <c r="A46" s="223" t="str">
        <f>HLOOKUP(INDICE!$F$2,Nombres!$C$3:$D$636,208,FALSE)</f>
        <v> Recursos de clientes en gestión (**)</v>
      </c>
      <c r="B46" s="223">
        <f aca="true" t="shared" si="12" ref="B46:I46">+SUM(B41:B45)</f>
        <v>40792.11886056535</v>
      </c>
      <c r="C46" s="223">
        <f t="shared" si="12"/>
        <v>40876.15471894365</v>
      </c>
      <c r="D46" s="223">
        <f t="shared" si="12"/>
        <v>41797.59312341236</v>
      </c>
      <c r="E46" s="223">
        <f t="shared" si="12"/>
        <v>42232.52285720462</v>
      </c>
      <c r="F46" s="223">
        <f t="shared" si="12"/>
        <v>44795.91004165981</v>
      </c>
      <c r="G46" s="223">
        <f t="shared" si="12"/>
        <v>49609.54069660603</v>
      </c>
      <c r="H46" s="223">
        <f t="shared" si="12"/>
        <v>49896.677870429994</v>
      </c>
      <c r="I46" s="223">
        <f t="shared" si="12"/>
        <v>0</v>
      </c>
      <c r="L46" s="223"/>
    </row>
    <row r="47" spans="1:9" ht="14.25">
      <c r="A47" s="216"/>
      <c r="B47" s="225">
        <f>+B41+B42+B43+B44+B45-B46</f>
        <v>0</v>
      </c>
      <c r="C47" s="225">
        <f aca="true" t="shared" si="13" ref="C47:I47">+C41+C42+C43+C44+C45-C46</f>
        <v>0</v>
      </c>
      <c r="D47" s="225">
        <f t="shared" si="13"/>
        <v>0</v>
      </c>
      <c r="E47" s="225">
        <f t="shared" si="13"/>
        <v>0</v>
      </c>
      <c r="F47" s="225">
        <f t="shared" si="13"/>
        <v>0</v>
      </c>
      <c r="G47" s="225">
        <f t="shared" si="13"/>
        <v>0</v>
      </c>
      <c r="H47" s="225">
        <f t="shared" si="13"/>
        <v>0</v>
      </c>
      <c r="I47" s="225">
        <f t="shared" si="13"/>
        <v>0</v>
      </c>
    </row>
    <row r="50" ht="14.25">
      <c r="A50" s="234" t="str">
        <f>HLOOKUP(INDICE!$F$2,Nombres!$C$3:$D$636,206,FALSE)</f>
        <v>Incluye fondos de inversión, fondos de pensiones y otros recursos fuera de balance.(*)</v>
      </c>
    </row>
    <row r="51" ht="14.25">
      <c r="A51" s="234" t="str">
        <f>HLOOKUP(INDICE!$F$2,Nombres!$C$3:$D$636,207,FALSE)</f>
        <v>No incluye las cesiones temporales de activos.  (**)</v>
      </c>
    </row>
    <row r="1000" ht="14.25">
      <c r="A1000" s="215" t="s">
        <v>397</v>
      </c>
    </row>
  </sheetData>
  <sheetProtection/>
  <mergeCells count="5">
    <mergeCell ref="B3:I3"/>
    <mergeCell ref="B12:I12"/>
    <mergeCell ref="B21:I21"/>
    <mergeCell ref="B30:I30"/>
    <mergeCell ref="B39:I39"/>
  </mergeCells>
  <conditionalFormatting sqref="B10:I10">
    <cfRule type="cellIs" priority="5" dxfId="98" operator="notBetween">
      <formula>0.5</formula>
      <formula>-0.5</formula>
    </cfRule>
  </conditionalFormatting>
  <conditionalFormatting sqref="B19:I19">
    <cfRule type="cellIs" priority="4" dxfId="98" operator="notBetween">
      <formula>0.5</formula>
      <formula>-0.5</formula>
    </cfRule>
  </conditionalFormatting>
  <conditionalFormatting sqref="B28:I28">
    <cfRule type="cellIs" priority="3" dxfId="98" operator="notBetween">
      <formula>0.5</formula>
      <formula>-0.5</formula>
    </cfRule>
  </conditionalFormatting>
  <conditionalFormatting sqref="B37:I37">
    <cfRule type="cellIs" priority="2" dxfId="98" operator="notBetween">
      <formula>0.5</formula>
      <formula>-0.5</formula>
    </cfRule>
  </conditionalFormatting>
  <conditionalFormatting sqref="B47:I47">
    <cfRule type="cellIs" priority="1" dxfId="98" operator="notBetween">
      <formula>0.5</formula>
      <formula>-0.5</formula>
    </cfRule>
  </conditionalFormatting>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I1000"/>
  <sheetViews>
    <sheetView showGridLines="0" zoomScalePageLayoutView="0" workbookViewId="0" topLeftCell="A1">
      <selection activeCell="L21" sqref="L21"/>
    </sheetView>
  </sheetViews>
  <sheetFormatPr defaultColWidth="11.421875" defaultRowHeight="15"/>
  <cols>
    <col min="1" max="1" width="33.7109375" style="0" customWidth="1"/>
    <col min="9" max="9" width="0" style="0" hidden="1" customWidth="1"/>
  </cols>
  <sheetData>
    <row r="1" spans="1:9" ht="16.5">
      <c r="A1" s="269" t="str">
        <f>HLOOKUP(INDICE!$F$2,Nombres!$C$3:$D$636,242,FALSE)</f>
        <v>Carteras Coap</v>
      </c>
      <c r="B1" s="213"/>
      <c r="C1" s="213"/>
      <c r="D1" s="213"/>
      <c r="E1" s="213"/>
      <c r="F1" s="213"/>
      <c r="G1" s="213"/>
      <c r="H1" s="213"/>
      <c r="I1" s="213"/>
    </row>
    <row r="2" spans="1:9" ht="14.25">
      <c r="A2" s="89" t="str">
        <f>HLOOKUP(INDICE!$F$2,Nombres!$C$3:$D$636,32,FALSE)</f>
        <v>(Millones de euros)</v>
      </c>
      <c r="B2" s="216"/>
      <c r="C2" s="216"/>
      <c r="D2" s="216"/>
      <c r="E2" s="216"/>
      <c r="F2" s="216"/>
      <c r="G2" s="215"/>
      <c r="H2" s="215"/>
      <c r="I2" s="215"/>
    </row>
    <row r="3" spans="1:9" ht="14.25">
      <c r="A3" s="218"/>
      <c r="B3" s="216"/>
      <c r="C3" s="216"/>
      <c r="D3" s="216"/>
      <c r="E3" s="216"/>
      <c r="F3" s="216"/>
      <c r="G3" s="215"/>
      <c r="H3" s="215"/>
      <c r="I3" s="215"/>
    </row>
    <row r="4" spans="1:9" ht="15.75" customHeight="1">
      <c r="A4" s="219"/>
      <c r="B4" s="313" t="str">
        <f>HLOOKUP(INDICE!$F$2,Nombres!$C$3:$D$636,239,FALSE)</f>
        <v>Total Cartera COAP</v>
      </c>
      <c r="C4" s="312"/>
      <c r="D4" s="312"/>
      <c r="E4" s="312"/>
      <c r="F4" s="312"/>
      <c r="G4" s="312"/>
      <c r="H4" s="312"/>
      <c r="I4" s="312"/>
    </row>
    <row r="5" spans="1:9" ht="14.25">
      <c r="A5" s="220"/>
      <c r="B5" s="126">
        <f>+España!B30</f>
        <v>43555</v>
      </c>
      <c r="C5" s="126">
        <f>+España!C30</f>
        <v>43646</v>
      </c>
      <c r="D5" s="126">
        <f>+España!D30</f>
        <v>43738</v>
      </c>
      <c r="E5" s="126">
        <f>+España!E30</f>
        <v>43830</v>
      </c>
      <c r="F5" s="126">
        <f>+España!F30</f>
        <v>43921</v>
      </c>
      <c r="G5" s="126">
        <f>+España!G30</f>
        <v>44012</v>
      </c>
      <c r="H5" s="126">
        <f>+España!H30</f>
        <v>44104</v>
      </c>
      <c r="I5" s="126">
        <f>+España!I30</f>
        <v>44196</v>
      </c>
    </row>
    <row r="6" spans="1:9" ht="14.25">
      <c r="A6" s="270" t="str">
        <f>HLOOKUP(INDICE!$F$2,Nombres!$C$3:$D$636,230,FALSE)</f>
        <v>Grupo BBVA</v>
      </c>
      <c r="B6" s="224">
        <v>52421</v>
      </c>
      <c r="C6" s="224">
        <v>50894</v>
      </c>
      <c r="D6" s="224">
        <v>51598</v>
      </c>
      <c r="E6" s="224">
        <v>50831.4</v>
      </c>
      <c r="F6" s="224">
        <v>54236</v>
      </c>
      <c r="G6" s="224">
        <v>55141.8</v>
      </c>
      <c r="H6" s="224">
        <v>56905</v>
      </c>
      <c r="I6" s="224">
        <v>0</v>
      </c>
    </row>
    <row r="7" spans="1:9" ht="14.25">
      <c r="A7" s="271" t="str">
        <f>HLOOKUP(INDICE!$F$2,Nombres!$C$3:$D$636,231,FALSE)</f>
        <v>Balance Euro</v>
      </c>
      <c r="B7" s="222">
        <v>22992</v>
      </c>
      <c r="C7" s="222">
        <v>23044</v>
      </c>
      <c r="D7" s="222">
        <v>22637</v>
      </c>
      <c r="E7" s="222">
        <v>21901</v>
      </c>
      <c r="F7" s="222">
        <v>24184</v>
      </c>
      <c r="G7" s="222">
        <v>23957</v>
      </c>
      <c r="H7" s="222">
        <v>25212</v>
      </c>
      <c r="I7" s="222">
        <v>0</v>
      </c>
    </row>
    <row r="8" spans="1:9" ht="14.25">
      <c r="A8" s="272" t="str">
        <f>HLOOKUP(INDICE!$F$2,Nombres!$C$3:$D$636,232,FALSE)</f>
        <v>España</v>
      </c>
      <c r="B8" s="222">
        <v>15201</v>
      </c>
      <c r="C8" s="222">
        <v>15416</v>
      </c>
      <c r="D8" s="222">
        <v>14920</v>
      </c>
      <c r="E8" s="222">
        <v>13122</v>
      </c>
      <c r="F8" s="222">
        <v>15376</v>
      </c>
      <c r="G8" s="222">
        <v>15111</v>
      </c>
      <c r="H8" s="222">
        <v>15035</v>
      </c>
      <c r="I8" s="222">
        <v>0</v>
      </c>
    </row>
    <row r="9" spans="1:9" ht="14.25">
      <c r="A9" s="272" t="str">
        <f>HLOOKUP(INDICE!$F$2,Nombres!$C$3:$D$636,233,FALSE)</f>
        <v>Italia</v>
      </c>
      <c r="B9" s="222">
        <v>4581</v>
      </c>
      <c r="C9" s="222">
        <v>4577</v>
      </c>
      <c r="D9" s="222">
        <v>4572</v>
      </c>
      <c r="E9" s="222">
        <v>4067</v>
      </c>
      <c r="F9" s="222">
        <v>4803</v>
      </c>
      <c r="G9" s="222">
        <v>4797</v>
      </c>
      <c r="H9" s="222">
        <v>5852</v>
      </c>
      <c r="I9" s="222">
        <v>0</v>
      </c>
    </row>
    <row r="10" spans="1:9" ht="14.25">
      <c r="A10" s="273" t="str">
        <f>HLOOKUP(INDICE!$F$2,Nombres!$C$3:$D$636,234,FALSE)</f>
        <v>Resto</v>
      </c>
      <c r="B10" s="274">
        <v>3210</v>
      </c>
      <c r="C10" s="274">
        <v>3051</v>
      </c>
      <c r="D10" s="274">
        <v>3145</v>
      </c>
      <c r="E10" s="274">
        <v>4712</v>
      </c>
      <c r="F10" s="274">
        <v>4005</v>
      </c>
      <c r="G10" s="274">
        <v>4049</v>
      </c>
      <c r="H10" s="274">
        <v>4325</v>
      </c>
      <c r="I10" s="274">
        <v>0</v>
      </c>
    </row>
    <row r="11" spans="1:9" ht="14.25">
      <c r="A11" s="271" t="str">
        <f>HLOOKUP(INDICE!$F$2,Nombres!$C$3:$D$636,235,FALSE)</f>
        <v>USA</v>
      </c>
      <c r="B11" s="222">
        <v>11894</v>
      </c>
      <c r="C11" s="222">
        <v>11697</v>
      </c>
      <c r="D11" s="222">
        <v>12227</v>
      </c>
      <c r="E11" s="222">
        <v>11995</v>
      </c>
      <c r="F11" s="222">
        <v>12398</v>
      </c>
      <c r="G11" s="222">
        <v>12327</v>
      </c>
      <c r="H11" s="222">
        <v>12724.1</v>
      </c>
      <c r="I11" s="222">
        <v>0</v>
      </c>
    </row>
    <row r="12" spans="1:9" ht="14.25">
      <c r="A12" s="271" t="str">
        <f>HLOOKUP(INDICE!$F$2,Nombres!$C$3:$D$636,236,FALSE)</f>
        <v>Turquia</v>
      </c>
      <c r="B12" s="222">
        <v>8206</v>
      </c>
      <c r="C12" s="222">
        <v>8149</v>
      </c>
      <c r="D12" s="222">
        <v>8557</v>
      </c>
      <c r="E12" s="222">
        <v>7939</v>
      </c>
      <c r="F12" s="222">
        <v>7853</v>
      </c>
      <c r="G12" s="222">
        <v>7883</v>
      </c>
      <c r="H12" s="222">
        <v>7119</v>
      </c>
      <c r="I12" s="222">
        <v>0</v>
      </c>
    </row>
    <row r="13" spans="1:9" ht="14.25">
      <c r="A13" s="271" t="str">
        <f>HLOOKUP(INDICE!$F$2,Nombres!$C$3:$D$636,237,FALSE)</f>
        <v>Mexico</v>
      </c>
      <c r="B13" s="222">
        <v>6430</v>
      </c>
      <c r="C13" s="222">
        <v>4970</v>
      </c>
      <c r="D13" s="222">
        <v>4912</v>
      </c>
      <c r="E13" s="222">
        <v>6251</v>
      </c>
      <c r="F13" s="222">
        <v>6576</v>
      </c>
      <c r="G13" s="222">
        <v>7140.8</v>
      </c>
      <c r="H13" s="222">
        <v>7945.9</v>
      </c>
      <c r="I13" s="222">
        <v>0</v>
      </c>
    </row>
    <row r="14" spans="1:9" ht="14.25">
      <c r="A14" s="271" t="str">
        <f>HLOOKUP(INDICE!$F$2,Nombres!$C$3:$D$636,238,FALSE)</f>
        <v>Amércia del Sur</v>
      </c>
      <c r="B14" s="222">
        <v>2899</v>
      </c>
      <c r="C14" s="222">
        <v>3034</v>
      </c>
      <c r="D14" s="222">
        <v>3265</v>
      </c>
      <c r="E14" s="222">
        <v>2745.4</v>
      </c>
      <c r="F14" s="222">
        <v>3225</v>
      </c>
      <c r="G14" s="222">
        <v>3834</v>
      </c>
      <c r="H14" s="222">
        <v>3904</v>
      </c>
      <c r="I14" s="222">
        <v>0</v>
      </c>
    </row>
    <row r="15" spans="1:9" ht="14.25">
      <c r="A15" s="303"/>
      <c r="B15" s="275">
        <f aca="true" t="shared" si="0" ref="B15:I15">+B6-B8-B9-B10-B11-B12-B13-B14</f>
        <v>0</v>
      </c>
      <c r="C15" s="275">
        <f t="shared" si="0"/>
        <v>0</v>
      </c>
      <c r="D15" s="275">
        <f t="shared" si="0"/>
        <v>0</v>
      </c>
      <c r="E15" s="275">
        <f t="shared" si="0"/>
        <v>0</v>
      </c>
      <c r="F15" s="275">
        <f t="shared" si="0"/>
        <v>0</v>
      </c>
      <c r="G15" s="275">
        <f t="shared" si="0"/>
        <v>0</v>
      </c>
      <c r="H15" s="275">
        <f t="shared" si="0"/>
        <v>0</v>
      </c>
      <c r="I15" s="275">
        <f t="shared" si="0"/>
        <v>0</v>
      </c>
    </row>
    <row r="16" spans="1:9" ht="14.25">
      <c r="A16" s="303"/>
      <c r="B16" s="275"/>
      <c r="C16" s="275"/>
      <c r="D16" s="275"/>
      <c r="E16" s="275"/>
      <c r="F16" s="275"/>
      <c r="G16" s="275"/>
      <c r="H16" s="275"/>
      <c r="I16" s="275"/>
    </row>
    <row r="17" spans="1:9" ht="14.25">
      <c r="A17" s="303"/>
      <c r="B17" s="275"/>
      <c r="C17" s="275"/>
      <c r="D17" s="275"/>
      <c r="E17" s="275"/>
      <c r="F17" s="275"/>
      <c r="G17" s="275"/>
      <c r="H17" s="275"/>
      <c r="I17" s="275"/>
    </row>
    <row r="18" spans="1:9" ht="15.75" customHeight="1">
      <c r="A18" s="219"/>
      <c r="B18" s="313" t="str">
        <f>HLOOKUP(INDICE!$F$2,Nombres!$C$3:$D$636,240,FALSE)</f>
        <v>Cartera COAP a Coste Amortizado</v>
      </c>
      <c r="C18" s="312"/>
      <c r="D18" s="312"/>
      <c r="E18" s="312"/>
      <c r="F18" s="312"/>
      <c r="G18" s="312"/>
      <c r="H18" s="312"/>
      <c r="I18" s="312"/>
    </row>
    <row r="19" spans="1:9" ht="14.25">
      <c r="A19" s="220"/>
      <c r="B19" s="126">
        <f aca="true" t="shared" si="1" ref="B19:I19">+B$5</f>
        <v>43555</v>
      </c>
      <c r="C19" s="126">
        <f t="shared" si="1"/>
        <v>43646</v>
      </c>
      <c r="D19" s="126">
        <f t="shared" si="1"/>
        <v>43738</v>
      </c>
      <c r="E19" s="126">
        <f t="shared" si="1"/>
        <v>43830</v>
      </c>
      <c r="F19" s="126">
        <f t="shared" si="1"/>
        <v>43921</v>
      </c>
      <c r="G19" s="126">
        <f t="shared" si="1"/>
        <v>44012</v>
      </c>
      <c r="H19" s="126">
        <f t="shared" si="1"/>
        <v>44104</v>
      </c>
      <c r="I19" s="126">
        <f t="shared" si="1"/>
        <v>44196</v>
      </c>
    </row>
    <row r="20" spans="1:9" ht="14.25">
      <c r="A20" s="270" t="str">
        <f>HLOOKUP(INDICE!$F$2,Nombres!$C$3:$D$636,230,FALSE)</f>
        <v>Grupo BBVA</v>
      </c>
      <c r="B20" s="224">
        <v>21015.82</v>
      </c>
      <c r="C20" s="224">
        <v>21479</v>
      </c>
      <c r="D20" s="224">
        <v>23362</v>
      </c>
      <c r="E20" s="224">
        <v>23176</v>
      </c>
      <c r="F20" s="224">
        <v>27697.7</v>
      </c>
      <c r="G20" s="224">
        <v>29002.8</v>
      </c>
      <c r="H20" s="224">
        <v>28884.319999999996</v>
      </c>
      <c r="I20" s="224">
        <v>0</v>
      </c>
    </row>
    <row r="21" spans="1:9" ht="14.25">
      <c r="A21" s="271" t="str">
        <f>HLOOKUP(INDICE!$F$2,Nombres!$C$3:$D$636,231,FALSE)</f>
        <v>Balance Euro</v>
      </c>
      <c r="B21" s="222">
        <v>12432</v>
      </c>
      <c r="C21" s="222">
        <v>12599</v>
      </c>
      <c r="D21" s="222">
        <v>12737</v>
      </c>
      <c r="E21" s="222">
        <v>12485</v>
      </c>
      <c r="F21" s="222">
        <v>15456</v>
      </c>
      <c r="G21" s="222">
        <v>15175</v>
      </c>
      <c r="H21" s="222">
        <v>15063</v>
      </c>
      <c r="I21" s="222">
        <v>0</v>
      </c>
    </row>
    <row r="22" spans="1:9" ht="14.25">
      <c r="A22" s="272" t="str">
        <f>HLOOKUP(INDICE!$F$2,Nombres!$C$3:$D$636,232,FALSE)</f>
        <v>España</v>
      </c>
      <c r="B22" s="222">
        <v>9149</v>
      </c>
      <c r="C22" s="222">
        <v>9368</v>
      </c>
      <c r="D22" s="222">
        <v>9524</v>
      </c>
      <c r="E22" s="222">
        <v>9346</v>
      </c>
      <c r="F22" s="222">
        <v>11607</v>
      </c>
      <c r="G22" s="222">
        <v>11345</v>
      </c>
      <c r="H22" s="222">
        <v>11270</v>
      </c>
      <c r="I22" s="222">
        <v>0</v>
      </c>
    </row>
    <row r="23" spans="1:9" ht="14.25">
      <c r="A23" s="272" t="str">
        <f>HLOOKUP(INDICE!$F$2,Nombres!$C$3:$D$636,233,FALSE)</f>
        <v>Italia</v>
      </c>
      <c r="B23" s="222">
        <v>2985</v>
      </c>
      <c r="C23" s="222">
        <v>2981</v>
      </c>
      <c r="D23" s="222">
        <v>2977</v>
      </c>
      <c r="E23" s="222">
        <v>2973</v>
      </c>
      <c r="F23" s="222">
        <v>3710</v>
      </c>
      <c r="G23" s="222">
        <v>3705</v>
      </c>
      <c r="H23" s="222">
        <v>3697</v>
      </c>
      <c r="I23" s="222">
        <v>0</v>
      </c>
    </row>
    <row r="24" spans="1:9" ht="14.25">
      <c r="A24" s="273" t="str">
        <f>HLOOKUP(INDICE!$F$2,Nombres!$C$3:$D$636,234,FALSE)</f>
        <v>Resto</v>
      </c>
      <c r="B24" s="222">
        <v>298</v>
      </c>
      <c r="C24" s="222">
        <v>250</v>
      </c>
      <c r="D24" s="222">
        <v>236</v>
      </c>
      <c r="E24" s="222">
        <v>166</v>
      </c>
      <c r="F24" s="222">
        <v>139</v>
      </c>
      <c r="G24" s="222">
        <v>125</v>
      </c>
      <c r="H24" s="222">
        <v>96</v>
      </c>
      <c r="I24" s="222">
        <v>0</v>
      </c>
    </row>
    <row r="25" spans="1:9" ht="14.25">
      <c r="A25" s="271" t="str">
        <f>HLOOKUP(INDICE!$F$2,Nombres!$C$3:$D$636,235,FALSE)</f>
        <v>USA</v>
      </c>
      <c r="B25" s="222">
        <v>3498</v>
      </c>
      <c r="C25" s="222">
        <v>3758</v>
      </c>
      <c r="D25" s="222">
        <v>5234</v>
      </c>
      <c r="E25" s="222">
        <v>5540</v>
      </c>
      <c r="F25" s="222">
        <v>6695</v>
      </c>
      <c r="G25" s="222">
        <v>7298</v>
      </c>
      <c r="H25" s="222">
        <v>7695.1</v>
      </c>
      <c r="I25" s="222">
        <v>0</v>
      </c>
    </row>
    <row r="26" spans="1:9" ht="14.25">
      <c r="A26" s="271" t="str">
        <f>HLOOKUP(INDICE!$F$2,Nombres!$C$3:$D$636,236,FALSE)</f>
        <v>Turquia</v>
      </c>
      <c r="B26" s="222">
        <v>4180</v>
      </c>
      <c r="C26" s="222">
        <v>4236</v>
      </c>
      <c r="D26" s="222">
        <v>4533</v>
      </c>
      <c r="E26" s="222">
        <v>4287</v>
      </c>
      <c r="F26" s="222">
        <v>4485</v>
      </c>
      <c r="G26" s="222">
        <v>4192</v>
      </c>
      <c r="H26" s="222">
        <v>3786</v>
      </c>
      <c r="I26" s="222">
        <v>0</v>
      </c>
    </row>
    <row r="27" spans="1:9" ht="14.25">
      <c r="A27" s="271" t="str">
        <f>HLOOKUP(INDICE!$F$2,Nombres!$C$3:$D$636,237,FALSE)</f>
        <v>Mexico</v>
      </c>
      <c r="B27" s="222">
        <v>784</v>
      </c>
      <c r="C27" s="222">
        <v>779</v>
      </c>
      <c r="D27" s="222">
        <v>792</v>
      </c>
      <c r="E27" s="222">
        <v>801</v>
      </c>
      <c r="F27" s="222">
        <v>1004.7</v>
      </c>
      <c r="G27" s="222">
        <v>2280.8</v>
      </c>
      <c r="H27" s="222">
        <v>2260.1</v>
      </c>
      <c r="I27" s="222">
        <v>0</v>
      </c>
    </row>
    <row r="28" spans="1:9" ht="14.25">
      <c r="A28" s="271" t="str">
        <f>HLOOKUP(INDICE!$F$2,Nombres!$C$3:$D$636,238,FALSE)</f>
        <v>Amércia del Sur</v>
      </c>
      <c r="B28" s="222">
        <v>122</v>
      </c>
      <c r="C28" s="222">
        <v>107</v>
      </c>
      <c r="D28" s="222">
        <v>66</v>
      </c>
      <c r="E28" s="222">
        <v>63</v>
      </c>
      <c r="F28" s="222">
        <v>57</v>
      </c>
      <c r="G28" s="222">
        <v>57</v>
      </c>
      <c r="H28" s="222">
        <v>80.12</v>
      </c>
      <c r="I28" s="222">
        <v>0</v>
      </c>
    </row>
    <row r="29" spans="1:9" ht="14.25">
      <c r="A29" s="303"/>
      <c r="B29" s="275">
        <f aca="true" t="shared" si="2" ref="B29:I29">+B20-B22-B23-B24-B25-B26-B27-B28</f>
        <v>-0.18000000000029104</v>
      </c>
      <c r="C29" s="275">
        <f t="shared" si="2"/>
        <v>0</v>
      </c>
      <c r="D29" s="275">
        <f t="shared" si="2"/>
        <v>0</v>
      </c>
      <c r="E29" s="275">
        <f t="shared" si="2"/>
        <v>0</v>
      </c>
      <c r="F29" s="275">
        <f t="shared" si="2"/>
        <v>6.821210263296962E-13</v>
      </c>
      <c r="G29" s="275">
        <f t="shared" si="2"/>
        <v>-9.094947017729282E-13</v>
      </c>
      <c r="H29" s="275">
        <f t="shared" si="2"/>
        <v>-4.206412995699793E-12</v>
      </c>
      <c r="I29" s="275">
        <f t="shared" si="2"/>
        <v>0</v>
      </c>
    </row>
    <row r="30" spans="1:9" ht="14.25">
      <c r="A30" s="303"/>
      <c r="B30" s="215"/>
      <c r="C30" s="215"/>
      <c r="D30" s="215"/>
      <c r="E30" s="215"/>
      <c r="F30" s="227"/>
      <c r="G30" s="227"/>
      <c r="H30" s="227"/>
      <c r="I30" s="227"/>
    </row>
    <row r="31" spans="1:9" ht="14.25">
      <c r="A31" s="216"/>
      <c r="B31" s="227"/>
      <c r="C31" s="227"/>
      <c r="D31" s="227"/>
      <c r="E31" s="227"/>
      <c r="F31" s="227"/>
      <c r="G31" s="215"/>
      <c r="H31" s="215"/>
      <c r="I31" s="215"/>
    </row>
    <row r="32" spans="1:9" ht="15.75" customHeight="1">
      <c r="A32" s="219"/>
      <c r="B32" s="313" t="str">
        <f>HLOOKUP(INDICE!$F$2,Nombres!$C$3:$D$636,241,FALSE)</f>
        <v>Cartera COAP a Valor Razonable</v>
      </c>
      <c r="C32" s="312"/>
      <c r="D32" s="312"/>
      <c r="E32" s="312"/>
      <c r="F32" s="312"/>
      <c r="G32" s="312"/>
      <c r="H32" s="312"/>
      <c r="I32" s="312"/>
    </row>
    <row r="33" spans="1:9" ht="14.25">
      <c r="A33" s="220"/>
      <c r="B33" s="126">
        <f aca="true" t="shared" si="3" ref="B33:I33">+B$5</f>
        <v>43555</v>
      </c>
      <c r="C33" s="126">
        <f t="shared" si="3"/>
        <v>43646</v>
      </c>
      <c r="D33" s="126">
        <f t="shared" si="3"/>
        <v>43738</v>
      </c>
      <c r="E33" s="126">
        <f t="shared" si="3"/>
        <v>43830</v>
      </c>
      <c r="F33" s="126">
        <f t="shared" si="3"/>
        <v>43921</v>
      </c>
      <c r="G33" s="126">
        <f t="shared" si="3"/>
        <v>44012</v>
      </c>
      <c r="H33" s="126">
        <f t="shared" si="3"/>
        <v>44104</v>
      </c>
      <c r="I33" s="126">
        <f t="shared" si="3"/>
        <v>44196</v>
      </c>
    </row>
    <row r="34" spans="1:9" ht="14.25">
      <c r="A34" s="270" t="str">
        <f>HLOOKUP(INDICE!$F$2,Nombres!$C$3:$D$636,230,FALSE)</f>
        <v>Grupo BBVA</v>
      </c>
      <c r="B34" s="224">
        <v>31405.18</v>
      </c>
      <c r="C34" s="224">
        <v>29415</v>
      </c>
      <c r="D34" s="224">
        <v>28235</v>
      </c>
      <c r="E34" s="224">
        <v>27655</v>
      </c>
      <c r="F34" s="224">
        <v>26538</v>
      </c>
      <c r="G34" s="224">
        <v>26139</v>
      </c>
      <c r="H34" s="224">
        <v>28020.68</v>
      </c>
      <c r="I34" s="224">
        <v>0</v>
      </c>
    </row>
    <row r="35" spans="1:9" ht="14.25">
      <c r="A35" s="221" t="str">
        <f>HLOOKUP(INDICE!$F$2,Nombres!$C$3:$D$636,231,FALSE)</f>
        <v>Balance Euro</v>
      </c>
      <c r="B35" s="222">
        <v>10560</v>
      </c>
      <c r="C35" s="222">
        <v>10445</v>
      </c>
      <c r="D35" s="222">
        <v>9900</v>
      </c>
      <c r="E35" s="222">
        <v>9416</v>
      </c>
      <c r="F35" s="222">
        <v>8728</v>
      </c>
      <c r="G35" s="222">
        <v>8782</v>
      </c>
      <c r="H35" s="222">
        <v>10149</v>
      </c>
      <c r="I35" s="222">
        <v>0</v>
      </c>
    </row>
    <row r="36" spans="1:9" ht="14.25">
      <c r="A36" s="273" t="str">
        <f>HLOOKUP(INDICE!$F$2,Nombres!$C$3:$D$636,232,FALSE)</f>
        <v>España</v>
      </c>
      <c r="B36" s="222">
        <v>6052</v>
      </c>
      <c r="C36" s="222">
        <v>6048</v>
      </c>
      <c r="D36" s="222">
        <v>5396</v>
      </c>
      <c r="E36" s="222">
        <v>3776</v>
      </c>
      <c r="F36" s="222">
        <v>3769</v>
      </c>
      <c r="G36" s="222">
        <v>3766</v>
      </c>
      <c r="H36" s="222">
        <v>3765</v>
      </c>
      <c r="I36" s="222">
        <v>0</v>
      </c>
    </row>
    <row r="37" spans="1:9" ht="14.25">
      <c r="A37" s="273" t="str">
        <f>HLOOKUP(INDICE!$F$2,Nombres!$C$3:$D$636,233,FALSE)</f>
        <v>Italia</v>
      </c>
      <c r="B37" s="222">
        <v>1596</v>
      </c>
      <c r="C37" s="222">
        <v>1596</v>
      </c>
      <c r="D37" s="222">
        <v>1595</v>
      </c>
      <c r="E37" s="222">
        <v>1094</v>
      </c>
      <c r="F37" s="222">
        <v>1093</v>
      </c>
      <c r="G37" s="222">
        <v>1092</v>
      </c>
      <c r="H37" s="222">
        <v>2155</v>
      </c>
      <c r="I37" s="222">
        <v>0</v>
      </c>
    </row>
    <row r="38" spans="1:9" ht="14.25">
      <c r="A38" s="273" t="str">
        <f>HLOOKUP(INDICE!$F$2,Nombres!$C$3:$D$636,234,FALSE)</f>
        <v>Resto</v>
      </c>
      <c r="B38" s="222">
        <v>2912</v>
      </c>
      <c r="C38" s="222">
        <v>2801</v>
      </c>
      <c r="D38" s="222">
        <v>2909</v>
      </c>
      <c r="E38" s="222">
        <v>4546</v>
      </c>
      <c r="F38" s="222">
        <v>3866</v>
      </c>
      <c r="G38" s="222">
        <v>3924</v>
      </c>
      <c r="H38" s="222">
        <v>4229</v>
      </c>
      <c r="I38" s="222">
        <v>0</v>
      </c>
    </row>
    <row r="39" spans="1:9" ht="14.25">
      <c r="A39" s="221" t="str">
        <f>HLOOKUP(INDICE!$F$2,Nombres!$C$3:$D$636,235,FALSE)</f>
        <v>USA</v>
      </c>
      <c r="B39" s="222">
        <v>8396</v>
      </c>
      <c r="C39" s="222">
        <v>7939</v>
      </c>
      <c r="D39" s="222">
        <v>6993</v>
      </c>
      <c r="E39" s="222">
        <v>6455</v>
      </c>
      <c r="F39" s="222">
        <v>5703</v>
      </c>
      <c r="G39" s="222">
        <v>5029</v>
      </c>
      <c r="H39" s="222">
        <v>5029</v>
      </c>
      <c r="I39" s="222">
        <v>0</v>
      </c>
    </row>
    <row r="40" spans="1:9" ht="14.25">
      <c r="A40" s="221" t="str">
        <f>HLOOKUP(INDICE!$F$2,Nombres!$C$3:$D$636,236,FALSE)</f>
        <v>Turquia</v>
      </c>
      <c r="B40" s="222">
        <v>4026</v>
      </c>
      <c r="C40" s="222">
        <v>3913</v>
      </c>
      <c r="D40" s="222">
        <v>4024</v>
      </c>
      <c r="E40" s="222">
        <v>3652</v>
      </c>
      <c r="F40" s="222">
        <v>3368</v>
      </c>
      <c r="G40" s="222">
        <v>3691</v>
      </c>
      <c r="H40" s="222">
        <v>3333</v>
      </c>
      <c r="I40" s="222">
        <v>0</v>
      </c>
    </row>
    <row r="41" spans="1:9" ht="14.25">
      <c r="A41" s="221" t="str">
        <f>HLOOKUP(INDICE!$F$2,Nombres!$C$3:$D$636,237,FALSE)</f>
        <v>Mexico</v>
      </c>
      <c r="B41" s="222">
        <v>5646</v>
      </c>
      <c r="C41" s="222">
        <v>4191</v>
      </c>
      <c r="D41" s="222">
        <v>4119</v>
      </c>
      <c r="E41" s="222">
        <v>5450</v>
      </c>
      <c r="F41" s="222">
        <v>5571</v>
      </c>
      <c r="G41" s="222">
        <v>4860</v>
      </c>
      <c r="H41" s="222">
        <v>5685.8</v>
      </c>
      <c r="I41" s="222">
        <v>0</v>
      </c>
    </row>
    <row r="42" spans="1:9" ht="14.25">
      <c r="A42" s="221" t="str">
        <f>HLOOKUP(INDICE!$F$2,Nombres!$C$3:$D$636,238,FALSE)</f>
        <v>Amércia del Sur</v>
      </c>
      <c r="B42" s="222">
        <v>2777</v>
      </c>
      <c r="C42" s="222">
        <v>2927</v>
      </c>
      <c r="D42" s="222">
        <v>3199</v>
      </c>
      <c r="E42" s="222">
        <v>2682</v>
      </c>
      <c r="F42" s="222">
        <v>3168</v>
      </c>
      <c r="G42" s="222">
        <v>3777</v>
      </c>
      <c r="H42" s="222">
        <v>3823.88</v>
      </c>
      <c r="I42" s="222">
        <v>0</v>
      </c>
    </row>
    <row r="43" spans="2:9" ht="14.25">
      <c r="B43" s="275">
        <f aca="true" t="shared" si="4" ref="B43:I43">+B34-B36-B37-B38-B39-B40-B41-B42</f>
        <v>0.18000000000029104</v>
      </c>
      <c r="C43" s="275">
        <f t="shared" si="4"/>
        <v>0</v>
      </c>
      <c r="D43" s="275">
        <f t="shared" si="4"/>
        <v>0</v>
      </c>
      <c r="E43" s="275">
        <f t="shared" si="4"/>
        <v>0</v>
      </c>
      <c r="F43" s="275">
        <f t="shared" si="4"/>
        <v>0</v>
      </c>
      <c r="G43" s="275">
        <f>+G34-G36-G37-G38-G39-G40-G41-G42</f>
        <v>0</v>
      </c>
      <c r="H43" s="275">
        <f t="shared" si="4"/>
        <v>0</v>
      </c>
      <c r="I43" s="275">
        <f t="shared" si="4"/>
        <v>0</v>
      </c>
    </row>
    <row r="1000" ht="14.25">
      <c r="A1000" s="215" t="s">
        <v>397</v>
      </c>
    </row>
  </sheetData>
  <sheetProtection/>
  <mergeCells count="3">
    <mergeCell ref="B4:I4"/>
    <mergeCell ref="B18:I18"/>
    <mergeCell ref="B32:I32"/>
  </mergeCells>
  <conditionalFormatting sqref="B15:I17">
    <cfRule type="cellIs" priority="3" dxfId="98" operator="notEqual">
      <formula>0</formula>
    </cfRule>
  </conditionalFormatting>
  <conditionalFormatting sqref="B29:I29">
    <cfRule type="cellIs" priority="2" dxfId="98" operator="notBetween">
      <formula>1</formula>
      <formula>-1</formula>
    </cfRule>
  </conditionalFormatting>
  <conditionalFormatting sqref="B43:I43">
    <cfRule type="cellIs" priority="1" dxfId="98" operator="notBetween">
      <formula>1</formula>
      <formula>-1</formula>
    </cfRule>
  </conditionalFormatting>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000"/>
  <sheetViews>
    <sheetView showGridLines="0" zoomScale="80" zoomScaleNormal="80" zoomScalePageLayoutView="0" workbookViewId="0" topLeftCell="A1">
      <selection activeCell="I1" sqref="I1:I16384"/>
    </sheetView>
  </sheetViews>
  <sheetFormatPr defaultColWidth="11.421875" defaultRowHeight="15"/>
  <cols>
    <col min="1" max="1" width="85.00390625" style="31" customWidth="1"/>
    <col min="2" max="4" width="11.421875" style="31" customWidth="1"/>
    <col min="5" max="5" width="10.421875" style="31" customWidth="1"/>
    <col min="6" max="6" width="11.421875" style="31" customWidth="1"/>
    <col min="7" max="7" width="11.8515625" style="31" bestFit="1" customWidth="1"/>
    <col min="8" max="8" width="11.57421875" style="31" bestFit="1" customWidth="1"/>
    <col min="9" max="9" width="11.57421875" style="31" hidden="1" customWidth="1"/>
    <col min="10" max="16384" width="11.421875" style="31" customWidth="1"/>
  </cols>
  <sheetData>
    <row r="1" spans="1:9" ht="16.5">
      <c r="A1" s="29" t="str">
        <f>HLOOKUP(INDICE!$F$2,Nombres!$C$3:$D$636,91,FALSE)</f>
        <v>Grupo BBVA. Cuentas de resultados consolidadas</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5">
        <f>+España!B6</f>
        <v>2019</v>
      </c>
      <c r="C6" s="305"/>
      <c r="D6" s="305"/>
      <c r="E6" s="306"/>
      <c r="F6" s="307">
        <f>+España!F6</f>
        <v>2020</v>
      </c>
      <c r="G6" s="305"/>
      <c r="H6" s="305"/>
      <c r="I6" s="305"/>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4397.9275026</v>
      </c>
      <c r="C8" s="41">
        <v>4543.53272175</v>
      </c>
      <c r="D8" s="41">
        <v>4473.36023464</v>
      </c>
      <c r="E8" s="42">
        <v>4708.792296660001</v>
      </c>
      <c r="F8" s="41">
        <v>4556.0459998999995</v>
      </c>
      <c r="G8" s="52">
        <v>4097.22400002</v>
      </c>
      <c r="H8" s="52">
        <v>4109.46700007</v>
      </c>
      <c r="I8" s="52">
        <v>0</v>
      </c>
    </row>
    <row r="9" spans="1:9" ht="14.25">
      <c r="A9" s="43" t="str">
        <f>HLOOKUP(INDICE!$F$2,Nombres!$C$3:$D$636,34,FALSE)</f>
        <v>Comisiones netas</v>
      </c>
      <c r="B9" s="44">
        <v>1213.998</v>
      </c>
      <c r="C9" s="44">
        <v>1255.80100002</v>
      </c>
      <c r="D9" s="44">
        <v>1272.97799992</v>
      </c>
      <c r="E9" s="45">
        <v>1290.092</v>
      </c>
      <c r="F9" s="44">
        <v>1257.6620000099997</v>
      </c>
      <c r="G9" s="44">
        <v>1043.2239999600001</v>
      </c>
      <c r="H9" s="44">
        <v>1142.95299991</v>
      </c>
      <c r="I9" s="44">
        <v>0</v>
      </c>
    </row>
    <row r="10" spans="1:9" ht="14.25">
      <c r="A10" s="43" t="str">
        <f>HLOOKUP(INDICE!$F$2,Nombres!$C$3:$D$636,35,FALSE)</f>
        <v>Resultados de operaciones financieras</v>
      </c>
      <c r="B10" s="44">
        <v>426.17800001999996</v>
      </c>
      <c r="C10" s="44">
        <v>116.03799998999999</v>
      </c>
      <c r="D10" s="44">
        <v>351.2339999899999</v>
      </c>
      <c r="E10" s="45">
        <v>490.02400001</v>
      </c>
      <c r="F10" s="44">
        <v>594.40199996</v>
      </c>
      <c r="G10" s="44">
        <v>512.32400002</v>
      </c>
      <c r="H10" s="44">
        <v>372.26599996999994</v>
      </c>
      <c r="I10" s="44">
        <v>0</v>
      </c>
    </row>
    <row r="11" spans="1:9" ht="14.25">
      <c r="A11" s="43" t="str">
        <f>HLOOKUP(INDICE!$F$2,Nombres!$C$3:$D$636,96,FALSE)</f>
        <v>Ingresos por dividendos</v>
      </c>
      <c r="B11" s="44">
        <v>10.28400000000002</v>
      </c>
      <c r="C11" s="44">
        <v>92.24199998999993</v>
      </c>
      <c r="D11" s="44">
        <v>1.3880000000002057</v>
      </c>
      <c r="E11" s="45">
        <v>58.51300000000013</v>
      </c>
      <c r="F11" s="44">
        <v>5.850999999999939</v>
      </c>
      <c r="G11" s="44">
        <v>70.66500000000009</v>
      </c>
      <c r="H11" s="44">
        <v>4.475000009999947</v>
      </c>
      <c r="I11" s="44">
        <v>0</v>
      </c>
    </row>
    <row r="12" spans="1:9" ht="14.25">
      <c r="A12" s="43" t="str">
        <f>HLOOKUP(INDICE!$F$2,Nombres!$C$3:$D$636,97,FALSE)</f>
        <v>Part. gananc/pdas inversiones en dependientes, neg conjunt y asoc</v>
      </c>
      <c r="B12" s="44">
        <v>-4.149</v>
      </c>
      <c r="C12" s="44">
        <v>-15.067000000000002</v>
      </c>
      <c r="D12" s="44">
        <v>-6.136999999999996</v>
      </c>
      <c r="E12" s="45">
        <v>-16.655</v>
      </c>
      <c r="F12" s="44">
        <v>-7.762000000000002</v>
      </c>
      <c r="G12" s="44">
        <v>-9.286999999999997</v>
      </c>
      <c r="H12" s="44">
        <v>-9.142</v>
      </c>
      <c r="I12" s="44">
        <v>0</v>
      </c>
    </row>
    <row r="13" spans="1:9" ht="14.25">
      <c r="A13" s="43" t="str">
        <f>HLOOKUP(INDICE!$F$2,Nombres!$C$3:$D$636,98,FALSE)</f>
        <v>Otros productos/cargas de explotación</v>
      </c>
      <c r="B13" s="44">
        <v>1.8620000100000027</v>
      </c>
      <c r="C13" s="44">
        <v>-95.11899996999996</v>
      </c>
      <c r="D13" s="44">
        <v>27.216999960000045</v>
      </c>
      <c r="E13" s="45">
        <v>-130.98099998000006</v>
      </c>
      <c r="F13" s="44">
        <v>77.31199999000002</v>
      </c>
      <c r="G13" s="44">
        <v>-152.82399999999996</v>
      </c>
      <c r="H13" s="44">
        <v>42.81999999999993</v>
      </c>
      <c r="I13" s="44">
        <v>0</v>
      </c>
    </row>
    <row r="14" spans="1:9" ht="14.25">
      <c r="A14" s="41" t="str">
        <f>HLOOKUP(INDICE!$F$2,Nombres!$C$3:$D$636,37,FALSE)</f>
        <v>Margen bruto</v>
      </c>
      <c r="B14" s="41">
        <f>+SUM(B8:B13)</f>
        <v>6046.100502629998</v>
      </c>
      <c r="C14" s="41">
        <f aca="true" t="shared" si="0" ref="C14:I14">+SUM(C8:C13)</f>
        <v>5897.42772178</v>
      </c>
      <c r="D14" s="41">
        <f t="shared" si="0"/>
        <v>6120.04023451</v>
      </c>
      <c r="E14" s="42">
        <f t="shared" si="0"/>
        <v>6399.785296690001</v>
      </c>
      <c r="F14" s="41">
        <f t="shared" si="0"/>
        <v>6483.510999859999</v>
      </c>
      <c r="G14" s="52">
        <f t="shared" si="0"/>
        <v>5561.326000000001</v>
      </c>
      <c r="H14" s="52">
        <f t="shared" si="0"/>
        <v>5662.83899996</v>
      </c>
      <c r="I14" s="52">
        <f t="shared" si="0"/>
        <v>0</v>
      </c>
    </row>
    <row r="15" spans="1:9" ht="14.25">
      <c r="A15" s="43" t="str">
        <f>HLOOKUP(INDICE!$F$2,Nombres!$C$3:$D$636,38,FALSE)</f>
        <v>Gastos de explotación</v>
      </c>
      <c r="B15" s="44">
        <v>-2921.7309999</v>
      </c>
      <c r="C15" s="44">
        <v>-2952.4370001700004</v>
      </c>
      <c r="D15" s="44">
        <v>-2945.6049999300003</v>
      </c>
      <c r="E15" s="45">
        <v>-3082.45900008</v>
      </c>
      <c r="F15" s="44">
        <v>-2917.6399998899997</v>
      </c>
      <c r="G15" s="44">
        <v>-2594.47600006</v>
      </c>
      <c r="H15" s="44">
        <v>-2569.59600011</v>
      </c>
      <c r="I15" s="44">
        <v>0</v>
      </c>
    </row>
    <row r="16" spans="1:9" ht="14.25">
      <c r="A16" s="43" t="str">
        <f>HLOOKUP(INDICE!$F$2,Nombres!$C$3:$D$636,39,FALSE)</f>
        <v>  Gastos de administración</v>
      </c>
      <c r="B16" s="44">
        <v>-2529.76799991</v>
      </c>
      <c r="C16" s="44">
        <v>-2553.98800013</v>
      </c>
      <c r="D16" s="44">
        <v>-2543.0409999400003</v>
      </c>
      <c r="E16" s="45">
        <v>-2676.1410000899996</v>
      </c>
      <c r="F16" s="44">
        <v>-2520.62699986</v>
      </c>
      <c r="G16" s="44">
        <v>-2225.81100012</v>
      </c>
      <c r="H16" s="44">
        <v>-2203.6470000900003</v>
      </c>
      <c r="I16" s="44">
        <v>0</v>
      </c>
    </row>
    <row r="17" spans="1:9" ht="14.25">
      <c r="A17" s="46" t="str">
        <f>HLOOKUP(INDICE!$F$2,Nombres!$C$3:$D$636,40,FALSE)</f>
        <v>  Gastos de personal</v>
      </c>
      <c r="B17" s="44">
        <v>-1552.57500002</v>
      </c>
      <c r="C17" s="44">
        <v>-1578.3360000300002</v>
      </c>
      <c r="D17" s="44">
        <v>-1572.27499993</v>
      </c>
      <c r="E17" s="45">
        <v>-1637.2500000199998</v>
      </c>
      <c r="F17" s="44">
        <v>-1532.48199999</v>
      </c>
      <c r="G17" s="44">
        <v>-1342.0940000599999</v>
      </c>
      <c r="H17" s="44">
        <v>-1355.77799993</v>
      </c>
      <c r="I17" s="44">
        <v>0</v>
      </c>
    </row>
    <row r="18" spans="1:9" ht="14.25">
      <c r="A18" s="46" t="str">
        <f>HLOOKUP(INDICE!$F$2,Nombres!$C$3:$D$636,41,FALSE)</f>
        <v>  Otros gastos de administración</v>
      </c>
      <c r="B18" s="44">
        <v>-977.1929998899999</v>
      </c>
      <c r="C18" s="44">
        <v>-975.6520001000001</v>
      </c>
      <c r="D18" s="44">
        <v>-970.7660000100002</v>
      </c>
      <c r="E18" s="45">
        <v>-1038.8910000699998</v>
      </c>
      <c r="F18" s="44">
        <v>-988.14499987</v>
      </c>
      <c r="G18" s="44">
        <v>-883.71700006</v>
      </c>
      <c r="H18" s="44">
        <v>-847.8690001599999</v>
      </c>
      <c r="I18" s="44">
        <v>0</v>
      </c>
    </row>
    <row r="19" spans="1:9" ht="14.25">
      <c r="A19" s="43" t="str">
        <f>HLOOKUP(INDICE!$F$2,Nombres!$C$3:$D$636,42,FALSE)</f>
        <v>  Amortización</v>
      </c>
      <c r="B19" s="44">
        <v>-391.96299999000007</v>
      </c>
      <c r="C19" s="44">
        <v>-398.44900004</v>
      </c>
      <c r="D19" s="44">
        <v>-402.56399998999996</v>
      </c>
      <c r="E19" s="45">
        <v>-406.31799999000003</v>
      </c>
      <c r="F19" s="44">
        <v>-397.01300003000006</v>
      </c>
      <c r="G19" s="44">
        <v>-368.66499994000003</v>
      </c>
      <c r="H19" s="44">
        <v>-365.94900001999997</v>
      </c>
      <c r="I19" s="44">
        <v>0</v>
      </c>
    </row>
    <row r="20" spans="1:9" ht="14.25">
      <c r="A20" s="41" t="str">
        <f>HLOOKUP(INDICE!$F$2,Nombres!$C$3:$D$636,43,FALSE)</f>
        <v>Margen neto</v>
      </c>
      <c r="B20" s="41">
        <f>+B14+B15</f>
        <v>3124.369502729998</v>
      </c>
      <c r="C20" s="41">
        <f aca="true" t="shared" si="1" ref="C20:I20">+C14+C15</f>
        <v>2944.9907216099996</v>
      </c>
      <c r="D20" s="41">
        <f t="shared" si="1"/>
        <v>3174.43523458</v>
      </c>
      <c r="E20" s="42">
        <f t="shared" si="1"/>
        <v>3317.326296610001</v>
      </c>
      <c r="F20" s="41">
        <f t="shared" si="1"/>
        <v>3565.8709999699995</v>
      </c>
      <c r="G20" s="52">
        <f t="shared" si="1"/>
        <v>2966.849999940001</v>
      </c>
      <c r="H20" s="52">
        <f t="shared" si="1"/>
        <v>3093.24299985</v>
      </c>
      <c r="I20" s="52">
        <f t="shared" si="1"/>
        <v>0</v>
      </c>
    </row>
    <row r="21" spans="1:9" ht="14.25">
      <c r="A21" s="43" t="str">
        <f>HLOOKUP(INDICE!$F$2,Nombres!$C$3:$D$636,44,FALSE)</f>
        <v>Deterioro de activos financieros no valorados a valor razonable con cambios en resultados</v>
      </c>
      <c r="B21" s="44">
        <v>-1000.72950272</v>
      </c>
      <c r="C21" s="44">
        <v>-730.70172366</v>
      </c>
      <c r="D21" s="44">
        <v>-1172.1722326</v>
      </c>
      <c r="E21" s="45">
        <v>-1169.08429466</v>
      </c>
      <c r="F21" s="44">
        <v>-2575.04299997</v>
      </c>
      <c r="G21" s="44">
        <v>-1571.0249999899997</v>
      </c>
      <c r="H21" s="44">
        <v>-928.15900007</v>
      </c>
      <c r="I21" s="44">
        <v>0</v>
      </c>
    </row>
    <row r="22" spans="1:9" ht="14.25">
      <c r="A22" s="43" t="str">
        <f>HLOOKUP(INDICE!$F$2,Nombres!$C$3:$D$636,247,FALSE)</f>
        <v>Provisiones o reversión de provisiones</v>
      </c>
      <c r="B22" s="44">
        <v>-143.97699998</v>
      </c>
      <c r="C22" s="44">
        <v>-116.52999999</v>
      </c>
      <c r="D22" s="44">
        <v>-112.66100001000002</v>
      </c>
      <c r="E22" s="45">
        <v>-243.39500001</v>
      </c>
      <c r="F22" s="44">
        <v>-312.47700000000003</v>
      </c>
      <c r="G22" s="44">
        <v>-228.22099998</v>
      </c>
      <c r="H22" s="44">
        <v>-59.559000010000005</v>
      </c>
      <c r="I22" s="44">
        <v>0</v>
      </c>
    </row>
    <row r="23" spans="1:9" ht="14.25">
      <c r="A23" s="43" t="str">
        <f>HLOOKUP(INDICE!$F$2,Nombres!$C$3:$D$636,248,FALSE)</f>
        <v>Otros resultados</v>
      </c>
      <c r="B23" s="44">
        <v>-22.422999999999995</v>
      </c>
      <c r="C23" s="44">
        <v>-2.6680000100000116</v>
      </c>
      <c r="D23" s="44">
        <v>-3.8949999800000015</v>
      </c>
      <c r="E23" s="45">
        <v>-1444.39400001</v>
      </c>
      <c r="F23" s="44">
        <v>-2113.12999997</v>
      </c>
      <c r="G23" s="44">
        <v>-101.28600003999995</v>
      </c>
      <c r="H23" s="44">
        <v>-127.73299998</v>
      </c>
      <c r="I23" s="44">
        <v>0</v>
      </c>
    </row>
    <row r="24" spans="1:9" ht="14.25">
      <c r="A24" s="41" t="str">
        <f>HLOOKUP(INDICE!$F$2,Nombres!$C$3:$D$636,46,FALSE)</f>
        <v>Resultado antes de impuestos</v>
      </c>
      <c r="B24" s="52">
        <f aca="true" t="shared" si="2" ref="B24:I24">+B20+B21+B22+B23</f>
        <v>1957.2400000299983</v>
      </c>
      <c r="C24" s="52">
        <f t="shared" si="2"/>
        <v>2095.0909979499997</v>
      </c>
      <c r="D24" s="52">
        <f t="shared" si="2"/>
        <v>1885.70700199</v>
      </c>
      <c r="E24" s="42">
        <f t="shared" si="2"/>
        <v>460.45300193000116</v>
      </c>
      <c r="F24" s="52">
        <f t="shared" si="2"/>
        <v>-1434.7789999700005</v>
      </c>
      <c r="G24" s="52">
        <f t="shared" si="2"/>
        <v>1066.3179999300014</v>
      </c>
      <c r="H24" s="52">
        <f t="shared" si="2"/>
        <v>1977.7919997900003</v>
      </c>
      <c r="I24" s="52">
        <f t="shared" si="2"/>
        <v>0</v>
      </c>
    </row>
    <row r="25" spans="1:9" ht="14.25">
      <c r="A25" s="43" t="str">
        <f>HLOOKUP(INDICE!$F$2,Nombres!$C$3:$D$636,47,FALSE)</f>
        <v>Impuesto sobre beneficios</v>
      </c>
      <c r="B25" s="44">
        <v>-541.01045088</v>
      </c>
      <c r="C25" s="44">
        <v>-594.91754912</v>
      </c>
      <c r="D25" s="44">
        <v>-487.5319999700001</v>
      </c>
      <c r="E25" s="45">
        <v>-429.6199999899997</v>
      </c>
      <c r="F25" s="44">
        <v>-185.891</v>
      </c>
      <c r="G25" s="44">
        <v>-268.76800000000003</v>
      </c>
      <c r="H25" s="44">
        <v>-524.11500002</v>
      </c>
      <c r="I25" s="44">
        <v>0</v>
      </c>
    </row>
    <row r="26" spans="1:9" ht="14.25">
      <c r="A26" s="41" t="str">
        <f>HLOOKUP(INDICE!$F$2,Nombres!$C$3:$D$636,48,FALSE)</f>
        <v>Resultado del ejercicio</v>
      </c>
      <c r="B26" s="52">
        <f>+B24+B25</f>
        <v>1416.2295491499983</v>
      </c>
      <c r="C26" s="52">
        <f aca="true" t="shared" si="3" ref="C26:I26">+C24+C25</f>
        <v>1500.1734488299999</v>
      </c>
      <c r="D26" s="52">
        <f t="shared" si="3"/>
        <v>1398.17500202</v>
      </c>
      <c r="E26" s="42">
        <f t="shared" si="3"/>
        <v>30.833001940001452</v>
      </c>
      <c r="F26" s="52">
        <f t="shared" si="3"/>
        <v>-1620.6699999700006</v>
      </c>
      <c r="G26" s="52">
        <f t="shared" si="3"/>
        <v>797.5499999300014</v>
      </c>
      <c r="H26" s="52">
        <f t="shared" si="3"/>
        <v>1453.6769997700003</v>
      </c>
      <c r="I26" s="52">
        <f t="shared" si="3"/>
        <v>0</v>
      </c>
    </row>
    <row r="27" spans="1:16" ht="14.25">
      <c r="A27" s="43" t="str">
        <f>HLOOKUP(INDICE!$F$2,Nombres!$C$3:$D$636,49,FALSE)</f>
        <v>Minoritarios</v>
      </c>
      <c r="B27" s="44">
        <v>-234.01899999999998</v>
      </c>
      <c r="C27" s="44">
        <v>-240.50699998999997</v>
      </c>
      <c r="D27" s="44">
        <v>-173.22900001000008</v>
      </c>
      <c r="E27" s="45">
        <v>-185.5979999999999</v>
      </c>
      <c r="F27" s="44">
        <v>-171.79500001000008</v>
      </c>
      <c r="G27" s="44">
        <v>-161.60999999999999</v>
      </c>
      <c r="H27" s="44">
        <v>-312.23799998000004</v>
      </c>
      <c r="I27" s="44">
        <v>0</v>
      </c>
      <c r="M27" s="297"/>
      <c r="N27" s="297"/>
      <c r="O27" s="297"/>
      <c r="P27" s="297"/>
    </row>
    <row r="28" spans="1:9" ht="14.25">
      <c r="A28" s="47" t="str">
        <f>HLOOKUP(INDICE!$F$2,Nombres!$C$3:$D$636,50,FALSE)</f>
        <v>Resultado atribuido</v>
      </c>
      <c r="B28" s="47">
        <f>+B26+B27</f>
        <v>1182.2105491499983</v>
      </c>
      <c r="C28" s="47">
        <f aca="true" t="shared" si="4" ref="C28:I28">+C26+C27</f>
        <v>1259.66644884</v>
      </c>
      <c r="D28" s="47">
        <f t="shared" si="4"/>
        <v>1224.9460020099998</v>
      </c>
      <c r="E28" s="47">
        <f t="shared" si="4"/>
        <v>-154.76499805999845</v>
      </c>
      <c r="F28" s="47">
        <f>+F26+F27</f>
        <v>-1792.4649999800008</v>
      </c>
      <c r="G28" s="53">
        <f t="shared" si="4"/>
        <v>635.9399999300014</v>
      </c>
      <c r="H28" s="53">
        <f t="shared" si="4"/>
        <v>1141.4389997900003</v>
      </c>
      <c r="I28" s="53">
        <f t="shared" si="4"/>
        <v>0</v>
      </c>
    </row>
    <row r="29" spans="1:9" ht="14.25">
      <c r="A29" s="48"/>
      <c r="B29" s="48"/>
      <c r="C29" s="48"/>
      <c r="D29" s="48"/>
      <c r="E29" s="48"/>
      <c r="F29" s="48"/>
      <c r="G29" s="280"/>
      <c r="H29" s="280"/>
      <c r="I29" s="280"/>
    </row>
    <row r="30" spans="1:9" ht="14.25">
      <c r="A30" s="47" t="str">
        <f>HLOOKUP(INDICE!$F$2,Nombres!$C$3:$D$636,258,FALSE)</f>
        <v>Resultado atribuido sin el deterioro del fondo de comercio de Estados Unidos (*)</v>
      </c>
      <c r="B30" s="47">
        <v>1182.2105491500001</v>
      </c>
      <c r="C30" s="47">
        <v>1259.6664488399997</v>
      </c>
      <c r="D30" s="47">
        <v>1224.94600201</v>
      </c>
      <c r="E30" s="47">
        <v>1163.1469892400014</v>
      </c>
      <c r="F30" s="53">
        <v>291.69200001999934</v>
      </c>
      <c r="G30" s="53">
        <v>635.9399999300001</v>
      </c>
      <c r="H30" s="53">
        <v>1141.4389997899998</v>
      </c>
      <c r="I30" s="53">
        <v>0</v>
      </c>
    </row>
    <row r="31" spans="2:9" ht="14.25">
      <c r="B31" s="48">
        <v>-1.8189894035458565E-12</v>
      </c>
      <c r="C31" s="48">
        <v>0</v>
      </c>
      <c r="D31" s="48">
        <v>0</v>
      </c>
      <c r="E31" s="48">
        <v>2.2737367544323206E-13</v>
      </c>
      <c r="F31" s="48">
        <v>0</v>
      </c>
      <c r="G31" s="48">
        <v>1.2505552149377763E-12</v>
      </c>
      <c r="H31" s="48">
        <v>0</v>
      </c>
      <c r="I31" s="48">
        <v>0</v>
      </c>
    </row>
    <row r="32" spans="1:9" ht="14.25">
      <c r="A32" s="43"/>
      <c r="C32" s="48">
        <v>0</v>
      </c>
      <c r="D32" s="48">
        <v>0</v>
      </c>
      <c r="E32" s="48">
        <v>2.2737367544323206E-13</v>
      </c>
      <c r="F32" s="48">
        <v>0</v>
      </c>
      <c r="G32" s="48">
        <v>1.2505552149377763E-12</v>
      </c>
      <c r="H32" s="48">
        <v>0</v>
      </c>
      <c r="I32" s="48">
        <v>0</v>
      </c>
    </row>
    <row r="33" spans="1:9" ht="47.25" customHeight="1">
      <c r="A33" s="304" t="str">
        <f>HLOOKUP(INDICE!$F$2,Nombres!$C$3:$D$636,257,FALSE)</f>
        <v>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v>
      </c>
      <c r="B33" s="304"/>
      <c r="C33" s="304"/>
      <c r="D33" s="304"/>
      <c r="E33" s="304"/>
      <c r="F33" s="304"/>
      <c r="G33" s="304"/>
      <c r="H33" s="304"/>
      <c r="I33" s="304"/>
    </row>
    <row r="34" spans="1:9" ht="12.75" customHeight="1">
      <c r="A34" s="49"/>
      <c r="B34" s="279"/>
      <c r="C34" s="279"/>
      <c r="D34" s="279"/>
      <c r="E34" s="279"/>
      <c r="F34" s="279"/>
      <c r="G34" s="279"/>
      <c r="H34" s="279"/>
      <c r="I34" s="279"/>
    </row>
    <row r="35" spans="2:9" ht="14.25">
      <c r="B35" s="298">
        <f>+B28-España!B25-EEUU!B25-Mexico!B25-Turquia!B25-AdS!B25-'Resto de Eurasia'!B25-'Centro Corporativo'!B27</f>
        <v>-2.1600499167107046E-12</v>
      </c>
      <c r="C35" s="298">
        <f>+C28-España!C25-EEUU!C25-Mexico!C25-Turquia!C25-AdS!C25-'Resto de Eurasia'!C25-'Centro Corporativo'!C27</f>
        <v>7.958078640513122E-13</v>
      </c>
      <c r="D35" s="298">
        <f>+D28-España!D25-EEUU!D25-Mexico!D25-Turquia!D25-AdS!D25-'Resto de Eurasia'!D25-'Centro Corporativo'!D27</f>
        <v>0</v>
      </c>
      <c r="E35" s="298">
        <f>+E28-España!E25-EEUU!E25-Mexico!E25-Turquia!E25-AdS!E25-'Resto de Eurasia'!E25-'Centro Corporativo'!E27</f>
        <v>0</v>
      </c>
      <c r="F35" s="298">
        <f>+F28-España!F25-EEUU!F25-Mexico!F25-Turquia!F25-AdS!F25-'Resto de Eurasia'!F25-'Centro Corporativo'!F27</f>
        <v>0</v>
      </c>
      <c r="G35" s="298">
        <f>+G28-España!G25-EEUU!G25-Mexico!G25-Turquia!G25-AdS!G25-'Resto de Eurasia'!G25-'Centro Corporativo'!G27</f>
        <v>1.0231815394945443E-12</v>
      </c>
      <c r="H35" s="298">
        <f>+H28-España!H25-EEUU!H25-Mexico!H25-Turquia!H25-AdS!H25-'Resto de Eurasia'!H25-'Centro Corporativo'!H27</f>
        <v>0</v>
      </c>
      <c r="I35" s="298">
        <f>+I28-España!I25-EEUU!I25-Mexico!I25-Turquia!I25-AdS!I25-'Resto de Eurasia'!I25-'Centro Corporativo'!I27</f>
        <v>0</v>
      </c>
    </row>
    <row r="36" spans="1:9" ht="14.25">
      <c r="A36" s="43"/>
      <c r="B36" s="51"/>
      <c r="C36" s="51"/>
      <c r="D36" s="51"/>
      <c r="E36" s="51"/>
      <c r="F36" s="51"/>
      <c r="G36" s="51"/>
      <c r="H36" s="51"/>
      <c r="I36" s="51"/>
    </row>
    <row r="37" spans="2:9" ht="14.25">
      <c r="B37" s="281"/>
      <c r="C37" s="281"/>
      <c r="D37" s="281"/>
      <c r="E37" s="281"/>
      <c r="F37" s="281"/>
      <c r="G37" s="281"/>
      <c r="H37" s="281"/>
      <c r="I37" s="281"/>
    </row>
    <row r="39" spans="1:9" ht="16.5">
      <c r="A39" s="33" t="str">
        <f>HLOOKUP(INDICE!$F$2,Nombres!$C$3:$D$636,31,FALSE)</f>
        <v>Cuenta de resultados  </v>
      </c>
      <c r="B39" s="34"/>
      <c r="C39" s="34"/>
      <c r="D39" s="34"/>
      <c r="E39" s="34"/>
      <c r="F39" s="34"/>
      <c r="G39" s="34"/>
      <c r="H39" s="34"/>
      <c r="I39" s="34"/>
    </row>
    <row r="40" spans="1:9" ht="14.25">
      <c r="A40" s="35" t="str">
        <f>HLOOKUP(INDICE!$F$2,Nombres!$C$3:$D$636,73,FALSE)</f>
        <v>(Millones de euros constantes)</v>
      </c>
      <c r="B40" s="30"/>
      <c r="C40" s="36"/>
      <c r="D40" s="36"/>
      <c r="E40" s="36"/>
      <c r="F40" s="30"/>
      <c r="G40" s="30"/>
      <c r="H40" s="30"/>
      <c r="I40" s="30"/>
    </row>
    <row r="41" spans="1:9" ht="14.25">
      <c r="A41" s="37"/>
      <c r="B41" s="30"/>
      <c r="C41" s="36"/>
      <c r="D41" s="36"/>
      <c r="E41" s="36"/>
      <c r="F41" s="30"/>
      <c r="G41" s="30"/>
      <c r="H41" s="30"/>
      <c r="I41" s="30"/>
    </row>
    <row r="42" spans="1:9" ht="14.25">
      <c r="A42" s="38"/>
      <c r="B42" s="305">
        <f>+España!B6</f>
        <v>2019</v>
      </c>
      <c r="C42" s="305"/>
      <c r="D42" s="305"/>
      <c r="E42" s="306"/>
      <c r="F42" s="307">
        <f>+España!F6</f>
        <v>2020</v>
      </c>
      <c r="G42" s="305"/>
      <c r="H42" s="305"/>
      <c r="I42" s="305"/>
    </row>
    <row r="43" spans="1:9" ht="14.25">
      <c r="A43" s="38"/>
      <c r="B43" s="39" t="str">
        <f>+España!B7</f>
        <v>1er Trim.</v>
      </c>
      <c r="C43" s="39" t="str">
        <f>+España!C7</f>
        <v>2º Trim.</v>
      </c>
      <c r="D43" s="39" t="str">
        <f>+España!D7</f>
        <v>3er Trim.</v>
      </c>
      <c r="E43" s="40" t="str">
        <f>+España!E7</f>
        <v>4º Trim.</v>
      </c>
      <c r="F43" s="39" t="str">
        <f>+España!F7</f>
        <v>1er Trim.</v>
      </c>
      <c r="G43" s="39" t="str">
        <f>+España!G7</f>
        <v>2º Trim.</v>
      </c>
      <c r="H43" s="39" t="str">
        <f>+España!H7</f>
        <v>3er Trim.</v>
      </c>
      <c r="I43" s="39" t="str">
        <f>+España!I7</f>
        <v>4º Trim.</v>
      </c>
    </row>
    <row r="44" spans="1:9" ht="14.25">
      <c r="A44" s="41" t="str">
        <f>HLOOKUP(INDICE!$F$2,Nombres!$C$3:$D$636,33,FALSE)</f>
        <v>Margen de intereses</v>
      </c>
      <c r="B44" s="41">
        <v>3952.2668381595313</v>
      </c>
      <c r="C44" s="41">
        <v>4091.6459916636345</v>
      </c>
      <c r="D44" s="41">
        <v>4143.7022413864215</v>
      </c>
      <c r="E44" s="42">
        <v>4314.865521716073</v>
      </c>
      <c r="F44" s="41">
        <v>4224.848300933977</v>
      </c>
      <c r="G44" s="52">
        <v>4166.1750719405045</v>
      </c>
      <c r="H44" s="52">
        <v>4371.71362711552</v>
      </c>
      <c r="I44" s="52">
        <v>0</v>
      </c>
    </row>
    <row r="45" spans="1:9" ht="14.25">
      <c r="A45" s="43" t="str">
        <f>HLOOKUP(INDICE!$F$2,Nombres!$C$3:$D$636,34,FALSE)</f>
        <v>Comisiones netas</v>
      </c>
      <c r="B45" s="44">
        <v>1122.3627509167995</v>
      </c>
      <c r="C45" s="44">
        <v>1165.1574990944737</v>
      </c>
      <c r="D45" s="44">
        <v>1200.8799193126665</v>
      </c>
      <c r="E45" s="45">
        <v>1210.8310881260013</v>
      </c>
      <c r="F45" s="44">
        <v>1196.5303309581068</v>
      </c>
      <c r="G45" s="44">
        <v>1055.5645204268437</v>
      </c>
      <c r="H45" s="44">
        <v>1191.7441484950493</v>
      </c>
      <c r="I45" s="44">
        <v>0</v>
      </c>
    </row>
    <row r="46" spans="1:9" ht="14.25">
      <c r="A46" s="43" t="str">
        <f>HLOOKUP(INDICE!$F$2,Nombres!$C$3:$D$636,35,FALSE)</f>
        <v>Resultados de operaciones financieras</v>
      </c>
      <c r="B46" s="44">
        <v>356.1876201918813</v>
      </c>
      <c r="C46" s="44">
        <v>97.16721177150063</v>
      </c>
      <c r="D46" s="44">
        <v>351.6524616620502</v>
      </c>
      <c r="E46" s="45">
        <v>459.04691394910174</v>
      </c>
      <c r="F46" s="44">
        <v>569.0108249923971</v>
      </c>
      <c r="G46" s="44">
        <v>511.6456612631723</v>
      </c>
      <c r="H46" s="44">
        <v>398.3355136944307</v>
      </c>
      <c r="I46" s="44">
        <v>0</v>
      </c>
    </row>
    <row r="47" spans="1:9" ht="14.25">
      <c r="A47" s="43" t="str">
        <f>HLOOKUP(INDICE!$F$2,Nombres!$C$3:$D$636,96,FALSE)</f>
        <v>Ingresos por dividendos</v>
      </c>
      <c r="B47" s="44">
        <v>9.542117812404298</v>
      </c>
      <c r="C47" s="44">
        <v>83.26484771948716</v>
      </c>
      <c r="D47" s="44">
        <v>4.77867710985858</v>
      </c>
      <c r="E47" s="45">
        <v>59.15740485767766</v>
      </c>
      <c r="F47" s="44">
        <v>5.6615007866267595</v>
      </c>
      <c r="G47" s="44">
        <v>70.19180685314163</v>
      </c>
      <c r="H47" s="44">
        <v>5.1376923702315915</v>
      </c>
      <c r="I47" s="44">
        <v>0</v>
      </c>
    </row>
    <row r="48" spans="1:9" ht="14.25">
      <c r="A48" s="43" t="str">
        <f>HLOOKUP(INDICE!$F$2,Nombres!$C$3:$D$636,97,FALSE)</f>
        <v>Part. gananc/pdas inversiones en dependientes, neg conjunt y asoc</v>
      </c>
      <c r="B48" s="44">
        <v>-3.4836288222314606</v>
      </c>
      <c r="C48" s="44">
        <v>-14.830248122521358</v>
      </c>
      <c r="D48" s="44">
        <v>-6.986894935441155</v>
      </c>
      <c r="E48" s="45">
        <v>-16.492479043016473</v>
      </c>
      <c r="F48" s="44">
        <v>-7.926377066662122</v>
      </c>
      <c r="G48" s="44">
        <v>-9.13634385345448</v>
      </c>
      <c r="H48" s="44">
        <v>-9.128279079883399</v>
      </c>
      <c r="I48" s="44">
        <v>0</v>
      </c>
    </row>
    <row r="49" spans="1:9" ht="14.25">
      <c r="A49" s="43" t="str">
        <f>HLOOKUP(INDICE!$F$2,Nombres!$C$3:$D$636,98,FALSE)</f>
        <v>Otros productos/cargas de explotación</v>
      </c>
      <c r="B49" s="44">
        <v>6.142323595472401</v>
      </c>
      <c r="C49" s="44">
        <v>-94.50540815645242</v>
      </c>
      <c r="D49" s="44">
        <v>19.500237019532044</v>
      </c>
      <c r="E49" s="45">
        <v>-143.8699127846238</v>
      </c>
      <c r="F49" s="44">
        <v>72.19939224964995</v>
      </c>
      <c r="G49" s="44">
        <v>-146.62008778868082</v>
      </c>
      <c r="H49" s="44">
        <v>41.72869552903086</v>
      </c>
      <c r="I49" s="44">
        <v>0</v>
      </c>
    </row>
    <row r="50" spans="1:9" ht="14.25">
      <c r="A50" s="41" t="str">
        <f>HLOOKUP(INDICE!$F$2,Nombres!$C$3:$D$636,37,FALSE)</f>
        <v>Margen bruto</v>
      </c>
      <c r="B50" s="41">
        <f>+SUM(B44:B49)</f>
        <v>5443.018021853857</v>
      </c>
      <c r="C50" s="41">
        <f aca="true" t="shared" si="5" ref="C50:I50">+SUM(C44:C49)</f>
        <v>5327.899893970122</v>
      </c>
      <c r="D50" s="41">
        <f t="shared" si="5"/>
        <v>5713.526641555088</v>
      </c>
      <c r="E50" s="42">
        <f t="shared" si="5"/>
        <v>5883.538536821213</v>
      </c>
      <c r="F50" s="41">
        <f t="shared" si="5"/>
        <v>6060.323972854096</v>
      </c>
      <c r="G50" s="52">
        <f t="shared" si="5"/>
        <v>5647.820628841527</v>
      </c>
      <c r="H50" s="52">
        <f t="shared" si="5"/>
        <v>5999.53139812438</v>
      </c>
      <c r="I50" s="52">
        <f t="shared" si="5"/>
        <v>0</v>
      </c>
    </row>
    <row r="51" spans="1:9" ht="14.25">
      <c r="A51" s="43" t="str">
        <f>HLOOKUP(INDICE!$F$2,Nombres!$C$3:$D$636,38,FALSE)</f>
        <v>Gastos de explotación</v>
      </c>
      <c r="B51" s="44">
        <v>-2723.8654007290947</v>
      </c>
      <c r="C51" s="44">
        <v>-2758.51048333249</v>
      </c>
      <c r="D51" s="44">
        <v>-2797.572232416227</v>
      </c>
      <c r="E51" s="45">
        <v>-2907.7691931088107</v>
      </c>
      <c r="F51" s="44">
        <v>-2771.5331605488263</v>
      </c>
      <c r="G51" s="44">
        <v>-2619.027298420994</v>
      </c>
      <c r="H51" s="44">
        <v>-2691.1515410901793</v>
      </c>
      <c r="I51" s="44">
        <v>0</v>
      </c>
    </row>
    <row r="52" spans="1:9" ht="14.25">
      <c r="A52" s="43" t="str">
        <f>HLOOKUP(INDICE!$F$2,Nombres!$C$3:$D$636,39,FALSE)</f>
        <v>  Gastos de administración</v>
      </c>
      <c r="B52" s="44">
        <v>-2355.0576554903655</v>
      </c>
      <c r="C52" s="44">
        <v>-2382.3600951529384</v>
      </c>
      <c r="D52" s="44">
        <v>-2415.356288742637</v>
      </c>
      <c r="E52" s="45">
        <v>-2524.552397837544</v>
      </c>
      <c r="F52" s="44">
        <v>-2392.3044053526532</v>
      </c>
      <c r="G52" s="44">
        <v>-2246.938165260914</v>
      </c>
      <c r="H52" s="44">
        <v>-2310.842429456433</v>
      </c>
      <c r="I52" s="44">
        <v>0</v>
      </c>
    </row>
    <row r="53" spans="1:9" ht="14.25">
      <c r="A53" s="46" t="str">
        <f>HLOOKUP(INDICE!$F$2,Nombres!$C$3:$D$636,40,FALSE)</f>
        <v>  Gastos de personal</v>
      </c>
      <c r="B53" s="44">
        <v>-1452.0648607279327</v>
      </c>
      <c r="C53" s="44">
        <v>-1479.1665480056577</v>
      </c>
      <c r="D53" s="44">
        <v>-1501.8574788065364</v>
      </c>
      <c r="E53" s="45">
        <v>-1555.2256829059538</v>
      </c>
      <c r="F53" s="44">
        <v>-1460.0812357080936</v>
      </c>
      <c r="G53" s="44">
        <v>-1352.1634101252312</v>
      </c>
      <c r="H53" s="44">
        <v>-1418.1093541466755</v>
      </c>
      <c r="I53" s="44">
        <v>0</v>
      </c>
    </row>
    <row r="54" spans="1:9" ht="14.25">
      <c r="A54" s="46" t="str">
        <f>HLOOKUP(INDICE!$F$2,Nombres!$C$3:$D$636,41,FALSE)</f>
        <v>  Otros gastos de administración</v>
      </c>
      <c r="B54" s="44">
        <v>-902.992794762433</v>
      </c>
      <c r="C54" s="44">
        <v>-903.1935471472805</v>
      </c>
      <c r="D54" s="44">
        <v>-913.4988099361008</v>
      </c>
      <c r="E54" s="45">
        <v>-969.3267149315899</v>
      </c>
      <c r="F54" s="44">
        <v>-932.2231696445599</v>
      </c>
      <c r="G54" s="44">
        <v>-894.7747551356829</v>
      </c>
      <c r="H54" s="44">
        <v>-892.7330753097573</v>
      </c>
      <c r="I54" s="44">
        <v>0</v>
      </c>
    </row>
    <row r="55" spans="1:9" ht="14.25">
      <c r="A55" s="43" t="str">
        <f>HLOOKUP(INDICE!$F$2,Nombres!$C$3:$D$636,42,FALSE)</f>
        <v>  Amortización</v>
      </c>
      <c r="B55" s="44">
        <v>-368.8077452387293</v>
      </c>
      <c r="C55" s="44">
        <v>-376.1503881795515</v>
      </c>
      <c r="D55" s="44">
        <v>-382.2159436735898</v>
      </c>
      <c r="E55" s="45">
        <v>-383.21679527126685</v>
      </c>
      <c r="F55" s="44">
        <v>-379.22875519617276</v>
      </c>
      <c r="G55" s="44">
        <v>-372.08913316008034</v>
      </c>
      <c r="H55" s="44">
        <v>-380.30911163374685</v>
      </c>
      <c r="I55" s="44">
        <v>0</v>
      </c>
    </row>
    <row r="56" spans="1:9" ht="14.25">
      <c r="A56" s="41" t="str">
        <f>HLOOKUP(INDICE!$F$2,Nombres!$C$3:$D$636,43,FALSE)</f>
        <v>Margen neto</v>
      </c>
      <c r="B56" s="41">
        <f>+B50+B51</f>
        <v>2719.1526211247624</v>
      </c>
      <c r="C56" s="41">
        <f aca="true" t="shared" si="6" ref="C56:I56">+C50+C51</f>
        <v>2569.3894106376324</v>
      </c>
      <c r="D56" s="41">
        <f t="shared" si="6"/>
        <v>2915.9544091388607</v>
      </c>
      <c r="E56" s="42">
        <f t="shared" si="6"/>
        <v>2975.769343712402</v>
      </c>
      <c r="F56" s="41">
        <f t="shared" si="6"/>
        <v>3288.7908123052694</v>
      </c>
      <c r="G56" s="52">
        <f t="shared" si="6"/>
        <v>3028.7933304205326</v>
      </c>
      <c r="H56" s="52">
        <f t="shared" si="6"/>
        <v>3308.3798570342005</v>
      </c>
      <c r="I56" s="52">
        <f t="shared" si="6"/>
        <v>0</v>
      </c>
    </row>
    <row r="57" spans="1:9" ht="14.25">
      <c r="A57" s="43" t="str">
        <f>HLOOKUP(INDICE!$F$2,Nombres!$C$3:$D$636,44,FALSE)</f>
        <v>Deterioro de activos financieros no valorados a valor razonable con cambios en resultados</v>
      </c>
      <c r="B57" s="44">
        <v>-893.3476965929069</v>
      </c>
      <c r="C57" s="44">
        <v>-634.1148423700488</v>
      </c>
      <c r="D57" s="44">
        <v>-1039.3634377236947</v>
      </c>
      <c r="E57" s="45">
        <v>-1047.7179580211928</v>
      </c>
      <c r="F57" s="44">
        <v>-2417.781963450341</v>
      </c>
      <c r="G57" s="44">
        <v>-1617.7827922800602</v>
      </c>
      <c r="H57" s="44">
        <v>-1038.6622442995986</v>
      </c>
      <c r="I57" s="44">
        <v>0</v>
      </c>
    </row>
    <row r="58" spans="1:9" ht="14.25">
      <c r="A58" s="43" t="str">
        <f>HLOOKUP(INDICE!$F$2,Nombres!$C$3:$D$636,247,FALSE)</f>
        <v>Provisiones o reversión de provisiones</v>
      </c>
      <c r="B58" s="44">
        <v>-140.69340212885197</v>
      </c>
      <c r="C58" s="44">
        <v>-106.47169172786526</v>
      </c>
      <c r="D58" s="44">
        <v>-108.85637045292401</v>
      </c>
      <c r="E58" s="45">
        <v>-217.07475513148995</v>
      </c>
      <c r="F58" s="44">
        <v>-306.2812795005332</v>
      </c>
      <c r="G58" s="44">
        <v>-227.6111788750943</v>
      </c>
      <c r="H58" s="44">
        <v>-66.36454161437264</v>
      </c>
      <c r="I58" s="44">
        <v>0</v>
      </c>
    </row>
    <row r="59" spans="1:9" ht="14.25">
      <c r="A59" s="43" t="str">
        <f>HLOOKUP(INDICE!$F$2,Nombres!$C$3:$D$636,248,FALSE)</f>
        <v>Otros resultados</v>
      </c>
      <c r="B59" s="44">
        <v>-23.03633677378288</v>
      </c>
      <c r="C59" s="44">
        <v>-2.8576909276085045</v>
      </c>
      <c r="D59" s="44">
        <v>-3.5653873991141545</v>
      </c>
      <c r="E59" s="45">
        <v>-1446.1731270294506</v>
      </c>
      <c r="F59" s="44">
        <v>-2113.7991016021974</v>
      </c>
      <c r="G59" s="44">
        <v>-100.07939852096499</v>
      </c>
      <c r="H59" s="44">
        <v>-128.27049986683807</v>
      </c>
      <c r="I59" s="44">
        <v>0</v>
      </c>
    </row>
    <row r="60" spans="1:9" ht="14.25">
      <c r="A60" s="41" t="str">
        <f>HLOOKUP(INDICE!$F$2,Nombres!$C$3:$D$636,46,FALSE)</f>
        <v>Resultado antes de impuestos</v>
      </c>
      <c r="B60" s="41">
        <f aca="true" t="shared" si="7" ref="B60:I60">+B56+B57+B58+B59</f>
        <v>1662.0751856292206</v>
      </c>
      <c r="C60" s="41">
        <f t="shared" si="7"/>
        <v>1825.94518561211</v>
      </c>
      <c r="D60" s="41">
        <f t="shared" si="7"/>
        <v>1764.1692135631279</v>
      </c>
      <c r="E60" s="42">
        <f t="shared" si="7"/>
        <v>264.8035035302689</v>
      </c>
      <c r="F60" s="41">
        <f t="shared" si="7"/>
        <v>-1549.0715322478025</v>
      </c>
      <c r="G60" s="41">
        <f t="shared" si="7"/>
        <v>1083.319960744413</v>
      </c>
      <c r="H60" s="41">
        <f t="shared" si="7"/>
        <v>2075.082571253391</v>
      </c>
      <c r="I60" s="41">
        <f t="shared" si="7"/>
        <v>0</v>
      </c>
    </row>
    <row r="61" spans="1:9" ht="14.25">
      <c r="A61" s="43" t="str">
        <f>HLOOKUP(INDICE!$F$2,Nombres!$C$3:$D$636,47,FALSE)</f>
        <v>Impuesto sobre beneficios</v>
      </c>
      <c r="B61" s="44">
        <v>-461.8931585088627</v>
      </c>
      <c r="C61" s="44">
        <v>-525.2170368481878</v>
      </c>
      <c r="D61" s="44">
        <v>-453.14016376001473</v>
      </c>
      <c r="E61" s="45">
        <v>-381.70279377120767</v>
      </c>
      <c r="F61" s="44">
        <v>-154.37557084787707</v>
      </c>
      <c r="G61" s="44">
        <v>-275.1634799207879</v>
      </c>
      <c r="H61" s="44">
        <v>-549.234949251335</v>
      </c>
      <c r="I61" s="44">
        <v>0</v>
      </c>
    </row>
    <row r="62" spans="1:9" ht="14.25">
      <c r="A62" s="41" t="str">
        <f>HLOOKUP(INDICE!$F$2,Nombres!$C$3:$D$636,48,FALSE)</f>
        <v>Resultado del ejercicio</v>
      </c>
      <c r="B62" s="41">
        <f aca="true" t="shared" si="8" ref="B62:I62">+B60+B61</f>
        <v>1200.1820271203578</v>
      </c>
      <c r="C62" s="41">
        <f t="shared" si="8"/>
        <v>1300.728148763922</v>
      </c>
      <c r="D62" s="41">
        <f t="shared" si="8"/>
        <v>1311.0290498031131</v>
      </c>
      <c r="E62" s="42">
        <f t="shared" si="8"/>
        <v>-116.89929024093874</v>
      </c>
      <c r="F62" s="41">
        <f t="shared" si="8"/>
        <v>-1703.4471030956795</v>
      </c>
      <c r="G62" s="41">
        <f t="shared" si="8"/>
        <v>808.1564808236251</v>
      </c>
      <c r="H62" s="41">
        <f t="shared" si="8"/>
        <v>1525.8476220020561</v>
      </c>
      <c r="I62" s="41">
        <f t="shared" si="8"/>
        <v>0</v>
      </c>
    </row>
    <row r="63" spans="1:9" ht="14.25">
      <c r="A63" s="43" t="str">
        <f>HLOOKUP(INDICE!$F$2,Nombres!$C$3:$D$636,49,FALSE)</f>
        <v>Minoritarios</v>
      </c>
      <c r="B63" s="44">
        <v>-179.04386106630278</v>
      </c>
      <c r="C63" s="44">
        <v>-200.97405007211262</v>
      </c>
      <c r="D63" s="44">
        <v>-167.01131716620168</v>
      </c>
      <c r="E63" s="45">
        <v>-163.6041253219542</v>
      </c>
      <c r="F63" s="44">
        <v>-151.53777355028538</v>
      </c>
      <c r="G63" s="44">
        <v>-159.04013119299367</v>
      </c>
      <c r="H63" s="44">
        <v>-335.06509524672094</v>
      </c>
      <c r="I63" s="44">
        <v>0</v>
      </c>
    </row>
    <row r="64" spans="1:9" ht="14.25">
      <c r="A64" s="47" t="str">
        <f>HLOOKUP(INDICE!$F$2,Nombres!$C$3:$D$636,50,FALSE)</f>
        <v>Resultado atribuido</v>
      </c>
      <c r="B64" s="47">
        <f>+B62+B63</f>
        <v>1021.1381660540551</v>
      </c>
      <c r="C64" s="47">
        <f aca="true" t="shared" si="9" ref="C64:I64">+C62+C63</f>
        <v>1099.7540986918093</v>
      </c>
      <c r="D64" s="47">
        <f t="shared" si="9"/>
        <v>1144.0177326369114</v>
      </c>
      <c r="E64" s="47">
        <f t="shared" si="9"/>
        <v>-280.50341556289294</v>
      </c>
      <c r="F64" s="47">
        <f t="shared" si="9"/>
        <v>-1854.984876645965</v>
      </c>
      <c r="G64" s="53">
        <f t="shared" si="9"/>
        <v>649.1163496306315</v>
      </c>
      <c r="H64" s="53">
        <f t="shared" si="9"/>
        <v>1190.7825267553353</v>
      </c>
      <c r="I64" s="53">
        <f t="shared" si="9"/>
        <v>0</v>
      </c>
    </row>
    <row r="65" spans="1:9" ht="14.25">
      <c r="A65" s="48"/>
      <c r="B65" s="48"/>
      <c r="C65" s="48"/>
      <c r="D65" s="48"/>
      <c r="E65" s="48"/>
      <c r="F65" s="48"/>
      <c r="G65" s="280"/>
      <c r="H65" s="280"/>
      <c r="I65" s="280"/>
    </row>
    <row r="66" spans="1:9" ht="14.25">
      <c r="A66" s="47" t="str">
        <f>HLOOKUP(INDICE!$F$2,Nombres!$C$3:$D$636,258,FALSE)</f>
        <v>Resultado atribuido sin el deterioro del fondo de comercio de Estados Unidos (*)</v>
      </c>
      <c r="B66" s="47">
        <v>1021.1381660540543</v>
      </c>
      <c r="C66" s="47">
        <v>1099.7540986918095</v>
      </c>
      <c r="D66" s="47">
        <v>1144.0177326369112</v>
      </c>
      <c r="E66" s="47">
        <v>1037.4085717371079</v>
      </c>
      <c r="F66" s="53">
        <v>229.17212335403485</v>
      </c>
      <c r="G66" s="53">
        <v>649.1163496306309</v>
      </c>
      <c r="H66" s="53">
        <v>1190.7825267553337</v>
      </c>
      <c r="I66" s="53">
        <v>0</v>
      </c>
    </row>
    <row r="67" spans="2:9" ht="14.25">
      <c r="B67" s="48">
        <v>0</v>
      </c>
      <c r="C67" s="48">
        <v>0</v>
      </c>
      <c r="D67" s="48">
        <v>0</v>
      </c>
      <c r="E67" s="48">
        <v>-8.526512829121202E-13</v>
      </c>
      <c r="F67" s="48">
        <v>0</v>
      </c>
      <c r="G67" s="48">
        <v>0</v>
      </c>
      <c r="H67" s="48">
        <v>0</v>
      </c>
      <c r="I67" s="48">
        <v>0</v>
      </c>
    </row>
    <row r="68" ht="14.25">
      <c r="A68" s="43"/>
    </row>
    <row r="69" spans="1:9" ht="47.25" customHeight="1">
      <c r="A69" s="304" t="str">
        <f>HLOOKUP(INDICE!$F$2,Nombres!$C$3:$D$636,257,FALSE)</f>
        <v>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v>
      </c>
      <c r="B69" s="304"/>
      <c r="C69" s="304"/>
      <c r="D69" s="304"/>
      <c r="E69" s="304"/>
      <c r="F69" s="304"/>
      <c r="G69" s="304"/>
      <c r="H69" s="304"/>
      <c r="I69" s="304"/>
    </row>
    <row r="70" spans="1:9" ht="15" customHeight="1">
      <c r="A70" s="49"/>
      <c r="B70" s="279"/>
      <c r="C70" s="279"/>
      <c r="D70" s="279"/>
      <c r="E70" s="279"/>
      <c r="F70" s="279"/>
      <c r="G70" s="279"/>
      <c r="H70" s="279"/>
      <c r="I70" s="279"/>
    </row>
    <row r="71" spans="2:9" ht="14.25">
      <c r="B71" s="50"/>
      <c r="C71" s="50"/>
      <c r="D71" s="50"/>
      <c r="E71" s="50"/>
      <c r="F71" s="50"/>
      <c r="G71" s="50"/>
      <c r="H71" s="50"/>
      <c r="I71" s="50"/>
    </row>
    <row r="72" spans="1:9" ht="14.25">
      <c r="A72" s="43"/>
      <c r="B72" s="51">
        <v>0</v>
      </c>
      <c r="C72" s="51">
        <v>0</v>
      </c>
      <c r="D72" s="51">
        <v>0</v>
      </c>
      <c r="E72" s="281"/>
      <c r="F72" s="51">
        <v>0</v>
      </c>
      <c r="G72" s="250">
        <v>0</v>
      </c>
      <c r="H72" s="250">
        <v>0</v>
      </c>
      <c r="I72" s="250">
        <v>0</v>
      </c>
    </row>
    <row r="73" spans="1:9" ht="14.25">
      <c r="A73"/>
      <c r="B73" s="51">
        <v>0</v>
      </c>
      <c r="C73" s="51">
        <v>0</v>
      </c>
      <c r="D73" s="51">
        <v>0</v>
      </c>
      <c r="E73" s="51">
        <v>-8.526512829121202E-13</v>
      </c>
      <c r="F73" s="51">
        <v>0</v>
      </c>
      <c r="G73" s="51">
        <v>0</v>
      </c>
      <c r="H73" s="51">
        <v>0</v>
      </c>
      <c r="I73" s="51">
        <v>0</v>
      </c>
    </row>
    <row r="86" ht="14.25">
      <c r="A86"/>
    </row>
    <row r="1000" ht="14.25">
      <c r="A1000" s="31" t="s">
        <v>397</v>
      </c>
    </row>
  </sheetData>
  <sheetProtection/>
  <mergeCells count="6">
    <mergeCell ref="A69:I69"/>
    <mergeCell ref="B6:E6"/>
    <mergeCell ref="F6:I6"/>
    <mergeCell ref="A33:I33"/>
    <mergeCell ref="B42:E42"/>
    <mergeCell ref="F42:I42"/>
  </mergeCells>
  <conditionalFormatting sqref="B36:I36">
    <cfRule type="cellIs" priority="32" dxfId="16" operator="notBetween">
      <formula>0.4</formula>
      <formula>-0.4</formula>
    </cfRule>
  </conditionalFormatting>
  <conditionalFormatting sqref="B37:I37">
    <cfRule type="cellIs" priority="31" dxfId="16" operator="notBetween">
      <formula>0.4</formula>
      <formula>-0.4</formula>
    </cfRule>
  </conditionalFormatting>
  <conditionalFormatting sqref="B67:I67">
    <cfRule type="cellIs" priority="27" dxfId="98" operator="notBetween">
      <formula>0.5</formula>
      <formula>-0.5</formula>
    </cfRule>
  </conditionalFormatting>
  <conditionalFormatting sqref="D67">
    <cfRule type="cellIs" priority="25" dxfId="98" operator="notBetween">
      <formula>0.5</formula>
      <formula>-0.5</formula>
    </cfRule>
  </conditionalFormatting>
  <conditionalFormatting sqref="F67">
    <cfRule type="cellIs" priority="23" dxfId="98" operator="notBetween">
      <formula>0.5</formula>
      <formula>-0.5</formula>
    </cfRule>
  </conditionalFormatting>
  <conditionalFormatting sqref="H67">
    <cfRule type="cellIs" priority="21" dxfId="98" operator="notBetween">
      <formula>0.5</formula>
      <formula>-0.5</formula>
    </cfRule>
  </conditionalFormatting>
  <conditionalFormatting sqref="E31">
    <cfRule type="cellIs" priority="14" dxfId="98" operator="notBetween">
      <formula>0.5</formula>
      <formula>-0.5</formula>
    </cfRule>
  </conditionalFormatting>
  <conditionalFormatting sqref="C31">
    <cfRule type="cellIs" priority="12" dxfId="98" operator="notBetween">
      <formula>0.5</formula>
      <formula>-0.5</formula>
    </cfRule>
  </conditionalFormatting>
  <conditionalFormatting sqref="H31">
    <cfRule type="cellIs" priority="17" dxfId="98" operator="notBetween">
      <formula>0.5</formula>
      <formula>-0.5</formula>
    </cfRule>
  </conditionalFormatting>
  <conditionalFormatting sqref="I31">
    <cfRule type="cellIs" priority="30" dxfId="98" operator="notBetween">
      <formula>0.5</formula>
      <formula>-0.5</formula>
    </cfRule>
  </conditionalFormatting>
  <conditionalFormatting sqref="B72:G72">
    <cfRule type="cellIs" priority="29" dxfId="16" operator="notBetween">
      <formula>0.4</formula>
      <formula>-0.4</formula>
    </cfRule>
  </conditionalFormatting>
  <conditionalFormatting sqref="B73:G73">
    <cfRule type="cellIs" priority="28" dxfId="16" operator="notBetween">
      <formula>0.4</formula>
      <formula>-0.4</formula>
    </cfRule>
  </conditionalFormatting>
  <conditionalFormatting sqref="I67">
    <cfRule type="cellIs" priority="20" dxfId="98" operator="notBetween">
      <formula>0.5</formula>
      <formula>-0.5</formula>
    </cfRule>
  </conditionalFormatting>
  <conditionalFormatting sqref="C67">
    <cfRule type="cellIs" priority="26" dxfId="98" operator="notBetween">
      <formula>0.5</formula>
      <formula>-0.5</formula>
    </cfRule>
  </conditionalFormatting>
  <conditionalFormatting sqref="E67">
    <cfRule type="cellIs" priority="24" dxfId="98" operator="notBetween">
      <formula>0.5</formula>
      <formula>-0.5</formula>
    </cfRule>
  </conditionalFormatting>
  <conditionalFormatting sqref="G67">
    <cfRule type="cellIs" priority="22" dxfId="98" operator="notBetween">
      <formula>0.5</formula>
      <formula>-0.5</formula>
    </cfRule>
  </conditionalFormatting>
  <conditionalFormatting sqref="G31">
    <cfRule type="cellIs" priority="16" dxfId="98" operator="notBetween">
      <formula>0.5</formula>
      <formula>-0.5</formula>
    </cfRule>
  </conditionalFormatting>
  <conditionalFormatting sqref="H72">
    <cfRule type="cellIs" priority="19" dxfId="16" operator="notBetween">
      <formula>0.4</formula>
      <formula>-0.4</formula>
    </cfRule>
  </conditionalFormatting>
  <conditionalFormatting sqref="I72">
    <cfRule type="cellIs" priority="18" dxfId="16" operator="notBetween">
      <formula>0.4</formula>
      <formula>-0.4</formula>
    </cfRule>
  </conditionalFormatting>
  <conditionalFormatting sqref="F31">
    <cfRule type="cellIs" priority="15" dxfId="98" operator="notBetween">
      <formula>0.5</formula>
      <formula>-0.5</formula>
    </cfRule>
  </conditionalFormatting>
  <conditionalFormatting sqref="D31">
    <cfRule type="cellIs" priority="13" dxfId="98" operator="notBetween">
      <formula>0.5</formula>
      <formula>-0.5</formula>
    </cfRule>
  </conditionalFormatting>
  <conditionalFormatting sqref="D32">
    <cfRule type="cellIs" priority="9" dxfId="98" operator="notBetween">
      <formula>0.5</formula>
      <formula>-0.5</formula>
    </cfRule>
  </conditionalFormatting>
  <conditionalFormatting sqref="H32">
    <cfRule type="cellIs" priority="5" dxfId="98" operator="notBetween">
      <formula>0.5</formula>
      <formula>-0.5</formula>
    </cfRule>
  </conditionalFormatting>
  <conditionalFormatting sqref="B31:I31">
    <cfRule type="cellIs" priority="11" dxfId="98" operator="notBetween">
      <formula>0.5</formula>
      <formula>-0.5</formula>
    </cfRule>
  </conditionalFormatting>
  <conditionalFormatting sqref="F32">
    <cfRule type="cellIs" priority="7" dxfId="98" operator="notBetween">
      <formula>0.5</formula>
      <formula>-0.5</formula>
    </cfRule>
  </conditionalFormatting>
  <conditionalFormatting sqref="C32">
    <cfRule type="cellIs" priority="10" dxfId="98" operator="notBetween">
      <formula>0.5</formula>
      <formula>-0.5</formula>
    </cfRule>
  </conditionalFormatting>
  <conditionalFormatting sqref="E32">
    <cfRule type="cellIs" priority="8" dxfId="98" operator="notBetween">
      <formula>0.5</formula>
      <formula>-0.5</formula>
    </cfRule>
  </conditionalFormatting>
  <conditionalFormatting sqref="G32">
    <cfRule type="cellIs" priority="6" dxfId="98" operator="notBetween">
      <formula>0.5</formula>
      <formula>-0.5</formula>
    </cfRule>
  </conditionalFormatting>
  <conditionalFormatting sqref="I32">
    <cfRule type="cellIs" priority="4" dxfId="98" operator="notBetween">
      <formula>0.5</formula>
      <formula>-0.5</formula>
    </cfRule>
  </conditionalFormatting>
  <conditionalFormatting sqref="H73">
    <cfRule type="cellIs" priority="3" dxfId="16" operator="notBetween">
      <formula>0.4</formula>
      <formula>-0.4</formula>
    </cfRule>
  </conditionalFormatting>
  <conditionalFormatting sqref="I73">
    <cfRule type="cellIs" priority="2" dxfId="16" operator="notBetween">
      <formula>0.4</formula>
      <formula>-0.4</formula>
    </cfRule>
  </conditionalFormatting>
  <conditionalFormatting sqref="B35:I35">
    <cfRule type="cellIs" priority="1" dxfId="56" operator="notBetween">
      <formula>-1</formula>
      <formula>1</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R1000"/>
  <sheetViews>
    <sheetView showGridLines="0" zoomScale="90" zoomScaleNormal="90" zoomScalePageLayoutView="0" workbookViewId="0" topLeftCell="A1">
      <selection activeCell="I1" sqref="I1:I16384"/>
    </sheetView>
  </sheetViews>
  <sheetFormatPr defaultColWidth="11.421875" defaultRowHeight="15"/>
  <cols>
    <col min="1" max="1" width="86.421875" style="31" customWidth="1"/>
    <col min="2" max="2" width="10.421875" style="31" customWidth="1"/>
    <col min="3" max="8" width="11.421875" style="31" customWidth="1"/>
    <col min="9" max="9" width="0" style="31" hidden="1" customWidth="1"/>
    <col min="10" max="18" width="11.421875" style="31" customWidth="1"/>
  </cols>
  <sheetData>
    <row r="1" spans="1:9" ht="16.5">
      <c r="A1" s="29" t="str">
        <f>HLOOKUP(INDICE!$F$2,Nombres!$C$3:$D$636,104,FALSE)</f>
        <v>Grupo BBVA. Balances de situación consolidados</v>
      </c>
      <c r="B1" s="30"/>
      <c r="C1" s="30"/>
      <c r="D1" s="30"/>
      <c r="E1" s="30"/>
      <c r="F1" s="30"/>
      <c r="G1" s="30"/>
      <c r="H1" s="30"/>
      <c r="I1" s="30"/>
    </row>
    <row r="2" spans="1:9" ht="19.5">
      <c r="A2" s="32"/>
      <c r="B2" s="30"/>
      <c r="C2" s="30"/>
      <c r="D2" s="30"/>
      <c r="E2" s="30"/>
      <c r="F2" s="30"/>
      <c r="G2" s="30"/>
      <c r="H2" s="30"/>
      <c r="I2" s="30"/>
    </row>
    <row r="3" spans="1:9" ht="16.5">
      <c r="A3" s="33" t="str">
        <f>HLOOKUP(INDICE!$F$2,Nombres!$C$3:$D$636,51,FALSE)</f>
        <v>Balances</v>
      </c>
      <c r="B3" s="34"/>
      <c r="C3" s="34"/>
      <c r="D3" s="34"/>
      <c r="E3" s="34"/>
      <c r="F3" s="34"/>
      <c r="G3" s="34"/>
      <c r="H3" s="34"/>
      <c r="I3" s="34"/>
    </row>
    <row r="4" spans="1:9" ht="14.25">
      <c r="A4" s="35" t="str">
        <f>HLOOKUP(INDICE!$F$2,Nombres!$C$3:$D$636,32,FALSE)</f>
        <v>(Millones de euros)</v>
      </c>
      <c r="B4" s="30"/>
      <c r="C4" s="54"/>
      <c r="D4" s="54"/>
      <c r="E4" s="54"/>
      <c r="F4" s="30"/>
      <c r="G4" s="60"/>
      <c r="H4" s="60"/>
      <c r="I4" s="60"/>
    </row>
    <row r="5" spans="1:9" ht="14.25">
      <c r="A5" s="30"/>
      <c r="B5" s="55">
        <f>+España!B30</f>
        <v>43555</v>
      </c>
      <c r="C5" s="55">
        <f>+España!C30</f>
        <v>43646</v>
      </c>
      <c r="D5" s="55">
        <f>+España!D30</f>
        <v>43738</v>
      </c>
      <c r="E5" s="55">
        <f>+España!E30</f>
        <v>43830</v>
      </c>
      <c r="F5" s="55">
        <f>+España!F30</f>
        <v>43921</v>
      </c>
      <c r="G5" s="55">
        <f>+España!G30</f>
        <v>44012</v>
      </c>
      <c r="H5" s="55">
        <f>+España!H30</f>
        <v>44104</v>
      </c>
      <c r="I5" s="55">
        <f>+España!I30</f>
        <v>44196</v>
      </c>
    </row>
    <row r="6" spans="1:18" ht="14.25">
      <c r="A6" s="43" t="str">
        <f>HLOOKUP(INDICE!$F$2,Nombres!$C$3:$D$636,52,FALSE)</f>
        <v>Efectivo, saldos en efectivo en bancos centrales y otros depósitos a la vista</v>
      </c>
      <c r="B6" s="44">
        <v>50059.414</v>
      </c>
      <c r="C6" s="44">
        <v>44565.329</v>
      </c>
      <c r="D6" s="44">
        <v>40931.844</v>
      </c>
      <c r="E6" s="44">
        <v>44303.13</v>
      </c>
      <c r="F6" s="44">
        <v>49543.914</v>
      </c>
      <c r="G6" s="44">
        <v>65876.62</v>
      </c>
      <c r="H6" s="44">
        <v>72170.87</v>
      </c>
      <c r="I6" s="44">
        <v>0</v>
      </c>
      <c r="J6" s="56"/>
      <c r="K6" s="56"/>
      <c r="O6" s="56"/>
      <c r="P6" s="56"/>
      <c r="Q6" s="56"/>
      <c r="R6" s="56"/>
    </row>
    <row r="7" spans="1:18" ht="14.25">
      <c r="A7" s="43" t="str">
        <f>HLOOKUP(INDICE!$F$2,Nombres!$C$3:$D$636,131,FALSE)</f>
        <v>Activos financieros mantenidos para negociar</v>
      </c>
      <c r="B7" s="44">
        <v>92365.973</v>
      </c>
      <c r="C7" s="44">
        <v>105368.653</v>
      </c>
      <c r="D7" s="44">
        <v>110874.073</v>
      </c>
      <c r="E7" s="44">
        <v>102688.13</v>
      </c>
      <c r="F7" s="44">
        <v>127102.656</v>
      </c>
      <c r="G7" s="44">
        <v>119331.925</v>
      </c>
      <c r="H7" s="44">
        <v>107467.965</v>
      </c>
      <c r="I7" s="44">
        <v>0</v>
      </c>
      <c r="J7" s="56"/>
      <c r="K7" s="56"/>
      <c r="O7" s="56"/>
      <c r="P7" s="56"/>
      <c r="Q7" s="56"/>
      <c r="R7" s="56"/>
    </row>
    <row r="8" spans="1:18" ht="14.25">
      <c r="A8" s="43" t="str">
        <f>HLOOKUP(INDICE!$F$2,Nombres!$C$3:$D$636,132,FALSE)</f>
        <v>Activos financieros no destinados a negociación valorados obligatoriamente a valor razonable con cambios en resultados</v>
      </c>
      <c r="B8" s="44">
        <v>5534.6</v>
      </c>
      <c r="C8" s="44">
        <v>4918.365</v>
      </c>
      <c r="D8" s="44">
        <v>5209.409</v>
      </c>
      <c r="E8" s="44">
        <v>5557.146</v>
      </c>
      <c r="F8" s="44">
        <v>5100.257</v>
      </c>
      <c r="G8" s="44">
        <v>4998.077</v>
      </c>
      <c r="H8" s="44">
        <v>5147.257</v>
      </c>
      <c r="I8" s="44">
        <v>0</v>
      </c>
      <c r="J8" s="56"/>
      <c r="K8" s="56"/>
      <c r="O8" s="56"/>
      <c r="P8" s="56"/>
      <c r="Q8" s="56"/>
      <c r="R8" s="56"/>
    </row>
    <row r="9" spans="1:18" ht="14.25">
      <c r="A9" s="43" t="str">
        <f>HLOOKUP(INDICE!$F$2,Nombres!$C$3:$D$636,133,FALSE)</f>
        <v>Activos financieros designados a valor razonable con cambios en resultados</v>
      </c>
      <c r="B9" s="44">
        <v>1310.735</v>
      </c>
      <c r="C9" s="44">
        <v>1403.443</v>
      </c>
      <c r="D9" s="44">
        <v>1399.754</v>
      </c>
      <c r="E9" s="44">
        <v>1214.003</v>
      </c>
      <c r="F9" s="44">
        <v>1174.787</v>
      </c>
      <c r="G9" s="44">
        <v>1097.759</v>
      </c>
      <c r="H9" s="44">
        <v>1117.342</v>
      </c>
      <c r="I9" s="44">
        <v>0</v>
      </c>
      <c r="J9" s="56"/>
      <c r="K9" s="56"/>
      <c r="O9" s="56"/>
      <c r="P9" s="56"/>
      <c r="Q9" s="56"/>
      <c r="R9" s="56"/>
    </row>
    <row r="10" spans="1:18" ht="14.25">
      <c r="A10" s="43" t="str">
        <f>HLOOKUP(INDICE!$F$2,Nombres!$C$3:$D$636,134,FALSE)</f>
        <v>Activos financieros designados a valor razonable con cambios en otro resultado global acumulado</v>
      </c>
      <c r="B10" s="44">
        <v>60204.406</v>
      </c>
      <c r="C10" s="44">
        <v>63363.562</v>
      </c>
      <c r="D10" s="44">
        <v>63275.056</v>
      </c>
      <c r="E10" s="44">
        <v>61183.325</v>
      </c>
      <c r="F10" s="44">
        <v>61229.473</v>
      </c>
      <c r="G10" s="44">
        <v>70045.041</v>
      </c>
      <c r="H10" s="44">
        <v>72197.552</v>
      </c>
      <c r="I10" s="44">
        <v>0</v>
      </c>
      <c r="J10" s="56"/>
      <c r="K10" s="56"/>
      <c r="O10" s="56"/>
      <c r="P10" s="56"/>
      <c r="Q10" s="56"/>
      <c r="R10" s="56"/>
    </row>
    <row r="11" spans="1:18" ht="14.25">
      <c r="A11" s="43" t="str">
        <f>HLOOKUP(INDICE!$F$2,Nombres!$C$3:$D$636,135,FALSE)</f>
        <v>Activos financieros a coste amortizado</v>
      </c>
      <c r="B11" s="44">
        <v>433008.152</v>
      </c>
      <c r="C11" s="44">
        <v>430929.827</v>
      </c>
      <c r="D11" s="44">
        <v>437792.202</v>
      </c>
      <c r="E11" s="44">
        <v>439161.747</v>
      </c>
      <c r="F11" s="44">
        <v>442830.97</v>
      </c>
      <c r="G11" s="44">
        <v>450222.38399999996</v>
      </c>
      <c r="H11" s="44">
        <v>427686.561</v>
      </c>
      <c r="I11" s="44">
        <v>0</v>
      </c>
      <c r="J11" s="56"/>
      <c r="K11" s="56"/>
      <c r="O11" s="56"/>
      <c r="P11" s="56"/>
      <c r="Q11" s="56"/>
      <c r="R11" s="56"/>
    </row>
    <row r="12" spans="1:18" ht="14.25">
      <c r="A12" s="57" t="str">
        <f>HLOOKUP(INDICE!$F$2,Nombres!$C$3:$D$636,136,FALSE)</f>
        <v>. Préstamos y anticipos en bancos centrales  y entidades de crédito</v>
      </c>
      <c r="B12" s="58">
        <v>15787.366</v>
      </c>
      <c r="C12" s="58">
        <v>16421.04</v>
      </c>
      <c r="D12" s="58">
        <v>19654.828</v>
      </c>
      <c r="E12" s="58">
        <v>17923.999</v>
      </c>
      <c r="F12" s="58">
        <v>18854.158</v>
      </c>
      <c r="G12" s="58">
        <v>19614.561</v>
      </c>
      <c r="H12" s="58">
        <v>18788.437</v>
      </c>
      <c r="I12" s="58">
        <v>0</v>
      </c>
      <c r="J12" s="56"/>
      <c r="K12" s="56"/>
      <c r="O12" s="56"/>
      <c r="P12" s="56"/>
      <c r="Q12" s="56"/>
      <c r="R12" s="56"/>
    </row>
    <row r="13" spans="1:18" ht="14.25">
      <c r="A13" s="57" t="str">
        <f>HLOOKUP(INDICE!$F$2,Nombres!$C$3:$D$636,137,FALSE)</f>
        <v>. Préstamos y anticipos a la clientela</v>
      </c>
      <c r="B13" s="58">
        <v>380799.483</v>
      </c>
      <c r="C13" s="58">
        <v>377155.065</v>
      </c>
      <c r="D13" s="58">
        <v>378774.729</v>
      </c>
      <c r="E13" s="58">
        <v>382360.251</v>
      </c>
      <c r="F13" s="58">
        <v>382591.658</v>
      </c>
      <c r="G13" s="58">
        <v>387211.942</v>
      </c>
      <c r="H13" s="58">
        <v>365605.422</v>
      </c>
      <c r="I13" s="58">
        <v>0</v>
      </c>
      <c r="J13" s="56"/>
      <c r="K13" s="56"/>
      <c r="O13" s="56"/>
      <c r="P13" s="56"/>
      <c r="Q13" s="56"/>
      <c r="R13" s="56"/>
    </row>
    <row r="14" spans="1:18" ht="14.25">
      <c r="A14" s="57" t="str">
        <f>HLOOKUP(INDICE!$F$2,Nombres!$C$3:$D$636,138,FALSE)</f>
        <v>. Valores representativos de deuda</v>
      </c>
      <c r="B14" s="58">
        <v>36421.303</v>
      </c>
      <c r="C14" s="58">
        <v>37353.722</v>
      </c>
      <c r="D14" s="58">
        <v>39362.645</v>
      </c>
      <c r="E14" s="58">
        <v>38877.497</v>
      </c>
      <c r="F14" s="58">
        <v>41385.154</v>
      </c>
      <c r="G14" s="58">
        <v>43395.881</v>
      </c>
      <c r="H14" s="58">
        <v>43292.702</v>
      </c>
      <c r="I14" s="58">
        <v>0</v>
      </c>
      <c r="J14" s="56"/>
      <c r="K14" s="56"/>
      <c r="O14" s="56"/>
      <c r="P14" s="56"/>
      <c r="Q14" s="56"/>
      <c r="R14" s="56"/>
    </row>
    <row r="15" spans="1:18" ht="15" customHeight="1" hidden="1">
      <c r="A15" s="43" t="str">
        <f>HLOOKUP(INDICE!$F$2,Nombres!$C$3:$D$636,139,FALSE)</f>
        <v>Inversiones mantenidas hasta el vencimiento</v>
      </c>
      <c r="B15" s="59"/>
      <c r="C15" s="59"/>
      <c r="D15" s="59"/>
      <c r="E15" s="59"/>
      <c r="F15" s="59"/>
      <c r="G15" s="59"/>
      <c r="H15" s="59"/>
      <c r="I15" s="59"/>
      <c r="J15" s="56"/>
      <c r="K15" s="56"/>
      <c r="O15" s="56"/>
      <c r="P15" s="56"/>
      <c r="Q15" s="56"/>
      <c r="R15" s="56"/>
    </row>
    <row r="16" spans="1:18" ht="14.25">
      <c r="A16" s="43" t="str">
        <f>HLOOKUP(INDICE!$F$2,Nombres!$C$3:$D$636,140,FALSE)</f>
        <v>Inversiones en negocios conjuntos y asociadas</v>
      </c>
      <c r="B16" s="44">
        <v>1587.294</v>
      </c>
      <c r="C16" s="44">
        <v>1637.59</v>
      </c>
      <c r="D16" s="44">
        <v>1550.09</v>
      </c>
      <c r="E16" s="44">
        <v>1488.289</v>
      </c>
      <c r="F16" s="44">
        <v>1439.711</v>
      </c>
      <c r="G16" s="44">
        <v>1366.361</v>
      </c>
      <c r="H16" s="44">
        <v>1240.675</v>
      </c>
      <c r="I16" s="44">
        <v>0</v>
      </c>
      <c r="J16" s="56"/>
      <c r="K16" s="56"/>
      <c r="O16" s="56"/>
      <c r="P16" s="56"/>
      <c r="Q16" s="56"/>
      <c r="R16" s="56"/>
    </row>
    <row r="17" spans="1:18" ht="14.25">
      <c r="A17" s="43" t="str">
        <f>HLOOKUP(INDICE!$F$2,Nombres!$C$3:$D$636,56,FALSE)</f>
        <v>Activos tangibles</v>
      </c>
      <c r="B17" s="44">
        <v>10408.086</v>
      </c>
      <c r="C17" s="44">
        <v>10302.12</v>
      </c>
      <c r="D17" s="44">
        <v>10208.176</v>
      </c>
      <c r="E17" s="44">
        <v>10068.353</v>
      </c>
      <c r="F17" s="44">
        <v>9343.832</v>
      </c>
      <c r="G17" s="44">
        <v>9056.785</v>
      </c>
      <c r="H17" s="44">
        <v>8689.965</v>
      </c>
      <c r="I17" s="44">
        <v>0</v>
      </c>
      <c r="J17" s="56"/>
      <c r="K17" s="56"/>
      <c r="O17" s="56"/>
      <c r="P17" s="56"/>
      <c r="Q17" s="56"/>
      <c r="R17" s="56"/>
    </row>
    <row r="18" spans="1:18" ht="14.25">
      <c r="A18" s="43" t="str">
        <f>HLOOKUP(INDICE!$F$2,Nombres!$C$3:$D$636,141,FALSE)</f>
        <v>Activos Intangibles</v>
      </c>
      <c r="B18" s="44">
        <v>8383.167</v>
      </c>
      <c r="C18" s="44">
        <v>8261.538</v>
      </c>
      <c r="D18" s="44">
        <v>8507.546</v>
      </c>
      <c r="E18" s="44">
        <v>6965.543</v>
      </c>
      <c r="F18" s="44">
        <v>4702.009</v>
      </c>
      <c r="G18" s="44">
        <v>4623.181</v>
      </c>
      <c r="H18" s="44">
        <v>4369.402</v>
      </c>
      <c r="I18" s="44">
        <v>0</v>
      </c>
      <c r="J18" s="56"/>
      <c r="K18" s="56"/>
      <c r="O18" s="56"/>
      <c r="P18" s="56"/>
      <c r="Q18" s="56"/>
      <c r="R18" s="56"/>
    </row>
    <row r="19" spans="1:18" ht="14.25">
      <c r="A19" s="43" t="str">
        <f>HLOOKUP(INDICE!$F$2,Nombres!$C$3:$D$636,57,FALSE)</f>
        <v>Otros activos</v>
      </c>
      <c r="B19" s="60">
        <v>28338.245</v>
      </c>
      <c r="C19" s="60">
        <v>26875.551</v>
      </c>
      <c r="D19" s="60">
        <v>29268.607</v>
      </c>
      <c r="E19" s="60">
        <v>26060.046</v>
      </c>
      <c r="F19" s="60">
        <v>28455.809999999998</v>
      </c>
      <c r="G19" s="60">
        <v>27205.443999999996</v>
      </c>
      <c r="H19" s="60">
        <v>26926.662</v>
      </c>
      <c r="I19" s="60">
        <v>0</v>
      </c>
      <c r="J19" s="56"/>
      <c r="K19" s="56"/>
      <c r="O19" s="56"/>
      <c r="P19" s="56"/>
      <c r="Q19" s="56"/>
      <c r="R19" s="56"/>
    </row>
    <row r="20" spans="1:18" ht="14.25">
      <c r="A20" s="47" t="str">
        <f>HLOOKUP(INDICE!$F$2,Nombres!$C$3:$D$636,58,FALSE)</f>
        <v>Total activo / pasivo</v>
      </c>
      <c r="B20" s="47">
        <f aca="true" t="shared" si="0" ref="B20:I20">+SUM(B6:B11,B16:B19)</f>
        <v>691200.072</v>
      </c>
      <c r="C20" s="47">
        <f t="shared" si="0"/>
        <v>697625.9779999999</v>
      </c>
      <c r="D20" s="47">
        <f t="shared" si="0"/>
        <v>709016.7569999999</v>
      </c>
      <c r="E20" s="47">
        <f t="shared" si="0"/>
        <v>698689.7119999998</v>
      </c>
      <c r="F20" s="47">
        <f t="shared" si="0"/>
        <v>730923.419</v>
      </c>
      <c r="G20" s="47">
        <f t="shared" si="0"/>
        <v>753823.5769999999</v>
      </c>
      <c r="H20" s="47">
        <f t="shared" si="0"/>
        <v>727014.251</v>
      </c>
      <c r="I20" s="47">
        <f t="shared" si="0"/>
        <v>0</v>
      </c>
      <c r="J20" s="56"/>
      <c r="K20" s="56"/>
      <c r="O20" s="56"/>
      <c r="P20" s="56"/>
      <c r="Q20" s="56"/>
      <c r="R20" s="56"/>
    </row>
    <row r="21" spans="1:18" ht="14.25">
      <c r="A21" s="43" t="str">
        <f>HLOOKUP(INDICE!$F$2,Nombres!$C$3:$D$636,59,FALSE)</f>
        <v>Pasivos financieros mantenidos para negociar y designados a valor razonable con cambios en resultados</v>
      </c>
      <c r="B21" s="60">
        <v>80818.396</v>
      </c>
      <c r="C21" s="60">
        <v>91357.992</v>
      </c>
      <c r="D21" s="60">
        <v>92406.662</v>
      </c>
      <c r="E21" s="60">
        <v>89633.151</v>
      </c>
      <c r="F21" s="60">
        <v>113698.733</v>
      </c>
      <c r="G21" s="60">
        <v>108623.778</v>
      </c>
      <c r="H21" s="60">
        <v>95016.271</v>
      </c>
      <c r="I21" s="60">
        <v>0</v>
      </c>
      <c r="O21" s="56"/>
      <c r="P21" s="56"/>
      <c r="Q21" s="56"/>
      <c r="R21" s="56"/>
    </row>
    <row r="22" spans="1:18" ht="14.25">
      <c r="A22" s="43" t="str">
        <f>HLOOKUP(INDICE!$F$2,Nombres!$C$3:$D$636,142,FALSE)</f>
        <v>Pasivos financieros designados a valor razonable con cambios en resultados</v>
      </c>
      <c r="B22" s="60">
        <v>7846.073</v>
      </c>
      <c r="C22" s="60">
        <v>8921.888</v>
      </c>
      <c r="D22" s="60">
        <v>9582.953</v>
      </c>
      <c r="E22" s="60">
        <v>10010.264</v>
      </c>
      <c r="F22" s="60">
        <v>8641.245</v>
      </c>
      <c r="G22" s="60">
        <v>9203.246</v>
      </c>
      <c r="H22" s="60">
        <v>9381.738</v>
      </c>
      <c r="I22" s="60">
        <v>0</v>
      </c>
      <c r="J22" s="61"/>
      <c r="K22" s="61"/>
      <c r="L22" s="61"/>
      <c r="M22" s="61"/>
      <c r="N22" s="61"/>
      <c r="O22" s="56"/>
      <c r="P22" s="56"/>
      <c r="Q22" s="56"/>
      <c r="R22" s="56"/>
    </row>
    <row r="23" spans="1:18" ht="14.25">
      <c r="A23" s="43" t="str">
        <f>HLOOKUP(INDICE!$F$2,Nombres!$C$3:$D$636,143,FALSE)</f>
        <v>Pasivos financieros a coste amortizado</v>
      </c>
      <c r="B23" s="60">
        <v>520463.703</v>
      </c>
      <c r="C23" s="60">
        <v>513937.299</v>
      </c>
      <c r="D23" s="60">
        <v>518214.871</v>
      </c>
      <c r="E23" s="60">
        <v>516640.754</v>
      </c>
      <c r="F23" s="60">
        <v>533204.515</v>
      </c>
      <c r="G23" s="60">
        <v>559713.125</v>
      </c>
      <c r="H23" s="60">
        <v>548025.037</v>
      </c>
      <c r="I23" s="60">
        <v>0</v>
      </c>
      <c r="J23" s="61"/>
      <c r="K23" s="61"/>
      <c r="L23" s="61"/>
      <c r="M23" s="61"/>
      <c r="N23" s="61"/>
      <c r="O23" s="56"/>
      <c r="P23" s="56"/>
      <c r="Q23" s="56"/>
      <c r="R23" s="56"/>
    </row>
    <row r="24" spans="1:18" ht="14.25">
      <c r="A24" s="57" t="str">
        <f>HLOOKUP(INDICE!$F$2,Nombres!$C$3:$D$636,60,FALSE)</f>
        <v>Depósitos de bancos centrales y entidades de crédito</v>
      </c>
      <c r="B24" s="62">
        <v>64427.4</v>
      </c>
      <c r="C24" s="62">
        <v>61457.22</v>
      </c>
      <c r="D24" s="62">
        <v>60554.248999999996</v>
      </c>
      <c r="E24" s="62">
        <v>54700.186</v>
      </c>
      <c r="F24" s="62">
        <v>69289.99799999999</v>
      </c>
      <c r="G24" s="62">
        <v>79023.40400000001</v>
      </c>
      <c r="H24" s="62">
        <v>72744.757</v>
      </c>
      <c r="I24" s="62">
        <v>0</v>
      </c>
      <c r="O24" s="56"/>
      <c r="P24" s="56"/>
      <c r="Q24" s="56"/>
      <c r="R24" s="56"/>
    </row>
    <row r="25" spans="1:18" ht="14.25">
      <c r="A25" s="57" t="str">
        <f>HLOOKUP(INDICE!$F$2,Nombres!$C$3:$D$636,61,FALSE)</f>
        <v>Depósitos de la clientela</v>
      </c>
      <c r="B25" s="62">
        <v>378527.14</v>
      </c>
      <c r="C25" s="62">
        <v>375103.744</v>
      </c>
      <c r="D25" s="62">
        <v>379333.197</v>
      </c>
      <c r="E25" s="62">
        <v>384219.294</v>
      </c>
      <c r="F25" s="62">
        <v>385049.963</v>
      </c>
      <c r="G25" s="62">
        <v>402183.798</v>
      </c>
      <c r="H25" s="62">
        <v>395131.582</v>
      </c>
      <c r="I25" s="62">
        <v>0</v>
      </c>
      <c r="O25" s="56"/>
      <c r="P25" s="56"/>
      <c r="Q25" s="56"/>
      <c r="R25" s="56"/>
    </row>
    <row r="26" spans="1:18" ht="14.25">
      <c r="A26" s="57" t="str">
        <f>HLOOKUP(INDICE!$F$2,Nombres!$C$3:$D$636,62,FALSE)</f>
        <v>Valores representativos de deuda emitidos</v>
      </c>
      <c r="B26" s="62">
        <v>62364.987</v>
      </c>
      <c r="C26" s="62">
        <v>62684.511</v>
      </c>
      <c r="D26" s="62">
        <v>63324.052</v>
      </c>
      <c r="E26" s="62">
        <v>63963.242</v>
      </c>
      <c r="F26" s="62">
        <v>64936.613</v>
      </c>
      <c r="G26" s="62">
        <v>64420.566</v>
      </c>
      <c r="H26" s="62">
        <v>67024.267</v>
      </c>
      <c r="I26" s="62">
        <v>0</v>
      </c>
      <c r="O26" s="56"/>
      <c r="P26" s="56"/>
      <c r="Q26" s="56"/>
      <c r="R26" s="56"/>
    </row>
    <row r="27" spans="1:18" ht="14.25">
      <c r="A27" s="57" t="str">
        <f>HLOOKUP(INDICE!$F$2,Nombres!$C$3:$D$636,144,FALSE)</f>
        <v>. Otros pasivos financieros</v>
      </c>
      <c r="B27" s="62">
        <v>15144.176</v>
      </c>
      <c r="C27" s="62">
        <v>14691.824</v>
      </c>
      <c r="D27" s="62">
        <v>15003.373</v>
      </c>
      <c r="E27" s="62">
        <v>13758.032</v>
      </c>
      <c r="F27" s="62">
        <v>13927.941</v>
      </c>
      <c r="G27" s="62">
        <v>14085.357</v>
      </c>
      <c r="H27" s="62">
        <v>13124.431</v>
      </c>
      <c r="I27" s="62">
        <v>0</v>
      </c>
      <c r="O27" s="56"/>
      <c r="P27" s="56"/>
      <c r="Q27" s="56"/>
      <c r="R27" s="56"/>
    </row>
    <row r="28" spans="1:18" ht="14.25">
      <c r="A28" s="43" t="str">
        <f>HLOOKUP(INDICE!$F$2,Nombres!$C$3:$D$636,145,FALSE)</f>
        <v>Pasivos amparados por contratos de seguros o reaseguro</v>
      </c>
      <c r="B28" s="60">
        <v>10577.421</v>
      </c>
      <c r="C28" s="60">
        <v>10634.106</v>
      </c>
      <c r="D28" s="60">
        <v>10834.307</v>
      </c>
      <c r="E28" s="60">
        <v>10606.073</v>
      </c>
      <c r="F28" s="60">
        <v>9593.095</v>
      </c>
      <c r="G28" s="60">
        <v>9462.217</v>
      </c>
      <c r="H28" s="60">
        <v>9504.696</v>
      </c>
      <c r="I28" s="60">
        <v>0</v>
      </c>
      <c r="O28" s="56"/>
      <c r="P28" s="56"/>
      <c r="Q28" s="56"/>
      <c r="R28" s="56"/>
    </row>
    <row r="29" spans="1:18" ht="14.25">
      <c r="A29" s="43" t="str">
        <f>HLOOKUP(INDICE!$F$2,Nombres!$C$3:$D$636,63,FALSE)</f>
        <v>Otros pasivos</v>
      </c>
      <c r="B29" s="60">
        <v>17947.443</v>
      </c>
      <c r="C29" s="60">
        <v>18084.854</v>
      </c>
      <c r="D29" s="60">
        <v>20949.112</v>
      </c>
      <c r="E29" s="60">
        <v>16874.543999999998</v>
      </c>
      <c r="F29" s="60">
        <v>16611.584999999995</v>
      </c>
      <c r="G29" s="60">
        <v>17266.394</v>
      </c>
      <c r="H29" s="60">
        <v>16564.985999999997</v>
      </c>
      <c r="I29" s="60">
        <v>0</v>
      </c>
      <c r="O29" s="56"/>
      <c r="P29" s="56"/>
      <c r="Q29" s="56"/>
      <c r="R29" s="56"/>
    </row>
    <row r="30" spans="1:18" ht="14.25">
      <c r="A30" s="41" t="str">
        <f>HLOOKUP(INDICE!$F$2,Nombres!$C$3:$D$636,146,FALSE)</f>
        <v>Total pasivo</v>
      </c>
      <c r="B30" s="63">
        <f aca="true" t="shared" si="1" ref="B30:I30">+SUM(B21:B23,B28:B29)</f>
        <v>637653.036</v>
      </c>
      <c r="C30" s="63">
        <f t="shared" si="1"/>
        <v>642936.1390000001</v>
      </c>
      <c r="D30" s="63">
        <f t="shared" si="1"/>
        <v>651987.905</v>
      </c>
      <c r="E30" s="63">
        <f t="shared" si="1"/>
        <v>643764.786</v>
      </c>
      <c r="F30" s="63">
        <f t="shared" si="1"/>
        <v>681749.173</v>
      </c>
      <c r="G30" s="63">
        <f t="shared" si="1"/>
        <v>704268.7599999999</v>
      </c>
      <c r="H30" s="63">
        <f t="shared" si="1"/>
        <v>678492.728</v>
      </c>
      <c r="I30" s="63">
        <f t="shared" si="1"/>
        <v>0</v>
      </c>
      <c r="O30" s="56"/>
      <c r="P30" s="56"/>
      <c r="Q30" s="56"/>
      <c r="R30" s="56"/>
    </row>
    <row r="31" spans="1:18" ht="14.25">
      <c r="A31" s="41"/>
      <c r="B31" s="63"/>
      <c r="C31" s="63"/>
      <c r="D31" s="63"/>
      <c r="E31" s="63"/>
      <c r="F31" s="63"/>
      <c r="G31" s="63"/>
      <c r="H31" s="63"/>
      <c r="I31" s="63"/>
      <c r="O31" s="56"/>
      <c r="P31" s="56"/>
      <c r="Q31" s="56"/>
      <c r="R31" s="56"/>
    </row>
    <row r="32" spans="1:18" ht="14.25">
      <c r="A32" s="43" t="str">
        <f>HLOOKUP(INDICE!$F$2,Nombres!$C$3:$D$636,147,FALSE)</f>
        <v>Intereses minoritarios</v>
      </c>
      <c r="B32" s="60">
        <v>5717.824</v>
      </c>
      <c r="C32" s="60">
        <v>5838.968</v>
      </c>
      <c r="D32" s="60">
        <v>6299.18</v>
      </c>
      <c r="E32" s="60">
        <v>6201.005</v>
      </c>
      <c r="F32" s="60">
        <v>5988.998</v>
      </c>
      <c r="G32" s="60">
        <v>5835.816</v>
      </c>
      <c r="H32" s="60">
        <v>5404.432</v>
      </c>
      <c r="I32" s="60">
        <v>0</v>
      </c>
      <c r="O32" s="56"/>
      <c r="P32" s="56"/>
      <c r="Q32" s="56"/>
      <c r="R32" s="56"/>
    </row>
    <row r="33" spans="1:18" ht="14.25">
      <c r="A33" s="43" t="str">
        <f>HLOOKUP(INDICE!$F$2,Nombres!$C$3:$D$636,148,FALSE)</f>
        <v>Otro resultado global acumulado</v>
      </c>
      <c r="B33" s="60">
        <v>-9673.692</v>
      </c>
      <c r="C33" s="60">
        <v>-9866.685</v>
      </c>
      <c r="D33" s="60">
        <v>-9143.172</v>
      </c>
      <c r="E33" s="60">
        <v>-10226.001</v>
      </c>
      <c r="F33" s="60">
        <v>-12804.734</v>
      </c>
      <c r="G33" s="60">
        <v>-12822.452</v>
      </c>
      <c r="H33" s="60">
        <v>-14552.254</v>
      </c>
      <c r="I33" s="60">
        <v>0</v>
      </c>
      <c r="O33" s="56"/>
      <c r="P33" s="56"/>
      <c r="Q33" s="56"/>
      <c r="R33" s="56"/>
    </row>
    <row r="34" spans="1:18" ht="14.25">
      <c r="A34" s="43" t="str">
        <f>HLOOKUP(INDICE!$F$2,Nombres!$C$3:$D$636,149,FALSE)</f>
        <v>Fondos propios</v>
      </c>
      <c r="B34" s="60">
        <v>57502.904</v>
      </c>
      <c r="C34" s="60">
        <v>58717.556</v>
      </c>
      <c r="D34" s="60">
        <v>59872.844</v>
      </c>
      <c r="E34" s="60">
        <v>58949.922</v>
      </c>
      <c r="F34" s="60">
        <v>55989.982</v>
      </c>
      <c r="G34" s="60">
        <v>56541.453</v>
      </c>
      <c r="H34" s="60">
        <v>57669.344999999994</v>
      </c>
      <c r="I34" s="60">
        <v>0</v>
      </c>
      <c r="O34" s="56"/>
      <c r="P34" s="56"/>
      <c r="Q34" s="56"/>
      <c r="R34" s="56"/>
    </row>
    <row r="35" spans="1:18" ht="14.25">
      <c r="A35" s="41" t="str">
        <f>HLOOKUP(INDICE!$F$2,Nombres!$C$3:$D$636,150,FALSE)</f>
        <v>Patrimonio neto</v>
      </c>
      <c r="B35" s="63">
        <f aca="true" t="shared" si="2" ref="B35:I35">+B32+B33+B34</f>
        <v>53547.036</v>
      </c>
      <c r="C35" s="63">
        <f t="shared" si="2"/>
        <v>54689.839</v>
      </c>
      <c r="D35" s="63">
        <f t="shared" si="2"/>
        <v>57028.852</v>
      </c>
      <c r="E35" s="63">
        <f t="shared" si="2"/>
        <v>54924.926</v>
      </c>
      <c r="F35" s="63">
        <f t="shared" si="2"/>
        <v>49174.246</v>
      </c>
      <c r="G35" s="63">
        <f t="shared" si="2"/>
        <v>49554.817</v>
      </c>
      <c r="H35" s="63">
        <f t="shared" si="2"/>
        <v>48521.522999999994</v>
      </c>
      <c r="I35" s="63">
        <f t="shared" si="2"/>
        <v>0</v>
      </c>
      <c r="O35" s="56"/>
      <c r="P35" s="56"/>
      <c r="Q35" s="56"/>
      <c r="R35" s="56"/>
    </row>
    <row r="36" spans="1:18" ht="14.25">
      <c r="A36" s="43"/>
      <c r="B36" s="60"/>
      <c r="C36" s="60"/>
      <c r="D36" s="60"/>
      <c r="E36" s="60"/>
      <c r="F36" s="60"/>
      <c r="G36" s="60"/>
      <c r="H36" s="60"/>
      <c r="I36" s="60"/>
      <c r="O36" s="56"/>
      <c r="P36" s="56"/>
      <c r="Q36" s="56"/>
      <c r="R36" s="56"/>
    </row>
    <row r="37" spans="1:18" ht="14.25">
      <c r="A37" s="47" t="str">
        <f>HLOOKUP(INDICE!$F$2,Nombres!$C$3:$D$636,151,FALSE)</f>
        <v>Total patrimonio neto y pasivo</v>
      </c>
      <c r="B37" s="47">
        <v>691200.072</v>
      </c>
      <c r="C37" s="47">
        <v>697625.978</v>
      </c>
      <c r="D37" s="47">
        <v>709016.757</v>
      </c>
      <c r="E37" s="47">
        <v>698689.712</v>
      </c>
      <c r="F37" s="47">
        <v>730923.419</v>
      </c>
      <c r="G37" s="47">
        <v>753823.577</v>
      </c>
      <c r="H37" s="47">
        <v>727014.251</v>
      </c>
      <c r="I37" s="47">
        <v>0</v>
      </c>
      <c r="O37" s="56"/>
      <c r="P37" s="56"/>
      <c r="Q37" s="56"/>
      <c r="R37" s="56"/>
    </row>
    <row r="38" spans="1:9" ht="14.25">
      <c r="A38" s="43"/>
      <c r="B38" s="64">
        <f aca="true" t="shared" si="3" ref="B38:I38">+B37-B20</f>
        <v>0</v>
      </c>
      <c r="C38" s="64">
        <f t="shared" si="3"/>
        <v>0</v>
      </c>
      <c r="D38" s="64">
        <f t="shared" si="3"/>
        <v>0</v>
      </c>
      <c r="E38" s="64">
        <f t="shared" si="3"/>
        <v>0</v>
      </c>
      <c r="F38" s="64">
        <f t="shared" si="3"/>
        <v>0</v>
      </c>
      <c r="G38" s="64">
        <f t="shared" si="3"/>
        <v>0</v>
      </c>
      <c r="H38" s="64">
        <f t="shared" si="3"/>
        <v>0</v>
      </c>
      <c r="I38" s="64">
        <f t="shared" si="3"/>
        <v>0</v>
      </c>
    </row>
    <row r="39" spans="1:9" ht="14.25">
      <c r="A39" s="43"/>
      <c r="B39" s="64">
        <f>+B6+B7+B8+B9+B10+B11+B16+B17+B18+B19-B20</f>
        <v>0</v>
      </c>
      <c r="C39" s="64">
        <f>+C6+C7+C8+C9+C10+C11+C16+C17+C18+C19-C20</f>
        <v>0</v>
      </c>
      <c r="D39" s="64">
        <f>+D6+D7+D8+D9+D10+D11+D16+D17+D18+D19-D20</f>
        <v>0</v>
      </c>
      <c r="E39" s="64" t="s">
        <v>418</v>
      </c>
      <c r="F39" s="64">
        <f>+F6+F7+F8+F9+F10+F11+F16+F17+F18+F19-F20</f>
        <v>0</v>
      </c>
      <c r="G39" s="64">
        <f>+G6+G7+G8+G9+G10+G11+G16+G17+G18+G19-G20</f>
        <v>0</v>
      </c>
      <c r="H39" s="64">
        <f>+H6+H7+H8+H9+H10+H11+H16+H17+H18+H19-H20</f>
        <v>0</v>
      </c>
      <c r="I39" s="64" t="s">
        <v>418</v>
      </c>
    </row>
    <row r="40" spans="1:9" ht="66.75" customHeight="1">
      <c r="A40" s="304"/>
      <c r="B40" s="304"/>
      <c r="C40" s="304"/>
      <c r="D40" s="304"/>
      <c r="E40" s="304"/>
      <c r="F40" s="304"/>
      <c r="G40" s="304"/>
      <c r="H40" s="304"/>
      <c r="I40" s="304"/>
    </row>
    <row r="41" spans="1:9" ht="14.25">
      <c r="A41" s="65"/>
      <c r="B41" s="60"/>
      <c r="C41" s="60"/>
      <c r="D41" s="60"/>
      <c r="E41" s="60"/>
      <c r="F41" s="60"/>
      <c r="G41" s="60"/>
      <c r="H41" s="60"/>
      <c r="I41" s="60"/>
    </row>
    <row r="42" spans="1:9" ht="14.25">
      <c r="A42" s="43"/>
      <c r="B42" s="60"/>
      <c r="C42" s="60"/>
      <c r="D42" s="60"/>
      <c r="E42" s="60"/>
      <c r="F42" s="60"/>
      <c r="G42" s="60"/>
      <c r="H42" s="60"/>
      <c r="I42" s="60"/>
    </row>
    <row r="43" spans="1:9" ht="14.25">
      <c r="A43" s="65"/>
      <c r="B43" s="30"/>
      <c r="C43" s="30"/>
      <c r="D43" s="30"/>
      <c r="E43" s="30"/>
      <c r="F43" s="30"/>
      <c r="G43" s="60"/>
      <c r="H43" s="30"/>
      <c r="I43" s="30"/>
    </row>
    <row r="44" ht="14.25">
      <c r="B44" s="56"/>
    </row>
    <row r="46" ht="14.25">
      <c r="B46" s="56"/>
    </row>
    <row r="1000" ht="14.25">
      <c r="A1000" s="31" t="s">
        <v>397</v>
      </c>
    </row>
  </sheetData>
  <sheetProtection/>
  <mergeCells count="1">
    <mergeCell ref="A40:I40"/>
  </mergeCells>
  <conditionalFormatting sqref="F39:I39">
    <cfRule type="cellIs" priority="10" dxfId="98" operator="notBetween">
      <formula>0.5</formula>
      <formula>-0.5</formula>
    </cfRule>
  </conditionalFormatting>
  <conditionalFormatting sqref="I38">
    <cfRule type="cellIs" priority="9" dxfId="56" operator="notBetween">
      <formula>0.001</formula>
      <formula>-0.001</formula>
    </cfRule>
  </conditionalFormatting>
  <conditionalFormatting sqref="H38">
    <cfRule type="cellIs" priority="8" dxfId="56" operator="notBetween">
      <formula>0.001</formula>
      <formula>-0.001</formula>
    </cfRule>
  </conditionalFormatting>
  <conditionalFormatting sqref="G38">
    <cfRule type="cellIs" priority="7" dxfId="56" operator="notBetween">
      <formula>0.001</formula>
      <formula>-0.001</formula>
    </cfRule>
  </conditionalFormatting>
  <conditionalFormatting sqref="F38">
    <cfRule type="cellIs" priority="6" dxfId="56" operator="notBetween">
      <formula>0.001</formula>
      <formula>-0.001</formula>
    </cfRule>
  </conditionalFormatting>
  <conditionalFormatting sqref="B39:E39">
    <cfRule type="cellIs" priority="5" dxfId="98" operator="notBetween">
      <formula>0.5</formula>
      <formula>-0.5</formula>
    </cfRule>
  </conditionalFormatting>
  <conditionalFormatting sqref="E38">
    <cfRule type="cellIs" priority="4" dxfId="56" operator="notBetween">
      <formula>0.001</formula>
      <formula>-0.001</formula>
    </cfRule>
  </conditionalFormatting>
  <conditionalFormatting sqref="D38">
    <cfRule type="cellIs" priority="3" dxfId="56" operator="notBetween">
      <formula>0.001</formula>
      <formula>-0.001</formula>
    </cfRule>
  </conditionalFormatting>
  <conditionalFormatting sqref="C38">
    <cfRule type="cellIs" priority="2" dxfId="56" operator="notBetween">
      <formula>0.001</formula>
      <formula>-0.001</formula>
    </cfRule>
  </conditionalFormatting>
  <conditionalFormatting sqref="B38">
    <cfRule type="cellIs" priority="1" dxfId="56" operator="notBetween">
      <formula>0.001</formula>
      <formula>-0.001</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1000"/>
  <sheetViews>
    <sheetView showGridLines="0" zoomScalePageLayoutView="0" workbookViewId="0" topLeftCell="A1">
      <selection activeCell="I1" sqref="I1:I16384"/>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6.5">
      <c r="A1" s="29" t="str">
        <f>HLOOKUP(INDICE!$F$2,Nombres!$C$3:$D$636,7,FALSE)</f>
        <v>España</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5">
        <v>2019</v>
      </c>
      <c r="C6" s="305"/>
      <c r="D6" s="305"/>
      <c r="E6" s="306"/>
      <c r="F6" s="305">
        <v>2020</v>
      </c>
      <c r="G6" s="305"/>
      <c r="H6" s="305"/>
      <c r="I6" s="305"/>
    </row>
    <row r="7" spans="1:9" ht="14.25">
      <c r="A7" s="38"/>
      <c r="B7" s="39" t="str">
        <f>HLOOKUP(INDICE!$F$2,Nombres!$C$3:$D$636,167,FALSE)</f>
        <v>1er Trim.</v>
      </c>
      <c r="C7" s="39" t="str">
        <f>HLOOKUP(INDICE!$F$2,Nombres!$C$3:$D$636,168,FALSE)</f>
        <v>2º Trim.</v>
      </c>
      <c r="D7" s="39" t="str">
        <f>HLOOKUP(INDICE!$F$2,Nombres!$C$3:$D$636,169,FALSE)</f>
        <v>3er Trim.</v>
      </c>
      <c r="E7" s="40" t="str">
        <f>HLOOKUP(INDICE!$F$2,Nombres!$C$3:$D$636,170,FALSE)</f>
        <v>4º Trim.</v>
      </c>
      <c r="F7" s="39" t="str">
        <f>HLOOKUP(INDICE!$F$2,Nombres!$C$3:$D$636,167,FALSE)</f>
        <v>1er Trim.</v>
      </c>
      <c r="G7" s="39" t="str">
        <f>HLOOKUP(INDICE!$F$2,Nombres!$C$3:$D$636,168,FALSE)</f>
        <v>2º Trim.</v>
      </c>
      <c r="H7" s="39" t="str">
        <f>HLOOKUP(INDICE!$F$2,Nombres!$C$3:$D$636,169,FALSE)</f>
        <v>3er Trim.</v>
      </c>
      <c r="I7" s="39" t="str">
        <f>HLOOKUP(INDICE!$F$2,Nombres!$C$3:$D$636,170,FALSE)</f>
        <v>4º Trim.</v>
      </c>
    </row>
    <row r="8" spans="1:9" ht="14.25">
      <c r="A8" s="41" t="str">
        <f>HLOOKUP(INDICE!$F$2,Nombres!$C$3:$D$636,33,FALSE)</f>
        <v>Margen de intereses</v>
      </c>
      <c r="B8" s="41">
        <v>858.98384412</v>
      </c>
      <c r="C8" s="41">
        <v>903.77776642</v>
      </c>
      <c r="D8" s="41">
        <v>897.9827422700001</v>
      </c>
      <c r="E8" s="42">
        <v>906.4222074099997</v>
      </c>
      <c r="F8" s="52">
        <v>873.27998978</v>
      </c>
      <c r="G8" s="52">
        <v>919.62753984</v>
      </c>
      <c r="H8" s="52">
        <v>882.0806291200001</v>
      </c>
      <c r="I8" s="52">
        <v>0</v>
      </c>
    </row>
    <row r="9" spans="1:9" ht="14.25">
      <c r="A9" s="43" t="str">
        <f>HLOOKUP(INDICE!$F$2,Nombres!$C$3:$D$636,34,FALSE)</f>
        <v>Comisiones netas</v>
      </c>
      <c r="B9" s="44">
        <v>413.3751026</v>
      </c>
      <c r="C9" s="44">
        <v>432.20180062</v>
      </c>
      <c r="D9" s="44">
        <v>441.7905057200001</v>
      </c>
      <c r="E9" s="45">
        <v>463.79162574999987</v>
      </c>
      <c r="F9" s="44">
        <v>468.96759842999995</v>
      </c>
      <c r="G9" s="44">
        <v>439.29343489</v>
      </c>
      <c r="H9" s="44">
        <v>440.73396505000005</v>
      </c>
      <c r="I9" s="44">
        <v>0</v>
      </c>
    </row>
    <row r="10" spans="1:9" ht="14.25">
      <c r="A10" s="43" t="str">
        <f>HLOOKUP(INDICE!$F$2,Nombres!$C$3:$D$636,35,FALSE)</f>
        <v>Resultados de operaciones financieras</v>
      </c>
      <c r="B10" s="44">
        <v>108.31173537000001</v>
      </c>
      <c r="C10" s="44">
        <v>-16.365977700000006</v>
      </c>
      <c r="D10" s="44">
        <v>29.512422309999984</v>
      </c>
      <c r="E10" s="45">
        <v>117.39237796000003</v>
      </c>
      <c r="F10" s="44">
        <v>60.64055225</v>
      </c>
      <c r="G10" s="44">
        <v>104.47637406999999</v>
      </c>
      <c r="H10" s="44">
        <v>51.46485044999999</v>
      </c>
      <c r="I10" s="44">
        <v>0</v>
      </c>
    </row>
    <row r="11" spans="1:9" ht="14.25">
      <c r="A11" s="43" t="str">
        <f>HLOOKUP(INDICE!$F$2,Nombres!$C$3:$D$636,36,FALSE)</f>
        <v>Otros ingresos y cargas de explotación</v>
      </c>
      <c r="B11" s="44">
        <v>93.97126723</v>
      </c>
      <c r="C11" s="44">
        <v>-21.65178053999999</v>
      </c>
      <c r="D11" s="44">
        <v>105.07230622</v>
      </c>
      <c r="E11" s="45">
        <v>-79.04590240000002</v>
      </c>
      <c r="F11" s="44">
        <v>103.48548299000001</v>
      </c>
      <c r="G11" s="44">
        <v>-69.52901682999997</v>
      </c>
      <c r="H11" s="44">
        <v>107.36149430999998</v>
      </c>
      <c r="I11" s="44">
        <v>0</v>
      </c>
    </row>
    <row r="12" spans="1:9" ht="14.25">
      <c r="A12" s="41" t="str">
        <f>HLOOKUP(INDICE!$F$2,Nombres!$C$3:$D$636,37,FALSE)</f>
        <v>Margen bruto</v>
      </c>
      <c r="B12" s="41">
        <f>+SUM(B8:B11)</f>
        <v>1474.6419493199999</v>
      </c>
      <c r="C12" s="41">
        <f aca="true" t="shared" si="0" ref="C12:I12">+SUM(C8:C11)</f>
        <v>1297.9618088</v>
      </c>
      <c r="D12" s="41">
        <f t="shared" si="0"/>
        <v>1474.3579765200002</v>
      </c>
      <c r="E12" s="42">
        <f t="shared" si="0"/>
        <v>1408.5603087199995</v>
      </c>
      <c r="F12" s="52">
        <f t="shared" si="0"/>
        <v>1506.37362345</v>
      </c>
      <c r="G12" s="52">
        <f t="shared" si="0"/>
        <v>1393.86833197</v>
      </c>
      <c r="H12" s="52">
        <f t="shared" si="0"/>
        <v>1481.6409389300002</v>
      </c>
      <c r="I12" s="52">
        <f t="shared" si="0"/>
        <v>0</v>
      </c>
    </row>
    <row r="13" spans="1:9" ht="14.25">
      <c r="A13" s="43" t="str">
        <f>HLOOKUP(INDICE!$F$2,Nombres!$C$3:$D$636,38,FALSE)</f>
        <v>Gastos de explotación</v>
      </c>
      <c r="B13" s="44">
        <v>-814.00689748</v>
      </c>
      <c r="C13" s="44">
        <v>-814.07476103</v>
      </c>
      <c r="D13" s="44">
        <v>-812.9888792300003</v>
      </c>
      <c r="E13" s="45">
        <v>-812.2969182999998</v>
      </c>
      <c r="F13" s="44">
        <v>-777.8862642900001</v>
      </c>
      <c r="G13" s="44">
        <v>-750.85843373</v>
      </c>
      <c r="H13" s="44">
        <v>-748.04623264</v>
      </c>
      <c r="I13" s="44">
        <v>0</v>
      </c>
    </row>
    <row r="14" spans="1:9" ht="14.25">
      <c r="A14" s="43" t="str">
        <f>HLOOKUP(INDICE!$F$2,Nombres!$C$3:$D$636,39,FALSE)</f>
        <v>  Gastos de administración</v>
      </c>
      <c r="B14" s="44">
        <v>-694.5265836499999</v>
      </c>
      <c r="C14" s="44">
        <v>-694.92913154</v>
      </c>
      <c r="D14" s="44">
        <v>-692.28435674</v>
      </c>
      <c r="E14" s="45">
        <v>-695.6300018099998</v>
      </c>
      <c r="F14" s="44">
        <v>-662.8259448</v>
      </c>
      <c r="G14" s="44">
        <v>-635.55408524</v>
      </c>
      <c r="H14" s="44">
        <v>-632.1665501499999</v>
      </c>
      <c r="I14" s="44">
        <v>0</v>
      </c>
    </row>
    <row r="15" spans="1:9" ht="14.25">
      <c r="A15" s="46" t="str">
        <f>HLOOKUP(INDICE!$F$2,Nombres!$C$3:$D$636,40,FALSE)</f>
        <v>  Gastos de personal</v>
      </c>
      <c r="B15" s="44">
        <v>-472.39994122</v>
      </c>
      <c r="C15" s="44">
        <v>-469.97102887999995</v>
      </c>
      <c r="D15" s="44">
        <v>-471.189314</v>
      </c>
      <c r="E15" s="45">
        <v>-469.18469299999987</v>
      </c>
      <c r="F15" s="44">
        <v>-440.09057215000007</v>
      </c>
      <c r="G15" s="44">
        <v>-425.54149292</v>
      </c>
      <c r="H15" s="44">
        <v>-425.16207815000007</v>
      </c>
      <c r="I15" s="44">
        <v>0</v>
      </c>
    </row>
    <row r="16" spans="1:9" ht="14.25">
      <c r="A16" s="46" t="str">
        <f>HLOOKUP(INDICE!$F$2,Nombres!$C$3:$D$636,41,FALSE)</f>
        <v>  Otros gastos de administración</v>
      </c>
      <c r="B16" s="44">
        <v>-222.12664243</v>
      </c>
      <c r="C16" s="44">
        <v>-224.95810265999998</v>
      </c>
      <c r="D16" s="44">
        <v>-221.09504274000005</v>
      </c>
      <c r="E16" s="45">
        <v>-226.44530880999991</v>
      </c>
      <c r="F16" s="44">
        <v>-222.73537265</v>
      </c>
      <c r="G16" s="44">
        <v>-210.01259232000004</v>
      </c>
      <c r="H16" s="44">
        <v>-207.00447199999994</v>
      </c>
      <c r="I16" s="44">
        <v>0</v>
      </c>
    </row>
    <row r="17" spans="1:9" ht="14.25">
      <c r="A17" s="43" t="str">
        <f>HLOOKUP(INDICE!$F$2,Nombres!$C$3:$D$636,42,FALSE)</f>
        <v>  Amortización</v>
      </c>
      <c r="B17" s="44">
        <v>-119.48031383</v>
      </c>
      <c r="C17" s="44">
        <v>-119.14562949</v>
      </c>
      <c r="D17" s="44">
        <v>-120.70452248999999</v>
      </c>
      <c r="E17" s="45">
        <v>-116.66691649</v>
      </c>
      <c r="F17" s="44">
        <v>-115.06031949</v>
      </c>
      <c r="G17" s="44">
        <v>-115.30434849000001</v>
      </c>
      <c r="H17" s="44">
        <v>-115.87968249</v>
      </c>
      <c r="I17" s="44">
        <v>0</v>
      </c>
    </row>
    <row r="18" spans="1:9" ht="14.25">
      <c r="A18" s="41" t="str">
        <f>HLOOKUP(INDICE!$F$2,Nombres!$C$3:$D$636,43,FALSE)</f>
        <v>Margen neto</v>
      </c>
      <c r="B18" s="41">
        <f>+B12+B13</f>
        <v>660.6350518399998</v>
      </c>
      <c r="C18" s="41">
        <f aca="true" t="shared" si="1" ref="C18:I18">+C12+C13</f>
        <v>483.88704777</v>
      </c>
      <c r="D18" s="41">
        <f t="shared" si="1"/>
        <v>661.3690972899999</v>
      </c>
      <c r="E18" s="42">
        <f t="shared" si="1"/>
        <v>596.2633904199997</v>
      </c>
      <c r="F18" s="52">
        <f t="shared" si="1"/>
        <v>728.4873591599999</v>
      </c>
      <c r="G18" s="52">
        <f t="shared" si="1"/>
        <v>643.0098982400001</v>
      </c>
      <c r="H18" s="52">
        <f t="shared" si="1"/>
        <v>733.5947062900002</v>
      </c>
      <c r="I18" s="52">
        <f t="shared" si="1"/>
        <v>0</v>
      </c>
    </row>
    <row r="19" spans="1:9" ht="14.25">
      <c r="A19" s="43" t="str">
        <f>HLOOKUP(INDICE!$F$2,Nombres!$C$3:$D$636,44,FALSE)</f>
        <v>Deterioro de activos financieros no valorados a valor razonable con cambios en resultados</v>
      </c>
      <c r="B19" s="44">
        <v>-55.28402033</v>
      </c>
      <c r="C19" s="44">
        <v>125.21200652</v>
      </c>
      <c r="D19" s="44">
        <v>-115.98229994999998</v>
      </c>
      <c r="E19" s="45">
        <v>-91.96219788000002</v>
      </c>
      <c r="F19" s="44">
        <v>-659.9339739100001</v>
      </c>
      <c r="G19" s="44">
        <v>-222.67384541999994</v>
      </c>
      <c r="H19" s="44">
        <v>-192.35347437000001</v>
      </c>
      <c r="I19" s="44">
        <v>0</v>
      </c>
    </row>
    <row r="20" spans="1:9" ht="14.25">
      <c r="A20" s="43" t="str">
        <f>HLOOKUP(INDICE!$F$2,Nombres!$C$3:$D$636,45,FALSE)</f>
        <v>Provisiones o reversión de provisiones y otros resultados</v>
      </c>
      <c r="B20" s="44">
        <v>-123.053969</v>
      </c>
      <c r="C20" s="44">
        <v>-64.60008076999999</v>
      </c>
      <c r="D20" s="44">
        <v>-83.12279688</v>
      </c>
      <c r="E20" s="45">
        <v>-115.44842752999999</v>
      </c>
      <c r="F20" s="44">
        <v>-265.03520212</v>
      </c>
      <c r="G20" s="44">
        <v>-100.13330647</v>
      </c>
      <c r="H20" s="44">
        <v>-64.809307</v>
      </c>
      <c r="I20" s="44">
        <v>0</v>
      </c>
    </row>
    <row r="21" spans="1:9" ht="14.25">
      <c r="A21" s="41" t="str">
        <f>HLOOKUP(INDICE!$F$2,Nombres!$C$3:$D$636,46,FALSE)</f>
        <v>Resultado antes de impuestos</v>
      </c>
      <c r="B21" s="41">
        <f>+B18+B19+B20</f>
        <v>482.2970625099999</v>
      </c>
      <c r="C21" s="41">
        <f aca="true" t="shared" si="2" ref="C21:I21">+C18+C19+C20</f>
        <v>544.49897352</v>
      </c>
      <c r="D21" s="41">
        <f t="shared" si="2"/>
        <v>462.2640004599999</v>
      </c>
      <c r="E21" s="42">
        <f t="shared" si="2"/>
        <v>388.8527650099997</v>
      </c>
      <c r="F21" s="52">
        <f t="shared" si="2"/>
        <v>-196.48181687000022</v>
      </c>
      <c r="G21" s="52">
        <f t="shared" si="2"/>
        <v>320.2027463500002</v>
      </c>
      <c r="H21" s="52">
        <f t="shared" si="2"/>
        <v>476.43192492000026</v>
      </c>
      <c r="I21" s="52">
        <f t="shared" si="2"/>
        <v>0</v>
      </c>
    </row>
    <row r="22" spans="1:9" ht="14.25">
      <c r="A22" s="43" t="str">
        <f>HLOOKUP(INDICE!$F$2,Nombres!$C$3:$D$636,47,FALSE)</f>
        <v>Impuesto sobre beneficios</v>
      </c>
      <c r="B22" s="44">
        <v>-136.79156144</v>
      </c>
      <c r="C22" s="44">
        <v>-154.82311407000003</v>
      </c>
      <c r="D22" s="44">
        <v>-131.26524554999997</v>
      </c>
      <c r="E22" s="45">
        <v>-66.17894122999999</v>
      </c>
      <c r="F22" s="44">
        <v>56.97972956000004</v>
      </c>
      <c r="G22" s="44">
        <v>-91.1514502</v>
      </c>
      <c r="H22" s="44">
        <v>-123.84852590000001</v>
      </c>
      <c r="I22" s="44">
        <v>0</v>
      </c>
    </row>
    <row r="23" spans="1:9" ht="14.25">
      <c r="A23" s="41" t="str">
        <f>HLOOKUP(INDICE!$F$2,Nombres!$C$3:$D$636,48,FALSE)</f>
        <v>Resultado del ejercicio</v>
      </c>
      <c r="B23" s="41">
        <f>+B21+B22</f>
        <v>345.50550106999987</v>
      </c>
      <c r="C23" s="41">
        <f aca="true" t="shared" si="3" ref="C23:I23">+C21+C22</f>
        <v>389.67585945</v>
      </c>
      <c r="D23" s="41">
        <f t="shared" si="3"/>
        <v>330.99875490999995</v>
      </c>
      <c r="E23" s="42">
        <f t="shared" si="3"/>
        <v>322.6738237799997</v>
      </c>
      <c r="F23" s="52">
        <f t="shared" si="3"/>
        <v>-139.50208731000018</v>
      </c>
      <c r="G23" s="52">
        <f t="shared" si="3"/>
        <v>229.0512961500002</v>
      </c>
      <c r="H23" s="52">
        <f t="shared" si="3"/>
        <v>352.58339902000023</v>
      </c>
      <c r="I23" s="52">
        <f t="shared" si="3"/>
        <v>0</v>
      </c>
    </row>
    <row r="24" spans="1:9" ht="14.25">
      <c r="A24" s="43" t="str">
        <f>HLOOKUP(INDICE!$F$2,Nombres!$C$3:$D$636,49,FALSE)</f>
        <v>Minoritarios</v>
      </c>
      <c r="B24" s="44">
        <v>-0.8074134</v>
      </c>
      <c r="C24" s="44">
        <v>-0.5400536</v>
      </c>
      <c r="D24" s="44">
        <v>-0.51821124</v>
      </c>
      <c r="E24" s="45">
        <v>-0.68372019</v>
      </c>
      <c r="F24" s="44">
        <v>-1.19072057</v>
      </c>
      <c r="G24" s="44">
        <v>-0.77747563</v>
      </c>
      <c r="H24" s="44">
        <v>-0.5121923700000001</v>
      </c>
      <c r="I24" s="44">
        <v>0</v>
      </c>
    </row>
    <row r="25" spans="1:9" ht="14.25">
      <c r="A25" s="47" t="str">
        <f>HLOOKUP(INDICE!$F$2,Nombres!$C$3:$D$636,50,FALSE)</f>
        <v>Resultado atribuido</v>
      </c>
      <c r="B25" s="47">
        <f>+B23+B24</f>
        <v>344.6980876699999</v>
      </c>
      <c r="C25" s="47">
        <f aca="true" t="shared" si="4" ref="C25:I25">+C23+C24</f>
        <v>389.13580585</v>
      </c>
      <c r="D25" s="47">
        <f t="shared" si="4"/>
        <v>330.4805436699999</v>
      </c>
      <c r="E25" s="47">
        <f t="shared" si="4"/>
        <v>321.9901035899997</v>
      </c>
      <c r="F25" s="53">
        <f t="shared" si="4"/>
        <v>-140.69280788000017</v>
      </c>
      <c r="G25" s="53">
        <f t="shared" si="4"/>
        <v>228.2738205200002</v>
      </c>
      <c r="H25" s="53">
        <f t="shared" si="4"/>
        <v>352.07120665000025</v>
      </c>
      <c r="I25" s="53">
        <f t="shared" si="4"/>
        <v>0</v>
      </c>
    </row>
    <row r="26" spans="1:9" ht="14.25">
      <c r="A26" s="65"/>
      <c r="B26" s="66">
        <v>0</v>
      </c>
      <c r="C26" s="66">
        <v>0</v>
      </c>
      <c r="D26" s="66">
        <v>0</v>
      </c>
      <c r="E26" s="66">
        <v>0</v>
      </c>
      <c r="F26" s="67">
        <v>0</v>
      </c>
      <c r="G26" s="67">
        <v>0</v>
      </c>
      <c r="H26" s="67">
        <v>0</v>
      </c>
      <c r="I26" s="67">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4"/>
      <c r="D29" s="54"/>
      <c r="E29" s="54"/>
      <c r="F29" s="30"/>
      <c r="G29" s="60"/>
      <c r="H29" s="60"/>
      <c r="I29" s="60"/>
    </row>
    <row r="30" spans="1:9" ht="14.25">
      <c r="A30" s="30"/>
      <c r="B30" s="55">
        <v>43555</v>
      </c>
      <c r="C30" s="55">
        <v>43646</v>
      </c>
      <c r="D30" s="55">
        <v>43738</v>
      </c>
      <c r="E30" s="55">
        <v>43830</v>
      </c>
      <c r="F30" s="55">
        <v>43921</v>
      </c>
      <c r="G30" s="55">
        <v>44012</v>
      </c>
      <c r="H30" s="55">
        <v>44104</v>
      </c>
      <c r="I30" s="55">
        <v>44196</v>
      </c>
    </row>
    <row r="31" spans="1:11" ht="14.25">
      <c r="A31" s="43" t="str">
        <f>HLOOKUP(INDICE!$F$2,Nombres!$C$3:$D$636,52,FALSE)</f>
        <v>Efectivo, saldos en efectivo en bancos centrales y otros depósitos a la vista</v>
      </c>
      <c r="B31" s="44">
        <v>18874.790988999997</v>
      </c>
      <c r="C31" s="44">
        <v>12156.758994</v>
      </c>
      <c r="D31" s="44">
        <v>12718.766377</v>
      </c>
      <c r="E31" s="45">
        <v>15902.506018</v>
      </c>
      <c r="F31" s="44">
        <v>20056.73257</v>
      </c>
      <c r="G31" s="44">
        <v>32199.27056</v>
      </c>
      <c r="H31" s="44">
        <v>35205.609909000006</v>
      </c>
      <c r="I31" s="44">
        <v>0</v>
      </c>
      <c r="K31" s="56"/>
    </row>
    <row r="32" spans="1:11" ht="14.25">
      <c r="A32" s="43" t="str">
        <f>HLOOKUP(INDICE!$F$2,Nombres!$C$3:$D$636,53,FALSE)</f>
        <v>Activos financieros a valor razonable</v>
      </c>
      <c r="B32" s="60">
        <v>113734.82814217001</v>
      </c>
      <c r="C32" s="60">
        <v>127397.49831697001</v>
      </c>
      <c r="D32" s="60">
        <v>132382.95473774</v>
      </c>
      <c r="E32" s="68">
        <v>122843.60569624</v>
      </c>
      <c r="F32" s="44">
        <v>155483.74560697</v>
      </c>
      <c r="G32" s="44">
        <v>147142.85026076995</v>
      </c>
      <c r="H32" s="44">
        <v>138503.52937515</v>
      </c>
      <c r="I32" s="44">
        <v>0</v>
      </c>
      <c r="K32" s="56"/>
    </row>
    <row r="33" spans="1:11" ht="14.25">
      <c r="A33" s="43" t="str">
        <f>HLOOKUP(INDICE!$F$2,Nombres!$C$3:$D$636,54,FALSE)</f>
        <v>Activos financieros a coste amortizado</v>
      </c>
      <c r="B33" s="44">
        <v>199101.48940109002</v>
      </c>
      <c r="C33" s="44">
        <v>199998.02983965003</v>
      </c>
      <c r="D33" s="44">
        <v>196370.44540307997</v>
      </c>
      <c r="E33" s="45">
        <v>195259.67947709</v>
      </c>
      <c r="F33" s="44">
        <v>198605.51139484</v>
      </c>
      <c r="G33" s="44">
        <v>203500.2349826</v>
      </c>
      <c r="H33" s="44">
        <v>195980.84863515</v>
      </c>
      <c r="I33" s="44">
        <v>0</v>
      </c>
      <c r="K33" s="56"/>
    </row>
    <row r="34" spans="1:11" ht="14.25">
      <c r="A34" s="43" t="str">
        <f>HLOOKUP(INDICE!$F$2,Nombres!$C$3:$D$636,55,FALSE)</f>
        <v>    de los que préstamos y anticipos a la clientela</v>
      </c>
      <c r="B34" s="44">
        <v>170881.52398408996</v>
      </c>
      <c r="C34" s="44">
        <v>171070.34958165002</v>
      </c>
      <c r="D34" s="44">
        <v>166207.09338007998</v>
      </c>
      <c r="E34" s="45">
        <v>167331.99304409</v>
      </c>
      <c r="F34" s="44">
        <v>168341.93295584002</v>
      </c>
      <c r="G34" s="44">
        <v>172026.2070956</v>
      </c>
      <c r="H34" s="44">
        <v>166567.91811515</v>
      </c>
      <c r="I34" s="44">
        <v>0</v>
      </c>
      <c r="K34" s="56"/>
    </row>
    <row r="35" spans="1:11" ht="14.25">
      <c r="A35" s="43" t="str">
        <f>HLOOKUP(INDICE!$F$2,Nombres!$C$3:$D$636,121,FALSE)</f>
        <v>Posiciones inter-áreas activo</v>
      </c>
      <c r="B35" s="44">
        <v>13189.799840969907</v>
      </c>
      <c r="C35" s="44">
        <v>18807.411113419977</v>
      </c>
      <c r="D35" s="44">
        <v>19154.727996779897</v>
      </c>
      <c r="E35" s="45">
        <v>21636.822974279872</v>
      </c>
      <c r="F35" s="44">
        <v>28466.61214949994</v>
      </c>
      <c r="G35" s="44">
        <v>26357.46512957994</v>
      </c>
      <c r="H35" s="44">
        <v>23705.106356079865</v>
      </c>
      <c r="I35" s="44">
        <v>0</v>
      </c>
      <c r="K35" s="56"/>
    </row>
    <row r="36" spans="1:11" ht="14.25">
      <c r="A36" s="43" t="str">
        <f>HLOOKUP(INDICE!$F$2,Nombres!$C$3:$D$636,56,FALSE)</f>
        <v>Activos tangibles</v>
      </c>
      <c r="B36" s="60">
        <v>3529.992386</v>
      </c>
      <c r="C36" s="60">
        <v>3483.7767670000003</v>
      </c>
      <c r="D36" s="60">
        <v>3405.283307</v>
      </c>
      <c r="E36" s="68">
        <v>3301.641948</v>
      </c>
      <c r="F36" s="44">
        <v>3219.124845</v>
      </c>
      <c r="G36" s="44">
        <v>3149.0445779999995</v>
      </c>
      <c r="H36" s="44">
        <v>3055.447739</v>
      </c>
      <c r="I36" s="44">
        <v>0</v>
      </c>
      <c r="K36" s="56"/>
    </row>
    <row r="37" spans="1:11" ht="14.25">
      <c r="A37" s="43" t="str">
        <f>HLOOKUP(INDICE!$F$2,Nombres!$C$3:$D$636,57,FALSE)</f>
        <v>Otros activos</v>
      </c>
      <c r="B37" s="60">
        <f aca="true" t="shared" si="5" ref="B37:I37">+B38-B36-B33-B32-B31-B35</f>
        <v>8128.584665270031</v>
      </c>
      <c r="C37" s="60">
        <f t="shared" si="5"/>
        <v>7142.265792430004</v>
      </c>
      <c r="D37" s="60">
        <f t="shared" si="5"/>
        <v>8129.23761443016</v>
      </c>
      <c r="E37" s="68">
        <f t="shared" si="5"/>
        <v>6435.924256629965</v>
      </c>
      <c r="F37" s="44">
        <f t="shared" si="5"/>
        <v>7361.732705410039</v>
      </c>
      <c r="G37" s="44">
        <f t="shared" si="5"/>
        <v>7125.983596060076</v>
      </c>
      <c r="H37" s="44">
        <f t="shared" si="5"/>
        <v>7076.032322460043</v>
      </c>
      <c r="I37" s="44">
        <f t="shared" si="5"/>
        <v>0</v>
      </c>
      <c r="K37" s="56"/>
    </row>
    <row r="38" spans="1:11" ht="14.25">
      <c r="A38" s="47" t="str">
        <f>HLOOKUP(INDICE!$F$2,Nombres!$C$3:$D$636,58,FALSE)</f>
        <v>Total activo / pasivo</v>
      </c>
      <c r="B38" s="47">
        <v>356559.48542449996</v>
      </c>
      <c r="C38" s="47">
        <v>368985.74082347</v>
      </c>
      <c r="D38" s="47">
        <v>372161.41543603</v>
      </c>
      <c r="E38" s="47">
        <v>365380.18037023983</v>
      </c>
      <c r="F38" s="53">
        <v>413193.45927171997</v>
      </c>
      <c r="G38" s="53">
        <v>419474.84910700994</v>
      </c>
      <c r="H38" s="53">
        <v>403526.57433683996</v>
      </c>
      <c r="I38" s="53">
        <v>0</v>
      </c>
      <c r="K38" s="56"/>
    </row>
    <row r="39" spans="1:11" ht="14.25">
      <c r="A39" s="43" t="str">
        <f>HLOOKUP(INDICE!$F$2,Nombres!$C$3:$D$636,59,FALSE)</f>
        <v>Pasivos financieros mantenidos para negociar y designados a valor razonable con cambios en resultados</v>
      </c>
      <c r="B39" s="60">
        <v>70282.84723399999</v>
      </c>
      <c r="C39" s="60">
        <v>80487.004936</v>
      </c>
      <c r="D39" s="60">
        <v>80834.96399599999</v>
      </c>
      <c r="E39" s="68">
        <v>78684.22251999998</v>
      </c>
      <c r="F39" s="44">
        <v>109856.444487</v>
      </c>
      <c r="G39" s="44">
        <v>97429.79054722</v>
      </c>
      <c r="H39" s="44">
        <v>85295.64843299998</v>
      </c>
      <c r="I39" s="44">
        <v>0</v>
      </c>
      <c r="K39" s="56"/>
    </row>
    <row r="40" spans="1:11" ht="14.25">
      <c r="A40" s="43" t="str">
        <f>HLOOKUP(INDICE!$F$2,Nombres!$C$3:$D$636,60,FALSE)</f>
        <v>Depósitos de bancos centrales y entidades de crédito</v>
      </c>
      <c r="B40" s="60">
        <v>46696.43463844</v>
      </c>
      <c r="C40" s="60">
        <v>47279.68376749</v>
      </c>
      <c r="D40" s="60">
        <v>46720.28543611</v>
      </c>
      <c r="E40" s="68">
        <v>41092.15459711</v>
      </c>
      <c r="F40" s="44">
        <v>55279.53084162</v>
      </c>
      <c r="G40" s="44">
        <v>60532.569948000004</v>
      </c>
      <c r="H40" s="44">
        <v>54427.276649</v>
      </c>
      <c r="I40" s="44">
        <v>0</v>
      </c>
      <c r="K40" s="56"/>
    </row>
    <row r="41" spans="1:11" ht="15.75" customHeight="1">
      <c r="A41" s="43" t="str">
        <f>HLOOKUP(INDICE!$F$2,Nombres!$C$3:$D$636,61,FALSE)</f>
        <v>Depósitos de la clientela</v>
      </c>
      <c r="B41" s="60">
        <v>181723.235861</v>
      </c>
      <c r="C41" s="60">
        <v>180434.10624599998</v>
      </c>
      <c r="D41" s="60">
        <v>180652.79432699998</v>
      </c>
      <c r="E41" s="68">
        <v>182369.874805</v>
      </c>
      <c r="F41" s="44">
        <v>186327.38904399998</v>
      </c>
      <c r="G41" s="44">
        <v>195675.714628</v>
      </c>
      <c r="H41" s="44">
        <v>195682.23994099995</v>
      </c>
      <c r="I41" s="44">
        <v>0</v>
      </c>
      <c r="K41" s="56"/>
    </row>
    <row r="42" spans="1:11" ht="14.25">
      <c r="A42" s="43" t="str">
        <f>HLOOKUP(INDICE!$F$2,Nombres!$C$3:$D$636,62,FALSE)</f>
        <v>Valores representativos de deuda emitidos</v>
      </c>
      <c r="B42" s="44">
        <v>31488.86108284</v>
      </c>
      <c r="C42" s="44">
        <v>32858.79652636</v>
      </c>
      <c r="D42" s="44">
        <v>33560.39670371</v>
      </c>
      <c r="E42" s="45">
        <v>35520.400046229995</v>
      </c>
      <c r="F42" s="44">
        <v>37360.00525619</v>
      </c>
      <c r="G42" s="44">
        <v>38980.88913716</v>
      </c>
      <c r="H42" s="44">
        <v>41432.50029395001</v>
      </c>
      <c r="I42" s="44">
        <v>0</v>
      </c>
      <c r="K42" s="56"/>
    </row>
    <row r="43" spans="1:11" ht="14.25">
      <c r="A43" s="43" t="str">
        <f>HLOOKUP(INDICE!$F$2,Nombres!$C$3:$D$636,122,FALSE)</f>
        <v>Posiciones inter-áreas pasivo</v>
      </c>
      <c r="B43" s="44">
        <v>0</v>
      </c>
      <c r="C43" s="44">
        <v>0</v>
      </c>
      <c r="D43" s="44">
        <v>0</v>
      </c>
      <c r="E43" s="45">
        <v>0</v>
      </c>
      <c r="F43" s="44">
        <v>0</v>
      </c>
      <c r="G43" s="44">
        <v>0</v>
      </c>
      <c r="H43" s="44">
        <v>0</v>
      </c>
      <c r="I43" s="44">
        <v>0</v>
      </c>
      <c r="K43" s="56"/>
    </row>
    <row r="44" spans="1:11" ht="14.25">
      <c r="A44" s="43" t="str">
        <f>HLOOKUP(INDICE!$F$2,Nombres!$C$3:$D$636,63,FALSE)</f>
        <v>Otros pasivos</v>
      </c>
      <c r="B44" s="44">
        <f>+B38-B39-B40-B41-B42-B45-B43</f>
        <v>17759.96345821998</v>
      </c>
      <c r="C44" s="44">
        <f aca="true" t="shared" si="6" ref="C44:I44">+C38-C39-C40-C41-C42-C45-C43</f>
        <v>19098.575757620034</v>
      </c>
      <c r="D44" s="44">
        <f t="shared" si="6"/>
        <v>21508.27095861004</v>
      </c>
      <c r="E44" s="45">
        <f t="shared" si="6"/>
        <v>18484.35296602983</v>
      </c>
      <c r="F44" s="44">
        <f t="shared" si="6"/>
        <v>14686.633422909988</v>
      </c>
      <c r="G44" s="44">
        <f t="shared" si="6"/>
        <v>17009.01584362996</v>
      </c>
      <c r="H44" s="44">
        <f t="shared" si="6"/>
        <v>16425.45676517002</v>
      </c>
      <c r="I44" s="44">
        <f t="shared" si="6"/>
        <v>0</v>
      </c>
      <c r="K44" s="56"/>
    </row>
    <row r="45" spans="1:11" ht="14.25">
      <c r="A45" s="43" t="str">
        <f>HLOOKUP(INDICE!$F$2,Nombres!$C$3:$D$636,64,FALSE)</f>
        <v>Dotación de capital económico</v>
      </c>
      <c r="B45" s="44">
        <v>8608.143149999998</v>
      </c>
      <c r="C45" s="44">
        <v>8827.573589999998</v>
      </c>
      <c r="D45" s="44">
        <v>8884.7040146</v>
      </c>
      <c r="E45" s="45">
        <v>9229.17543587</v>
      </c>
      <c r="F45" s="44">
        <v>9683.45622</v>
      </c>
      <c r="G45" s="44">
        <v>9846.869003</v>
      </c>
      <c r="H45" s="44">
        <v>10263.452254720001</v>
      </c>
      <c r="I45" s="44">
        <v>0</v>
      </c>
      <c r="K45" s="56"/>
    </row>
    <row r="46" spans="1:9" ht="14.25">
      <c r="A46" s="65"/>
      <c r="B46" s="60"/>
      <c r="C46" s="60"/>
      <c r="D46" s="60"/>
      <c r="E46" s="60"/>
      <c r="F46" s="60"/>
      <c r="G46" s="60"/>
      <c r="H46" s="60"/>
      <c r="I46" s="60"/>
    </row>
    <row r="47" spans="1:9" ht="14.25">
      <c r="A47" s="43"/>
      <c r="B47" s="60"/>
      <c r="C47" s="60"/>
      <c r="D47" s="60"/>
      <c r="E47" s="60"/>
      <c r="F47" s="60"/>
      <c r="G47" s="60"/>
      <c r="H47" s="60"/>
      <c r="I47" s="60"/>
    </row>
    <row r="48" spans="1:9" ht="16.5">
      <c r="A48" s="69" t="str">
        <f>HLOOKUP(INDICE!$F$2,Nombres!$C$3:$D$636,65,FALSE)</f>
        <v>Indicadores relevantes y de gestión</v>
      </c>
      <c r="B48" s="70"/>
      <c r="C48" s="70"/>
      <c r="D48" s="70"/>
      <c r="E48" s="70"/>
      <c r="F48" s="70"/>
      <c r="G48" s="70"/>
      <c r="H48" s="70"/>
      <c r="I48" s="70"/>
    </row>
    <row r="49" spans="1:9" ht="14.25">
      <c r="A49" s="35" t="str">
        <f>HLOOKUP(INDICE!$F$2,Nombres!$C$3:$D$636,32,FALSE)</f>
        <v>(Millones de euros)</v>
      </c>
      <c r="B49" s="30"/>
      <c r="C49" s="30"/>
      <c r="D49" s="30"/>
      <c r="E49" s="30"/>
      <c r="F49" s="30"/>
      <c r="G49" s="60"/>
      <c r="H49" s="60"/>
      <c r="I49" s="60"/>
    </row>
    <row r="50" spans="1:9" ht="14.25">
      <c r="A50" s="30"/>
      <c r="B50" s="55">
        <f aca="true" t="shared" si="7" ref="B50:I50">+B$30</f>
        <v>43555</v>
      </c>
      <c r="C50" s="55">
        <f t="shared" si="7"/>
        <v>43646</v>
      </c>
      <c r="D50" s="55">
        <f t="shared" si="7"/>
        <v>43738</v>
      </c>
      <c r="E50" s="71">
        <f t="shared" si="7"/>
        <v>43830</v>
      </c>
      <c r="F50" s="55">
        <f t="shared" si="7"/>
        <v>43921</v>
      </c>
      <c r="G50" s="55">
        <f t="shared" si="7"/>
        <v>44012</v>
      </c>
      <c r="H50" s="55">
        <f t="shared" si="7"/>
        <v>44104</v>
      </c>
      <c r="I50" s="55">
        <f t="shared" si="7"/>
        <v>44196</v>
      </c>
    </row>
    <row r="51" spans="1:9" ht="14.25">
      <c r="A51" s="43" t="str">
        <f>HLOOKUP(INDICE!$F$2,Nombres!$C$3:$D$636,66,FALSE)</f>
        <v>Préstamos y anticipos a la clientela bruto (*)</v>
      </c>
      <c r="B51" s="44">
        <v>176137.01011244</v>
      </c>
      <c r="C51" s="44">
        <v>176200.44220949</v>
      </c>
      <c r="D51" s="44">
        <v>171255.48820711</v>
      </c>
      <c r="E51" s="45">
        <v>172332.70557510998</v>
      </c>
      <c r="F51" s="44">
        <v>173752.79226562002</v>
      </c>
      <c r="G51" s="44">
        <v>176580.61895356997</v>
      </c>
      <c r="H51" s="44">
        <v>172081.42890499998</v>
      </c>
      <c r="I51" s="44">
        <v>0</v>
      </c>
    </row>
    <row r="52" spans="1:9" ht="14.25">
      <c r="A52" s="43" t="str">
        <f>HLOOKUP(INDICE!$F$2,Nombres!$C$3:$D$636,67,FALSE)</f>
        <v>Depósitos de clientes en gestión (**)</v>
      </c>
      <c r="B52" s="44">
        <v>181283.00907</v>
      </c>
      <c r="C52" s="44">
        <v>180434.10696499998</v>
      </c>
      <c r="D52" s="44">
        <v>180652.794327</v>
      </c>
      <c r="E52" s="45">
        <v>182369.87480500003</v>
      </c>
      <c r="F52" s="44">
        <v>186327.38868300003</v>
      </c>
      <c r="G52" s="44">
        <v>195675.71426699997</v>
      </c>
      <c r="H52" s="44">
        <v>195682.23958</v>
      </c>
      <c r="I52" s="44">
        <v>0</v>
      </c>
    </row>
    <row r="53" spans="1:9" ht="14.25">
      <c r="A53" s="43" t="str">
        <f>HLOOKUP(INDICE!$F$2,Nombres!$C$3:$D$636,68,FALSE)</f>
        <v>Fondos de inversión</v>
      </c>
      <c r="B53" s="44">
        <v>40417.414025009995</v>
      </c>
      <c r="C53" s="44">
        <v>40351.9092077</v>
      </c>
      <c r="D53" s="44">
        <v>40518.80246024</v>
      </c>
      <c r="E53" s="45">
        <v>41389.65811588</v>
      </c>
      <c r="F53" s="44">
        <v>35963.94521486</v>
      </c>
      <c r="G53" s="44">
        <v>37635.00173682</v>
      </c>
      <c r="H53" s="44">
        <v>37421.75498915</v>
      </c>
      <c r="I53" s="44">
        <v>0</v>
      </c>
    </row>
    <row r="54" spans="1:9" ht="14.25">
      <c r="A54" s="43" t="str">
        <f>HLOOKUP(INDICE!$F$2,Nombres!$C$3:$D$636,69,FALSE)</f>
        <v>Fondos de pensiones</v>
      </c>
      <c r="B54" s="44">
        <v>23770.32487831</v>
      </c>
      <c r="C54" s="44">
        <v>23983.14042331</v>
      </c>
      <c r="D54" s="44">
        <v>24209.64256112</v>
      </c>
      <c r="E54" s="45">
        <v>24678.489658830003</v>
      </c>
      <c r="F54" s="44">
        <v>22564.26787486</v>
      </c>
      <c r="G54" s="44">
        <v>23338.87407048</v>
      </c>
      <c r="H54" s="44">
        <v>23469.23278831</v>
      </c>
      <c r="I54" s="44">
        <v>0</v>
      </c>
    </row>
    <row r="55" spans="1:9" ht="14.25">
      <c r="A55" s="43" t="str">
        <f>HLOOKUP(INDICE!$F$2,Nombres!$C$3:$D$636,70,FALSE)</f>
        <v>Otros recursos fuera de balance</v>
      </c>
      <c r="B55" s="44">
        <v>0</v>
      </c>
      <c r="C55" s="44">
        <v>0</v>
      </c>
      <c r="D55" s="44">
        <v>0</v>
      </c>
      <c r="E55" s="45">
        <v>0</v>
      </c>
      <c r="F55" s="44">
        <v>0</v>
      </c>
      <c r="G55" s="44">
        <v>0</v>
      </c>
      <c r="H55" s="44">
        <v>0</v>
      </c>
      <c r="I55" s="44">
        <v>0</v>
      </c>
    </row>
    <row r="56" spans="1:9" ht="14.25">
      <c r="A56" s="65" t="str">
        <f>HLOOKUP(INDICE!$F$2,Nombres!$C$3:$D$636,71,FALSE)</f>
        <v>(*) No incluye las adquisiciones temporales de activos.</v>
      </c>
      <c r="B56" s="60"/>
      <c r="C56" s="60"/>
      <c r="D56" s="60"/>
      <c r="E56" s="60"/>
      <c r="F56" s="60"/>
      <c r="G56" s="60"/>
      <c r="H56" s="60"/>
      <c r="I56" s="60"/>
    </row>
    <row r="57" spans="1:9" ht="14.25">
      <c r="A57" s="65" t="str">
        <f>HLOOKUP(INDICE!$F$2,Nombres!$C$3:$D$636,72,FALSE)</f>
        <v>(**) No incluye las cesiones temporales de activos.</v>
      </c>
      <c r="B57" s="30"/>
      <c r="C57" s="30"/>
      <c r="D57" s="30"/>
      <c r="E57" s="30"/>
      <c r="F57" s="30"/>
      <c r="G57" s="30"/>
      <c r="H57" s="30"/>
      <c r="I57" s="30"/>
    </row>
    <row r="58" spans="1:9" ht="14.25">
      <c r="A58" s="65"/>
      <c r="B58" s="30"/>
      <c r="C58" s="30"/>
      <c r="D58" s="30"/>
      <c r="E58" s="30"/>
      <c r="F58" s="30"/>
      <c r="G58" s="30"/>
      <c r="H58" s="30"/>
      <c r="I58" s="30"/>
    </row>
    <row r="1000" ht="14.25">
      <c r="A1000" s="31" t="s">
        <v>397</v>
      </c>
    </row>
  </sheetData>
  <sheetProtection/>
  <mergeCells count="2">
    <mergeCell ref="B6:E6"/>
    <mergeCell ref="F6:I6"/>
  </mergeCells>
  <conditionalFormatting sqref="B26:I26">
    <cfRule type="cellIs" priority="1" dxfId="16" operator="notBetween">
      <formula>-0.4</formula>
      <formula>0.4</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I1" sqref="I1:I16384"/>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6.5">
      <c r="A1" s="29" t="str">
        <f>HLOOKUP(INDICE!$F$2,Nombres!$C$3:$D$636,10,FALSE)</f>
        <v>EEUU</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5">
        <f>+España!B6</f>
        <v>2019</v>
      </c>
      <c r="C6" s="305"/>
      <c r="D6" s="305"/>
      <c r="E6" s="306"/>
      <c r="F6" s="305">
        <f>+España!F6</f>
        <v>2020</v>
      </c>
      <c r="G6" s="305"/>
      <c r="H6" s="305"/>
      <c r="I6" s="305"/>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615.19875887</v>
      </c>
      <c r="C8" s="41">
        <v>602.2779862799999</v>
      </c>
      <c r="D8" s="41">
        <v>595.2909648099999</v>
      </c>
      <c r="E8" s="42">
        <v>582.0685217800001</v>
      </c>
      <c r="F8" s="52">
        <v>549.07889953</v>
      </c>
      <c r="G8" s="52">
        <v>584.0905061599999</v>
      </c>
      <c r="H8" s="52">
        <v>574.9877970300001</v>
      </c>
      <c r="I8" s="52">
        <v>0</v>
      </c>
    </row>
    <row r="9" spans="1:9" ht="14.25">
      <c r="A9" s="43" t="str">
        <f>HLOOKUP(INDICE!$F$2,Nombres!$C$3:$D$636,34,FALSE)</f>
        <v>Comisiones netas</v>
      </c>
      <c r="B9" s="44">
        <v>150.79594061999998</v>
      </c>
      <c r="C9" s="44">
        <v>168.71948865</v>
      </c>
      <c r="D9" s="44">
        <v>169.25378861</v>
      </c>
      <c r="E9" s="45">
        <v>155.38474498</v>
      </c>
      <c r="F9" s="44">
        <v>176.28834373</v>
      </c>
      <c r="G9" s="44">
        <v>159.78942901</v>
      </c>
      <c r="H9" s="44">
        <v>166.84353133</v>
      </c>
      <c r="I9" s="44">
        <v>0</v>
      </c>
    </row>
    <row r="10" spans="1:9" ht="14.25">
      <c r="A10" s="43" t="str">
        <f>HLOOKUP(INDICE!$F$2,Nombres!$C$3:$D$636,35,FALSE)</f>
        <v>Resultados de operaciones financieras</v>
      </c>
      <c r="B10" s="44">
        <v>40.609470869999996</v>
      </c>
      <c r="C10" s="44">
        <v>38.54972442</v>
      </c>
      <c r="D10" s="44">
        <v>59.364840130000005</v>
      </c>
      <c r="E10" s="45">
        <v>34.03696678</v>
      </c>
      <c r="F10" s="44">
        <v>92.7608957</v>
      </c>
      <c r="G10" s="44">
        <v>55.50497137999999</v>
      </c>
      <c r="H10" s="44">
        <v>27.634587749999998</v>
      </c>
      <c r="I10" s="44">
        <v>0</v>
      </c>
    </row>
    <row r="11" spans="1:9" ht="14.25">
      <c r="A11" s="43" t="str">
        <f>HLOOKUP(INDICE!$F$2,Nombres!$C$3:$D$636,36,FALSE)</f>
        <v>Otros ingresos y cargas de explotación</v>
      </c>
      <c r="B11" s="44">
        <v>-2.7278229999999986</v>
      </c>
      <c r="C11" s="44">
        <v>1.3273819999999992</v>
      </c>
      <c r="D11" s="44">
        <v>3.5764659999999977</v>
      </c>
      <c r="E11" s="45">
        <v>9.632556000000003</v>
      </c>
      <c r="F11" s="44">
        <v>-4.128806000000001</v>
      </c>
      <c r="G11" s="44">
        <v>-6.0989</v>
      </c>
      <c r="H11" s="44">
        <v>-2.5962339999999995</v>
      </c>
      <c r="I11" s="44">
        <v>0</v>
      </c>
    </row>
    <row r="12" spans="1:9" ht="14.25">
      <c r="A12" s="41" t="str">
        <f>HLOOKUP(INDICE!$F$2,Nombres!$C$3:$D$636,37,FALSE)</f>
        <v>Margen bruto</v>
      </c>
      <c r="B12" s="41">
        <f>+SUM(B8:B11)</f>
        <v>803.8763473600001</v>
      </c>
      <c r="C12" s="41">
        <f aca="true" t="shared" si="0" ref="C12:I12">+SUM(C8:C11)</f>
        <v>810.8745813499999</v>
      </c>
      <c r="D12" s="41">
        <f t="shared" si="0"/>
        <v>827.4860595499999</v>
      </c>
      <c r="E12" s="42">
        <f t="shared" si="0"/>
        <v>781.1227895400002</v>
      </c>
      <c r="F12" s="52">
        <f t="shared" si="0"/>
        <v>813.9993329599998</v>
      </c>
      <c r="G12" s="52">
        <f t="shared" si="0"/>
        <v>793.28600655</v>
      </c>
      <c r="H12" s="52">
        <f t="shared" si="0"/>
        <v>766.8696821100002</v>
      </c>
      <c r="I12" s="52">
        <f t="shared" si="0"/>
        <v>0</v>
      </c>
    </row>
    <row r="13" spans="1:9" ht="14.25">
      <c r="A13" s="43" t="str">
        <f>HLOOKUP(INDICE!$F$2,Nombres!$C$3:$D$636,38,FALSE)</f>
        <v>Gastos de explotación</v>
      </c>
      <c r="B13" s="44">
        <v>-472.80969740999996</v>
      </c>
      <c r="C13" s="44">
        <v>-486.60016636</v>
      </c>
      <c r="D13" s="44">
        <v>-494.25534423</v>
      </c>
      <c r="E13" s="45">
        <v>-512.74892454</v>
      </c>
      <c r="F13" s="44">
        <v>-498.82967701999996</v>
      </c>
      <c r="G13" s="44">
        <v>-460.2056035500001</v>
      </c>
      <c r="H13" s="44">
        <v>-454.64283926</v>
      </c>
      <c r="I13" s="44">
        <v>0</v>
      </c>
    </row>
    <row r="14" spans="1:9" ht="14.25">
      <c r="A14" s="43" t="str">
        <f>HLOOKUP(INDICE!$F$2,Nombres!$C$3:$D$636,39,FALSE)</f>
        <v>  Gastos de administración</v>
      </c>
      <c r="B14" s="44">
        <v>-417.4225304099999</v>
      </c>
      <c r="C14" s="44">
        <v>-431.81317736</v>
      </c>
      <c r="D14" s="44">
        <v>-439.51497823</v>
      </c>
      <c r="E14" s="45">
        <v>-458.57823854000003</v>
      </c>
      <c r="F14" s="44">
        <v>-446.27172702000007</v>
      </c>
      <c r="G14" s="44">
        <v>-406.58259554999995</v>
      </c>
      <c r="H14" s="44">
        <v>-402.84287126000004</v>
      </c>
      <c r="I14" s="44">
        <v>0</v>
      </c>
    </row>
    <row r="15" spans="1:9" ht="14.25">
      <c r="A15" s="46" t="str">
        <f>HLOOKUP(INDICE!$F$2,Nombres!$C$3:$D$636,40,FALSE)</f>
        <v>  Gastos de personal</v>
      </c>
      <c r="B15" s="44">
        <v>-277.72449278</v>
      </c>
      <c r="C15" s="44">
        <v>-276.52617104</v>
      </c>
      <c r="D15" s="44">
        <v>-285.24251699999996</v>
      </c>
      <c r="E15" s="45">
        <v>-286.63811080000005</v>
      </c>
      <c r="F15" s="44">
        <v>-299.29249114000004</v>
      </c>
      <c r="G15" s="44">
        <v>-258.51078859</v>
      </c>
      <c r="H15" s="44">
        <v>-262.85643126</v>
      </c>
      <c r="I15" s="44">
        <v>0</v>
      </c>
    </row>
    <row r="16" spans="1:9" ht="14.25">
      <c r="A16" s="46" t="str">
        <f>HLOOKUP(INDICE!$F$2,Nombres!$C$3:$D$636,41,FALSE)</f>
        <v>  Otros gastos de administración</v>
      </c>
      <c r="B16" s="44">
        <v>-139.69803762999996</v>
      </c>
      <c r="C16" s="44">
        <v>-155.28700632</v>
      </c>
      <c r="D16" s="44">
        <v>-154.27246122999995</v>
      </c>
      <c r="E16" s="45">
        <v>-171.94012773999998</v>
      </c>
      <c r="F16" s="44">
        <v>-146.97923587999998</v>
      </c>
      <c r="G16" s="44">
        <v>-148.07180696</v>
      </c>
      <c r="H16" s="44">
        <v>-139.98643999999996</v>
      </c>
      <c r="I16" s="44">
        <v>0</v>
      </c>
    </row>
    <row r="17" spans="1:9" ht="14.25">
      <c r="A17" s="43" t="str">
        <f>HLOOKUP(INDICE!$F$2,Nombres!$C$3:$D$636,42,FALSE)</f>
        <v>  Amortización</v>
      </c>
      <c r="B17" s="44">
        <v>-55.387167000000005</v>
      </c>
      <c r="C17" s="44">
        <v>-54.786989000000005</v>
      </c>
      <c r="D17" s="44">
        <v>-54.740365999999995</v>
      </c>
      <c r="E17" s="45">
        <v>-54.170686</v>
      </c>
      <c r="F17" s="44">
        <v>-52.557950000000005</v>
      </c>
      <c r="G17" s="44">
        <v>-53.623008</v>
      </c>
      <c r="H17" s="44">
        <v>-51.79996799999999</v>
      </c>
      <c r="I17" s="44">
        <v>0</v>
      </c>
    </row>
    <row r="18" spans="1:9" ht="14.25">
      <c r="A18" s="41" t="str">
        <f>HLOOKUP(INDICE!$F$2,Nombres!$C$3:$D$636,43,FALSE)</f>
        <v>Margen neto</v>
      </c>
      <c r="B18" s="41">
        <f>+B12+B13</f>
        <v>331.0666499500001</v>
      </c>
      <c r="C18" s="41">
        <f aca="true" t="shared" si="1" ref="C18:I18">+C12+C13</f>
        <v>324.27441498999985</v>
      </c>
      <c r="D18" s="41">
        <f t="shared" si="1"/>
        <v>333.23071531999994</v>
      </c>
      <c r="E18" s="42">
        <f t="shared" si="1"/>
        <v>268.37386500000025</v>
      </c>
      <c r="F18" s="52">
        <f t="shared" si="1"/>
        <v>315.16965593999987</v>
      </c>
      <c r="G18" s="52">
        <f t="shared" si="1"/>
        <v>333.08040299999993</v>
      </c>
      <c r="H18" s="52">
        <f t="shared" si="1"/>
        <v>312.2268428500002</v>
      </c>
      <c r="I18" s="52">
        <f t="shared" si="1"/>
        <v>0</v>
      </c>
    </row>
    <row r="19" spans="1:9" ht="14.25">
      <c r="A19" s="43" t="str">
        <f>HLOOKUP(INDICE!$F$2,Nombres!$C$3:$D$636,44,FALSE)</f>
        <v>Deterioro de activos financieros no valorados a valor razonable con cambios en resultados</v>
      </c>
      <c r="B19" s="44">
        <v>-161.50649299999998</v>
      </c>
      <c r="C19" s="44">
        <v>-124.77477999999999</v>
      </c>
      <c r="D19" s="44">
        <v>-119.42335299999999</v>
      </c>
      <c r="E19" s="45">
        <v>-144.408506</v>
      </c>
      <c r="F19" s="44">
        <v>-426.26203799999996</v>
      </c>
      <c r="G19" s="44">
        <v>-187.74226799999997</v>
      </c>
      <c r="H19" s="44">
        <v>-233.619076</v>
      </c>
      <c r="I19" s="44">
        <v>0</v>
      </c>
    </row>
    <row r="20" spans="1:9" ht="14.25">
      <c r="A20" s="43" t="str">
        <f>HLOOKUP(INDICE!$F$2,Nombres!$C$3:$D$636,45,FALSE)</f>
        <v>Provisiones o reversión de provisiones y otros resultados</v>
      </c>
      <c r="B20" s="44">
        <v>-9.781884000000002</v>
      </c>
      <c r="C20" s="44">
        <v>4.021742999999999</v>
      </c>
      <c r="D20" s="44">
        <v>10.582921</v>
      </c>
      <c r="E20" s="45">
        <v>-7.113386999999999</v>
      </c>
      <c r="F20" s="44">
        <v>-0.8416020000000116</v>
      </c>
      <c r="G20" s="44">
        <v>-18.28311799999996</v>
      </c>
      <c r="H20" s="44">
        <v>23.702972000000006</v>
      </c>
      <c r="I20" s="44">
        <v>0</v>
      </c>
    </row>
    <row r="21" spans="1:9" ht="14.25">
      <c r="A21" s="41" t="str">
        <f>HLOOKUP(INDICE!$F$2,Nombres!$C$3:$D$636,46,FALSE)</f>
        <v>Resultado antes de impuestos</v>
      </c>
      <c r="B21" s="41">
        <f>+B18+B19+B20</f>
        <v>159.77827295000014</v>
      </c>
      <c r="C21" s="41">
        <f aca="true" t="shared" si="2" ref="C21:I21">+C18+C19+C20</f>
        <v>203.52137798999985</v>
      </c>
      <c r="D21" s="41">
        <f t="shared" si="2"/>
        <v>224.39028331999995</v>
      </c>
      <c r="E21" s="42">
        <f t="shared" si="2"/>
        <v>116.85197200000026</v>
      </c>
      <c r="F21" s="52">
        <f t="shared" si="2"/>
        <v>-111.9339840600001</v>
      </c>
      <c r="G21" s="52">
        <f t="shared" si="2"/>
        <v>127.055017</v>
      </c>
      <c r="H21" s="52">
        <f t="shared" si="2"/>
        <v>102.31073885000019</v>
      </c>
      <c r="I21" s="52">
        <f t="shared" si="2"/>
        <v>0</v>
      </c>
    </row>
    <row r="22" spans="1:9" ht="14.25">
      <c r="A22" s="43" t="str">
        <f>HLOOKUP(INDICE!$F$2,Nombres!$C$3:$D$636,47,FALSE)</f>
        <v>Impuesto sobre beneficios</v>
      </c>
      <c r="B22" s="44">
        <v>-32.33115324</v>
      </c>
      <c r="C22" s="44">
        <v>-34.26862718</v>
      </c>
      <c r="D22" s="44">
        <v>-43.28089159</v>
      </c>
      <c r="E22" s="45">
        <v>-5.095553159999987</v>
      </c>
      <c r="F22" s="44">
        <v>11.64252986</v>
      </c>
      <c r="G22" s="44">
        <v>-1.1099199299999958</v>
      </c>
      <c r="H22" s="44">
        <v>-13.03586509</v>
      </c>
      <c r="I22" s="44">
        <v>0</v>
      </c>
    </row>
    <row r="23" spans="1:9" ht="14.25">
      <c r="A23" s="41" t="str">
        <f>HLOOKUP(INDICE!$F$2,Nombres!$C$3:$D$636,48,FALSE)</f>
        <v>Resultado del ejercicio</v>
      </c>
      <c r="B23" s="41">
        <f>+B21+B22</f>
        <v>127.44711971000015</v>
      </c>
      <c r="C23" s="41">
        <f aca="true" t="shared" si="3" ref="C23:I23">+C21+C22</f>
        <v>169.25275080999984</v>
      </c>
      <c r="D23" s="41">
        <f t="shared" si="3"/>
        <v>181.10939172999994</v>
      </c>
      <c r="E23" s="42">
        <f t="shared" si="3"/>
        <v>111.75641884000026</v>
      </c>
      <c r="F23" s="52">
        <f t="shared" si="3"/>
        <v>-100.2914542000001</v>
      </c>
      <c r="G23" s="52">
        <f t="shared" si="3"/>
        <v>125.94509707000002</v>
      </c>
      <c r="H23" s="52">
        <f t="shared" si="3"/>
        <v>89.27487376000019</v>
      </c>
      <c r="I23" s="52">
        <f t="shared" si="3"/>
        <v>0</v>
      </c>
    </row>
    <row r="24" spans="1:9" ht="14.25">
      <c r="A24" s="43" t="str">
        <f>HLOOKUP(INDICE!$F$2,Nombres!$C$3:$D$636,49,FALSE)</f>
        <v>Minoritarios</v>
      </c>
      <c r="B24" s="44">
        <v>0</v>
      </c>
      <c r="C24" s="44">
        <v>0</v>
      </c>
      <c r="D24" s="44">
        <v>0</v>
      </c>
      <c r="E24" s="45">
        <v>0</v>
      </c>
      <c r="F24" s="44">
        <v>0</v>
      </c>
      <c r="G24" s="44">
        <v>0</v>
      </c>
      <c r="H24" s="44">
        <v>0</v>
      </c>
      <c r="I24" s="44">
        <v>0</v>
      </c>
    </row>
    <row r="25" spans="1:9" ht="14.25">
      <c r="A25" s="47" t="str">
        <f>HLOOKUP(INDICE!$F$2,Nombres!$C$3:$D$636,50,FALSE)</f>
        <v>Resultado atribuido</v>
      </c>
      <c r="B25" s="47">
        <f>+B23+B24</f>
        <v>127.44711971000015</v>
      </c>
      <c r="C25" s="47">
        <f aca="true" t="shared" si="4" ref="C25:I25">+C23+C24</f>
        <v>169.25275080999984</v>
      </c>
      <c r="D25" s="47">
        <f t="shared" si="4"/>
        <v>181.10939172999994</v>
      </c>
      <c r="E25" s="47">
        <f t="shared" si="4"/>
        <v>111.75641884000026</v>
      </c>
      <c r="F25" s="53">
        <f t="shared" si="4"/>
        <v>-100.2914542000001</v>
      </c>
      <c r="G25" s="53">
        <f t="shared" si="4"/>
        <v>125.94509707000002</v>
      </c>
      <c r="H25" s="53">
        <f t="shared" si="4"/>
        <v>89.27487376000019</v>
      </c>
      <c r="I25" s="53">
        <f t="shared" si="4"/>
        <v>0</v>
      </c>
    </row>
    <row r="26" spans="1:9" ht="14.25">
      <c r="A26" s="65"/>
      <c r="B26" s="66">
        <v>0</v>
      </c>
      <c r="C26" s="66">
        <v>0</v>
      </c>
      <c r="D26" s="66">
        <v>0</v>
      </c>
      <c r="E26" s="66">
        <v>2.8421709430404007E-13</v>
      </c>
      <c r="F26" s="66">
        <v>-1.2789769243681803E-13</v>
      </c>
      <c r="G26" s="66">
        <v>0</v>
      </c>
      <c r="H26" s="66">
        <v>1.7053025658242404E-13</v>
      </c>
      <c r="I26" s="66">
        <v>0</v>
      </c>
    </row>
    <row r="27" spans="1:9" ht="14.25">
      <c r="A27" s="41"/>
      <c r="B27" s="41"/>
      <c r="C27" s="41"/>
      <c r="D27" s="41"/>
      <c r="E27" s="41"/>
      <c r="F27" s="52"/>
      <c r="G27" s="52"/>
      <c r="H27" s="52"/>
      <c r="I27" s="52"/>
    </row>
    <row r="28" spans="1:9" ht="16.5">
      <c r="A28" s="33" t="str">
        <f>HLOOKUP(INDICE!$F$2,Nombres!$C$3:$D$636,51,FALSE)</f>
        <v>Balances</v>
      </c>
      <c r="B28" s="34"/>
      <c r="C28" s="34"/>
      <c r="D28" s="34"/>
      <c r="E28" s="34"/>
      <c r="F28" s="72"/>
      <c r="G28" s="72"/>
      <c r="H28" s="72"/>
      <c r="I28" s="72"/>
    </row>
    <row r="29" spans="1:9" ht="14.25">
      <c r="A29" s="35" t="str">
        <f>HLOOKUP(INDICE!$F$2,Nombres!$C$3:$D$636,32,FALSE)</f>
        <v>(Millones de euros)</v>
      </c>
      <c r="B29" s="30"/>
      <c r="C29" s="54"/>
      <c r="D29" s="54"/>
      <c r="E29" s="54"/>
      <c r="F29" s="73"/>
      <c r="G29" s="44"/>
      <c r="H29" s="44"/>
      <c r="I29" s="44"/>
    </row>
    <row r="30" spans="1:9" ht="14.25">
      <c r="A30" s="30"/>
      <c r="B30" s="55">
        <f>+España!B30</f>
        <v>43555</v>
      </c>
      <c r="C30" s="55">
        <f>+España!C30</f>
        <v>43646</v>
      </c>
      <c r="D30" s="55">
        <f>+España!D30</f>
        <v>43738</v>
      </c>
      <c r="E30" s="71">
        <f>+España!E30</f>
        <v>43830</v>
      </c>
      <c r="F30" s="55">
        <f>+España!F30</f>
        <v>43921</v>
      </c>
      <c r="G30" s="55">
        <f>+España!G30</f>
        <v>44012</v>
      </c>
      <c r="H30" s="55">
        <f>+España!H30</f>
        <v>44104</v>
      </c>
      <c r="I30" s="55">
        <f>+España!I30</f>
        <v>44196</v>
      </c>
    </row>
    <row r="31" spans="1:9" ht="14.25">
      <c r="A31" s="43" t="str">
        <f>HLOOKUP(INDICE!$F$2,Nombres!$C$3:$D$636,52,FALSE)</f>
        <v>Efectivo, saldos en efectivo en bancos centrales y otros depósitos a la vista</v>
      </c>
      <c r="B31" s="44">
        <v>6549.723644000001</v>
      </c>
      <c r="C31" s="44">
        <v>7503.8547499999995</v>
      </c>
      <c r="D31" s="44">
        <v>7665.812250000001</v>
      </c>
      <c r="E31" s="45">
        <v>8293.366074</v>
      </c>
      <c r="F31" s="44">
        <v>10668.038576</v>
      </c>
      <c r="G31" s="44">
        <v>13907.997122</v>
      </c>
      <c r="H31" s="44">
        <v>17205.127135</v>
      </c>
      <c r="I31" s="44">
        <v>0</v>
      </c>
    </row>
    <row r="32" spans="1:9" ht="14.25">
      <c r="A32" s="43" t="str">
        <f>HLOOKUP(INDICE!$F$2,Nombres!$C$3:$D$636,53,FALSE)</f>
        <v>Activos financieros a valor razonable</v>
      </c>
      <c r="B32" s="60">
        <v>9329.626928</v>
      </c>
      <c r="C32" s="60">
        <v>10282.643888999999</v>
      </c>
      <c r="D32" s="60">
        <v>8345.792112</v>
      </c>
      <c r="E32" s="68">
        <v>7659.274197000001</v>
      </c>
      <c r="F32" s="44">
        <v>7673.732314000001</v>
      </c>
      <c r="G32" s="44">
        <v>6954.871927</v>
      </c>
      <c r="H32" s="44">
        <v>6653.717393999999</v>
      </c>
      <c r="I32" s="44">
        <v>0</v>
      </c>
    </row>
    <row r="33" spans="1:9" ht="14.25">
      <c r="A33" s="43" t="str">
        <f>HLOOKUP(INDICE!$F$2,Nombres!$C$3:$D$636,54,FALSE)</f>
        <v>Activos financieros a coste amortizado</v>
      </c>
      <c r="B33" s="44">
        <v>65628.63080497</v>
      </c>
      <c r="C33" s="44">
        <v>64839.43889596</v>
      </c>
      <c r="D33" s="44">
        <v>69342.73706502</v>
      </c>
      <c r="E33" s="45">
        <v>69509.68163198</v>
      </c>
      <c r="F33" s="44">
        <v>77134.29630401</v>
      </c>
      <c r="G33" s="44">
        <v>76799.782121</v>
      </c>
      <c r="H33" s="44">
        <v>70434.74976</v>
      </c>
      <c r="I33" s="44">
        <v>0</v>
      </c>
    </row>
    <row r="34" spans="1:9" ht="14.25">
      <c r="A34" s="43" t="str">
        <f>HLOOKUP(INDICE!$F$2,Nombres!$C$3:$D$636,55,FALSE)</f>
        <v>    de los que préstamos y anticipos a la clientela</v>
      </c>
      <c r="B34" s="44">
        <v>61403.018568969994</v>
      </c>
      <c r="C34" s="44">
        <v>60130.06432996</v>
      </c>
      <c r="D34" s="44">
        <v>63209.64668001999</v>
      </c>
      <c r="E34" s="45">
        <v>63161.73001998</v>
      </c>
      <c r="F34" s="44">
        <v>69619.01790301001</v>
      </c>
      <c r="G34" s="44">
        <v>68667.791389</v>
      </c>
      <c r="H34" s="44">
        <v>61987.264227</v>
      </c>
      <c r="I34" s="44">
        <v>0</v>
      </c>
    </row>
    <row r="35" spans="1:9" ht="14.25">
      <c r="A35" s="43" t="str">
        <f>HLOOKUP(INDICE!$F$2,Nombres!$C$3:$D$636,121,FALSE)</f>
        <v>Posiciones inter-áreas activo</v>
      </c>
      <c r="B35" s="44">
        <v>0</v>
      </c>
      <c r="C35" s="44">
        <v>0</v>
      </c>
      <c r="D35" s="44">
        <v>0</v>
      </c>
      <c r="E35" s="45">
        <v>0</v>
      </c>
      <c r="F35" s="44">
        <v>0</v>
      </c>
      <c r="G35" s="44">
        <v>0</v>
      </c>
      <c r="H35" s="44">
        <v>0</v>
      </c>
      <c r="I35" s="44">
        <v>0</v>
      </c>
    </row>
    <row r="36" spans="1:9" ht="14.25">
      <c r="A36" s="43" t="str">
        <f>HLOOKUP(INDICE!$F$2,Nombres!$C$3:$D$636,56,FALSE)</f>
        <v>Activos tangibles</v>
      </c>
      <c r="B36" s="60">
        <v>952.3401060000001</v>
      </c>
      <c r="C36" s="60">
        <v>925.152639</v>
      </c>
      <c r="D36" s="60">
        <v>951.4617489999999</v>
      </c>
      <c r="E36" s="68">
        <v>914.09118</v>
      </c>
      <c r="F36" s="44">
        <v>933.4258909999999</v>
      </c>
      <c r="G36" s="44">
        <v>906.931483</v>
      </c>
      <c r="H36" s="44">
        <v>857.1987750000001</v>
      </c>
      <c r="I36" s="44">
        <v>0</v>
      </c>
    </row>
    <row r="37" spans="1:9" ht="14.25">
      <c r="A37" s="43" t="str">
        <f>HLOOKUP(INDICE!$F$2,Nombres!$C$3:$D$636,57,FALSE)</f>
        <v>Otros activos</v>
      </c>
      <c r="B37" s="60">
        <f>+B38-B36-B33-B32-B31-B35</f>
        <v>2699.633473999983</v>
      </c>
      <c r="C37" s="60">
        <f aca="true" t="shared" si="5" ref="C37:I37">+C38-C36-C33-C32-C31-C35</f>
        <v>2677.520636999986</v>
      </c>
      <c r="D37" s="60">
        <f t="shared" si="5"/>
        <v>2424.5560969999915</v>
      </c>
      <c r="E37" s="68">
        <f t="shared" si="5"/>
        <v>2152.5926629999994</v>
      </c>
      <c r="F37" s="44">
        <f t="shared" si="5"/>
        <v>2667.8089050000253</v>
      </c>
      <c r="G37" s="44">
        <f t="shared" si="5"/>
        <v>2547.937592000002</v>
      </c>
      <c r="H37" s="44">
        <f t="shared" si="5"/>
        <v>2581.0813719999824</v>
      </c>
      <c r="I37" s="44">
        <f t="shared" si="5"/>
        <v>0</v>
      </c>
    </row>
    <row r="38" spans="1:9" ht="14.25">
      <c r="A38" s="47" t="str">
        <f>HLOOKUP(INDICE!$F$2,Nombres!$C$3:$D$636,58,FALSE)</f>
        <v>Total activo / pasivo</v>
      </c>
      <c r="B38" s="47">
        <v>85159.95495696999</v>
      </c>
      <c r="C38" s="47">
        <v>86228.61081095999</v>
      </c>
      <c r="D38" s="47">
        <v>88730.35927301999</v>
      </c>
      <c r="E38" s="74">
        <v>88529.00574598</v>
      </c>
      <c r="F38" s="47">
        <v>99077.30199001003</v>
      </c>
      <c r="G38" s="53">
        <v>101117.52024499999</v>
      </c>
      <c r="H38" s="53">
        <v>97731.87443599998</v>
      </c>
      <c r="I38" s="53">
        <v>0</v>
      </c>
    </row>
    <row r="39" spans="1:9" ht="14.25">
      <c r="A39" s="43" t="str">
        <f>HLOOKUP(INDICE!$F$2,Nombres!$C$3:$D$636,59,FALSE)</f>
        <v>Pasivos financieros mantenidos para negociar y designados a valor razonable con cambios en resultados</v>
      </c>
      <c r="B39" s="60">
        <v>304.623727</v>
      </c>
      <c r="C39" s="60">
        <v>1475.1058730000002</v>
      </c>
      <c r="D39" s="60">
        <v>248.74800000000002</v>
      </c>
      <c r="E39" s="68">
        <v>281.721384</v>
      </c>
      <c r="F39" s="44">
        <v>633.4881950000001</v>
      </c>
      <c r="G39" s="44">
        <v>458.725444</v>
      </c>
      <c r="H39" s="44">
        <v>336.46099999999996</v>
      </c>
      <c r="I39" s="44">
        <v>0</v>
      </c>
    </row>
    <row r="40" spans="1:9" ht="14.25">
      <c r="A40" s="43" t="str">
        <f>HLOOKUP(INDICE!$F$2,Nombres!$C$3:$D$636,60,FALSE)</f>
        <v>Depósitos de bancos centrales y entidades de crédito</v>
      </c>
      <c r="B40" s="60">
        <v>4709.8826080300005</v>
      </c>
      <c r="C40" s="60">
        <v>4568.34772701</v>
      </c>
      <c r="D40" s="60">
        <v>4049.3655269899996</v>
      </c>
      <c r="E40" s="68">
        <v>4081.3740209600005</v>
      </c>
      <c r="F40" s="44">
        <v>4405.35680901</v>
      </c>
      <c r="G40" s="44">
        <v>6228.706826000001</v>
      </c>
      <c r="H40" s="44">
        <v>5914.308754</v>
      </c>
      <c r="I40" s="44">
        <v>0</v>
      </c>
    </row>
    <row r="41" spans="1:9" ht="15.75" customHeight="1">
      <c r="A41" s="43" t="str">
        <f>HLOOKUP(INDICE!$F$2,Nombres!$C$3:$D$636,61,FALSE)</f>
        <v>Depósitos de la clientela</v>
      </c>
      <c r="B41" s="60">
        <v>65165.462724</v>
      </c>
      <c r="C41" s="60">
        <v>63122.07449100001</v>
      </c>
      <c r="D41" s="60">
        <v>67375.940978</v>
      </c>
      <c r="E41" s="68">
        <v>67525.351449</v>
      </c>
      <c r="F41" s="44">
        <v>70916.872079</v>
      </c>
      <c r="G41" s="44">
        <v>75648.777443</v>
      </c>
      <c r="H41" s="44">
        <v>73296.779043</v>
      </c>
      <c r="I41" s="44">
        <v>0</v>
      </c>
    </row>
    <row r="42" spans="1:9" ht="14.25">
      <c r="A42" s="43" t="str">
        <f>HLOOKUP(INDICE!$F$2,Nombres!$C$3:$D$636,62,FALSE)</f>
        <v>Valores representativos de deuda emitidos</v>
      </c>
      <c r="B42" s="44">
        <v>3364.0390938399996</v>
      </c>
      <c r="C42" s="44">
        <v>3382.2038005699997</v>
      </c>
      <c r="D42" s="44">
        <v>3710.3406013599997</v>
      </c>
      <c r="E42" s="45">
        <v>3550.51214168</v>
      </c>
      <c r="F42" s="44">
        <v>3458.36378674</v>
      </c>
      <c r="G42" s="44">
        <v>3176.73724867</v>
      </c>
      <c r="H42" s="44">
        <v>3095.7653054400002</v>
      </c>
      <c r="I42" s="44">
        <v>0</v>
      </c>
    </row>
    <row r="43" spans="1:9" ht="14.25">
      <c r="A43" s="43" t="str">
        <f>HLOOKUP(INDICE!$F$2,Nombres!$C$3:$D$636,122,FALSE)</f>
        <v>Posiciones inter-áreas pasivo</v>
      </c>
      <c r="B43" s="44">
        <v>1736.5467517099896</v>
      </c>
      <c r="C43" s="44">
        <v>3757.2192421899963</v>
      </c>
      <c r="D43" s="44">
        <v>3023.799849379997</v>
      </c>
      <c r="E43" s="45">
        <v>3415.9935403199925</v>
      </c>
      <c r="F43" s="44">
        <v>9400.020056880021</v>
      </c>
      <c r="G43" s="44">
        <v>4985.342443249989</v>
      </c>
      <c r="H43" s="44">
        <v>4908.970243429998</v>
      </c>
      <c r="I43" s="44">
        <v>0</v>
      </c>
    </row>
    <row r="44" spans="1:9" ht="14.25">
      <c r="A44" s="43" t="str">
        <f>HLOOKUP(INDICE!$F$2,Nombres!$C$3:$D$636,63,FALSE)</f>
        <v>Otros pasivos</v>
      </c>
      <c r="B44" s="44">
        <f>+B38-B39-B40-B41-B42-B45-B43</f>
        <v>6197.811412389996</v>
      </c>
      <c r="C44" s="44">
        <f aca="true" t="shared" si="6" ref="C44:I44">+C38-C39-C40-C41-C42-C45-C43</f>
        <v>6231.890487189994</v>
      </c>
      <c r="D44" s="44">
        <f t="shared" si="6"/>
        <v>6654.258421639981</v>
      </c>
      <c r="E44" s="45">
        <f t="shared" si="6"/>
        <v>5830.790013920005</v>
      </c>
      <c r="F44" s="44">
        <f t="shared" si="6"/>
        <v>6396.901473380021</v>
      </c>
      <c r="G44" s="44">
        <f t="shared" si="6"/>
        <v>6703.100070080014</v>
      </c>
      <c r="H44" s="44">
        <f t="shared" si="6"/>
        <v>6535.387064149989</v>
      </c>
      <c r="I44" s="44">
        <f t="shared" si="6"/>
        <v>0</v>
      </c>
    </row>
    <row r="45" spans="1:9" ht="14.25">
      <c r="A45" s="43" t="str">
        <f>HLOOKUP(INDICE!$F$2,Nombres!$C$3:$D$636,64,FALSE)</f>
        <v>Dotación de capital económico</v>
      </c>
      <c r="B45" s="44">
        <v>3681.588640000002</v>
      </c>
      <c r="C45" s="44">
        <v>3691.7691900000004</v>
      </c>
      <c r="D45" s="44">
        <v>3667.9058956500007</v>
      </c>
      <c r="E45" s="45">
        <v>3843.2631960999993</v>
      </c>
      <c r="F45" s="44">
        <v>3866.2995899999996</v>
      </c>
      <c r="G45" s="44">
        <v>3916.1307700000007</v>
      </c>
      <c r="H45" s="44">
        <v>3644.2030259800003</v>
      </c>
      <c r="I45" s="44">
        <v>0</v>
      </c>
    </row>
    <row r="46" spans="1:9" ht="14.25">
      <c r="A46" s="65"/>
      <c r="B46" s="60"/>
      <c r="C46" s="60"/>
      <c r="D46" s="60"/>
      <c r="E46" s="60"/>
      <c r="F46" s="44"/>
      <c r="G46" s="44"/>
      <c r="H46" s="44"/>
      <c r="I46" s="44"/>
    </row>
    <row r="47" spans="1:9" ht="14.25">
      <c r="A47" s="43"/>
      <c r="B47" s="60"/>
      <c r="C47" s="60"/>
      <c r="D47" s="60"/>
      <c r="E47" s="60"/>
      <c r="F47" s="44"/>
      <c r="G47" s="44"/>
      <c r="H47" s="44"/>
      <c r="I47" s="44"/>
    </row>
    <row r="48" spans="1:9" ht="16.5">
      <c r="A48" s="69" t="str">
        <f>HLOOKUP(INDICE!$F$2,Nombres!$C$3:$D$636,65,FALSE)</f>
        <v>Indicadores relevantes y de gestión</v>
      </c>
      <c r="B48" s="70"/>
      <c r="C48" s="70"/>
      <c r="D48" s="70"/>
      <c r="E48" s="70"/>
      <c r="F48" s="75"/>
      <c r="G48" s="75"/>
      <c r="H48" s="75"/>
      <c r="I48" s="75"/>
    </row>
    <row r="49" spans="1:9" ht="14.25">
      <c r="A49" s="35" t="str">
        <f>HLOOKUP(INDICE!$F$2,Nombres!$C$3:$D$636,32,FALSE)</f>
        <v>(Millones de euros)</v>
      </c>
      <c r="B49" s="30"/>
      <c r="C49" s="30"/>
      <c r="D49" s="30"/>
      <c r="E49" s="30"/>
      <c r="F49" s="73"/>
      <c r="G49" s="44"/>
      <c r="H49" s="44"/>
      <c r="I49" s="44"/>
    </row>
    <row r="50" spans="1:9" ht="14.25">
      <c r="A50" s="30"/>
      <c r="B50" s="55">
        <f aca="true" t="shared" si="7" ref="B50:I50">+B$30</f>
        <v>43555</v>
      </c>
      <c r="C50" s="55">
        <f t="shared" si="7"/>
        <v>43646</v>
      </c>
      <c r="D50" s="55">
        <f t="shared" si="7"/>
        <v>43738</v>
      </c>
      <c r="E50" s="71">
        <f t="shared" si="7"/>
        <v>43830</v>
      </c>
      <c r="F50" s="55">
        <f t="shared" si="7"/>
        <v>43921</v>
      </c>
      <c r="G50" s="55">
        <f t="shared" si="7"/>
        <v>44012</v>
      </c>
      <c r="H50" s="55">
        <f t="shared" si="7"/>
        <v>44104</v>
      </c>
      <c r="I50" s="55">
        <f t="shared" si="7"/>
        <v>44196</v>
      </c>
    </row>
    <row r="51" spans="1:9" ht="14.25">
      <c r="A51" s="43" t="str">
        <f>HLOOKUP(INDICE!$F$2,Nombres!$C$3:$D$636,66,FALSE)</f>
        <v>Préstamos y anticipos a la clientela bruto (*)</v>
      </c>
      <c r="B51" s="44">
        <v>62485.677391050005</v>
      </c>
      <c r="C51" s="44">
        <v>61153.191272970005</v>
      </c>
      <c r="D51" s="44">
        <v>64086.72153825001</v>
      </c>
      <c r="E51" s="45">
        <v>63917.22094894</v>
      </c>
      <c r="F51" s="44">
        <v>70804.84171227</v>
      </c>
      <c r="G51" s="44">
        <v>69978.30510797999</v>
      </c>
      <c r="H51" s="44">
        <v>63706.13992960999</v>
      </c>
      <c r="I51" s="44">
        <v>0</v>
      </c>
    </row>
    <row r="52" spans="1:9" ht="14.25">
      <c r="A52" s="43" t="str">
        <f>HLOOKUP(INDICE!$F$2,Nombres!$C$3:$D$636,67,FALSE)</f>
        <v>Depósitos de clientes en gestión (**)</v>
      </c>
      <c r="B52" s="44">
        <v>65163.15654674001</v>
      </c>
      <c r="C52" s="44">
        <v>63119.75090709001</v>
      </c>
      <c r="D52" s="44">
        <v>67373.56720801</v>
      </c>
      <c r="E52" s="45">
        <v>67528.37898667001</v>
      </c>
      <c r="F52" s="44">
        <v>70914.4874813</v>
      </c>
      <c r="G52" s="44">
        <v>75651.49263804001</v>
      </c>
      <c r="H52" s="44">
        <v>73299.91263127</v>
      </c>
      <c r="I52" s="44">
        <v>0</v>
      </c>
    </row>
    <row r="53" spans="1:9" ht="14.25">
      <c r="A53" s="43" t="str">
        <f>HLOOKUP(INDICE!$F$2,Nombres!$C$3:$D$636,68,FALSE)</f>
        <v>Fondos de inversión</v>
      </c>
      <c r="B53" s="44">
        <v>0</v>
      </c>
      <c r="C53" s="44">
        <v>0</v>
      </c>
      <c r="D53" s="44">
        <v>0</v>
      </c>
      <c r="E53" s="45">
        <v>0</v>
      </c>
      <c r="F53" s="44">
        <v>0</v>
      </c>
      <c r="G53" s="44">
        <v>0</v>
      </c>
      <c r="H53" s="44">
        <v>0</v>
      </c>
      <c r="I53" s="44">
        <v>0</v>
      </c>
    </row>
    <row r="54" spans="1:9" ht="14.25">
      <c r="A54" s="43" t="str">
        <f>HLOOKUP(INDICE!$F$2,Nombres!$C$3:$D$636,69,FALSE)</f>
        <v>Fondos de pensiones</v>
      </c>
      <c r="B54" s="44">
        <v>0</v>
      </c>
      <c r="C54" s="44">
        <v>0</v>
      </c>
      <c r="D54" s="44">
        <v>0</v>
      </c>
      <c r="E54" s="45">
        <v>0</v>
      </c>
      <c r="F54" s="44">
        <v>0</v>
      </c>
      <c r="G54" s="44">
        <v>0</v>
      </c>
      <c r="H54" s="44">
        <v>0</v>
      </c>
      <c r="I54" s="44">
        <v>0</v>
      </c>
    </row>
    <row r="55" spans="1:9" ht="14.25">
      <c r="A55" s="43" t="str">
        <f>HLOOKUP(INDICE!$F$2,Nombres!$C$3:$D$636,70,FALSE)</f>
        <v>Otros recursos fuera de balance</v>
      </c>
      <c r="B55" s="44">
        <v>0</v>
      </c>
      <c r="C55" s="44">
        <v>0</v>
      </c>
      <c r="D55" s="44">
        <v>0</v>
      </c>
      <c r="E55" s="45">
        <v>0</v>
      </c>
      <c r="F55" s="44">
        <v>0</v>
      </c>
      <c r="G55" s="44">
        <v>0</v>
      </c>
      <c r="H55" s="44">
        <v>0</v>
      </c>
      <c r="I55" s="44">
        <v>0</v>
      </c>
    </row>
    <row r="56" spans="1:9" ht="14.25">
      <c r="A56" s="65" t="str">
        <f>HLOOKUP(INDICE!$F$2,Nombres!$C$3:$D$636,71,FALSE)</f>
        <v>(*) No incluye las adquisiciones temporales de activos.</v>
      </c>
      <c r="B56" s="60"/>
      <c r="C56" s="60"/>
      <c r="D56" s="60"/>
      <c r="E56" s="60"/>
      <c r="F56" s="60"/>
      <c r="G56" s="60"/>
      <c r="H56" s="60"/>
      <c r="I56" s="60"/>
    </row>
    <row r="57" spans="1:9" ht="14.25">
      <c r="A57" s="65" t="str">
        <f>HLOOKUP(INDICE!$F$2,Nombres!$C$3:$D$636,72,FALSE)</f>
        <v>(**) No incluye las cesiones temporales de activos.</v>
      </c>
      <c r="B57" s="30"/>
      <c r="C57" s="30"/>
      <c r="D57" s="30"/>
      <c r="E57" s="30"/>
      <c r="F57" s="30"/>
      <c r="G57" s="30"/>
      <c r="H57" s="30"/>
      <c r="I57" s="30"/>
    </row>
    <row r="58" spans="1:9" ht="14.25">
      <c r="A58" s="65"/>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5">
        <f>+B$6</f>
        <v>2019</v>
      </c>
      <c r="C62" s="305"/>
      <c r="D62" s="305"/>
      <c r="E62" s="306"/>
      <c r="F62" s="305">
        <f>+F$6</f>
        <v>2020</v>
      </c>
      <c r="G62" s="305"/>
      <c r="H62" s="305"/>
      <c r="I62" s="305"/>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620.620322947689</v>
      </c>
      <c r="C64" s="41">
        <v>601.4812030855198</v>
      </c>
      <c r="D64" s="41">
        <v>585.9229294710044</v>
      </c>
      <c r="E64" s="42">
        <v>573.7247569283929</v>
      </c>
      <c r="F64" s="52">
        <v>537.6234403207811</v>
      </c>
      <c r="G64" s="52">
        <v>571.5664666107142</v>
      </c>
      <c r="H64" s="52">
        <v>598.9672957885048</v>
      </c>
      <c r="I64" s="52">
        <v>0</v>
      </c>
    </row>
    <row r="65" spans="1:9" ht="14.25">
      <c r="A65" s="43" t="str">
        <f>HLOOKUP(INDICE!$F$2,Nombres!$C$3:$D$636,34,FALSE)</f>
        <v>Comisiones netas</v>
      </c>
      <c r="B65" s="44">
        <v>152.0047220062541</v>
      </c>
      <c r="C65" s="44">
        <v>168.58490701870141</v>
      </c>
      <c r="D65" s="44">
        <v>166.47131919161248</v>
      </c>
      <c r="E65" s="45">
        <v>153.26938248050925</v>
      </c>
      <c r="F65" s="44">
        <v>172.52876712446374</v>
      </c>
      <c r="G65" s="44">
        <v>156.28616959010083</v>
      </c>
      <c r="H65" s="44">
        <v>174.10636735543542</v>
      </c>
      <c r="I65" s="44">
        <v>0</v>
      </c>
    </row>
    <row r="66" spans="1:9" ht="14.25">
      <c r="A66" s="43" t="str">
        <f>HLOOKUP(INDICE!$F$2,Nombres!$C$3:$D$636,35,FALSE)</f>
        <v>Resultados de operaciones financieras</v>
      </c>
      <c r="B66" s="44">
        <v>40.60251276280507</v>
      </c>
      <c r="C66" s="44">
        <v>38.265848296665354</v>
      </c>
      <c r="D66" s="44">
        <v>57.6781852650978</v>
      </c>
      <c r="E66" s="45">
        <v>33.86088570536959</v>
      </c>
      <c r="F66" s="44">
        <v>90.4459162387369</v>
      </c>
      <c r="G66" s="44">
        <v>54.28610874253977</v>
      </c>
      <c r="H66" s="44">
        <v>31.16842984872333</v>
      </c>
      <c r="I66" s="44">
        <v>0</v>
      </c>
    </row>
    <row r="67" spans="1:9" ht="14.25">
      <c r="A67" s="43" t="str">
        <f>HLOOKUP(INDICE!$F$2,Nombres!$C$3:$D$636,36,FALSE)</f>
        <v>Otros ingresos y cargas de explotación</v>
      </c>
      <c r="B67" s="44">
        <v>-2.8581908025241796</v>
      </c>
      <c r="C67" s="44">
        <v>1.3173438740686731</v>
      </c>
      <c r="D67" s="44">
        <v>3.2707751283085877</v>
      </c>
      <c r="E67" s="45">
        <v>9.596527316873141</v>
      </c>
      <c r="F67" s="44">
        <v>-4.169710547408121</v>
      </c>
      <c r="G67" s="44">
        <v>-5.974622805015622</v>
      </c>
      <c r="H67" s="44">
        <v>-2.6796066475762546</v>
      </c>
      <c r="I67" s="44">
        <v>0</v>
      </c>
    </row>
    <row r="68" spans="1:9" ht="14.25">
      <c r="A68" s="41" t="str">
        <f>HLOOKUP(INDICE!$F$2,Nombres!$C$3:$D$636,37,FALSE)</f>
        <v>Margen bruto</v>
      </c>
      <c r="B68" s="41">
        <f>+SUM(B64:B67)</f>
        <v>810.3693669142241</v>
      </c>
      <c r="C68" s="41">
        <f aca="true" t="shared" si="9" ref="C68:I68">+SUM(C64:C67)</f>
        <v>809.6493022749553</v>
      </c>
      <c r="D68" s="41">
        <f t="shared" si="9"/>
        <v>813.3432090560233</v>
      </c>
      <c r="E68" s="42">
        <f t="shared" si="9"/>
        <v>770.4515524311448</v>
      </c>
      <c r="F68" s="52">
        <f t="shared" si="9"/>
        <v>796.4284131365736</v>
      </c>
      <c r="G68" s="52">
        <f t="shared" si="9"/>
        <v>776.1641221383392</v>
      </c>
      <c r="H68" s="52">
        <f t="shared" si="9"/>
        <v>801.5624863450872</v>
      </c>
      <c r="I68" s="52">
        <f t="shared" si="9"/>
        <v>0</v>
      </c>
    </row>
    <row r="69" spans="1:9" ht="14.25">
      <c r="A69" s="43" t="str">
        <f>HLOOKUP(INDICE!$F$2,Nombres!$C$3:$D$636,38,FALSE)</f>
        <v>Gastos de explotación</v>
      </c>
      <c r="B69" s="44">
        <v>-476.8272176550429</v>
      </c>
      <c r="C69" s="44">
        <v>-486.0510692847591</v>
      </c>
      <c r="D69" s="44">
        <v>-486.3163117392329</v>
      </c>
      <c r="E69" s="45">
        <v>-506.01135321857265</v>
      </c>
      <c r="F69" s="44">
        <v>-488.4138587800915</v>
      </c>
      <c r="G69" s="44">
        <v>-450.5412020996439</v>
      </c>
      <c r="H69" s="44">
        <v>-474.72305895026466</v>
      </c>
      <c r="I69" s="44">
        <v>0</v>
      </c>
    </row>
    <row r="70" spans="1:9" ht="14.25">
      <c r="A70" s="43" t="str">
        <f>HLOOKUP(INDICE!$F$2,Nombres!$C$3:$D$636,39,FALSE)</f>
        <v>  Gastos de administración</v>
      </c>
      <c r="B70" s="44">
        <v>-420.9442802907533</v>
      </c>
      <c r="C70" s="44">
        <v>-431.32362276664577</v>
      </c>
      <c r="D70" s="44">
        <v>-432.3778570234243</v>
      </c>
      <c r="E70" s="45">
        <v>-452.6210675875602</v>
      </c>
      <c r="F70" s="44">
        <v>-436.90660539728054</v>
      </c>
      <c r="G70" s="44">
        <v>-398.0466753513351</v>
      </c>
      <c r="H70" s="44">
        <v>-420.74391308138433</v>
      </c>
      <c r="I70" s="44">
        <v>0</v>
      </c>
    </row>
    <row r="71" spans="1:9" ht="14.25">
      <c r="A71" s="46" t="str">
        <f>HLOOKUP(INDICE!$F$2,Nombres!$C$3:$D$636,40,FALSE)</f>
        <v>  Gastos de personal</v>
      </c>
      <c r="B71" s="44">
        <v>-280.0498493649404</v>
      </c>
      <c r="C71" s="44">
        <v>-276.166753058774</v>
      </c>
      <c r="D71" s="44">
        <v>-280.6011754849164</v>
      </c>
      <c r="E71" s="45">
        <v>-282.837775129522</v>
      </c>
      <c r="F71" s="44">
        <v>-293.04251826102563</v>
      </c>
      <c r="G71" s="44">
        <v>-253.0931552692918</v>
      </c>
      <c r="H71" s="44">
        <v>-274.52403745968263</v>
      </c>
      <c r="I71" s="44">
        <v>0</v>
      </c>
    </row>
    <row r="72" spans="1:9" ht="14.25">
      <c r="A72" s="46" t="str">
        <f>HLOOKUP(INDICE!$F$2,Nombres!$C$3:$D$636,41,FALSE)</f>
        <v>  Otros gastos de administración</v>
      </c>
      <c r="B72" s="44">
        <v>-140.8944309258128</v>
      </c>
      <c r="C72" s="44">
        <v>-155.15686970787166</v>
      </c>
      <c r="D72" s="44">
        <v>-151.7766815385079</v>
      </c>
      <c r="E72" s="45">
        <v>-169.78329245803826</v>
      </c>
      <c r="F72" s="44">
        <v>-143.8640871362549</v>
      </c>
      <c r="G72" s="44">
        <v>-144.95352008204335</v>
      </c>
      <c r="H72" s="44">
        <v>-146.21987562170176</v>
      </c>
      <c r="I72" s="44">
        <v>0</v>
      </c>
    </row>
    <row r="73" spans="1:9" ht="14.25">
      <c r="A73" s="43" t="str">
        <f>HLOOKUP(INDICE!$F$2,Nombres!$C$3:$D$636,42,FALSE)</f>
        <v>  Amortización</v>
      </c>
      <c r="B73" s="44">
        <v>-55.88293736428963</v>
      </c>
      <c r="C73" s="44">
        <v>-54.727446518113354</v>
      </c>
      <c r="D73" s="44">
        <v>-53.93845471580851</v>
      </c>
      <c r="E73" s="45">
        <v>-53.390285631012375</v>
      </c>
      <c r="F73" s="44">
        <v>-51.50725338281099</v>
      </c>
      <c r="G73" s="44">
        <v>-52.49452674830874</v>
      </c>
      <c r="H73" s="44">
        <v>-53.979145868880266</v>
      </c>
      <c r="I73" s="44">
        <v>0</v>
      </c>
    </row>
    <row r="74" spans="1:9" ht="14.25">
      <c r="A74" s="41" t="str">
        <f>HLOOKUP(INDICE!$F$2,Nombres!$C$3:$D$636,43,FALSE)</f>
        <v>Margen neto</v>
      </c>
      <c r="B74" s="41">
        <f>+B68+B69</f>
        <v>333.5421492591812</v>
      </c>
      <c r="C74" s="41">
        <f aca="true" t="shared" si="10" ref="C74:I74">+C68+C69</f>
        <v>323.5982329901962</v>
      </c>
      <c r="D74" s="41">
        <f t="shared" si="10"/>
        <v>327.0268973167904</v>
      </c>
      <c r="E74" s="42">
        <f t="shared" si="10"/>
        <v>264.44019921257217</v>
      </c>
      <c r="F74" s="52">
        <f t="shared" si="10"/>
        <v>308.01455435648205</v>
      </c>
      <c r="G74" s="52">
        <f t="shared" si="10"/>
        <v>325.62292003869527</v>
      </c>
      <c r="H74" s="52">
        <f t="shared" si="10"/>
        <v>326.83942739482256</v>
      </c>
      <c r="I74" s="52">
        <f t="shared" si="10"/>
        <v>0</v>
      </c>
    </row>
    <row r="75" spans="1:9" ht="14.25">
      <c r="A75" s="43" t="str">
        <f>HLOOKUP(INDICE!$F$2,Nombres!$C$3:$D$636,44,FALSE)</f>
        <v>Deterioro de activos financieros no valorados a valor razonable con cambios en resultados</v>
      </c>
      <c r="B75" s="44">
        <v>-163.26545895068472</v>
      </c>
      <c r="C75" s="44">
        <v>-124.34221902270131</v>
      </c>
      <c r="D75" s="44">
        <v>-117.71592152403689</v>
      </c>
      <c r="E75" s="45">
        <v>-141.19275379268365</v>
      </c>
      <c r="F75" s="44">
        <v>-417.24313396117583</v>
      </c>
      <c r="G75" s="44">
        <v>-183.36903744727303</v>
      </c>
      <c r="H75" s="44">
        <v>-247.0112105915511</v>
      </c>
      <c r="I75" s="44">
        <v>0</v>
      </c>
    </row>
    <row r="76" spans="1:9" ht="14.25">
      <c r="A76" s="43" t="str">
        <f>HLOOKUP(INDICE!$F$2,Nombres!$C$3:$D$636,45,FALSE)</f>
        <v>Provisiones o reversión de provisiones y otros resultados</v>
      </c>
      <c r="B76" s="44">
        <v>-9.853355202854557</v>
      </c>
      <c r="C76" s="44">
        <v>3.9508451721221047</v>
      </c>
      <c r="D76" s="44">
        <v>10.235393447260831</v>
      </c>
      <c r="E76" s="45">
        <v>-6.6255266317411</v>
      </c>
      <c r="F76" s="44">
        <v>-1.3414237024560152</v>
      </c>
      <c r="G76" s="44">
        <v>-17.43292250790219</v>
      </c>
      <c r="H76" s="44">
        <v>23.352598210357993</v>
      </c>
      <c r="I76" s="44">
        <v>0</v>
      </c>
    </row>
    <row r="77" spans="1:9" ht="14.25">
      <c r="A77" s="41" t="str">
        <f>HLOOKUP(INDICE!$F$2,Nombres!$C$3:$D$636,46,FALSE)</f>
        <v>Resultado antes de impuestos</v>
      </c>
      <c r="B77" s="41">
        <f>+B74+B75+B76</f>
        <v>160.42333510564194</v>
      </c>
      <c r="C77" s="41">
        <f aca="true" t="shared" si="11" ref="C77:I77">+C74+C75+C76</f>
        <v>203.206859139617</v>
      </c>
      <c r="D77" s="41">
        <f t="shared" si="11"/>
        <v>219.54636924001431</v>
      </c>
      <c r="E77" s="42">
        <f t="shared" si="11"/>
        <v>116.62191878814743</v>
      </c>
      <c r="F77" s="52">
        <f t="shared" si="11"/>
        <v>-110.57000330714979</v>
      </c>
      <c r="G77" s="52">
        <f t="shared" si="11"/>
        <v>124.82096008352005</v>
      </c>
      <c r="H77" s="52">
        <f t="shared" si="11"/>
        <v>103.18081501362946</v>
      </c>
      <c r="I77" s="52">
        <f t="shared" si="11"/>
        <v>0</v>
      </c>
    </row>
    <row r="78" spans="1:9" ht="14.25">
      <c r="A78" s="43" t="str">
        <f>HLOOKUP(INDICE!$F$2,Nombres!$C$3:$D$636,47,FALSE)</f>
        <v>Impuesto sobre beneficios</v>
      </c>
      <c r="B78" s="44">
        <v>-32.43476578728931</v>
      </c>
      <c r="C78" s="44">
        <v>-34.12801608426212</v>
      </c>
      <c r="D78" s="44">
        <v>-42.104267074416285</v>
      </c>
      <c r="E78" s="45">
        <v>-5.578016919607002</v>
      </c>
      <c r="F78" s="44">
        <v>11.597263067652008</v>
      </c>
      <c r="G78" s="44">
        <v>-1.134903518625495</v>
      </c>
      <c r="H78" s="44">
        <v>-12.965614709026518</v>
      </c>
      <c r="I78" s="44">
        <v>0</v>
      </c>
    </row>
    <row r="79" spans="1:9" ht="14.25">
      <c r="A79" s="41" t="str">
        <f>HLOOKUP(INDICE!$F$2,Nombres!$C$3:$D$636,48,FALSE)</f>
        <v>Resultado del ejercicio</v>
      </c>
      <c r="B79" s="41">
        <f>+B77+B78</f>
        <v>127.98856931835263</v>
      </c>
      <c r="C79" s="41">
        <f aca="true" t="shared" si="12" ref="C79:I79">+C77+C78</f>
        <v>169.07884305535487</v>
      </c>
      <c r="D79" s="41">
        <f t="shared" si="12"/>
        <v>177.44210216559804</v>
      </c>
      <c r="E79" s="42">
        <f t="shared" si="12"/>
        <v>111.04390186854042</v>
      </c>
      <c r="F79" s="52">
        <f t="shared" si="12"/>
        <v>-98.97274023949778</v>
      </c>
      <c r="G79" s="52">
        <f t="shared" si="12"/>
        <v>123.68605656489456</v>
      </c>
      <c r="H79" s="52">
        <f t="shared" si="12"/>
        <v>90.21520030460294</v>
      </c>
      <c r="I79" s="52">
        <f t="shared" si="12"/>
        <v>0</v>
      </c>
    </row>
    <row r="80" spans="1:9" ht="14.25">
      <c r="A80" s="43" t="str">
        <f>HLOOKUP(INDICE!$F$2,Nombres!$C$3:$D$636,49,FALSE)</f>
        <v>Minoritarios</v>
      </c>
      <c r="B80" s="44">
        <v>0</v>
      </c>
      <c r="C80" s="44">
        <v>0</v>
      </c>
      <c r="D80" s="44">
        <v>0</v>
      </c>
      <c r="E80" s="45">
        <v>0</v>
      </c>
      <c r="F80" s="44">
        <v>0</v>
      </c>
      <c r="G80" s="44">
        <v>0</v>
      </c>
      <c r="H80" s="44">
        <v>0</v>
      </c>
      <c r="I80" s="44">
        <v>0</v>
      </c>
    </row>
    <row r="81" spans="1:9" ht="14.25">
      <c r="A81" s="47" t="str">
        <f>HLOOKUP(INDICE!$F$2,Nombres!$C$3:$D$636,50,FALSE)</f>
        <v>Resultado atribuido</v>
      </c>
      <c r="B81" s="47">
        <f>+B79+B80</f>
        <v>127.98856931835263</v>
      </c>
      <c r="C81" s="47">
        <f aca="true" t="shared" si="13" ref="C81:I81">+C79+C80</f>
        <v>169.07884305535487</v>
      </c>
      <c r="D81" s="47">
        <f t="shared" si="13"/>
        <v>177.44210216559804</v>
      </c>
      <c r="E81" s="47">
        <f t="shared" si="13"/>
        <v>111.04390186854042</v>
      </c>
      <c r="F81" s="53">
        <f t="shared" si="13"/>
        <v>-98.97274023949778</v>
      </c>
      <c r="G81" s="53">
        <f t="shared" si="13"/>
        <v>123.68605656489456</v>
      </c>
      <c r="H81" s="53">
        <f t="shared" si="13"/>
        <v>90.21520030460294</v>
      </c>
      <c r="I81" s="53">
        <f t="shared" si="13"/>
        <v>0</v>
      </c>
    </row>
    <row r="82" spans="1:9" ht="14.25">
      <c r="A82" s="65"/>
      <c r="B82" s="66">
        <v>0</v>
      </c>
      <c r="C82" s="66">
        <v>0</v>
      </c>
      <c r="D82" s="66">
        <v>0</v>
      </c>
      <c r="E82" s="66">
        <v>0</v>
      </c>
      <c r="F82" s="66">
        <v>-2.2737367544323206E-13</v>
      </c>
      <c r="G82" s="66">
        <v>0</v>
      </c>
      <c r="H82" s="66">
        <v>0</v>
      </c>
      <c r="I82" s="66">
        <v>0</v>
      </c>
    </row>
    <row r="83" spans="1:9" ht="14.25">
      <c r="A83" s="41"/>
      <c r="B83" s="41"/>
      <c r="C83" s="41"/>
      <c r="D83" s="41"/>
      <c r="E83" s="41"/>
      <c r="F83" s="52"/>
      <c r="G83" s="52"/>
      <c r="H83" s="52"/>
      <c r="I83" s="52"/>
    </row>
    <row r="84" spans="1:9" ht="16.5">
      <c r="A84" s="33" t="str">
        <f>HLOOKUP(INDICE!$F$2,Nombres!$C$3:$D$636,51,FALSE)</f>
        <v>Balances</v>
      </c>
      <c r="B84" s="34"/>
      <c r="C84" s="34"/>
      <c r="D84" s="34"/>
      <c r="E84" s="34"/>
      <c r="F84" s="72"/>
      <c r="G84" s="72"/>
      <c r="H84" s="72"/>
      <c r="I84" s="72"/>
    </row>
    <row r="85" spans="1:9" ht="14.25">
      <c r="A85" s="35" t="str">
        <f>HLOOKUP(INDICE!$F$2,Nombres!$C$3:$D$636,73,FALSE)</f>
        <v>(Millones de euros constantes)</v>
      </c>
      <c r="B85" s="30"/>
      <c r="C85" s="54"/>
      <c r="D85" s="54"/>
      <c r="E85" s="54"/>
      <c r="F85" s="73"/>
      <c r="G85" s="44"/>
      <c r="H85" s="44"/>
      <c r="I85" s="44"/>
    </row>
    <row r="86" spans="1:9" ht="14.25">
      <c r="A86" s="30"/>
      <c r="B86" s="55">
        <f aca="true" t="shared" si="14" ref="B86:I86">+B$30</f>
        <v>43555</v>
      </c>
      <c r="C86" s="55">
        <f t="shared" si="14"/>
        <v>43646</v>
      </c>
      <c r="D86" s="55">
        <f t="shared" si="14"/>
        <v>43738</v>
      </c>
      <c r="E86" s="71">
        <f t="shared" si="14"/>
        <v>43830</v>
      </c>
      <c r="F86" s="55">
        <f t="shared" si="14"/>
        <v>43921</v>
      </c>
      <c r="G86" s="55">
        <f t="shared" si="14"/>
        <v>44012</v>
      </c>
      <c r="H86" s="55">
        <f t="shared" si="14"/>
        <v>44104</v>
      </c>
      <c r="I86" s="55">
        <f t="shared" si="14"/>
        <v>44196</v>
      </c>
    </row>
    <row r="87" spans="1:9" ht="14.25">
      <c r="A87" s="43" t="str">
        <f>HLOOKUP(INDICE!$F$2,Nombres!$C$3:$D$636,52,FALSE)</f>
        <v>Efectivo, saldos en efectivo en bancos centrales y otros depósitos a la vista</v>
      </c>
      <c r="B87" s="44">
        <v>6285.1165989332485</v>
      </c>
      <c r="C87" s="44">
        <v>7293.634015630011</v>
      </c>
      <c r="D87" s="44">
        <v>7129.57205246306</v>
      </c>
      <c r="E87" s="45">
        <v>7957.608000968089</v>
      </c>
      <c r="F87" s="44">
        <v>9982.834868352751</v>
      </c>
      <c r="G87" s="44">
        <v>13302.165337557231</v>
      </c>
      <c r="H87" s="44">
        <v>17205.127135</v>
      </c>
      <c r="I87" s="44">
        <v>0</v>
      </c>
    </row>
    <row r="88" spans="1:9" ht="14.25">
      <c r="A88" s="43" t="str">
        <f>HLOOKUP(INDICE!$F$2,Nombres!$C$3:$D$636,53,FALSE)</f>
        <v>Activos financieros a valor razonable</v>
      </c>
      <c r="B88" s="60">
        <v>8952.712550054486</v>
      </c>
      <c r="C88" s="60">
        <v>9994.575286711202</v>
      </c>
      <c r="D88" s="60">
        <v>7761.9858479291415</v>
      </c>
      <c r="E88" s="68">
        <v>7349.187421345659</v>
      </c>
      <c r="F88" s="44">
        <v>7180.8516597366715</v>
      </c>
      <c r="G88" s="44">
        <v>6651.917990991462</v>
      </c>
      <c r="H88" s="44">
        <v>6653.717393999999</v>
      </c>
      <c r="I88" s="44">
        <v>0</v>
      </c>
    </row>
    <row r="89" spans="1:9" ht="14.25">
      <c r="A89" s="43" t="str">
        <f>HLOOKUP(INDICE!$F$2,Nombres!$C$3:$D$636,54,FALSE)</f>
        <v>Activos financieros a coste amortizado</v>
      </c>
      <c r="B89" s="44">
        <v>62977.252057870006</v>
      </c>
      <c r="C89" s="44">
        <v>63022.9599108295</v>
      </c>
      <c r="D89" s="44">
        <v>64492.06217124101</v>
      </c>
      <c r="E89" s="45">
        <v>66695.5725532813</v>
      </c>
      <c r="F89" s="44">
        <v>72179.99233915817</v>
      </c>
      <c r="G89" s="44">
        <v>73454.38676039968</v>
      </c>
      <c r="H89" s="44">
        <v>70434.74976</v>
      </c>
      <c r="I89" s="44">
        <v>0</v>
      </c>
    </row>
    <row r="90" spans="1:9" ht="14.25">
      <c r="A90" s="43" t="str">
        <f>HLOOKUP(INDICE!$F$2,Nombres!$C$3:$D$636,55,FALSE)</f>
        <v>    de los que préstamos y anticipos a la clientela</v>
      </c>
      <c r="B90" s="44">
        <v>58922.35340127273</v>
      </c>
      <c r="C90" s="44">
        <v>58445.51862614573</v>
      </c>
      <c r="D90" s="44">
        <v>58787.99476414713</v>
      </c>
      <c r="E90" s="45">
        <v>60604.61864063849</v>
      </c>
      <c r="F90" s="44">
        <v>65147.4171630932</v>
      </c>
      <c r="G90" s="44">
        <v>65676.62521129522</v>
      </c>
      <c r="H90" s="44">
        <v>61987.264227</v>
      </c>
      <c r="I90" s="44">
        <v>0</v>
      </c>
    </row>
    <row r="91" spans="1:9" ht="14.25">
      <c r="A91" s="43" t="str">
        <f>HLOOKUP(INDICE!$F$2,Nombres!$C$3:$D$636,121,FALSE)</f>
        <v>Posiciones inter-áreas activo</v>
      </c>
      <c r="B91" s="44">
        <v>0</v>
      </c>
      <c r="C91" s="44">
        <v>0</v>
      </c>
      <c r="D91" s="44">
        <v>0</v>
      </c>
      <c r="E91" s="45">
        <v>0</v>
      </c>
      <c r="F91" s="44">
        <v>0</v>
      </c>
      <c r="G91" s="44">
        <v>0</v>
      </c>
      <c r="H91" s="44">
        <v>0</v>
      </c>
      <c r="I91" s="44">
        <v>0</v>
      </c>
    </row>
    <row r="92" spans="1:9" ht="14.25">
      <c r="A92" s="43" t="str">
        <f>HLOOKUP(INDICE!$F$2,Nombres!$C$3:$D$636,56,FALSE)</f>
        <v>Activos tangibles</v>
      </c>
      <c r="B92" s="60">
        <v>913.8658260083453</v>
      </c>
      <c r="C92" s="60">
        <v>899.2344577912136</v>
      </c>
      <c r="D92" s="60">
        <v>884.9049355021735</v>
      </c>
      <c r="E92" s="68">
        <v>877.0840720978841</v>
      </c>
      <c r="F92" s="44">
        <v>873.4723318925159</v>
      </c>
      <c r="G92" s="44">
        <v>867.4255847823414</v>
      </c>
      <c r="H92" s="44">
        <v>857.1987750000001</v>
      </c>
      <c r="I92" s="44">
        <v>0</v>
      </c>
    </row>
    <row r="93" spans="1:9" ht="14.25">
      <c r="A93" s="43" t="str">
        <f>HLOOKUP(INDICE!$F$2,Nombres!$C$3:$D$636,57,FALSE)</f>
        <v>Otros activos</v>
      </c>
      <c r="B93" s="60">
        <f>+B94-B92-B89-B88-B87-B91</f>
        <v>2590.569019506128</v>
      </c>
      <c r="C93" s="60">
        <f aca="true" t="shared" si="15" ref="C93:I93">+C94-C92-C89-C88-C87-C91</f>
        <v>2602.509809451537</v>
      </c>
      <c r="D93" s="60">
        <f t="shared" si="15"/>
        <v>2254.953138044848</v>
      </c>
      <c r="E93" s="68">
        <f t="shared" si="15"/>
        <v>2065.444651191213</v>
      </c>
      <c r="F93" s="44">
        <f t="shared" si="15"/>
        <v>2496.456641884568</v>
      </c>
      <c r="G93" s="44">
        <f t="shared" si="15"/>
        <v>2436.9495349512817</v>
      </c>
      <c r="H93" s="44">
        <f t="shared" si="15"/>
        <v>2581.0813719999824</v>
      </c>
      <c r="I93" s="44">
        <f t="shared" si="15"/>
        <v>0</v>
      </c>
    </row>
    <row r="94" spans="1:9" ht="14.25">
      <c r="A94" s="47" t="str">
        <f>HLOOKUP(INDICE!$F$2,Nombres!$C$3:$D$636,58,FALSE)</f>
        <v>Total activo / pasivo</v>
      </c>
      <c r="B94" s="47">
        <v>81719.51605237222</v>
      </c>
      <c r="C94" s="47">
        <v>83812.91348041347</v>
      </c>
      <c r="D94" s="47">
        <v>82523.47814518023</v>
      </c>
      <c r="E94" s="74">
        <v>84944.89669888414</v>
      </c>
      <c r="F94" s="47">
        <v>92713.60784102467</v>
      </c>
      <c r="G94" s="53">
        <v>96712.84520868199</v>
      </c>
      <c r="H94" s="53">
        <v>97731.87443599998</v>
      </c>
      <c r="I94" s="53">
        <v>0</v>
      </c>
    </row>
    <row r="95" spans="1:9" ht="14.25">
      <c r="A95" s="43" t="str">
        <f>HLOOKUP(INDICE!$F$2,Nombres!$C$3:$D$636,59,FALSE)</f>
        <v>Pasivos financieros mantenidos para negociar y designados a valor razonable con cambios en resultados</v>
      </c>
      <c r="B95" s="60">
        <v>292.31701168804466</v>
      </c>
      <c r="C95" s="60">
        <v>1433.7807340911556</v>
      </c>
      <c r="D95" s="60">
        <v>231.3475377519298</v>
      </c>
      <c r="E95" s="68">
        <v>270.31585478789066</v>
      </c>
      <c r="F95" s="44">
        <v>592.799510114543</v>
      </c>
      <c r="G95" s="44">
        <v>438.74338246590486</v>
      </c>
      <c r="H95" s="44">
        <v>336.46099999999996</v>
      </c>
      <c r="I95" s="44">
        <v>0</v>
      </c>
    </row>
    <row r="96" spans="1:9" ht="14.25">
      <c r="A96" s="43" t="str">
        <f>HLOOKUP(INDICE!$F$2,Nombres!$C$3:$D$636,60,FALSE)</f>
        <v>Depósitos de bancos centrales y entidades de crédito</v>
      </c>
      <c r="B96" s="60">
        <v>4519.604637956596</v>
      </c>
      <c r="C96" s="60">
        <v>4440.365317165313</v>
      </c>
      <c r="D96" s="60">
        <v>3766.103623452981</v>
      </c>
      <c r="E96" s="68">
        <v>3916.139028995019</v>
      </c>
      <c r="F96" s="44">
        <v>4122.402562309618</v>
      </c>
      <c r="G96" s="44">
        <v>5957.384612020147</v>
      </c>
      <c r="H96" s="44">
        <v>5914.308754</v>
      </c>
      <c r="I96" s="44">
        <v>0</v>
      </c>
    </row>
    <row r="97" spans="1:9" ht="14.25">
      <c r="A97" s="43" t="str">
        <f>HLOOKUP(INDICE!$F$2,Nombres!$C$3:$D$636,61,FALSE)</f>
        <v>Depósitos de la clientela</v>
      </c>
      <c r="B97" s="60">
        <v>62532.79584077948</v>
      </c>
      <c r="C97" s="60">
        <v>61353.707525414065</v>
      </c>
      <c r="D97" s="60">
        <v>62662.84773738743</v>
      </c>
      <c r="E97" s="68">
        <v>64791.578252324536</v>
      </c>
      <c r="F97" s="44">
        <v>66361.91070188278</v>
      </c>
      <c r="G97" s="44">
        <v>72353.51979898517</v>
      </c>
      <c r="H97" s="44">
        <v>73296.779043</v>
      </c>
      <c r="I97" s="44">
        <v>0</v>
      </c>
    </row>
    <row r="98" spans="1:9" ht="14.25">
      <c r="A98" s="43" t="str">
        <f>HLOOKUP(INDICE!$F$2,Nombres!$C$3:$D$636,62,FALSE)</f>
        <v>Valores representativos de deuda emitidos</v>
      </c>
      <c r="B98" s="44">
        <v>3228.1328338979533</v>
      </c>
      <c r="C98" s="44">
        <v>3287.4512513225895</v>
      </c>
      <c r="D98" s="44">
        <v>3450.7942268707707</v>
      </c>
      <c r="E98" s="45">
        <v>3406.7691663512974</v>
      </c>
      <c r="F98" s="44">
        <v>3236.23451038002</v>
      </c>
      <c r="G98" s="44">
        <v>3038.358704355863</v>
      </c>
      <c r="H98" s="44">
        <v>3095.7653054400002</v>
      </c>
      <c r="I98" s="44">
        <v>0</v>
      </c>
    </row>
    <row r="99" spans="1:9" ht="14.25">
      <c r="A99" s="43" t="str">
        <f>HLOOKUP(INDICE!$F$2,Nombres!$C$3:$D$636,122,FALSE)</f>
        <v>Posiciones inter-áreas pasivo</v>
      </c>
      <c r="B99" s="44">
        <v>1666.390737568654</v>
      </c>
      <c r="C99" s="44">
        <v>3651.960623173931</v>
      </c>
      <c r="D99" s="44">
        <v>2812.2784899123653</v>
      </c>
      <c r="E99" s="45">
        <v>3277.696569180276</v>
      </c>
      <c r="F99" s="44">
        <v>8796.260654526239</v>
      </c>
      <c r="G99" s="44">
        <v>4768.1811308080505</v>
      </c>
      <c r="H99" s="44">
        <v>4908.970243429998</v>
      </c>
      <c r="I99" s="44">
        <v>0</v>
      </c>
    </row>
    <row r="100" spans="1:9" ht="14.25">
      <c r="A100" s="43" t="str">
        <f>HLOOKUP(INDICE!$F$2,Nombres!$C$3:$D$636,63,FALSE)</f>
        <v>Otros pasivos</v>
      </c>
      <c r="B100" s="44">
        <f>+B94-B95-B96-B97-B98-B101-B99</f>
        <v>5947.421525296703</v>
      </c>
      <c r="C100" s="44">
        <f aca="true" t="shared" si="16" ref="C100:I100">+C94-C95-C96-C97-C98-C101-C99</f>
        <v>6057.30387292611</v>
      </c>
      <c r="D100" s="44">
        <f t="shared" si="16"/>
        <v>6188.778608919303</v>
      </c>
      <c r="E100" s="45">
        <f t="shared" si="16"/>
        <v>5594.729673419031</v>
      </c>
      <c r="F100" s="44">
        <f t="shared" si="16"/>
        <v>5986.031136177149</v>
      </c>
      <c r="G100" s="44">
        <f t="shared" si="16"/>
        <v>6411.113305836912</v>
      </c>
      <c r="H100" s="44">
        <f t="shared" si="16"/>
        <v>6535.387064149989</v>
      </c>
      <c r="I100" s="44">
        <f t="shared" si="16"/>
        <v>0</v>
      </c>
    </row>
    <row r="101" spans="1:9" ht="14.25">
      <c r="A101" s="43" t="str">
        <f>HLOOKUP(INDICE!$F$2,Nombres!$C$3:$D$636,64,FALSE)</f>
        <v>Dotación de capital económico</v>
      </c>
      <c r="B101" s="44">
        <v>3532.8534651847795</v>
      </c>
      <c r="C101" s="44">
        <v>3588.3441563203055</v>
      </c>
      <c r="D101" s="44">
        <v>3411.32792088545</v>
      </c>
      <c r="E101" s="45">
        <v>3687.6681538260946</v>
      </c>
      <c r="F101" s="44">
        <v>3617.968765634312</v>
      </c>
      <c r="G101" s="44">
        <v>3745.5442742099317</v>
      </c>
      <c r="H101" s="44">
        <v>3644.2030259800003</v>
      </c>
      <c r="I101" s="44">
        <v>0</v>
      </c>
    </row>
    <row r="102" spans="1:9" ht="14.25">
      <c r="A102" s="65"/>
      <c r="B102" s="60"/>
      <c r="C102" s="60"/>
      <c r="D102" s="60"/>
      <c r="E102" s="60"/>
      <c r="F102" s="44"/>
      <c r="G102" s="44"/>
      <c r="H102" s="44"/>
      <c r="I102" s="44"/>
    </row>
    <row r="103" spans="1:9" ht="14.25">
      <c r="A103" s="43"/>
      <c r="B103" s="60"/>
      <c r="C103" s="60"/>
      <c r="D103" s="60"/>
      <c r="E103" s="60"/>
      <c r="F103" s="44"/>
      <c r="G103" s="44"/>
      <c r="H103" s="44"/>
      <c r="I103" s="44"/>
    </row>
    <row r="104" spans="1:9" ht="16.5">
      <c r="A104" s="69" t="str">
        <f>HLOOKUP(INDICE!$F$2,Nombres!$C$3:$D$636,65,FALSE)</f>
        <v>Indicadores relevantes y de gestión</v>
      </c>
      <c r="B104" s="70"/>
      <c r="C104" s="70"/>
      <c r="D104" s="70"/>
      <c r="E104" s="70"/>
      <c r="F104" s="75"/>
      <c r="G104" s="75"/>
      <c r="H104" s="75"/>
      <c r="I104" s="75"/>
    </row>
    <row r="105" spans="1:9" ht="14.25">
      <c r="A105" s="35" t="str">
        <f>HLOOKUP(INDICE!$F$2,Nombres!$C$3:$D$636,73,FALSE)</f>
        <v>(Millones de euros constantes)</v>
      </c>
      <c r="B105" s="30"/>
      <c r="C105" s="30"/>
      <c r="D105" s="30"/>
      <c r="E105" s="30"/>
      <c r="F105" s="73"/>
      <c r="G105" s="73"/>
      <c r="H105" s="73"/>
      <c r="I105" s="73"/>
    </row>
    <row r="106" spans="1:9" ht="14.25">
      <c r="A106" s="30"/>
      <c r="B106" s="55">
        <f aca="true" t="shared" si="17" ref="B106:I106">+B$30</f>
        <v>43555</v>
      </c>
      <c r="C106" s="55">
        <f t="shared" si="17"/>
        <v>43646</v>
      </c>
      <c r="D106" s="55">
        <f t="shared" si="17"/>
        <v>43738</v>
      </c>
      <c r="E106" s="71">
        <f t="shared" si="17"/>
        <v>43830</v>
      </c>
      <c r="F106" s="55">
        <f t="shared" si="17"/>
        <v>43921</v>
      </c>
      <c r="G106" s="55">
        <f t="shared" si="17"/>
        <v>44012</v>
      </c>
      <c r="H106" s="55">
        <f t="shared" si="17"/>
        <v>44104</v>
      </c>
      <c r="I106" s="55">
        <f t="shared" si="17"/>
        <v>44196</v>
      </c>
    </row>
    <row r="107" spans="1:9" ht="14.25">
      <c r="A107" s="43" t="str">
        <f>HLOOKUP(INDICE!$F$2,Nombres!$C$3:$D$636,66,FALSE)</f>
        <v>Préstamos y anticipos a la clientela bruto (*)</v>
      </c>
      <c r="B107" s="44">
        <v>59961.273102849766</v>
      </c>
      <c r="C107" s="44">
        <v>59439.982634640204</v>
      </c>
      <c r="D107" s="44">
        <v>59603.716333267825</v>
      </c>
      <c r="E107" s="45">
        <v>61329.523414804724</v>
      </c>
      <c r="F107" s="44">
        <v>66257.07599929534</v>
      </c>
      <c r="G107" s="44">
        <v>66930.05300640408</v>
      </c>
      <c r="H107" s="44">
        <v>63706.13992960999</v>
      </c>
      <c r="I107" s="44">
        <v>0</v>
      </c>
    </row>
    <row r="108" spans="1:9" ht="14.25">
      <c r="A108" s="43" t="str">
        <f>HLOOKUP(INDICE!$F$2,Nombres!$C$3:$D$636,67,FALSE)</f>
        <v>Depósitos de clientes en gestión (**)</v>
      </c>
      <c r="B108" s="44">
        <v>62530.58283245047</v>
      </c>
      <c r="C108" s="44">
        <v>61351.449036782724</v>
      </c>
      <c r="D108" s="44">
        <v>62660.64001775802</v>
      </c>
      <c r="E108" s="45">
        <v>64794.48321971305</v>
      </c>
      <c r="F108" s="44">
        <v>66359.67926590728</v>
      </c>
      <c r="G108" s="44">
        <v>72356.11672024053</v>
      </c>
      <c r="H108" s="44">
        <v>73299.91263127</v>
      </c>
      <c r="I108" s="44">
        <v>0</v>
      </c>
    </row>
    <row r="109" spans="1:9" ht="14.25">
      <c r="A109" s="43" t="str">
        <f>HLOOKUP(INDICE!$F$2,Nombres!$C$3:$D$636,68,FALSE)</f>
        <v>Fondos de inversión</v>
      </c>
      <c r="B109" s="44">
        <v>0</v>
      </c>
      <c r="C109" s="44">
        <v>0</v>
      </c>
      <c r="D109" s="44">
        <v>0</v>
      </c>
      <c r="E109" s="45">
        <v>0</v>
      </c>
      <c r="F109" s="44">
        <v>0</v>
      </c>
      <c r="G109" s="44">
        <v>0</v>
      </c>
      <c r="H109" s="44">
        <v>0</v>
      </c>
      <c r="I109" s="44">
        <v>0</v>
      </c>
    </row>
    <row r="110" spans="1:9" ht="14.25">
      <c r="A110" s="43" t="str">
        <f>HLOOKUP(INDICE!$F$2,Nombres!$C$3:$D$636,69,FALSE)</f>
        <v>Fondos de pensiones</v>
      </c>
      <c r="B110" s="44">
        <v>0</v>
      </c>
      <c r="C110" s="44">
        <v>0</v>
      </c>
      <c r="D110" s="44">
        <v>0</v>
      </c>
      <c r="E110" s="45">
        <v>0</v>
      </c>
      <c r="F110" s="44">
        <v>0</v>
      </c>
      <c r="G110" s="44">
        <v>0</v>
      </c>
      <c r="H110" s="44">
        <v>0</v>
      </c>
      <c r="I110" s="44">
        <v>0</v>
      </c>
    </row>
    <row r="111" spans="1:9" ht="14.25">
      <c r="A111" s="43" t="str">
        <f>HLOOKUP(INDICE!$F$2,Nombres!$C$3:$D$636,70,FALSE)</f>
        <v>Otros recursos fuera de balance</v>
      </c>
      <c r="B111" s="44">
        <v>0</v>
      </c>
      <c r="C111" s="44">
        <v>0</v>
      </c>
      <c r="D111" s="44">
        <v>0</v>
      </c>
      <c r="E111" s="45">
        <v>0</v>
      </c>
      <c r="F111" s="44">
        <v>0</v>
      </c>
      <c r="G111" s="44">
        <v>0</v>
      </c>
      <c r="H111" s="44">
        <v>0</v>
      </c>
      <c r="I111" s="44">
        <v>0</v>
      </c>
    </row>
    <row r="112" spans="1:9" ht="14.25">
      <c r="A112" s="65" t="str">
        <f>HLOOKUP(INDICE!$F$2,Nombres!$C$3:$D$636,71,FALSE)</f>
        <v>(*) No incluye las adquisiciones temporales de activos.</v>
      </c>
      <c r="B112" s="60"/>
      <c r="C112" s="60"/>
      <c r="D112" s="60"/>
      <c r="E112" s="60"/>
      <c r="F112" s="60"/>
      <c r="G112" s="60"/>
      <c r="H112" s="60"/>
      <c r="I112" s="60"/>
    </row>
    <row r="113" spans="1:9" ht="14.25">
      <c r="A113" s="65" t="str">
        <f>HLOOKUP(INDICE!$F$2,Nombres!$C$3:$D$636,72,FALSE)</f>
        <v>(**) No incluye las cesiones temporales de activos.</v>
      </c>
      <c r="B113" s="30"/>
      <c r="C113" s="30"/>
      <c r="D113" s="30"/>
      <c r="E113" s="30"/>
      <c r="F113" s="30"/>
      <c r="G113" s="30"/>
      <c r="H113" s="30"/>
      <c r="I113" s="30"/>
    </row>
    <row r="114" spans="1:9" ht="14.25">
      <c r="A114" s="65"/>
      <c r="B114" s="60"/>
      <c r="C114" s="44"/>
      <c r="D114" s="44"/>
      <c r="E114" s="44"/>
      <c r="F114" s="44"/>
      <c r="G114" s="30"/>
      <c r="H114" s="30"/>
      <c r="I114" s="30"/>
    </row>
    <row r="115" spans="1:9" ht="16.5">
      <c r="A115" s="33" t="str">
        <f>HLOOKUP(INDICE!$F$2,Nombres!$C$3:$D$636,31,FALSE)</f>
        <v>Cuenta de resultados  </v>
      </c>
      <c r="B115" s="34"/>
      <c r="C115" s="34"/>
      <c r="D115" s="34"/>
      <c r="E115" s="34"/>
      <c r="F115" s="34"/>
      <c r="G115" s="34"/>
      <c r="H115" s="34"/>
      <c r="I115" s="34"/>
    </row>
    <row r="116" spans="1:9" ht="14.25">
      <c r="A116" s="35" t="str">
        <f>HLOOKUP(INDICE!$F$2,Nombres!$C$3:$D$636,76,FALSE)</f>
        <v>(Millones de dolares)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5">
        <f>+B$6</f>
        <v>2019</v>
      </c>
      <c r="C118" s="305"/>
      <c r="D118" s="305"/>
      <c r="E118" s="306"/>
      <c r="F118" s="305">
        <f>+F$6</f>
        <v>2020</v>
      </c>
      <c r="G118" s="305"/>
      <c r="H118" s="305"/>
      <c r="I118" s="305"/>
    </row>
    <row r="119" spans="1:9" ht="14.2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4.25">
      <c r="A120" s="41" t="str">
        <f>HLOOKUP(INDICE!$F$2,Nombres!$C$3:$D$636,33,FALSE)</f>
        <v>Margen de intereses</v>
      </c>
      <c r="B120" s="41">
        <v>698.5621088006118</v>
      </c>
      <c r="C120" s="41">
        <v>677.1062460525991</v>
      </c>
      <c r="D120" s="41">
        <v>659.6411270985092</v>
      </c>
      <c r="E120" s="42">
        <v>645.816630116511</v>
      </c>
      <c r="F120" s="52">
        <v>605.3329139998694</v>
      </c>
      <c r="G120" s="52">
        <v>643.9669717047535</v>
      </c>
      <c r="H120" s="52">
        <v>674.6142953231642</v>
      </c>
      <c r="I120" s="52">
        <v>0</v>
      </c>
    </row>
    <row r="121" spans="1:9" ht="14.25">
      <c r="A121" s="43" t="str">
        <f>HLOOKUP(INDICE!$F$2,Nombres!$C$3:$D$636,34,FALSE)</f>
        <v>Comisiones netas</v>
      </c>
      <c r="B121" s="44">
        <v>171.20044075355435</v>
      </c>
      <c r="C121" s="44">
        <v>189.86627922985116</v>
      </c>
      <c r="D121" s="44">
        <v>187.4896040982094</v>
      </c>
      <c r="E121" s="45">
        <v>172.6362201972252</v>
      </c>
      <c r="F121" s="44">
        <v>194.33646505839184</v>
      </c>
      <c r="G121" s="44">
        <v>176.30023201610248</v>
      </c>
      <c r="H121" s="44">
        <v>196.33828461141212</v>
      </c>
      <c r="I121" s="44">
        <v>0</v>
      </c>
    </row>
    <row r="122" spans="1:9" ht="14.25">
      <c r="A122" s="43" t="str">
        <f>HLOOKUP(INDICE!$F$2,Nombres!$C$3:$D$636,35,FALSE)</f>
        <v>Resultados de operaciones financieras</v>
      </c>
      <c r="B122" s="44">
        <v>46.02330335551526</v>
      </c>
      <c r="C122" s="44">
        <v>43.57133863375543</v>
      </c>
      <c r="D122" s="44">
        <v>65.12288404768587</v>
      </c>
      <c r="E122" s="45">
        <v>38.60549285227297</v>
      </c>
      <c r="F122" s="44">
        <v>102.20440772707458</v>
      </c>
      <c r="G122" s="44">
        <v>61.56258581655184</v>
      </c>
      <c r="H122" s="44">
        <v>35.22939658421047</v>
      </c>
      <c r="I122" s="44">
        <v>0</v>
      </c>
    </row>
    <row r="123" spans="1:9" ht="14.25">
      <c r="A123" s="43" t="str">
        <f>HLOOKUP(INDICE!$F$2,Nombres!$C$3:$D$636,36,FALSE)</f>
        <v>Otros ingresos y cargas de explotación</v>
      </c>
      <c r="B123" s="44">
        <v>-3.123401333500685</v>
      </c>
      <c r="C123" s="44">
        <v>1.5752450475023894</v>
      </c>
      <c r="D123" s="44">
        <v>3.769836052500933</v>
      </c>
      <c r="E123" s="45">
        <v>11.044526365902257</v>
      </c>
      <c r="F123" s="44">
        <v>-4.57188085360257</v>
      </c>
      <c r="G123" s="44">
        <v>-6.601116263204909</v>
      </c>
      <c r="H123" s="44">
        <v>-2.8942071151829722</v>
      </c>
      <c r="I123" s="44">
        <v>0</v>
      </c>
    </row>
    <row r="124" spans="1:9" ht="14.25">
      <c r="A124" s="41" t="str">
        <f>HLOOKUP(INDICE!$F$2,Nombres!$C$3:$D$636,37,FALSE)</f>
        <v>Margen bruto</v>
      </c>
      <c r="B124" s="41">
        <f>+SUM(B120:B123)</f>
        <v>912.6624515761806</v>
      </c>
      <c r="C124" s="41">
        <f aca="true" t="shared" si="19" ref="C124:I124">+SUM(C120:C123)</f>
        <v>912.1191089637081</v>
      </c>
      <c r="D124" s="41">
        <f t="shared" si="19"/>
        <v>916.0234512969054</v>
      </c>
      <c r="E124" s="42">
        <f t="shared" si="19"/>
        <v>868.1028695319114</v>
      </c>
      <c r="F124" s="52">
        <f t="shared" si="19"/>
        <v>897.3019059317332</v>
      </c>
      <c r="G124" s="52">
        <f t="shared" si="19"/>
        <v>875.2286732742031</v>
      </c>
      <c r="H124" s="52">
        <f t="shared" si="19"/>
        <v>903.2877694036038</v>
      </c>
      <c r="I124" s="52">
        <f t="shared" si="19"/>
        <v>0</v>
      </c>
    </row>
    <row r="125" spans="1:9" ht="14.25">
      <c r="A125" s="43" t="str">
        <f>HLOOKUP(INDICE!$F$2,Nombres!$C$3:$D$636,38,FALSE)</f>
        <v>Gastos de explotación</v>
      </c>
      <c r="B125" s="44">
        <v>-536.8420195427047</v>
      </c>
      <c r="C125" s="44">
        <v>-547.272430011991</v>
      </c>
      <c r="D125" s="44">
        <v>-547.6724111350449</v>
      </c>
      <c r="E125" s="45">
        <v>-569.752478016005</v>
      </c>
      <c r="F125" s="44">
        <v>-549.9342017307362</v>
      </c>
      <c r="G125" s="44">
        <v>-507.22006812243956</v>
      </c>
      <c r="H125" s="44">
        <v>-534.5590189690029</v>
      </c>
      <c r="I125" s="44">
        <v>0</v>
      </c>
    </row>
    <row r="126" spans="1:9" ht="14.25">
      <c r="A126" s="43" t="str">
        <f>HLOOKUP(INDICE!$F$2,Nombres!$C$3:$D$636,39,FALSE)</f>
        <v>  Gastos de administración</v>
      </c>
      <c r="B126" s="44">
        <v>-473.9476699232031</v>
      </c>
      <c r="C126" s="44">
        <v>-485.68174718951394</v>
      </c>
      <c r="D126" s="44">
        <v>-486.96432609931776</v>
      </c>
      <c r="E126" s="45">
        <v>-509.6755517613995</v>
      </c>
      <c r="F126" s="44">
        <v>-491.98436579070903</v>
      </c>
      <c r="G126" s="44">
        <v>-448.1596052640185</v>
      </c>
      <c r="H126" s="44">
        <v>-473.8271200867116</v>
      </c>
      <c r="I126" s="44">
        <v>0</v>
      </c>
    </row>
    <row r="127" spans="1:9" ht="14.25">
      <c r="A127" s="46" t="str">
        <f>HLOOKUP(INDICE!$F$2,Nombres!$C$3:$D$636,40,FALSE)</f>
        <v>  Gastos de personal</v>
      </c>
      <c r="B127" s="44">
        <v>-315.32813011452413</v>
      </c>
      <c r="C127" s="44">
        <v>-310.9738946897887</v>
      </c>
      <c r="D127" s="44">
        <v>-316.0095142617598</v>
      </c>
      <c r="E127" s="45">
        <v>-318.4781588000112</v>
      </c>
      <c r="F127" s="44">
        <v>-329.9545677668658</v>
      </c>
      <c r="G127" s="44">
        <v>-284.90861577852615</v>
      </c>
      <c r="H127" s="44">
        <v>-309.0903258558549</v>
      </c>
      <c r="I127" s="44">
        <v>0</v>
      </c>
    </row>
    <row r="128" spans="1:9" ht="14.25">
      <c r="A128" s="46" t="str">
        <f>HLOOKUP(INDICE!$F$2,Nombres!$C$3:$D$636,41,FALSE)</f>
        <v>  Otros gastos de administración</v>
      </c>
      <c r="B128" s="44">
        <v>-158.619539808679</v>
      </c>
      <c r="C128" s="44">
        <v>-174.70785249972528</v>
      </c>
      <c r="D128" s="44">
        <v>-170.95481183755788</v>
      </c>
      <c r="E128" s="45">
        <v>-191.19739296138823</v>
      </c>
      <c r="F128" s="44">
        <v>-162.02979802384317</v>
      </c>
      <c r="G128" s="44">
        <v>-163.25098948549248</v>
      </c>
      <c r="H128" s="44">
        <v>-164.73679423085667</v>
      </c>
      <c r="I128" s="44">
        <v>0</v>
      </c>
    </row>
    <row r="129" spans="1:9" ht="14.25">
      <c r="A129" s="43" t="str">
        <f>HLOOKUP(INDICE!$F$2,Nombres!$C$3:$D$636,42,FALSE)</f>
        <v>  Amortización</v>
      </c>
      <c r="B129" s="44">
        <v>-62.894349619501526</v>
      </c>
      <c r="C129" s="44">
        <v>-61.59068282247713</v>
      </c>
      <c r="D129" s="44">
        <v>-60.70808503572707</v>
      </c>
      <c r="E129" s="45">
        <v>-60.07692625460568</v>
      </c>
      <c r="F129" s="44">
        <v>-57.94983594002709</v>
      </c>
      <c r="G129" s="44">
        <v>-59.06046285842098</v>
      </c>
      <c r="H129" s="44">
        <v>-60.73189888229127</v>
      </c>
      <c r="I129" s="44">
        <v>0</v>
      </c>
    </row>
    <row r="130" spans="1:9" ht="14.25">
      <c r="A130" s="41" t="str">
        <f>HLOOKUP(INDICE!$F$2,Nombres!$C$3:$D$636,43,FALSE)</f>
        <v>Margen neto</v>
      </c>
      <c r="B130" s="41">
        <f>+B124+B125</f>
        <v>375.82043203347587</v>
      </c>
      <c r="C130" s="41">
        <f aca="true" t="shared" si="20" ref="C130:I130">+C124+C125</f>
        <v>364.8466789517171</v>
      </c>
      <c r="D130" s="41">
        <f t="shared" si="20"/>
        <v>368.3510401618605</v>
      </c>
      <c r="E130" s="42">
        <f t="shared" si="20"/>
        <v>298.3503915159064</v>
      </c>
      <c r="F130" s="52">
        <f t="shared" si="20"/>
        <v>347.3677042009971</v>
      </c>
      <c r="G130" s="52">
        <f t="shared" si="20"/>
        <v>368.0086051517635</v>
      </c>
      <c r="H130" s="52">
        <f t="shared" si="20"/>
        <v>368.7287504346009</v>
      </c>
      <c r="I130" s="52">
        <f t="shared" si="20"/>
        <v>0</v>
      </c>
    </row>
    <row r="131" spans="1:9" ht="14.25">
      <c r="A131" s="43" t="str">
        <f>HLOOKUP(INDICE!$F$2,Nombres!$C$3:$D$636,44,FALSE)</f>
        <v>Deterioro de activos financieros no valorados a valor razonable con cambios en resultados</v>
      </c>
      <c r="B131" s="44">
        <v>-183.47354177250625</v>
      </c>
      <c r="C131" s="44">
        <v>-139.94482350143622</v>
      </c>
      <c r="D131" s="44">
        <v>-132.4342393612211</v>
      </c>
      <c r="E131" s="45">
        <v>-160.08863055591434</v>
      </c>
      <c r="F131" s="44">
        <v>-469.913395733018</v>
      </c>
      <c r="G131" s="44">
        <v>-207.32426643404222</v>
      </c>
      <c r="H131" s="44">
        <v>-278.4184645182401</v>
      </c>
      <c r="I131" s="44">
        <v>0</v>
      </c>
    </row>
    <row r="132" spans="1:9" ht="14.25">
      <c r="A132" s="43" t="str">
        <f>HLOOKUP(INDICE!$F$2,Nombres!$C$3:$D$636,45,FALSE)</f>
        <v>Provisiones o reversión de provisiones y otros resultados</v>
      </c>
      <c r="B132" s="44">
        <v>-11.103797012000177</v>
      </c>
      <c r="C132" s="44">
        <v>4.625766374002563</v>
      </c>
      <c r="D132" s="44">
        <v>11.652846045999073</v>
      </c>
      <c r="E132" s="45">
        <v>-7.737650053802638</v>
      </c>
      <c r="F132" s="44">
        <v>-1.0095678512022768</v>
      </c>
      <c r="G132" s="44">
        <v>-20.033102090807198</v>
      </c>
      <c r="H132" s="44">
        <v>26.056364263606095</v>
      </c>
      <c r="I132" s="44">
        <v>0</v>
      </c>
    </row>
    <row r="133" spans="1:9" ht="14.25">
      <c r="A133" s="41" t="str">
        <f>HLOOKUP(INDICE!$F$2,Nombres!$C$3:$D$636,46,FALSE)</f>
        <v>Resultado antes de impuestos</v>
      </c>
      <c r="B133" s="41">
        <f>+B130+B131+B132</f>
        <v>181.24309324896944</v>
      </c>
      <c r="C133" s="41">
        <f aca="true" t="shared" si="21" ref="C133:I133">+C130+C131+C132</f>
        <v>229.52762182428341</v>
      </c>
      <c r="D133" s="41">
        <f t="shared" si="21"/>
        <v>247.56964684663848</v>
      </c>
      <c r="E133" s="42">
        <f t="shared" si="21"/>
        <v>130.5241109061894</v>
      </c>
      <c r="F133" s="52">
        <f t="shared" si="21"/>
        <v>-123.55525938322317</v>
      </c>
      <c r="G133" s="52">
        <f t="shared" si="21"/>
        <v>140.65123662691408</v>
      </c>
      <c r="H133" s="52">
        <f t="shared" si="21"/>
        <v>116.36665017996688</v>
      </c>
      <c r="I133" s="52">
        <f t="shared" si="21"/>
        <v>0</v>
      </c>
    </row>
    <row r="134" spans="1:9" ht="14.25">
      <c r="A134" s="43" t="str">
        <f>HLOOKUP(INDICE!$F$2,Nombres!$C$3:$D$636,47,FALSE)</f>
        <v>Impuesto sobre beneficios</v>
      </c>
      <c r="B134" s="44">
        <v>-36.6679956061966</v>
      </c>
      <c r="C134" s="44">
        <v>-38.658883323489185</v>
      </c>
      <c r="D134" s="44">
        <v>-47.57738497072388</v>
      </c>
      <c r="E134" s="45">
        <v>-5.8280775444640245</v>
      </c>
      <c r="F134" s="44">
        <v>12.866550158519871</v>
      </c>
      <c r="G134" s="44">
        <v>-1.37253541020742</v>
      </c>
      <c r="H134" s="44">
        <v>-14.631282502906778</v>
      </c>
      <c r="I134" s="44">
        <v>0</v>
      </c>
    </row>
    <row r="135" spans="1:9" ht="14.25">
      <c r="A135" s="41" t="str">
        <f>HLOOKUP(INDICE!$F$2,Nombres!$C$3:$D$636,48,FALSE)</f>
        <v>Resultado del ejercicio</v>
      </c>
      <c r="B135" s="41">
        <f>+B133+B134</f>
        <v>144.57509764277285</v>
      </c>
      <c r="C135" s="41">
        <f aca="true" t="shared" si="22" ref="C135:I135">+C133+C134</f>
        <v>190.86873850079422</v>
      </c>
      <c r="D135" s="41">
        <f t="shared" si="22"/>
        <v>199.9922618759146</v>
      </c>
      <c r="E135" s="42">
        <f t="shared" si="22"/>
        <v>124.69603336172538</v>
      </c>
      <c r="F135" s="52">
        <f t="shared" si="22"/>
        <v>-110.6887092247033</v>
      </c>
      <c r="G135" s="52">
        <f t="shared" si="22"/>
        <v>139.27870121670665</v>
      </c>
      <c r="H135" s="52">
        <f t="shared" si="22"/>
        <v>101.73536767706011</v>
      </c>
      <c r="I135" s="52">
        <f t="shared" si="22"/>
        <v>0</v>
      </c>
    </row>
    <row r="136" spans="1:9" ht="14.25">
      <c r="A136" s="43" t="str">
        <f>HLOOKUP(INDICE!$F$2,Nombres!$C$3:$D$636,49,FALSE)</f>
        <v>Minoritarios</v>
      </c>
      <c r="B136" s="44">
        <v>0</v>
      </c>
      <c r="C136" s="44">
        <v>0</v>
      </c>
      <c r="D136" s="44">
        <v>0</v>
      </c>
      <c r="E136" s="45">
        <v>0</v>
      </c>
      <c r="F136" s="44">
        <v>0</v>
      </c>
      <c r="G136" s="44">
        <v>0</v>
      </c>
      <c r="H136" s="44">
        <v>0</v>
      </c>
      <c r="I136" s="44">
        <v>0</v>
      </c>
    </row>
    <row r="137" spans="1:9" ht="14.25">
      <c r="A137" s="47" t="str">
        <f>HLOOKUP(INDICE!$F$2,Nombres!$C$3:$D$636,50,FALSE)</f>
        <v>Resultado atribuido</v>
      </c>
      <c r="B137" s="47">
        <f>+B135+B136</f>
        <v>144.57509764277285</v>
      </c>
      <c r="C137" s="47">
        <f aca="true" t="shared" si="23" ref="C137:I137">+C135+C136</f>
        <v>190.86873850079422</v>
      </c>
      <c r="D137" s="47">
        <f t="shared" si="23"/>
        <v>199.9922618759146</v>
      </c>
      <c r="E137" s="74">
        <f t="shared" si="23"/>
        <v>124.69603336172538</v>
      </c>
      <c r="F137" s="53">
        <f t="shared" si="23"/>
        <v>-110.6887092247033</v>
      </c>
      <c r="G137" s="53">
        <f t="shared" si="23"/>
        <v>139.27870121670665</v>
      </c>
      <c r="H137" s="53">
        <f t="shared" si="23"/>
        <v>101.73536767706011</v>
      </c>
      <c r="I137" s="53">
        <f t="shared" si="23"/>
        <v>0</v>
      </c>
    </row>
    <row r="138" spans="1:9" ht="14.25">
      <c r="A138" s="65"/>
      <c r="B138" s="66">
        <v>0</v>
      </c>
      <c r="C138" s="66">
        <v>0</v>
      </c>
      <c r="D138" s="66">
        <v>0</v>
      </c>
      <c r="E138" s="66">
        <v>1.5631940186722204E-13</v>
      </c>
      <c r="F138" s="66">
        <v>-1.1368683772161603E-13</v>
      </c>
      <c r="G138" s="66">
        <v>7.673861546209082E-13</v>
      </c>
      <c r="H138" s="66">
        <v>0</v>
      </c>
      <c r="I138" s="66">
        <v>0</v>
      </c>
    </row>
    <row r="139" spans="1:9" ht="14.25">
      <c r="A139" s="41"/>
      <c r="B139" s="41"/>
      <c r="C139" s="41"/>
      <c r="D139" s="41"/>
      <c r="E139" s="41"/>
      <c r="F139" s="52"/>
      <c r="G139" s="52"/>
      <c r="H139" s="52"/>
      <c r="I139" s="52"/>
    </row>
    <row r="140" spans="1:9" ht="16.5">
      <c r="A140" s="33" t="str">
        <f>HLOOKUP(INDICE!$F$2,Nombres!$C$3:$D$636,51,FALSE)</f>
        <v>Balances</v>
      </c>
      <c r="B140" s="34"/>
      <c r="C140" s="34"/>
      <c r="D140" s="34"/>
      <c r="E140" s="34"/>
      <c r="F140" s="72"/>
      <c r="G140" s="72"/>
      <c r="H140" s="72"/>
      <c r="I140" s="72"/>
    </row>
    <row r="141" spans="1:9" ht="14.25">
      <c r="A141" s="35" t="str">
        <f>HLOOKUP(INDICE!$F$2,Nombres!$C$3:$D$636,76,FALSE)</f>
        <v>(Millones de dolares)</v>
      </c>
      <c r="B141" s="30"/>
      <c r="C141" s="54"/>
      <c r="D141" s="54"/>
      <c r="E141" s="54"/>
      <c r="F141" s="73"/>
      <c r="G141" s="44"/>
      <c r="H141" s="44"/>
      <c r="I141" s="44"/>
    </row>
    <row r="142" spans="1:9" ht="14.25">
      <c r="A142" s="30"/>
      <c r="B142" s="55">
        <f aca="true" t="shared" si="24" ref="B142:I142">+B$30</f>
        <v>43555</v>
      </c>
      <c r="C142" s="55">
        <f t="shared" si="24"/>
        <v>43646</v>
      </c>
      <c r="D142" s="55">
        <f t="shared" si="24"/>
        <v>43738</v>
      </c>
      <c r="E142" s="71">
        <f t="shared" si="24"/>
        <v>43830</v>
      </c>
      <c r="F142" s="55">
        <f t="shared" si="24"/>
        <v>43921</v>
      </c>
      <c r="G142" s="55">
        <f t="shared" si="24"/>
        <v>44012</v>
      </c>
      <c r="H142" s="55">
        <f t="shared" si="24"/>
        <v>44104</v>
      </c>
      <c r="I142" s="55">
        <f t="shared" si="24"/>
        <v>44196</v>
      </c>
    </row>
    <row r="143" spans="1:9" ht="14.25">
      <c r="A143" s="43" t="str">
        <f>HLOOKUP(INDICE!$F$2,Nombres!$C$3:$D$636,52,FALSE)</f>
        <v>Efectivo, saldos en efectivo en bancos centrales y otros depósitos a la vista</v>
      </c>
      <c r="B143" s="44">
        <v>7358.614514032319</v>
      </c>
      <c r="C143" s="44">
        <v>8539.386705501092</v>
      </c>
      <c r="D143" s="44">
        <v>8347.30295902519</v>
      </c>
      <c r="E143" s="45">
        <v>9316.767447535047</v>
      </c>
      <c r="F143" s="44">
        <v>11687.90306386942</v>
      </c>
      <c r="G143" s="44">
        <v>15574.175177214693</v>
      </c>
      <c r="H143" s="44">
        <v>20143.762849661478</v>
      </c>
      <c r="I143" s="44">
        <v>0</v>
      </c>
    </row>
    <row r="144" spans="1:9" ht="14.25">
      <c r="A144" s="43" t="str">
        <f>HLOOKUP(INDICE!$F$2,Nombres!$C$3:$D$636,53,FALSE)</f>
        <v>Activos financieros a valor razonable</v>
      </c>
      <c r="B144" s="60">
        <v>10481.835853605606</v>
      </c>
      <c r="C144" s="60">
        <v>11701.648745683497</v>
      </c>
      <c r="D144" s="60">
        <v>9087.733030757008</v>
      </c>
      <c r="E144" s="68">
        <v>8604.428632912985</v>
      </c>
      <c r="F144" s="44">
        <v>8407.341123221147</v>
      </c>
      <c r="G144" s="44">
        <v>7788.065583854148</v>
      </c>
      <c r="H144" s="44">
        <v>7790.172324896546</v>
      </c>
      <c r="I144" s="44">
        <v>0</v>
      </c>
    </row>
    <row r="145" spans="1:9" ht="14.25">
      <c r="A145" s="43" t="str">
        <f>HLOOKUP(INDICE!$F$2,Nombres!$C$3:$D$636,54,FALSE)</f>
        <v>Activos financieros a coste amortizado</v>
      </c>
      <c r="B145" s="44">
        <v>73733.76670936697</v>
      </c>
      <c r="C145" s="44">
        <v>73787.28146361193</v>
      </c>
      <c r="D145" s="44">
        <v>75507.306390102</v>
      </c>
      <c r="E145" s="45">
        <v>78087.17634539522</v>
      </c>
      <c r="F145" s="44">
        <v>84508.33503070098</v>
      </c>
      <c r="G145" s="44">
        <v>86000.3960190908</v>
      </c>
      <c r="H145" s="44">
        <v>82465.00501902225</v>
      </c>
      <c r="I145" s="44">
        <v>0</v>
      </c>
    </row>
    <row r="146" spans="1:9" ht="14.25">
      <c r="A146" s="43" t="str">
        <f>HLOOKUP(INDICE!$F$2,Nombres!$C$3:$D$636,55,FALSE)</f>
        <v>    de los que préstamos y anticipos a la clientela</v>
      </c>
      <c r="B146" s="44">
        <v>68986.29136222204</v>
      </c>
      <c r="C146" s="44">
        <v>68428.01320750325</v>
      </c>
      <c r="D146" s="44">
        <v>68828.98426987536</v>
      </c>
      <c r="E146" s="45">
        <v>70955.88750447177</v>
      </c>
      <c r="F146" s="44">
        <v>76274.59601456267</v>
      </c>
      <c r="G146" s="44">
        <v>76894.19279739771</v>
      </c>
      <c r="H146" s="44">
        <v>72574.68895698414</v>
      </c>
      <c r="I146" s="44">
        <v>0</v>
      </c>
    </row>
    <row r="147" spans="1:9" ht="14.25">
      <c r="A147" s="43" t="str">
        <f>HLOOKUP(INDICE!$F$2,Nombres!$C$3:$D$636,121,FALSE)</f>
        <v>Posiciones inter-áreas activo</v>
      </c>
      <c r="B147" s="44">
        <v>0</v>
      </c>
      <c r="C147" s="44">
        <v>0</v>
      </c>
      <c r="D147" s="44">
        <v>0</v>
      </c>
      <c r="E147" s="45">
        <v>0</v>
      </c>
      <c r="F147" s="44">
        <v>0</v>
      </c>
      <c r="G147" s="44">
        <v>0</v>
      </c>
      <c r="H147" s="44">
        <v>0</v>
      </c>
      <c r="I147" s="44">
        <v>0</v>
      </c>
    </row>
    <row r="148" spans="1:9" ht="14.25">
      <c r="A148" s="43" t="str">
        <f>HLOOKUP(INDICE!$F$2,Nombres!$C$3:$D$636,56,FALSE)</f>
        <v>Activos tangibles</v>
      </c>
      <c r="B148" s="60">
        <v>1069.9541090907555</v>
      </c>
      <c r="C148" s="60">
        <v>1052.8237031821348</v>
      </c>
      <c r="D148" s="60">
        <v>1036.0466984861237</v>
      </c>
      <c r="E148" s="68">
        <v>1026.89003161238</v>
      </c>
      <c r="F148" s="44">
        <v>1022.6614061799341</v>
      </c>
      <c r="G148" s="44">
        <v>1015.5818746633408</v>
      </c>
      <c r="H148" s="44">
        <v>1003.6083257701733</v>
      </c>
      <c r="I148" s="44">
        <v>0</v>
      </c>
    </row>
    <row r="149" spans="1:9" ht="14.25">
      <c r="A149" s="43" t="str">
        <f>HLOOKUP(INDICE!$F$2,Nombres!$C$3:$D$636,57,FALSE)</f>
        <v>Otros activos</v>
      </c>
      <c r="B149" s="60">
        <f>+B150-B148-B145-B144-B143-B147</f>
        <v>3033.0382080383133</v>
      </c>
      <c r="C149" s="60">
        <f aca="true" t="shared" si="25" ref="C149:I149">+C150-C148-C145-C144-C143-C147</f>
        <v>3047.018484906357</v>
      </c>
      <c r="D149" s="60">
        <f t="shared" si="25"/>
        <v>2640.0991340233813</v>
      </c>
      <c r="E149" s="68">
        <f t="shared" si="25"/>
        <v>2418.2225976150967</v>
      </c>
      <c r="F149" s="44">
        <f t="shared" si="25"/>
        <v>2922.8514363189825</v>
      </c>
      <c r="G149" s="44">
        <f t="shared" si="25"/>
        <v>2853.180515521435</v>
      </c>
      <c r="H149" s="44">
        <f t="shared" si="25"/>
        <v>3021.9300703381123</v>
      </c>
      <c r="I149" s="44">
        <f t="shared" si="25"/>
        <v>0</v>
      </c>
    </row>
    <row r="150" spans="1:9" ht="14.25">
      <c r="A150" s="47" t="str">
        <f>HLOOKUP(INDICE!$F$2,Nombres!$C$3:$D$636,58,FALSE)</f>
        <v>Total activo / pasivo</v>
      </c>
      <c r="B150" s="47">
        <v>95677.20939413397</v>
      </c>
      <c r="C150" s="47">
        <v>98128.15910288501</v>
      </c>
      <c r="D150" s="47">
        <v>96618.48821239371</v>
      </c>
      <c r="E150" s="74">
        <v>99453.48505507072</v>
      </c>
      <c r="F150" s="47">
        <v>108549.09206029047</v>
      </c>
      <c r="G150" s="53">
        <v>113231.39917034442</v>
      </c>
      <c r="H150" s="53">
        <v>114424.47858968856</v>
      </c>
      <c r="I150" s="53">
        <v>0</v>
      </c>
    </row>
    <row r="151" spans="1:9" ht="14.25">
      <c r="A151" s="43" t="str">
        <f>HLOOKUP(INDICE!$F$2,Nombres!$C$3:$D$636,59,FALSE)</f>
        <v>Pasivos financieros mantenidos para negociar y designados a valor razonable con cambios en resultados</v>
      </c>
      <c r="B151" s="60">
        <v>342.2447572844217</v>
      </c>
      <c r="C151" s="60">
        <v>1678.6704834742147</v>
      </c>
      <c r="D151" s="60">
        <v>270.8616972000062</v>
      </c>
      <c r="E151" s="68">
        <v>316.4858027857171</v>
      </c>
      <c r="F151" s="44">
        <v>694.0496664422269</v>
      </c>
      <c r="G151" s="44">
        <v>513.6807521911701</v>
      </c>
      <c r="H151" s="44">
        <v>393.92853880006805</v>
      </c>
      <c r="I151" s="44">
        <v>0</v>
      </c>
    </row>
    <row r="152" spans="1:9" ht="14.25">
      <c r="A152" s="43" t="str">
        <f>HLOOKUP(INDICE!$F$2,Nombres!$C$3:$D$636,60,FALSE)</f>
        <v>Depósitos de bancos centrales y entidades de crédito</v>
      </c>
      <c r="B152" s="60">
        <v>5291.553110120496</v>
      </c>
      <c r="C152" s="60">
        <v>5198.779713338045</v>
      </c>
      <c r="D152" s="60">
        <v>4409.354122339512</v>
      </c>
      <c r="E152" s="68">
        <v>4585.015575148161</v>
      </c>
      <c r="F152" s="44">
        <v>4826.508919952933</v>
      </c>
      <c r="G152" s="44">
        <v>6974.905903754394</v>
      </c>
      <c r="H152" s="44">
        <v>6924.472689184396</v>
      </c>
      <c r="I152" s="44">
        <v>0</v>
      </c>
    </row>
    <row r="153" spans="1:9" ht="14.25">
      <c r="A153" s="43" t="str">
        <f>HLOOKUP(INDICE!$F$2,Nombres!$C$3:$D$636,61,FALSE)</f>
        <v>Depósitos de la clientela</v>
      </c>
      <c r="B153" s="60">
        <v>73213.39737039726</v>
      </c>
      <c r="C153" s="60">
        <v>71832.9207707672</v>
      </c>
      <c r="D153" s="60">
        <v>73365.66213094587</v>
      </c>
      <c r="E153" s="68">
        <v>75857.97981783465</v>
      </c>
      <c r="F153" s="44">
        <v>77696.52504977779</v>
      </c>
      <c r="G153" s="44">
        <v>84711.50098066646</v>
      </c>
      <c r="H153" s="44">
        <v>85815.86890355923</v>
      </c>
      <c r="I153" s="44">
        <v>0</v>
      </c>
    </row>
    <row r="154" spans="1:9" ht="14.25">
      <c r="A154" s="43" t="str">
        <f>HLOOKUP(INDICE!$F$2,Nombres!$C$3:$D$636,62,FALSE)</f>
        <v>Valores representativos de deuda emitidos</v>
      </c>
      <c r="B154" s="44">
        <v>3779.497921928377</v>
      </c>
      <c r="C154" s="44">
        <v>3848.947925049153</v>
      </c>
      <c r="D154" s="44">
        <v>4040.189880820996</v>
      </c>
      <c r="E154" s="45">
        <v>3988.645339964788</v>
      </c>
      <c r="F154" s="44">
        <v>3788.9833647535816</v>
      </c>
      <c r="G154" s="44">
        <v>3557.3103710604596</v>
      </c>
      <c r="H154" s="44">
        <v>3624.522019609778</v>
      </c>
      <c r="I154" s="44">
        <v>0</v>
      </c>
    </row>
    <row r="155" spans="1:9" ht="14.25">
      <c r="A155" s="43" t="str">
        <f>HLOOKUP(INDICE!$F$2,Nombres!$C$3:$D$636,122,FALSE)</f>
        <v>Posiciones inter-áreas pasivo</v>
      </c>
      <c r="B155" s="44">
        <v>1951.0102755457629</v>
      </c>
      <c r="C155" s="44">
        <v>4275.7154976127495</v>
      </c>
      <c r="D155" s="44">
        <v>3292.6156559899828</v>
      </c>
      <c r="E155" s="45">
        <v>3837.5271431969013</v>
      </c>
      <c r="F155" s="44">
        <v>10298.66197432112</v>
      </c>
      <c r="G155" s="44">
        <v>5582.586467951041</v>
      </c>
      <c r="H155" s="44">
        <v>5747.422361008823</v>
      </c>
      <c r="I155" s="44">
        <v>0</v>
      </c>
    </row>
    <row r="156" spans="1:9" ht="14.25">
      <c r="A156" s="43" t="str">
        <f>HLOOKUP(INDICE!$F$2,Nombres!$C$3:$D$636,63,FALSE)</f>
        <v>Otros pasivos</v>
      </c>
      <c r="B156" s="44">
        <f>+B150-B151-B152-B153-B154-B157-B155</f>
        <v>6963.241121818592</v>
      </c>
      <c r="C156" s="44">
        <f aca="true" t="shared" si="26" ref="C156:I156">+C150-C151-C152-C153-C154-C157-C155</f>
        <v>7091.891374423103</v>
      </c>
      <c r="D156" s="44">
        <f t="shared" si="26"/>
        <v>7245.821995323971</v>
      </c>
      <c r="E156" s="45">
        <f t="shared" si="26"/>
        <v>6550.309501640164</v>
      </c>
      <c r="F156" s="44">
        <f t="shared" si="26"/>
        <v>7008.445254237435</v>
      </c>
      <c r="G156" s="44">
        <f t="shared" si="26"/>
        <v>7506.131458475149</v>
      </c>
      <c r="H156" s="44">
        <f t="shared" si="26"/>
        <v>7651.631174708149</v>
      </c>
      <c r="I156" s="44">
        <f t="shared" si="26"/>
        <v>0</v>
      </c>
    </row>
    <row r="157" spans="1:9" ht="14.25">
      <c r="A157" s="43" t="str">
        <f>HLOOKUP(INDICE!$F$2,Nombres!$C$3:$D$636,64,FALSE)</f>
        <v>Dotación de capital económico</v>
      </c>
      <c r="B157" s="44">
        <v>4136.264837039055</v>
      </c>
      <c r="C157" s="44">
        <v>4201.233338220537</v>
      </c>
      <c r="D157" s="44">
        <v>3993.9827297733764</v>
      </c>
      <c r="E157" s="45">
        <v>4317.521874500338</v>
      </c>
      <c r="F157" s="44">
        <v>4235.917830805385</v>
      </c>
      <c r="G157" s="44">
        <v>4385.2832362457475</v>
      </c>
      <c r="H157" s="44">
        <v>4266.632902818122</v>
      </c>
      <c r="I157" s="44">
        <v>0</v>
      </c>
    </row>
    <row r="158" spans="1:9" ht="14.25">
      <c r="A158" s="65"/>
      <c r="B158" s="60"/>
      <c r="C158" s="60"/>
      <c r="D158" s="60"/>
      <c r="E158" s="60"/>
      <c r="F158" s="44"/>
      <c r="G158" s="44"/>
      <c r="H158" s="44"/>
      <c r="I158" s="44"/>
    </row>
    <row r="159" spans="1:9" ht="14.25">
      <c r="A159" s="43"/>
      <c r="B159" s="60"/>
      <c r="C159" s="60"/>
      <c r="D159" s="60"/>
      <c r="E159" s="60"/>
      <c r="F159" s="44"/>
      <c r="G159" s="44"/>
      <c r="H159" s="44"/>
      <c r="I159" s="44"/>
    </row>
    <row r="160" spans="1:9" ht="16.5">
      <c r="A160" s="69" t="str">
        <f>HLOOKUP(INDICE!$F$2,Nombres!$C$3:$D$636,65,FALSE)</f>
        <v>Indicadores relevantes y de gestión</v>
      </c>
      <c r="B160" s="70"/>
      <c r="C160" s="70"/>
      <c r="D160" s="70"/>
      <c r="E160" s="70"/>
      <c r="F160" s="75"/>
      <c r="G160" s="75"/>
      <c r="H160" s="75"/>
      <c r="I160" s="75"/>
    </row>
    <row r="161" spans="1:9" ht="14.25">
      <c r="A161" s="35" t="str">
        <f>HLOOKUP(INDICE!$F$2,Nombres!$C$3:$D$636,76,FALSE)</f>
        <v>(Millones de dolares)</v>
      </c>
      <c r="B161" s="30"/>
      <c r="C161" s="30"/>
      <c r="D161" s="30"/>
      <c r="E161" s="30"/>
      <c r="F161" s="73"/>
      <c r="G161" s="44"/>
      <c r="H161" s="44"/>
      <c r="I161" s="44"/>
    </row>
    <row r="162" spans="1:9" ht="15.75" customHeight="1">
      <c r="A162" s="30"/>
      <c r="B162" s="55">
        <f aca="true" t="shared" si="27" ref="B162:I162">+B$30</f>
        <v>43555</v>
      </c>
      <c r="C162" s="55">
        <f t="shared" si="27"/>
        <v>43646</v>
      </c>
      <c r="D162" s="55">
        <f t="shared" si="27"/>
        <v>43738</v>
      </c>
      <c r="E162" s="71">
        <f t="shared" si="27"/>
        <v>43830</v>
      </c>
      <c r="F162" s="55">
        <f t="shared" si="27"/>
        <v>43921</v>
      </c>
      <c r="G162" s="55">
        <f t="shared" si="27"/>
        <v>44012</v>
      </c>
      <c r="H162" s="55">
        <f t="shared" si="27"/>
        <v>44104</v>
      </c>
      <c r="I162" s="55">
        <f t="shared" si="27"/>
        <v>44196</v>
      </c>
    </row>
    <row r="163" spans="1:9" ht="15.75" customHeight="1">
      <c r="A163" s="43" t="str">
        <f>HLOOKUP(INDICE!$F$2,Nombres!$C$3:$D$636,66,FALSE)</f>
        <v>Préstamos y anticipos a la clientela bruto (*)</v>
      </c>
      <c r="B163" s="44">
        <v>70202.65854882865</v>
      </c>
      <c r="C163" s="44">
        <v>69592.33166864877</v>
      </c>
      <c r="D163" s="44">
        <v>69784.03108300202</v>
      </c>
      <c r="E163" s="45">
        <v>71804.60601406576</v>
      </c>
      <c r="F163" s="44">
        <v>77573.78457998838</v>
      </c>
      <c r="G163" s="44">
        <v>78361.70605991143</v>
      </c>
      <c r="H163" s="44">
        <v>74587.14862960025</v>
      </c>
      <c r="I163" s="44">
        <v>0</v>
      </c>
    </row>
    <row r="164" spans="1:9" ht="15.75" customHeight="1">
      <c r="A164" s="43" t="str">
        <f>HLOOKUP(INDICE!$F$2,Nombres!$C$3:$D$636,67,FALSE)</f>
        <v>Depósitos de clientes en gestión (**)</v>
      </c>
      <c r="B164" s="44">
        <v>73210.80638024566</v>
      </c>
      <c r="C164" s="44">
        <v>71830.27653227761</v>
      </c>
      <c r="D164" s="44">
        <v>73363.07733280379</v>
      </c>
      <c r="E164" s="45">
        <v>75861.38095365315</v>
      </c>
      <c r="F164" s="44">
        <v>77693.91248453765</v>
      </c>
      <c r="G164" s="44">
        <v>84714.54145607226</v>
      </c>
      <c r="H164" s="44">
        <v>85819.53770870573</v>
      </c>
      <c r="I164" s="44">
        <v>0</v>
      </c>
    </row>
    <row r="165" spans="1:9" ht="15.75" customHeight="1">
      <c r="A165" s="43" t="str">
        <f>HLOOKUP(INDICE!$F$2,Nombres!$C$3:$D$636,68,FALSE)</f>
        <v>Fondos de inversión</v>
      </c>
      <c r="B165" s="44">
        <v>0</v>
      </c>
      <c r="C165" s="44">
        <v>0</v>
      </c>
      <c r="D165" s="44">
        <v>0</v>
      </c>
      <c r="E165" s="45">
        <v>0</v>
      </c>
      <c r="F165" s="44">
        <v>0</v>
      </c>
      <c r="G165" s="44">
        <v>0</v>
      </c>
      <c r="H165" s="44">
        <v>0</v>
      </c>
      <c r="I165" s="44">
        <v>0</v>
      </c>
    </row>
    <row r="166" spans="1:9" ht="15.75" customHeight="1">
      <c r="A166" s="43" t="str">
        <f>HLOOKUP(INDICE!$F$2,Nombres!$C$3:$D$636,69,FALSE)</f>
        <v>Fondos de pensiones</v>
      </c>
      <c r="B166" s="44">
        <v>0</v>
      </c>
      <c r="C166" s="44">
        <v>0</v>
      </c>
      <c r="D166" s="44">
        <v>0</v>
      </c>
      <c r="E166" s="45">
        <v>0</v>
      </c>
      <c r="F166" s="44">
        <v>0</v>
      </c>
      <c r="G166" s="44">
        <v>0</v>
      </c>
      <c r="H166" s="44">
        <v>0</v>
      </c>
      <c r="I166" s="44">
        <v>0</v>
      </c>
    </row>
    <row r="167" spans="1:9" ht="14.25">
      <c r="A167" s="43" t="str">
        <f>HLOOKUP(INDICE!$F$2,Nombres!$C$3:$D$636,70,FALSE)</f>
        <v>Otros recursos fuera de balance</v>
      </c>
      <c r="B167" s="44">
        <v>0</v>
      </c>
      <c r="C167" s="44">
        <v>0</v>
      </c>
      <c r="D167" s="44">
        <v>0</v>
      </c>
      <c r="E167" s="45">
        <v>0</v>
      </c>
      <c r="F167" s="44">
        <v>0</v>
      </c>
      <c r="G167" s="44">
        <v>0</v>
      </c>
      <c r="H167" s="44">
        <v>0</v>
      </c>
      <c r="I167" s="44">
        <v>0</v>
      </c>
    </row>
    <row r="168" spans="1:9" ht="14.25">
      <c r="A168" s="65" t="str">
        <f>HLOOKUP(INDICE!$F$2,Nombres!$C$3:$D$636,71,FALSE)</f>
        <v>(*) No incluye las adquisiciones temporales de activos.</v>
      </c>
      <c r="B168" s="60"/>
      <c r="C168" s="60"/>
      <c r="D168" s="60"/>
      <c r="E168" s="60"/>
      <c r="F168" s="60"/>
      <c r="G168" s="60"/>
      <c r="H168" s="60"/>
      <c r="I168" s="60"/>
    </row>
    <row r="169" spans="1:9" ht="14.25">
      <c r="A169" s="76" t="str">
        <f>HLOOKUP(INDICE!$F$2,Nombres!$C$3:$D$636,72,FALSE)</f>
        <v>(**) No incluye las cesiones temporales de activos.</v>
      </c>
      <c r="B169" s="30"/>
      <c r="C169" s="30"/>
      <c r="D169" s="30"/>
      <c r="E169" s="30"/>
      <c r="F169" s="30"/>
      <c r="G169" s="30"/>
      <c r="H169" s="30"/>
      <c r="I169" s="30"/>
    </row>
    <row r="170" spans="1:9" ht="14.25">
      <c r="A170" s="30"/>
      <c r="B170" s="30"/>
      <c r="C170" s="30"/>
      <c r="D170" s="30"/>
      <c r="E170" s="30"/>
      <c r="F170" s="30"/>
      <c r="G170" s="30"/>
      <c r="H170" s="30"/>
      <c r="I170" s="30"/>
    </row>
    <row r="171" spans="1:9" ht="14.25">
      <c r="A171" s="30"/>
      <c r="B171" s="30"/>
      <c r="C171" s="30"/>
      <c r="D171" s="30"/>
      <c r="E171" s="30"/>
      <c r="F171" s="30"/>
      <c r="G171" s="30"/>
      <c r="H171" s="30"/>
      <c r="I171" s="30"/>
    </row>
    <row r="172" spans="1:9" ht="14.25">
      <c r="A172" s="77"/>
      <c r="B172" s="78"/>
      <c r="C172" s="79"/>
      <c r="D172" s="79"/>
      <c r="E172" s="79"/>
      <c r="F172" s="78"/>
      <c r="G172" s="78"/>
      <c r="H172" s="78"/>
      <c r="I172" s="78"/>
    </row>
    <row r="173" spans="1:15" ht="14.25">
      <c r="A173" s="77"/>
      <c r="B173" s="78"/>
      <c r="C173" s="79"/>
      <c r="D173" s="79"/>
      <c r="E173" s="79"/>
      <c r="F173" s="78"/>
      <c r="G173" s="78"/>
      <c r="H173" s="78"/>
      <c r="I173" s="78"/>
      <c r="J173" s="78"/>
      <c r="K173" s="78"/>
      <c r="L173" s="78"/>
      <c r="M173" s="78"/>
      <c r="N173" s="78"/>
      <c r="O173" s="78"/>
    </row>
    <row r="174" spans="1:15" ht="14.25">
      <c r="A174" s="78"/>
      <c r="B174" s="78"/>
      <c r="C174" s="78"/>
      <c r="D174" s="78"/>
      <c r="E174" s="78"/>
      <c r="F174" s="78"/>
      <c r="G174" s="78"/>
      <c r="H174" s="78"/>
      <c r="I174" s="78"/>
      <c r="J174" s="78"/>
      <c r="K174" s="78"/>
      <c r="L174" s="78"/>
      <c r="M174" s="78"/>
      <c r="N174" s="78"/>
      <c r="O174" s="78"/>
    </row>
    <row r="175" spans="1:15" ht="14.25">
      <c r="A175" s="78"/>
      <c r="B175" s="78"/>
      <c r="C175" s="78"/>
      <c r="D175" s="78"/>
      <c r="E175" s="78"/>
      <c r="F175" s="78"/>
      <c r="G175" s="78"/>
      <c r="H175" s="78"/>
      <c r="I175" s="78"/>
      <c r="J175" s="78"/>
      <c r="K175" s="78"/>
      <c r="L175" s="78"/>
      <c r="M175" s="78"/>
      <c r="N175" s="78"/>
      <c r="O175" s="78"/>
    </row>
    <row r="176" spans="1:15" ht="14.25">
      <c r="A176" s="78"/>
      <c r="B176" s="78"/>
      <c r="C176" s="78"/>
      <c r="D176" s="78"/>
      <c r="E176" s="78"/>
      <c r="F176" s="78"/>
      <c r="G176" s="78"/>
      <c r="H176" s="78"/>
      <c r="I176" s="78"/>
      <c r="J176" s="78"/>
      <c r="K176" s="78"/>
      <c r="L176" s="78"/>
      <c r="M176" s="78"/>
      <c r="N176" s="78"/>
      <c r="O176" s="78"/>
    </row>
    <row r="177" spans="1:15" ht="14.25">
      <c r="A177" s="78"/>
      <c r="B177" s="78"/>
      <c r="C177" s="78"/>
      <c r="D177" s="78"/>
      <c r="E177" s="78"/>
      <c r="F177" s="78"/>
      <c r="G177" s="78"/>
      <c r="H177" s="78"/>
      <c r="I177" s="78"/>
      <c r="J177" s="78"/>
      <c r="K177" s="78"/>
      <c r="L177" s="78"/>
      <c r="M177" s="78"/>
      <c r="N177" s="78"/>
      <c r="O177" s="78"/>
    </row>
    <row r="178" spans="1:15" ht="14.25">
      <c r="A178" s="78"/>
      <c r="B178" s="78"/>
      <c r="C178" s="78"/>
      <c r="D178" s="78"/>
      <c r="E178" s="78"/>
      <c r="F178" s="78"/>
      <c r="G178" s="78"/>
      <c r="H178" s="78"/>
      <c r="I178" s="78"/>
      <c r="J178" s="78"/>
      <c r="K178" s="78"/>
      <c r="L178" s="78"/>
      <c r="M178" s="78"/>
      <c r="N178" s="78"/>
      <c r="O178" s="78"/>
    </row>
    <row r="179" spans="1:15" ht="14.25">
      <c r="A179" s="78"/>
      <c r="B179" s="78"/>
      <c r="C179" s="78"/>
      <c r="D179" s="78"/>
      <c r="E179" s="78"/>
      <c r="F179" s="78"/>
      <c r="G179" s="78"/>
      <c r="H179" s="78"/>
      <c r="I179" s="78"/>
      <c r="J179" s="78"/>
      <c r="K179" s="78"/>
      <c r="L179" s="78"/>
      <c r="M179" s="78"/>
      <c r="N179" s="78"/>
      <c r="O179" s="78"/>
    </row>
    <row r="180" spans="1:15" ht="14.25">
      <c r="A180" s="78"/>
      <c r="B180" s="78"/>
      <c r="C180" s="78"/>
      <c r="D180" s="78"/>
      <c r="E180" s="78"/>
      <c r="F180" s="78"/>
      <c r="G180" s="78"/>
      <c r="H180" s="78"/>
      <c r="I180" s="78"/>
      <c r="J180" s="78"/>
      <c r="K180" s="78"/>
      <c r="L180" s="78"/>
      <c r="M180" s="78"/>
      <c r="N180" s="78"/>
      <c r="O180" s="78"/>
    </row>
    <row r="1000" ht="14.25">
      <c r="A1000" s="31" t="s">
        <v>397</v>
      </c>
    </row>
  </sheetData>
  <sheetProtection/>
  <mergeCells count="6">
    <mergeCell ref="B6:E6"/>
    <mergeCell ref="B62:E62"/>
    <mergeCell ref="B118:E118"/>
    <mergeCell ref="F6:I6"/>
    <mergeCell ref="F62:I62"/>
    <mergeCell ref="F118:I118"/>
  </mergeCells>
  <conditionalFormatting sqref="B26:I26">
    <cfRule type="cellIs" priority="3" dxfId="98" operator="notBetween">
      <formula>0.5</formula>
      <formula>-0.5</formula>
    </cfRule>
  </conditionalFormatting>
  <conditionalFormatting sqref="B82:I82">
    <cfRule type="cellIs" priority="2" dxfId="98" operator="notBetween">
      <formula>0.5</formula>
      <formula>-0.5</formula>
    </cfRule>
  </conditionalFormatting>
  <conditionalFormatting sqref="B138:I138">
    <cfRule type="cellIs" priority="1" dxfId="98" operator="notBetween">
      <formula>0.5</formula>
      <formula>-0.5</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I1" sqref="I1:I16384"/>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6.5">
      <c r="A1" s="29" t="str">
        <f>HLOOKUP(INDICE!$F$2,Nombres!$C$3:$D$636,11,FALSE)</f>
        <v>México</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5">
        <f>+España!B6</f>
        <v>2019</v>
      </c>
      <c r="C6" s="305"/>
      <c r="D6" s="305"/>
      <c r="E6" s="306"/>
      <c r="F6" s="305">
        <f>+España!F6</f>
        <v>2020</v>
      </c>
      <c r="G6" s="305"/>
      <c r="H6" s="305"/>
      <c r="I6" s="305"/>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1499.8589109600002</v>
      </c>
      <c r="C8" s="41">
        <v>1542.5496169999994</v>
      </c>
      <c r="D8" s="41">
        <v>1556.40210019</v>
      </c>
      <c r="E8" s="42">
        <v>1610.1685485800008</v>
      </c>
      <c r="F8" s="52">
        <v>1545.28894412</v>
      </c>
      <c r="G8" s="52">
        <v>1171.94993004</v>
      </c>
      <c r="H8" s="52">
        <v>1318.7762244899998</v>
      </c>
      <c r="I8" s="52">
        <v>0</v>
      </c>
    </row>
    <row r="9" spans="1:9" ht="14.25">
      <c r="A9" s="43" t="str">
        <f>HLOOKUP(INDICE!$F$2,Nombres!$C$3:$D$636,34,FALSE)</f>
        <v>Comisiones netas</v>
      </c>
      <c r="B9" s="44">
        <v>300.32462795</v>
      </c>
      <c r="C9" s="44">
        <v>320.83698025</v>
      </c>
      <c r="D9" s="44">
        <v>330.6000709499999</v>
      </c>
      <c r="E9" s="45">
        <v>346.4980729100002</v>
      </c>
      <c r="F9" s="44">
        <v>296.23659268</v>
      </c>
      <c r="G9" s="44">
        <v>216.44282047000002</v>
      </c>
      <c r="H9" s="44">
        <v>253.26914294999995</v>
      </c>
      <c r="I9" s="44">
        <v>0</v>
      </c>
    </row>
    <row r="10" spans="1:9" ht="14.25">
      <c r="A10" s="43" t="str">
        <f>HLOOKUP(INDICE!$F$2,Nombres!$C$3:$D$636,35,FALSE)</f>
        <v>Resultados de operaciones financieras</v>
      </c>
      <c r="B10" s="44">
        <v>62.501816569999995</v>
      </c>
      <c r="C10" s="44">
        <v>72.89898387</v>
      </c>
      <c r="D10" s="44">
        <v>105.77084269</v>
      </c>
      <c r="E10" s="45">
        <v>68.72210509000001</v>
      </c>
      <c r="F10" s="44">
        <v>78.18988806000002</v>
      </c>
      <c r="G10" s="44">
        <v>153.29599518999999</v>
      </c>
      <c r="H10" s="44">
        <v>98.62387912999999</v>
      </c>
      <c r="I10" s="44">
        <v>0</v>
      </c>
    </row>
    <row r="11" spans="1:9" ht="14.25">
      <c r="A11" s="43" t="str">
        <f>HLOOKUP(INDICE!$F$2,Nombres!$C$3:$D$636,36,FALSE)</f>
        <v>Otros ingresos y cargas de explotación</v>
      </c>
      <c r="B11" s="44">
        <v>39.735</v>
      </c>
      <c r="C11" s="44">
        <v>61.94200002</v>
      </c>
      <c r="D11" s="44">
        <v>18.91599996999996</v>
      </c>
      <c r="E11" s="45">
        <v>91.36699999999996</v>
      </c>
      <c r="F11" s="44">
        <v>70.92599999000001</v>
      </c>
      <c r="G11" s="44">
        <v>17.461000000000055</v>
      </c>
      <c r="H11" s="44">
        <v>10.516999999999976</v>
      </c>
      <c r="I11" s="44">
        <v>0</v>
      </c>
    </row>
    <row r="12" spans="1:9" ht="14.25">
      <c r="A12" s="41" t="str">
        <f>HLOOKUP(INDICE!$F$2,Nombres!$C$3:$D$636,37,FALSE)</f>
        <v>Margen bruto</v>
      </c>
      <c r="B12" s="41">
        <f>+SUM(B8:B11)</f>
        <v>1902.4203554800001</v>
      </c>
      <c r="C12" s="41">
        <f aca="true" t="shared" si="0" ref="C12:I12">+SUM(C8:C11)</f>
        <v>1998.2275811399993</v>
      </c>
      <c r="D12" s="41">
        <f t="shared" si="0"/>
        <v>2011.6890137999999</v>
      </c>
      <c r="E12" s="42">
        <f t="shared" si="0"/>
        <v>2116.755726580001</v>
      </c>
      <c r="F12" s="52">
        <f t="shared" si="0"/>
        <v>1990.64142485</v>
      </c>
      <c r="G12" s="52">
        <f t="shared" si="0"/>
        <v>1559.1497457</v>
      </c>
      <c r="H12" s="52">
        <f t="shared" si="0"/>
        <v>1681.1862465699996</v>
      </c>
      <c r="I12" s="52">
        <f t="shared" si="0"/>
        <v>0</v>
      </c>
    </row>
    <row r="13" spans="1:9" ht="14.25">
      <c r="A13" s="43" t="str">
        <f>HLOOKUP(INDICE!$F$2,Nombres!$C$3:$D$636,38,FALSE)</f>
        <v>Gastos de explotación</v>
      </c>
      <c r="B13" s="44">
        <v>-634.29740855</v>
      </c>
      <c r="C13" s="44">
        <v>-655.69643576</v>
      </c>
      <c r="D13" s="44">
        <v>-668.0871105900001</v>
      </c>
      <c r="E13" s="45">
        <v>-686.89676105</v>
      </c>
      <c r="F13" s="44">
        <v>-660.3052687699999</v>
      </c>
      <c r="G13" s="44">
        <v>-540.04662101</v>
      </c>
      <c r="H13" s="44">
        <v>-541.78760534</v>
      </c>
      <c r="I13" s="44">
        <v>0</v>
      </c>
    </row>
    <row r="14" spans="1:9" ht="14.25">
      <c r="A14" s="43" t="str">
        <f>HLOOKUP(INDICE!$F$2,Nombres!$C$3:$D$636,39,FALSE)</f>
        <v>  Gastos de administración</v>
      </c>
      <c r="B14" s="44">
        <v>-550.2542819</v>
      </c>
      <c r="C14" s="44">
        <v>-567.64142173</v>
      </c>
      <c r="D14" s="44">
        <v>-580.3107506000001</v>
      </c>
      <c r="E14" s="45">
        <v>-601.07429407</v>
      </c>
      <c r="F14" s="44">
        <v>-574.7882087400001</v>
      </c>
      <c r="G14" s="44">
        <v>-466.93441107999996</v>
      </c>
      <c r="H14" s="44">
        <v>-467.44738233000004</v>
      </c>
      <c r="I14" s="44">
        <v>0</v>
      </c>
    </row>
    <row r="15" spans="1:9" ht="14.25">
      <c r="A15" s="46" t="str">
        <f>HLOOKUP(INDICE!$F$2,Nombres!$C$3:$D$636,40,FALSE)</f>
        <v>  Gastos de personal</v>
      </c>
      <c r="B15" s="44">
        <v>-269.04368953</v>
      </c>
      <c r="C15" s="44">
        <v>-278.79847452</v>
      </c>
      <c r="D15" s="44">
        <v>-284.20660511999995</v>
      </c>
      <c r="E15" s="45">
        <v>-292.44917091</v>
      </c>
      <c r="F15" s="44">
        <v>-285.90626268</v>
      </c>
      <c r="G15" s="44">
        <v>-204.42398845000002</v>
      </c>
      <c r="H15" s="44">
        <v>-225.90540457999998</v>
      </c>
      <c r="I15" s="44">
        <v>0</v>
      </c>
    </row>
    <row r="16" spans="1:9" ht="14.25">
      <c r="A16" s="46" t="str">
        <f>HLOOKUP(INDICE!$F$2,Nombres!$C$3:$D$636,41,FALSE)</f>
        <v>  Otros gastos de administración</v>
      </c>
      <c r="B16" s="44">
        <v>-281.21059237</v>
      </c>
      <c r="C16" s="44">
        <v>-288.84294721000003</v>
      </c>
      <c r="D16" s="44">
        <v>-296.10414548</v>
      </c>
      <c r="E16" s="45">
        <v>-308.62512316</v>
      </c>
      <c r="F16" s="44">
        <v>-288.88194606</v>
      </c>
      <c r="G16" s="44">
        <v>-262.51042263</v>
      </c>
      <c r="H16" s="44">
        <v>-241.54197775</v>
      </c>
      <c r="I16" s="44">
        <v>0</v>
      </c>
    </row>
    <row r="17" spans="1:9" ht="14.25">
      <c r="A17" s="43" t="str">
        <f>HLOOKUP(INDICE!$F$2,Nombres!$C$3:$D$636,42,FALSE)</f>
        <v>  Amortización</v>
      </c>
      <c r="B17" s="44">
        <v>-84.04312665</v>
      </c>
      <c r="C17" s="44">
        <v>-88.05501403000001</v>
      </c>
      <c r="D17" s="44">
        <v>-87.77635999</v>
      </c>
      <c r="E17" s="45">
        <v>-85.82246698</v>
      </c>
      <c r="F17" s="44">
        <v>-85.51706003</v>
      </c>
      <c r="G17" s="44">
        <v>-73.11220993</v>
      </c>
      <c r="H17" s="44">
        <v>-74.34022301000002</v>
      </c>
      <c r="I17" s="44">
        <v>0</v>
      </c>
    </row>
    <row r="18" spans="1:9" ht="14.25">
      <c r="A18" s="41" t="str">
        <f>HLOOKUP(INDICE!$F$2,Nombres!$C$3:$D$636,43,FALSE)</f>
        <v>Margen neto</v>
      </c>
      <c r="B18" s="41">
        <f>+B12+B13</f>
        <v>1268.1229469300001</v>
      </c>
      <c r="C18" s="41">
        <f aca="true" t="shared" si="1" ref="C18:I18">+C12+C13</f>
        <v>1342.5311453799993</v>
      </c>
      <c r="D18" s="41">
        <f t="shared" si="1"/>
        <v>1343.6019032099998</v>
      </c>
      <c r="E18" s="42">
        <f t="shared" si="1"/>
        <v>1429.8589655300011</v>
      </c>
      <c r="F18" s="52">
        <f t="shared" si="1"/>
        <v>1330.3361560800001</v>
      </c>
      <c r="G18" s="52">
        <f t="shared" si="1"/>
        <v>1019.1031246900001</v>
      </c>
      <c r="H18" s="52">
        <f t="shared" si="1"/>
        <v>1139.3986412299996</v>
      </c>
      <c r="I18" s="52">
        <f t="shared" si="1"/>
        <v>0</v>
      </c>
    </row>
    <row r="19" spans="1:9" ht="14.25">
      <c r="A19" s="43" t="str">
        <f>HLOOKUP(INDICE!$F$2,Nombres!$C$3:$D$636,44,FALSE)</f>
        <v>Deterioro de activos financieros no valorados a valor razonable con cambios en resultados</v>
      </c>
      <c r="B19" s="44">
        <v>-394.57000006000004</v>
      </c>
      <c r="C19" s="44">
        <v>-423.17699991</v>
      </c>
      <c r="D19" s="44">
        <v>-420.34600002</v>
      </c>
      <c r="E19" s="45">
        <v>-459.58600003000004</v>
      </c>
      <c r="F19" s="44">
        <v>-773.1019999800001</v>
      </c>
      <c r="G19" s="44">
        <v>-621.3509999899999</v>
      </c>
      <c r="H19" s="44">
        <v>-354.77100005000005</v>
      </c>
      <c r="I19" s="44">
        <v>0</v>
      </c>
    </row>
    <row r="20" spans="1:9" ht="14.25">
      <c r="A20" s="43" t="str">
        <f>HLOOKUP(INDICE!$F$2,Nombres!$C$3:$D$636,45,FALSE)</f>
        <v>Provisiones o reversión de provisiones y otros resultados</v>
      </c>
      <c r="B20" s="44">
        <v>3.700000010000002</v>
      </c>
      <c r="C20" s="44">
        <v>-13.232</v>
      </c>
      <c r="D20" s="44">
        <v>-4.615999969999999</v>
      </c>
      <c r="E20" s="45">
        <v>18.781999980000002</v>
      </c>
      <c r="F20" s="44">
        <v>-12.61499997</v>
      </c>
      <c r="G20" s="44">
        <v>-51.25200002</v>
      </c>
      <c r="H20" s="44">
        <v>15.984000009999997</v>
      </c>
      <c r="I20" s="44">
        <v>0</v>
      </c>
    </row>
    <row r="21" spans="1:9" ht="14.25">
      <c r="A21" s="41" t="str">
        <f>HLOOKUP(INDICE!$F$2,Nombres!$C$3:$D$636,46,FALSE)</f>
        <v>Resultado antes de impuestos</v>
      </c>
      <c r="B21" s="41">
        <f>+B18+B19+B20</f>
        <v>877.2529468800002</v>
      </c>
      <c r="C21" s="41">
        <f aca="true" t="shared" si="2" ref="C21:I21">+C18+C19+C20</f>
        <v>906.1221454699994</v>
      </c>
      <c r="D21" s="41">
        <f t="shared" si="2"/>
        <v>918.6399032199998</v>
      </c>
      <c r="E21" s="42">
        <f t="shared" si="2"/>
        <v>989.0549654800011</v>
      </c>
      <c r="F21" s="52">
        <f t="shared" si="2"/>
        <v>544.6191561300001</v>
      </c>
      <c r="G21" s="52">
        <f t="shared" si="2"/>
        <v>346.5001246800002</v>
      </c>
      <c r="H21" s="52">
        <f t="shared" si="2"/>
        <v>800.6116411899995</v>
      </c>
      <c r="I21" s="52">
        <f t="shared" si="2"/>
        <v>0</v>
      </c>
    </row>
    <row r="22" spans="1:9" ht="14.25">
      <c r="A22" s="43" t="str">
        <f>HLOOKUP(INDICE!$F$2,Nombres!$C$3:$D$636,47,FALSE)</f>
        <v>Impuesto sobre beneficios</v>
      </c>
      <c r="B22" s="44">
        <v>-250.01219603999996</v>
      </c>
      <c r="C22" s="44">
        <v>-246.48346131000005</v>
      </c>
      <c r="D22" s="44">
        <v>-240.26518161999996</v>
      </c>
      <c r="E22" s="45">
        <v>-255.00452185999973</v>
      </c>
      <c r="F22" s="44">
        <v>-172.25655221</v>
      </c>
      <c r="G22" s="44">
        <v>-64.32323134000004</v>
      </c>
      <c r="H22" s="44">
        <v>-250.7849592</v>
      </c>
      <c r="I22" s="44">
        <v>0</v>
      </c>
    </row>
    <row r="23" spans="1:9" ht="14.25">
      <c r="A23" s="41" t="str">
        <f>HLOOKUP(INDICE!$F$2,Nombres!$C$3:$D$636,48,FALSE)</f>
        <v>Resultado del ejercicio</v>
      </c>
      <c r="B23" s="41">
        <f>+B21+B22</f>
        <v>627.2407508400003</v>
      </c>
      <c r="C23" s="41">
        <f aca="true" t="shared" si="3" ref="C23:I23">+C21+C22</f>
        <v>659.6386841599993</v>
      </c>
      <c r="D23" s="41">
        <f t="shared" si="3"/>
        <v>678.3747215999999</v>
      </c>
      <c r="E23" s="42">
        <f t="shared" si="3"/>
        <v>734.0504436200014</v>
      </c>
      <c r="F23" s="52">
        <f t="shared" si="3"/>
        <v>372.3626039200001</v>
      </c>
      <c r="G23" s="52">
        <f t="shared" si="3"/>
        <v>282.1768933400002</v>
      </c>
      <c r="H23" s="52">
        <f t="shared" si="3"/>
        <v>549.8266819899995</v>
      </c>
      <c r="I23" s="52">
        <f t="shared" si="3"/>
        <v>0</v>
      </c>
    </row>
    <row r="24" spans="1:9" ht="14.25">
      <c r="A24" s="43" t="str">
        <f>HLOOKUP(INDICE!$F$2,Nombres!$C$3:$D$636,49,FALSE)</f>
        <v>Minoritarios</v>
      </c>
      <c r="B24" s="44">
        <v>-0.11299999999999999</v>
      </c>
      <c r="C24" s="44">
        <v>-0.128</v>
      </c>
      <c r="D24" s="44">
        <v>-0.11899999999999997</v>
      </c>
      <c r="E24" s="45">
        <v>-0.13399999999999998</v>
      </c>
      <c r="F24" s="44">
        <v>-0.06799999999999999</v>
      </c>
      <c r="G24" s="44">
        <v>-0.05400000000000001</v>
      </c>
      <c r="H24" s="44">
        <v>-0.11200000000000002</v>
      </c>
      <c r="I24" s="44">
        <v>0</v>
      </c>
    </row>
    <row r="25" spans="1:9" ht="14.25">
      <c r="A25" s="47" t="str">
        <f>HLOOKUP(INDICE!$F$2,Nombres!$C$3:$D$636,50,FALSE)</f>
        <v>Resultado atribuido</v>
      </c>
      <c r="B25" s="47">
        <f>+B23+B24</f>
        <v>627.1277508400002</v>
      </c>
      <c r="C25" s="47">
        <f aca="true" t="shared" si="4" ref="C25:I25">+C23+C24</f>
        <v>659.5106841599993</v>
      </c>
      <c r="D25" s="47">
        <f t="shared" si="4"/>
        <v>678.2557215999999</v>
      </c>
      <c r="E25" s="47">
        <f t="shared" si="4"/>
        <v>733.9164436200014</v>
      </c>
      <c r="F25" s="53">
        <f t="shared" si="4"/>
        <v>372.2946039200001</v>
      </c>
      <c r="G25" s="53">
        <f t="shared" si="4"/>
        <v>282.12289334000025</v>
      </c>
      <c r="H25" s="53">
        <f t="shared" si="4"/>
        <v>549.7146819899996</v>
      </c>
      <c r="I25" s="53">
        <f t="shared" si="4"/>
        <v>0</v>
      </c>
    </row>
    <row r="26" spans="1:9" ht="14.25">
      <c r="A26" s="65"/>
      <c r="B26" s="66">
        <v>0</v>
      </c>
      <c r="C26" s="66">
        <v>0</v>
      </c>
      <c r="D26" s="66">
        <v>0</v>
      </c>
      <c r="E26" s="66">
        <v>0</v>
      </c>
      <c r="F26" s="66">
        <v>0</v>
      </c>
      <c r="G26" s="66">
        <v>0</v>
      </c>
      <c r="H26" s="66">
        <v>0</v>
      </c>
      <c r="I26" s="66">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4"/>
      <c r="D29" s="54"/>
      <c r="E29" s="54"/>
      <c r="F29" s="30"/>
      <c r="G29" s="60"/>
      <c r="H29" s="60"/>
      <c r="I29" s="60"/>
    </row>
    <row r="30" spans="1:9" ht="14.25">
      <c r="A30" s="30"/>
      <c r="B30" s="55">
        <f>+España!B30</f>
        <v>43555</v>
      </c>
      <c r="C30" s="55">
        <f>+España!C30</f>
        <v>43646</v>
      </c>
      <c r="D30" s="55">
        <f>+España!D30</f>
        <v>43738</v>
      </c>
      <c r="E30" s="71">
        <f>+España!E30</f>
        <v>43830</v>
      </c>
      <c r="F30" s="80">
        <f>+España!F30</f>
        <v>43921</v>
      </c>
      <c r="G30" s="80">
        <f>+España!G30</f>
        <v>44012</v>
      </c>
      <c r="H30" s="80">
        <f>+España!H30</f>
        <v>44104</v>
      </c>
      <c r="I30" s="80">
        <f>+España!I30</f>
        <v>44196</v>
      </c>
    </row>
    <row r="31" spans="1:9" ht="14.25">
      <c r="A31" s="43" t="str">
        <f>HLOOKUP(INDICE!$F$2,Nombres!$C$3:$D$636,52,FALSE)</f>
        <v>Efectivo, saldos en efectivo en bancos centrales y otros depósitos a la vista</v>
      </c>
      <c r="B31" s="44">
        <v>8678.05499999</v>
      </c>
      <c r="C31" s="44">
        <v>10051.26</v>
      </c>
      <c r="D31" s="44">
        <v>6831.139999999999</v>
      </c>
      <c r="E31" s="45">
        <v>6489.00600001</v>
      </c>
      <c r="F31" s="44">
        <v>5848.49299998</v>
      </c>
      <c r="G31" s="44">
        <v>6562.35800001</v>
      </c>
      <c r="H31" s="44">
        <v>7988.985</v>
      </c>
      <c r="I31" s="44">
        <v>0</v>
      </c>
    </row>
    <row r="32" spans="1:9" ht="14.25">
      <c r="A32" s="43" t="str">
        <f>HLOOKUP(INDICE!$F$2,Nombres!$C$3:$D$636,53,FALSE)</f>
        <v>Activos financieros a valor razonable</v>
      </c>
      <c r="B32" s="60">
        <v>26193.015</v>
      </c>
      <c r="C32" s="60">
        <v>28405.32299999</v>
      </c>
      <c r="D32" s="60">
        <v>30669.01300002</v>
      </c>
      <c r="E32" s="68">
        <v>31401.84400001</v>
      </c>
      <c r="F32" s="44">
        <v>34750.406</v>
      </c>
      <c r="G32" s="44">
        <v>33941.22699999</v>
      </c>
      <c r="H32" s="44">
        <v>31937.569</v>
      </c>
      <c r="I32" s="44">
        <v>0</v>
      </c>
    </row>
    <row r="33" spans="1:9" ht="14.25">
      <c r="A33" s="43" t="str">
        <f>HLOOKUP(INDICE!$F$2,Nombres!$C$3:$D$636,54,FALSE)</f>
        <v>Activos financieros a coste amortizado</v>
      </c>
      <c r="B33" s="44">
        <v>60754.00099997999</v>
      </c>
      <c r="C33" s="44">
        <v>61510.06199996</v>
      </c>
      <c r="D33" s="44">
        <v>64579.61600003</v>
      </c>
      <c r="E33" s="45">
        <v>66180.48099996</v>
      </c>
      <c r="F33" s="44">
        <v>58838.916000020006</v>
      </c>
      <c r="G33" s="44">
        <v>58417.72700002</v>
      </c>
      <c r="H33" s="44">
        <v>56832.28199996</v>
      </c>
      <c r="I33" s="44">
        <v>0</v>
      </c>
    </row>
    <row r="34" spans="1:9" ht="14.25">
      <c r="A34" s="43" t="str">
        <f>HLOOKUP(INDICE!$F$2,Nombres!$C$3:$D$636,55,FALSE)</f>
        <v>    de los que préstamos y anticipos a la clientela</v>
      </c>
      <c r="B34" s="44">
        <v>53479.97299997001</v>
      </c>
      <c r="C34" s="44">
        <v>54431.90699995</v>
      </c>
      <c r="D34" s="44">
        <v>56510.212000019994</v>
      </c>
      <c r="E34" s="45">
        <v>58080.634999960006</v>
      </c>
      <c r="F34" s="44">
        <v>50484.05000001</v>
      </c>
      <c r="G34" s="44">
        <v>49439.64500000002</v>
      </c>
      <c r="H34" s="44">
        <v>47788.48999996</v>
      </c>
      <c r="I34" s="44">
        <v>0</v>
      </c>
    </row>
    <row r="35" spans="1:9" ht="14.25">
      <c r="A35" s="43" t="str">
        <f>HLOOKUP(INDICE!$F$2,Nombres!$C$3:$D$636,56,FALSE)</f>
        <v>Activos tangibles</v>
      </c>
      <c r="B35" s="44">
        <v>2029.44700001</v>
      </c>
      <c r="C35" s="44">
        <v>2020.4779999999998</v>
      </c>
      <c r="D35" s="44">
        <v>1996.953</v>
      </c>
      <c r="E35" s="45">
        <v>2022.07499999</v>
      </c>
      <c r="F35" s="44">
        <v>1597.7509999899999</v>
      </c>
      <c r="G35" s="44">
        <v>1582.3429999999998</v>
      </c>
      <c r="H35" s="44">
        <v>1537.6999999799998</v>
      </c>
      <c r="I35" s="44">
        <v>0</v>
      </c>
    </row>
    <row r="36" spans="1:9" ht="14.25">
      <c r="A36" s="43" t="str">
        <f>HLOOKUP(INDICE!$F$2,Nombres!$C$3:$D$636,57,FALSE)</f>
        <v>Otros activos</v>
      </c>
      <c r="B36" s="60">
        <f>+B37-B35-B33-B32-B31</f>
        <v>4083.0521499400093</v>
      </c>
      <c r="C36" s="60">
        <f aca="true" t="shared" si="5" ref="C36:I36">+C37-C35-C33-C32-C31</f>
        <v>3379.0760001300096</v>
      </c>
      <c r="D36" s="60">
        <f t="shared" si="5"/>
        <v>3054.4253709399636</v>
      </c>
      <c r="E36" s="68">
        <f t="shared" si="5"/>
        <v>2985.4020304999995</v>
      </c>
      <c r="F36" s="44">
        <f t="shared" si="5"/>
        <v>3165.6240000299813</v>
      </c>
      <c r="G36" s="44">
        <f t="shared" si="5"/>
        <v>3167.240000000017</v>
      </c>
      <c r="H36" s="44">
        <f t="shared" si="5"/>
        <v>3119.2128158699825</v>
      </c>
      <c r="I36" s="44">
        <f t="shared" si="5"/>
        <v>0</v>
      </c>
    </row>
    <row r="37" spans="1:9" ht="14.25">
      <c r="A37" s="47" t="str">
        <f>HLOOKUP(INDICE!$F$2,Nombres!$C$3:$D$636,58,FALSE)</f>
        <v>Total activo / pasivo</v>
      </c>
      <c r="B37" s="47">
        <v>101737.57014992</v>
      </c>
      <c r="C37" s="47">
        <v>105366.19900008001</v>
      </c>
      <c r="D37" s="47">
        <v>107131.14737098996</v>
      </c>
      <c r="E37" s="74">
        <v>109078.80803047</v>
      </c>
      <c r="F37" s="47">
        <v>104201.19000002</v>
      </c>
      <c r="G37" s="53">
        <v>103670.89500002001</v>
      </c>
      <c r="H37" s="53">
        <v>101415.74881580999</v>
      </c>
      <c r="I37" s="53">
        <v>0</v>
      </c>
    </row>
    <row r="38" spans="1:9" ht="14.25">
      <c r="A38" s="43" t="str">
        <f>HLOOKUP(INDICE!$F$2,Nombres!$C$3:$D$636,59,FALSE)</f>
        <v>Pasivos financieros mantenidos para negociar y designados a valor razonable con cambios en resultados</v>
      </c>
      <c r="B38" s="60">
        <v>17747.20699999</v>
      </c>
      <c r="C38" s="60">
        <v>20681.508000010002</v>
      </c>
      <c r="D38" s="60">
        <v>22830.747</v>
      </c>
      <c r="E38" s="68">
        <v>21784.341999990003</v>
      </c>
      <c r="F38" s="44">
        <v>25597.628</v>
      </c>
      <c r="G38" s="44">
        <v>24494.13500001</v>
      </c>
      <c r="H38" s="44">
        <v>21571.643000009997</v>
      </c>
      <c r="I38" s="44">
        <v>0</v>
      </c>
    </row>
    <row r="39" spans="1:9" ht="14.25">
      <c r="A39" s="43" t="str">
        <f>HLOOKUP(INDICE!$F$2,Nombres!$C$3:$D$636,60,FALSE)</f>
        <v>Depósitos de bancos centrales y entidades de crédito</v>
      </c>
      <c r="B39" s="60">
        <v>3533.15799999</v>
      </c>
      <c r="C39" s="60">
        <v>1867.83400002</v>
      </c>
      <c r="D39" s="60">
        <v>2104.525</v>
      </c>
      <c r="E39" s="68">
        <v>2117.36300001</v>
      </c>
      <c r="F39" s="44">
        <v>3269.7840000200003</v>
      </c>
      <c r="G39" s="44">
        <v>3096.09100002</v>
      </c>
      <c r="H39" s="44">
        <v>3459.73300002</v>
      </c>
      <c r="I39" s="44">
        <v>0</v>
      </c>
    </row>
    <row r="40" spans="1:9" ht="15.75" customHeight="1">
      <c r="A40" s="43" t="str">
        <f>HLOOKUP(INDICE!$F$2,Nombres!$C$3:$D$636,61,FALSE)</f>
        <v>Depósitos de la clientela</v>
      </c>
      <c r="B40" s="60">
        <v>50904.01799998</v>
      </c>
      <c r="C40" s="60">
        <v>52960.118000020004</v>
      </c>
      <c r="D40" s="60">
        <v>52826.089000010004</v>
      </c>
      <c r="E40" s="68">
        <v>55933.81500003</v>
      </c>
      <c r="F40" s="44">
        <v>49072.28500001</v>
      </c>
      <c r="G40" s="44">
        <v>50398.485</v>
      </c>
      <c r="H40" s="44">
        <v>50769.67100001</v>
      </c>
      <c r="I40" s="44">
        <v>0</v>
      </c>
    </row>
    <row r="41" spans="1:9" ht="14.25">
      <c r="A41" s="43" t="str">
        <f>HLOOKUP(INDICE!$F$2,Nombres!$C$3:$D$636,62,FALSE)</f>
        <v>Valores representativos de deuda emitidos</v>
      </c>
      <c r="B41" s="44">
        <v>9070.749871060001</v>
      </c>
      <c r="C41" s="44">
        <v>9511.637</v>
      </c>
      <c r="D41" s="44">
        <v>9342.978</v>
      </c>
      <c r="E41" s="45">
        <v>8839.961</v>
      </c>
      <c r="F41" s="44">
        <v>8879.23002133</v>
      </c>
      <c r="G41" s="44">
        <v>7799.133000000001</v>
      </c>
      <c r="H41" s="44">
        <v>7469.49099999</v>
      </c>
      <c r="I41" s="44">
        <v>0</v>
      </c>
    </row>
    <row r="42" spans="1:9" ht="14.25">
      <c r="A42" s="43" t="str">
        <f>HLOOKUP(INDICE!$F$2,Nombres!$C$3:$D$636,63,FALSE)</f>
        <v>Otros pasivos</v>
      </c>
      <c r="B42" s="60">
        <f>+B37-B38-B39-B40-B41-B43</f>
        <v>16544.514238899996</v>
      </c>
      <c r="C42" s="60">
        <f aca="true" t="shared" si="6" ref="C42:I42">+C37-C38-C39-C40-C41-C43</f>
        <v>16286.697994840011</v>
      </c>
      <c r="D42" s="60">
        <f t="shared" si="6"/>
        <v>15590.56447592996</v>
      </c>
      <c r="E42" s="68">
        <f t="shared" si="6"/>
        <v>15514.413612049997</v>
      </c>
      <c r="F42" s="44">
        <f t="shared" si="6"/>
        <v>11831.242198670003</v>
      </c>
      <c r="G42" s="44">
        <f t="shared" si="6"/>
        <v>12535.259219990025</v>
      </c>
      <c r="H42" s="44">
        <f t="shared" si="6"/>
        <v>13085.937861569993</v>
      </c>
      <c r="I42" s="44">
        <f t="shared" si="6"/>
        <v>0</v>
      </c>
    </row>
    <row r="43" spans="1:9" ht="14.25">
      <c r="A43" s="43" t="str">
        <f>HLOOKUP(INDICE!$F$2,Nombres!$C$3:$D$636,64,FALSE)</f>
        <v>Dotación de capital económico</v>
      </c>
      <c r="B43" s="44">
        <v>3937.9230399999997</v>
      </c>
      <c r="C43" s="44">
        <v>4058.40400519</v>
      </c>
      <c r="D43" s="44">
        <v>4436.243895049998</v>
      </c>
      <c r="E43" s="45">
        <v>4888.91341839</v>
      </c>
      <c r="F43" s="44">
        <v>5551.020779990001</v>
      </c>
      <c r="G43" s="44">
        <v>5347.7917800000005</v>
      </c>
      <c r="H43" s="44">
        <v>5059.27295421</v>
      </c>
      <c r="I43" s="44">
        <v>0</v>
      </c>
    </row>
    <row r="44" spans="1:9" ht="14.25">
      <c r="A44" s="65"/>
      <c r="B44" s="60"/>
      <c r="C44" s="60"/>
      <c r="D44" s="60"/>
      <c r="E44" s="60"/>
      <c r="F44" s="81"/>
      <c r="G44" s="81"/>
      <c r="H44" s="81"/>
      <c r="I44" s="81"/>
    </row>
    <row r="45" spans="1:9" ht="14.25">
      <c r="A45" s="43"/>
      <c r="B45" s="60"/>
      <c r="C45" s="60"/>
      <c r="D45" s="60"/>
      <c r="E45" s="60"/>
      <c r="F45" s="81"/>
      <c r="G45" s="81"/>
      <c r="H45" s="81"/>
      <c r="I45" s="81"/>
    </row>
    <row r="46" spans="1:9" ht="16.5">
      <c r="A46" s="69" t="str">
        <f>HLOOKUP(INDICE!$F$2,Nombres!$C$3:$D$636,65,FALSE)</f>
        <v>Indicadores relevantes y de gestión</v>
      </c>
      <c r="B46" s="70"/>
      <c r="C46" s="70"/>
      <c r="D46" s="70"/>
      <c r="E46" s="70"/>
      <c r="F46" s="82"/>
      <c r="G46" s="82"/>
      <c r="H46" s="82"/>
      <c r="I46" s="82"/>
    </row>
    <row r="47" spans="1:9" ht="14.25">
      <c r="A47" s="35" t="str">
        <f>HLOOKUP(INDICE!$F$2,Nombres!$C$3:$D$636,32,FALSE)</f>
        <v>(Millones de euros)</v>
      </c>
      <c r="B47" s="30"/>
      <c r="C47" s="30"/>
      <c r="D47" s="30"/>
      <c r="E47" s="30"/>
      <c r="F47" s="83"/>
      <c r="G47" s="81"/>
      <c r="H47" s="81"/>
      <c r="I47" s="81"/>
    </row>
    <row r="48" spans="1:9" ht="14.25">
      <c r="A48" s="30"/>
      <c r="B48" s="55">
        <f aca="true" t="shared" si="7" ref="B48:I48">+B$30</f>
        <v>43555</v>
      </c>
      <c r="C48" s="55">
        <f t="shared" si="7"/>
        <v>43646</v>
      </c>
      <c r="D48" s="55">
        <f t="shared" si="7"/>
        <v>43738</v>
      </c>
      <c r="E48" s="71">
        <f t="shared" si="7"/>
        <v>43830</v>
      </c>
      <c r="F48" s="80">
        <f t="shared" si="7"/>
        <v>43921</v>
      </c>
      <c r="G48" s="80">
        <f t="shared" si="7"/>
        <v>44012</v>
      </c>
      <c r="H48" s="80">
        <f t="shared" si="7"/>
        <v>44104</v>
      </c>
      <c r="I48" s="80">
        <f t="shared" si="7"/>
        <v>44196</v>
      </c>
    </row>
    <row r="49" spans="1:9" ht="14.25">
      <c r="A49" s="43" t="str">
        <f>HLOOKUP(INDICE!$F$2,Nombres!$C$3:$D$636,66,FALSE)</f>
        <v>Préstamos y anticipos a la clientela bruto (*)</v>
      </c>
      <c r="B49" s="44">
        <v>55355.10392041999</v>
      </c>
      <c r="C49" s="44">
        <v>56334.9399579</v>
      </c>
      <c r="D49" s="44">
        <v>58501.76987571001</v>
      </c>
      <c r="E49" s="45">
        <v>60095.21197796</v>
      </c>
      <c r="F49" s="44">
        <v>52422.30330213001</v>
      </c>
      <c r="G49" s="44">
        <v>51411.49488526</v>
      </c>
      <c r="H49" s="44">
        <v>49803.25699865</v>
      </c>
      <c r="I49" s="44">
        <v>0</v>
      </c>
    </row>
    <row r="50" spans="1:9" ht="14.25">
      <c r="A50" s="43" t="str">
        <f>HLOOKUP(INDICE!$F$2,Nombres!$C$3:$D$636,67,FALSE)</f>
        <v>Depósitos de clientes en gestión (**)</v>
      </c>
      <c r="B50" s="44">
        <v>50829.421889699996</v>
      </c>
      <c r="C50" s="44">
        <v>52679.014800429984</v>
      </c>
      <c r="D50" s="44">
        <v>52389.60477442001</v>
      </c>
      <c r="E50" s="45">
        <v>55330.8809559</v>
      </c>
      <c r="F50" s="44">
        <v>48936.708390880005</v>
      </c>
      <c r="G50" s="44">
        <v>50131.289695130006</v>
      </c>
      <c r="H50" s="44">
        <v>50431.99854927</v>
      </c>
      <c r="I50" s="44">
        <v>0</v>
      </c>
    </row>
    <row r="51" spans="1:9" ht="14.25">
      <c r="A51" s="43" t="str">
        <f>HLOOKUP(INDICE!$F$2,Nombres!$C$3:$D$636,68,FALSE)</f>
        <v>Fondos de inversión</v>
      </c>
      <c r="B51" s="44">
        <v>19552.95962264</v>
      </c>
      <c r="C51" s="44">
        <v>20292.23132221</v>
      </c>
      <c r="D51" s="44">
        <v>21256.078480950004</v>
      </c>
      <c r="E51" s="45">
        <v>21929.47901322</v>
      </c>
      <c r="F51" s="44">
        <v>18539.349153289997</v>
      </c>
      <c r="G51" s="44">
        <v>19359.339192389998</v>
      </c>
      <c r="H51" s="44">
        <v>19592.429874099995</v>
      </c>
      <c r="I51" s="44">
        <v>0</v>
      </c>
    </row>
    <row r="52" spans="1:9" ht="14.25">
      <c r="A52" s="43" t="str">
        <f>HLOOKUP(INDICE!$F$2,Nombres!$C$3:$D$636,69,FALSE)</f>
        <v>Fondos de pensiones</v>
      </c>
      <c r="B52" s="44">
        <v>0</v>
      </c>
      <c r="C52" s="44">
        <v>0</v>
      </c>
      <c r="D52" s="44">
        <v>0</v>
      </c>
      <c r="E52" s="45">
        <v>0</v>
      </c>
      <c r="F52" s="44">
        <v>0</v>
      </c>
      <c r="G52" s="44">
        <v>0</v>
      </c>
      <c r="H52" s="44">
        <v>0</v>
      </c>
      <c r="I52" s="44">
        <v>0</v>
      </c>
    </row>
    <row r="53" spans="1:9" ht="14.25">
      <c r="A53" s="43" t="str">
        <f>HLOOKUP(INDICE!$F$2,Nombres!$C$3:$D$636,70,FALSE)</f>
        <v>Otros recursos fuera de balance</v>
      </c>
      <c r="B53" s="44">
        <v>3190.65869424</v>
      </c>
      <c r="C53" s="44">
        <v>3126.70753434</v>
      </c>
      <c r="D53" s="44">
        <v>2898.59580942</v>
      </c>
      <c r="E53" s="45">
        <v>2534.22569093</v>
      </c>
      <c r="F53" s="44">
        <v>2078.08252384</v>
      </c>
      <c r="G53" s="44">
        <v>1912.0187057399999</v>
      </c>
      <c r="H53" s="44">
        <v>1735.1617847599998</v>
      </c>
      <c r="I53" s="44">
        <v>0</v>
      </c>
    </row>
    <row r="54" spans="1:9" ht="14.25">
      <c r="A54" s="65" t="str">
        <f>HLOOKUP(INDICE!$F$2,Nombres!$C$3:$D$636,71,FALSE)</f>
        <v>(*) No incluye las adquisiciones temporales de activos.</v>
      </c>
      <c r="B54" s="60"/>
      <c r="C54" s="60"/>
      <c r="D54" s="60"/>
      <c r="E54" s="60"/>
      <c r="F54" s="60"/>
      <c r="G54" s="60"/>
      <c r="H54" s="60"/>
      <c r="I54" s="60"/>
    </row>
    <row r="55" spans="1:9" ht="14.25">
      <c r="A55" s="65" t="str">
        <f>HLOOKUP(INDICE!$F$2,Nombres!$C$3:$D$636,72,FALSE)</f>
        <v>(**) No incluye las cesiones temporales de activos.</v>
      </c>
      <c r="B55" s="30"/>
      <c r="C55" s="30"/>
      <c r="D55" s="30"/>
      <c r="E55" s="30"/>
      <c r="F55" s="30"/>
      <c r="G55" s="30"/>
      <c r="H55" s="30"/>
      <c r="I55" s="30"/>
    </row>
    <row r="56" spans="1:9" ht="14.25">
      <c r="A56" s="65"/>
      <c r="B56" s="30"/>
      <c r="C56" s="30"/>
      <c r="D56" s="30"/>
      <c r="E56" s="30"/>
      <c r="F56" s="30"/>
      <c r="G56" s="30"/>
      <c r="H56" s="30"/>
      <c r="I56" s="30"/>
    </row>
    <row r="57" spans="1:9" ht="16.5">
      <c r="A57" s="33" t="str">
        <f>HLOOKUP(INDICE!$F$2,Nombres!$C$3:$D$636,31,FALSE)</f>
        <v>Cuenta de resultados  </v>
      </c>
      <c r="B57" s="34"/>
      <c r="C57" s="34"/>
      <c r="D57" s="34"/>
      <c r="E57" s="34"/>
      <c r="F57" s="34"/>
      <c r="G57" s="34"/>
      <c r="H57" s="34"/>
      <c r="I57" s="34"/>
    </row>
    <row r="58" spans="1:9" ht="14.25">
      <c r="A58" s="35" t="str">
        <f>HLOOKUP(INDICE!$F$2,Nombres!$C$3:$D$636,73,FALSE)</f>
        <v>(Millones de euros constantes)</v>
      </c>
      <c r="B58" s="30"/>
      <c r="C58" s="36"/>
      <c r="D58" s="36"/>
      <c r="E58" s="36"/>
      <c r="F58" s="30"/>
      <c r="G58" s="30"/>
      <c r="H58" s="30"/>
      <c r="I58" s="30"/>
    </row>
    <row r="59" spans="1:9" ht="14.25">
      <c r="A59" s="37"/>
      <c r="B59" s="30"/>
      <c r="C59" s="36"/>
      <c r="D59" s="36"/>
      <c r="E59" s="36"/>
      <c r="F59" s="30"/>
      <c r="G59" s="30"/>
      <c r="H59" s="30"/>
      <c r="I59" s="30"/>
    </row>
    <row r="60" spans="1:9" ht="14.25">
      <c r="A60" s="38"/>
      <c r="B60" s="305">
        <f>+B$6</f>
        <v>2019</v>
      </c>
      <c r="C60" s="305"/>
      <c r="D60" s="305"/>
      <c r="E60" s="306"/>
      <c r="F60" s="305">
        <f>+F$6</f>
        <v>2020</v>
      </c>
      <c r="G60" s="305"/>
      <c r="H60" s="305"/>
      <c r="I60" s="305"/>
    </row>
    <row r="61" spans="1:9" ht="14.25">
      <c r="A61" s="38"/>
      <c r="B61" s="39" t="str">
        <f>+B$7</f>
        <v>1er Trim.</v>
      </c>
      <c r="C61" s="39" t="str">
        <f aca="true" t="shared" si="8" ref="C61:I61">+C$7</f>
        <v>2º Trim.</v>
      </c>
      <c r="D61" s="39" t="str">
        <f t="shared" si="8"/>
        <v>3er Trim.</v>
      </c>
      <c r="E61" s="40" t="str">
        <f t="shared" si="8"/>
        <v>4º Trim.</v>
      </c>
      <c r="F61" s="39" t="str">
        <f t="shared" si="8"/>
        <v>1er Trim.</v>
      </c>
      <c r="G61" s="39" t="str">
        <f t="shared" si="8"/>
        <v>2º Trim.</v>
      </c>
      <c r="H61" s="39" t="str">
        <f t="shared" si="8"/>
        <v>3er Trim.</v>
      </c>
      <c r="I61" s="39" t="str">
        <f t="shared" si="8"/>
        <v>4º Trim.</v>
      </c>
    </row>
    <row r="62" spans="1:9" ht="14.25">
      <c r="A62" s="41" t="str">
        <f>HLOOKUP(INDICE!$F$2,Nombres!$C$3:$D$636,33,FALSE)</f>
        <v>Margen de intereses</v>
      </c>
      <c r="B62" s="41">
        <v>1332.8792441482133</v>
      </c>
      <c r="C62" s="41">
        <v>1351.6202898954662</v>
      </c>
      <c r="D62" s="41">
        <v>1369.6694891361383</v>
      </c>
      <c r="E62" s="42">
        <v>1399.6464854366968</v>
      </c>
      <c r="F62" s="52">
        <v>1391.2655565989276</v>
      </c>
      <c r="G62" s="52">
        <v>1252.6456012565577</v>
      </c>
      <c r="H62" s="52">
        <v>1392.1039407945145</v>
      </c>
      <c r="I62" s="52">
        <v>0</v>
      </c>
    </row>
    <row r="63" spans="1:9" ht="14.25">
      <c r="A63" s="43" t="str">
        <f>HLOOKUP(INDICE!$F$2,Nombres!$C$3:$D$636,34,FALSE)</f>
        <v>Comisiones netas</v>
      </c>
      <c r="B63" s="44">
        <v>266.8894121813601</v>
      </c>
      <c r="C63" s="44">
        <v>281.1987332646501</v>
      </c>
      <c r="D63" s="44">
        <v>290.955474537048</v>
      </c>
      <c r="E63" s="45">
        <v>301.3160057237934</v>
      </c>
      <c r="F63" s="44">
        <v>266.70984062117566</v>
      </c>
      <c r="G63" s="44">
        <v>232.1343477644025</v>
      </c>
      <c r="H63" s="44">
        <v>267.10436771442176</v>
      </c>
      <c r="I63" s="44">
        <v>0</v>
      </c>
    </row>
    <row r="64" spans="1:9" ht="14.25">
      <c r="A64" s="43" t="str">
        <f>HLOOKUP(INDICE!$F$2,Nombres!$C$3:$D$636,35,FALSE)</f>
        <v>Resultados de operaciones financieras</v>
      </c>
      <c r="B64" s="44">
        <v>55.543473735399644</v>
      </c>
      <c r="C64" s="44">
        <v>63.92877410701769</v>
      </c>
      <c r="D64" s="44">
        <v>93.13720358010211</v>
      </c>
      <c r="E64" s="45">
        <v>59.59364057683902</v>
      </c>
      <c r="F64" s="44">
        <v>70.39647733592804</v>
      </c>
      <c r="G64" s="44">
        <v>154.84250162572397</v>
      </c>
      <c r="H64" s="44">
        <v>104.870783418348</v>
      </c>
      <c r="I64" s="44">
        <v>0</v>
      </c>
    </row>
    <row r="65" spans="1:9" ht="14.25">
      <c r="A65" s="43" t="str">
        <f>HLOOKUP(INDICE!$F$2,Nombres!$C$3:$D$636,36,FALSE)</f>
        <v>Otros ingresos y cargas de explotación</v>
      </c>
      <c r="B65" s="44">
        <v>35.311292535062805</v>
      </c>
      <c r="C65" s="44">
        <v>54.404423374946575</v>
      </c>
      <c r="D65" s="44">
        <v>16.595338078412254</v>
      </c>
      <c r="E65" s="45">
        <v>79.86942789888084</v>
      </c>
      <c r="F65" s="44">
        <v>63.856601853588415</v>
      </c>
      <c r="G65" s="44">
        <v>22.145176534473006</v>
      </c>
      <c r="H65" s="44">
        <v>12.90222160193861</v>
      </c>
      <c r="I65" s="44">
        <v>0</v>
      </c>
    </row>
    <row r="66" spans="1:9" ht="14.25">
      <c r="A66" s="41" t="str">
        <f>HLOOKUP(INDICE!$F$2,Nombres!$C$3:$D$636,37,FALSE)</f>
        <v>Margen bruto</v>
      </c>
      <c r="B66" s="41">
        <f>+SUM(B62:B65)</f>
        <v>1690.6234226000358</v>
      </c>
      <c r="C66" s="41">
        <f aca="true" t="shared" si="9" ref="C66:I66">+SUM(C62:C65)</f>
        <v>1751.1522206420807</v>
      </c>
      <c r="D66" s="41">
        <f t="shared" si="9"/>
        <v>1770.3575053317006</v>
      </c>
      <c r="E66" s="42">
        <f t="shared" si="9"/>
        <v>1840.42555963621</v>
      </c>
      <c r="F66" s="52">
        <f t="shared" si="9"/>
        <v>1792.2284764096198</v>
      </c>
      <c r="G66" s="52">
        <f t="shared" si="9"/>
        <v>1661.7676271811572</v>
      </c>
      <c r="H66" s="52">
        <f t="shared" si="9"/>
        <v>1776.981313529223</v>
      </c>
      <c r="I66" s="52">
        <f t="shared" si="9"/>
        <v>0</v>
      </c>
    </row>
    <row r="67" spans="1:9" ht="14.25">
      <c r="A67" s="43" t="str">
        <f>HLOOKUP(INDICE!$F$2,Nombres!$C$3:$D$636,38,FALSE)</f>
        <v>Gastos de explotación</v>
      </c>
      <c r="B67" s="44">
        <v>-563.6809197820885</v>
      </c>
      <c r="C67" s="44">
        <v>-574.558025495723</v>
      </c>
      <c r="D67" s="44">
        <v>-587.9445821851093</v>
      </c>
      <c r="E67" s="45">
        <v>-597.100232491696</v>
      </c>
      <c r="F67" s="44">
        <v>-594.4907460679792</v>
      </c>
      <c r="G67" s="44">
        <v>-573.468311533589</v>
      </c>
      <c r="H67" s="44">
        <v>-574.1804375184317</v>
      </c>
      <c r="I67" s="44">
        <v>0</v>
      </c>
    </row>
    <row r="68" spans="1:9" ht="14.25">
      <c r="A68" s="43" t="str">
        <f>HLOOKUP(INDICE!$F$2,Nombres!$C$3:$D$636,39,FALSE)</f>
        <v>  Gastos de administración</v>
      </c>
      <c r="B68" s="44">
        <v>-488.99433539302396</v>
      </c>
      <c r="C68" s="44">
        <v>-497.39209756783623</v>
      </c>
      <c r="D68" s="44">
        <v>-510.6997831055992</v>
      </c>
      <c r="E68" s="45">
        <v>-522.5457792764724</v>
      </c>
      <c r="F68" s="44">
        <v>-517.4974170377918</v>
      </c>
      <c r="G68" s="44">
        <v>-496.1131580663121</v>
      </c>
      <c r="H68" s="44">
        <v>-495.559427045896</v>
      </c>
      <c r="I68" s="44">
        <v>0</v>
      </c>
    </row>
    <row r="69" spans="1:9" ht="14.25">
      <c r="A69" s="46" t="str">
        <f>HLOOKUP(INDICE!$F$2,Nombres!$C$3:$D$636,40,FALSE)</f>
        <v>  Gastos de personal</v>
      </c>
      <c r="B69" s="44">
        <v>-239.09098844108314</v>
      </c>
      <c r="C69" s="44">
        <v>-244.30301358264558</v>
      </c>
      <c r="D69" s="44">
        <v>-250.1144240670623</v>
      </c>
      <c r="E69" s="45">
        <v>-254.2230721883689</v>
      </c>
      <c r="F69" s="44">
        <v>-257.4091642835958</v>
      </c>
      <c r="G69" s="44">
        <v>-219.68897910192143</v>
      </c>
      <c r="H69" s="44">
        <v>-239.1375123244827</v>
      </c>
      <c r="I69" s="44">
        <v>0</v>
      </c>
    </row>
    <row r="70" spans="1:9" ht="14.25">
      <c r="A70" s="46" t="str">
        <f>HLOOKUP(INDICE!$F$2,Nombres!$C$3:$D$636,41,FALSE)</f>
        <v>  Otros gastos de administración</v>
      </c>
      <c r="B70" s="44">
        <v>-249.90334695194076</v>
      </c>
      <c r="C70" s="44">
        <v>-253.08908398519068</v>
      </c>
      <c r="D70" s="44">
        <v>-260.5853590385369</v>
      </c>
      <c r="E70" s="45">
        <v>-268.32270708810347</v>
      </c>
      <c r="F70" s="44">
        <v>-260.08825275419605</v>
      </c>
      <c r="G70" s="44">
        <v>-276.42417896439076</v>
      </c>
      <c r="H70" s="44">
        <v>-256.42191472141326</v>
      </c>
      <c r="I70" s="44">
        <v>0</v>
      </c>
    </row>
    <row r="71" spans="1:9" ht="14.25">
      <c r="A71" s="43" t="str">
        <f>HLOOKUP(INDICE!$F$2,Nombres!$C$3:$D$636,42,FALSE)</f>
        <v>  Amortización</v>
      </c>
      <c r="B71" s="44">
        <v>-74.68658438906458</v>
      </c>
      <c r="C71" s="44">
        <v>-77.1659279278867</v>
      </c>
      <c r="D71" s="44">
        <v>-77.24479907951007</v>
      </c>
      <c r="E71" s="45">
        <v>-74.55445321522357</v>
      </c>
      <c r="F71" s="44">
        <v>-76.99332903018728</v>
      </c>
      <c r="G71" s="44">
        <v>-77.35515346727686</v>
      </c>
      <c r="H71" s="44">
        <v>-78.62101047253586</v>
      </c>
      <c r="I71" s="44">
        <v>0</v>
      </c>
    </row>
    <row r="72" spans="1:9" ht="14.25">
      <c r="A72" s="41" t="str">
        <f>HLOOKUP(INDICE!$F$2,Nombres!$C$3:$D$636,43,FALSE)</f>
        <v>Margen neto</v>
      </c>
      <c r="B72" s="41">
        <f>+B66+B67</f>
        <v>1126.9425028179473</v>
      </c>
      <c r="C72" s="41">
        <f aca="true" t="shared" si="10" ref="C72:I72">+C66+C67</f>
        <v>1176.5941951463578</v>
      </c>
      <c r="D72" s="41">
        <f t="shared" si="10"/>
        <v>1182.4129231465913</v>
      </c>
      <c r="E72" s="42">
        <f t="shared" si="10"/>
        <v>1243.325327144514</v>
      </c>
      <c r="F72" s="52">
        <f t="shared" si="10"/>
        <v>1197.7377303416406</v>
      </c>
      <c r="G72" s="52">
        <f t="shared" si="10"/>
        <v>1088.2993156475682</v>
      </c>
      <c r="H72" s="52">
        <f t="shared" si="10"/>
        <v>1202.8008760107912</v>
      </c>
      <c r="I72" s="52">
        <f t="shared" si="10"/>
        <v>0</v>
      </c>
    </row>
    <row r="73" spans="1:9" ht="14.25">
      <c r="A73" s="43" t="str">
        <f>HLOOKUP(INDICE!$F$2,Nombres!$C$3:$D$636,44,FALSE)</f>
        <v>Deterioro de activos financieros no valorados a valor razonable con cambios en resultados</v>
      </c>
      <c r="B73" s="44">
        <v>-350.64242349763185</v>
      </c>
      <c r="C73" s="44">
        <v>-370.90480469694523</v>
      </c>
      <c r="D73" s="44">
        <v>-369.91721647085524</v>
      </c>
      <c r="E73" s="45">
        <v>-399.7352832482751</v>
      </c>
      <c r="F73" s="44">
        <v>-696.0447030975415</v>
      </c>
      <c r="G73" s="44">
        <v>-660.7774301296922</v>
      </c>
      <c r="H73" s="44">
        <v>-392.4018667927665</v>
      </c>
      <c r="I73" s="44">
        <v>0</v>
      </c>
    </row>
    <row r="74" spans="1:9" ht="14.25">
      <c r="A74" s="43" t="str">
        <f>HLOOKUP(INDICE!$F$2,Nombres!$C$3:$D$636,45,FALSE)</f>
        <v>Provisiones o reversión de provisiones y otros resultados</v>
      </c>
      <c r="B74" s="44">
        <v>3.288078085638486</v>
      </c>
      <c r="C74" s="44">
        <v>-11.69873342547777</v>
      </c>
      <c r="D74" s="44">
        <v>-4.061783256932269</v>
      </c>
      <c r="E74" s="45">
        <v>16.542830919993257</v>
      </c>
      <c r="F74" s="44">
        <v>-11.357626689520005</v>
      </c>
      <c r="G74" s="44">
        <v>-50.785851198311136</v>
      </c>
      <c r="H74" s="44">
        <v>14.260477907831149</v>
      </c>
      <c r="I74" s="44">
        <v>0</v>
      </c>
    </row>
    <row r="75" spans="1:9" ht="14.25">
      <c r="A75" s="41" t="str">
        <f>HLOOKUP(INDICE!$F$2,Nombres!$C$3:$D$636,46,FALSE)</f>
        <v>Resultado antes de impuestos</v>
      </c>
      <c r="B75" s="41">
        <f>+B72+B73+B74</f>
        <v>779.588157405954</v>
      </c>
      <c r="C75" s="41">
        <f aca="true" t="shared" si="11" ref="C75:I75">+C72+C73+C74</f>
        <v>793.9906570239348</v>
      </c>
      <c r="D75" s="41">
        <f t="shared" si="11"/>
        <v>808.4339234188038</v>
      </c>
      <c r="E75" s="42">
        <f t="shared" si="11"/>
        <v>860.1328748162321</v>
      </c>
      <c r="F75" s="52">
        <f t="shared" si="11"/>
        <v>490.33540055457905</v>
      </c>
      <c r="G75" s="52">
        <f t="shared" si="11"/>
        <v>376.7360343195648</v>
      </c>
      <c r="H75" s="52">
        <f t="shared" si="11"/>
        <v>824.6594871258559</v>
      </c>
      <c r="I75" s="52">
        <f t="shared" si="11"/>
        <v>0</v>
      </c>
    </row>
    <row r="76" spans="1:9" ht="14.25">
      <c r="A76" s="43" t="str">
        <f>HLOOKUP(INDICE!$F$2,Nombres!$C$3:$D$636,47,FALSE)</f>
        <v>Impuesto sobre beneficios</v>
      </c>
      <c r="B76" s="44">
        <v>-222.1782758701876</v>
      </c>
      <c r="C76" s="44">
        <v>-215.9096234246794</v>
      </c>
      <c r="D76" s="44">
        <v>-211.41763862847483</v>
      </c>
      <c r="E76" s="45">
        <v>-221.6369078549903</v>
      </c>
      <c r="F76" s="44">
        <v>-155.08724688684978</v>
      </c>
      <c r="G76" s="44">
        <v>-75.1081678038239</v>
      </c>
      <c r="H76" s="44">
        <v>-257.1693280593263</v>
      </c>
      <c r="I76" s="44">
        <v>0</v>
      </c>
    </row>
    <row r="77" spans="1:9" ht="14.25">
      <c r="A77" s="41" t="str">
        <f>HLOOKUP(INDICE!$F$2,Nombres!$C$3:$D$636,48,FALSE)</f>
        <v>Resultado del ejercicio</v>
      </c>
      <c r="B77" s="41">
        <f>+B75+B76</f>
        <v>557.4098815357664</v>
      </c>
      <c r="C77" s="41">
        <f aca="true" t="shared" si="12" ref="C77:I77">+C75+C76</f>
        <v>578.0810335992553</v>
      </c>
      <c r="D77" s="41">
        <f t="shared" si="12"/>
        <v>597.016284790329</v>
      </c>
      <c r="E77" s="42">
        <f t="shared" si="12"/>
        <v>638.4959669612417</v>
      </c>
      <c r="F77" s="52">
        <f t="shared" si="12"/>
        <v>335.2481536677293</v>
      </c>
      <c r="G77" s="52">
        <f t="shared" si="12"/>
        <v>301.6278665157409</v>
      </c>
      <c r="H77" s="52">
        <f t="shared" si="12"/>
        <v>567.4901590665296</v>
      </c>
      <c r="I77" s="52">
        <f t="shared" si="12"/>
        <v>0</v>
      </c>
    </row>
    <row r="78" spans="1:9" ht="14.25">
      <c r="A78" s="43" t="str">
        <f>HLOOKUP(INDICE!$F$2,Nombres!$C$3:$D$636,49,FALSE)</f>
        <v>Minoritarios</v>
      </c>
      <c r="B78" s="44">
        <v>-0.10041968180350055</v>
      </c>
      <c r="C78" s="44">
        <v>-0.11222907386453923</v>
      </c>
      <c r="D78" s="44">
        <v>-0.10471609501985628</v>
      </c>
      <c r="E78" s="45">
        <v>-0.11655267175344479</v>
      </c>
      <c r="F78" s="44">
        <v>-0.06122224468680363</v>
      </c>
      <c r="G78" s="44">
        <v>-0.05748544948236787</v>
      </c>
      <c r="H78" s="44">
        <v>-0.11529230583082847</v>
      </c>
      <c r="I78" s="44">
        <v>0</v>
      </c>
    </row>
    <row r="79" spans="1:9" ht="14.25">
      <c r="A79" s="47" t="str">
        <f>HLOOKUP(INDICE!$F$2,Nombres!$C$3:$D$636,50,FALSE)</f>
        <v>Resultado atribuido</v>
      </c>
      <c r="B79" s="47">
        <f>+B77+B78</f>
        <v>557.309461853963</v>
      </c>
      <c r="C79" s="47">
        <f aca="true" t="shared" si="13" ref="C79:I79">+C77+C78</f>
        <v>577.9688045253907</v>
      </c>
      <c r="D79" s="47">
        <f t="shared" si="13"/>
        <v>596.9115686953091</v>
      </c>
      <c r="E79" s="47">
        <f t="shared" si="13"/>
        <v>638.3794142894883</v>
      </c>
      <c r="F79" s="53">
        <f t="shared" si="13"/>
        <v>335.1869314230425</v>
      </c>
      <c r="G79" s="53">
        <f t="shared" si="13"/>
        <v>301.5703810662585</v>
      </c>
      <c r="H79" s="53">
        <f t="shared" si="13"/>
        <v>567.3748667606988</v>
      </c>
      <c r="I79" s="53">
        <f t="shared" si="13"/>
        <v>0</v>
      </c>
    </row>
    <row r="80" spans="1:9" ht="14.25">
      <c r="A80" s="65"/>
      <c r="B80" s="66">
        <v>0</v>
      </c>
      <c r="C80" s="66">
        <v>0</v>
      </c>
      <c r="D80" s="66">
        <v>0</v>
      </c>
      <c r="E80" s="66">
        <v>0</v>
      </c>
      <c r="F80" s="66">
        <v>0</v>
      </c>
      <c r="G80" s="66">
        <v>0</v>
      </c>
      <c r="H80" s="66">
        <v>0</v>
      </c>
      <c r="I80" s="66">
        <v>0</v>
      </c>
    </row>
    <row r="81" spans="1:9" ht="14.25">
      <c r="A81" s="41"/>
      <c r="B81" s="41"/>
      <c r="C81" s="41"/>
      <c r="D81" s="41"/>
      <c r="E81" s="41"/>
      <c r="F81" s="52"/>
      <c r="G81" s="52"/>
      <c r="H81" s="52"/>
      <c r="I81" s="52"/>
    </row>
    <row r="82" spans="1:9" ht="16.5">
      <c r="A82" s="33" t="str">
        <f>HLOOKUP(INDICE!$F$2,Nombres!$C$3:$D$636,51,FALSE)</f>
        <v>Balances</v>
      </c>
      <c r="B82" s="34"/>
      <c r="C82" s="34"/>
      <c r="D82" s="34"/>
      <c r="E82" s="34"/>
      <c r="F82" s="72"/>
      <c r="G82" s="72"/>
      <c r="H82" s="72"/>
      <c r="I82" s="72"/>
    </row>
    <row r="83" spans="1:9" ht="14.25">
      <c r="A83" s="35" t="str">
        <f>HLOOKUP(INDICE!$F$2,Nombres!$C$3:$D$636,73,FALSE)</f>
        <v>(Millones de euros constantes)</v>
      </c>
      <c r="B83" s="30"/>
      <c r="C83" s="54"/>
      <c r="D83" s="54"/>
      <c r="E83" s="54"/>
      <c r="F83" s="73"/>
      <c r="G83" s="44"/>
      <c r="H83" s="44"/>
      <c r="I83" s="44"/>
    </row>
    <row r="84" spans="1:9" ht="14.25">
      <c r="A84" s="30"/>
      <c r="B84" s="55">
        <f aca="true" t="shared" si="14" ref="B84:I84">+B$30</f>
        <v>43555</v>
      </c>
      <c r="C84" s="55">
        <f t="shared" si="14"/>
        <v>43646</v>
      </c>
      <c r="D84" s="55">
        <f t="shared" si="14"/>
        <v>43738</v>
      </c>
      <c r="E84" s="71">
        <f t="shared" si="14"/>
        <v>43830</v>
      </c>
      <c r="F84" s="55">
        <f t="shared" si="14"/>
        <v>43921</v>
      </c>
      <c r="G84" s="55">
        <f t="shared" si="14"/>
        <v>44012</v>
      </c>
      <c r="H84" s="55">
        <f t="shared" si="14"/>
        <v>44104</v>
      </c>
      <c r="I84" s="55">
        <f t="shared" si="14"/>
        <v>44196</v>
      </c>
    </row>
    <row r="85" spans="1:9" ht="14.25">
      <c r="A85" s="43" t="str">
        <f>HLOOKUP(INDICE!$F$2,Nombres!$C$3:$D$636,52,FALSE)</f>
        <v>Efectivo, saldos en efectivo en bancos centrales y otros depósitos a la vista</v>
      </c>
      <c r="B85" s="44">
        <v>7188.73892505431</v>
      </c>
      <c r="C85" s="44">
        <v>8375.832480091265</v>
      </c>
      <c r="D85" s="44">
        <v>5596.4903878851555</v>
      </c>
      <c r="E85" s="45">
        <v>5258.699899187826</v>
      </c>
      <c r="F85" s="44">
        <v>5846.795505702352</v>
      </c>
      <c r="G85" s="44">
        <v>6502.761259461178</v>
      </c>
      <c r="H85" s="44">
        <v>7988.985</v>
      </c>
      <c r="I85" s="44">
        <v>0</v>
      </c>
    </row>
    <row r="86" spans="1:9" ht="14.25">
      <c r="A86" s="43" t="str">
        <f>HLOOKUP(INDICE!$F$2,Nombres!$C$3:$D$636,53,FALSE)</f>
        <v>Activos financieros a valor razonable</v>
      </c>
      <c r="B86" s="60">
        <v>21697.80515279615</v>
      </c>
      <c r="C86" s="60">
        <v>23670.48777872622</v>
      </c>
      <c r="D86" s="60">
        <v>25125.943321398307</v>
      </c>
      <c r="E86" s="68">
        <v>25448.100044430525</v>
      </c>
      <c r="F86" s="44">
        <v>34740.31987775771</v>
      </c>
      <c r="G86" s="44">
        <v>33632.986197000595</v>
      </c>
      <c r="H86" s="44">
        <v>31937.569</v>
      </c>
      <c r="I86" s="44">
        <v>0</v>
      </c>
    </row>
    <row r="87" spans="1:9" ht="14.25">
      <c r="A87" s="43" t="str">
        <f>HLOOKUP(INDICE!$F$2,Nombres!$C$3:$D$636,54,FALSE)</f>
        <v>Activos financieros a coste amortizado</v>
      </c>
      <c r="B87" s="44">
        <v>50327.4814277909</v>
      </c>
      <c r="C87" s="44">
        <v>51257.053857097766</v>
      </c>
      <c r="D87" s="44">
        <v>52907.596711161284</v>
      </c>
      <c r="E87" s="45">
        <v>53632.75804678793</v>
      </c>
      <c r="F87" s="44">
        <v>58821.8383146721</v>
      </c>
      <c r="G87" s="44">
        <v>57887.200302228324</v>
      </c>
      <c r="H87" s="44">
        <v>56832.28199996</v>
      </c>
      <c r="I87" s="44">
        <v>0</v>
      </c>
    </row>
    <row r="88" spans="1:9" ht="14.25">
      <c r="A88" s="43" t="str">
        <f>HLOOKUP(INDICE!$F$2,Nombres!$C$3:$D$636,55,FALSE)</f>
        <v>    de los que préstamos y anticipos a la clientela</v>
      </c>
      <c r="B88" s="44">
        <v>44301.81228583834</v>
      </c>
      <c r="C88" s="44">
        <v>45358.74453585802</v>
      </c>
      <c r="D88" s="44">
        <v>46296.644231484686</v>
      </c>
      <c r="E88" s="45">
        <v>47068.631069008705</v>
      </c>
      <c r="F88" s="44">
        <v>50469.39727049698</v>
      </c>
      <c r="G88" s="44">
        <v>48990.653692929234</v>
      </c>
      <c r="H88" s="44">
        <v>47788.48999996</v>
      </c>
      <c r="I88" s="44">
        <v>0</v>
      </c>
    </row>
    <row r="89" spans="1:9" ht="14.25">
      <c r="A89" s="43" t="str">
        <f>HLOOKUP(INDICE!$F$2,Nombres!$C$3:$D$636,56,FALSE)</f>
        <v>Activos tangibles</v>
      </c>
      <c r="B89" s="44">
        <v>1681.156047676973</v>
      </c>
      <c r="C89" s="44">
        <v>1683.6879413834522</v>
      </c>
      <c r="D89" s="44">
        <v>1636.0268226911505</v>
      </c>
      <c r="E89" s="45">
        <v>1638.692520638947</v>
      </c>
      <c r="F89" s="44">
        <v>1597.2872611807718</v>
      </c>
      <c r="G89" s="44">
        <v>1567.9727865446994</v>
      </c>
      <c r="H89" s="44">
        <v>1537.6999999799998</v>
      </c>
      <c r="I89" s="44">
        <v>0</v>
      </c>
    </row>
    <row r="90" spans="1:9" ht="14.25">
      <c r="A90" s="43" t="str">
        <f>HLOOKUP(INDICE!$F$2,Nombres!$C$3:$D$636,57,FALSE)</f>
        <v>Otros activos</v>
      </c>
      <c r="B90" s="60">
        <f>+B91-B89-B87-B86-B85</f>
        <v>3382.324256222647</v>
      </c>
      <c r="C90" s="60">
        <f aca="true" t="shared" si="15" ref="C90:I90">+C91-C89-C87-C86-C85</f>
        <v>2815.8235399925525</v>
      </c>
      <c r="D90" s="60">
        <f t="shared" si="15"/>
        <v>2502.3732830798826</v>
      </c>
      <c r="E90" s="68">
        <f t="shared" si="15"/>
        <v>2419.374147103774</v>
      </c>
      <c r="F90" s="44">
        <f t="shared" si="15"/>
        <v>3164.7051943436145</v>
      </c>
      <c r="G90" s="44">
        <f t="shared" si="15"/>
        <v>3138.4763786712647</v>
      </c>
      <c r="H90" s="44">
        <f t="shared" si="15"/>
        <v>3119.2128158699825</v>
      </c>
      <c r="I90" s="44">
        <f t="shared" si="15"/>
        <v>0</v>
      </c>
    </row>
    <row r="91" spans="1:9" ht="14.25">
      <c r="A91" s="47" t="str">
        <f>HLOOKUP(INDICE!$F$2,Nombres!$C$3:$D$636,58,FALSE)</f>
        <v>Total activo / pasivo</v>
      </c>
      <c r="B91" s="47">
        <v>84277.50580954098</v>
      </c>
      <c r="C91" s="47">
        <v>87802.88559729126</v>
      </c>
      <c r="D91" s="47">
        <v>87768.43052621579</v>
      </c>
      <c r="E91" s="47">
        <v>88397.624658149</v>
      </c>
      <c r="F91" s="53">
        <v>104170.94615365655</v>
      </c>
      <c r="G91" s="53">
        <v>102729.39692390607</v>
      </c>
      <c r="H91" s="53">
        <v>101415.74881580999</v>
      </c>
      <c r="I91" s="53">
        <v>0</v>
      </c>
    </row>
    <row r="92" spans="1:9" ht="14.25">
      <c r="A92" s="43" t="str">
        <f>HLOOKUP(INDICE!$F$2,Nombres!$C$3:$D$636,59,FALSE)</f>
        <v>Pasivos financieros mantenidos para negociar y designados a valor razonable con cambios en resultados</v>
      </c>
      <c r="B92" s="60">
        <v>14701.455311353924</v>
      </c>
      <c r="C92" s="60">
        <v>17234.14243027751</v>
      </c>
      <c r="D92" s="60">
        <v>18704.35331931974</v>
      </c>
      <c r="E92" s="68">
        <v>17654.062437150467</v>
      </c>
      <c r="F92" s="44">
        <v>25590.198423346403</v>
      </c>
      <c r="G92" s="44">
        <v>24271.688951110933</v>
      </c>
      <c r="H92" s="44">
        <v>21571.643000009997</v>
      </c>
      <c r="I92" s="44">
        <v>0</v>
      </c>
    </row>
    <row r="93" spans="1:9" ht="14.25">
      <c r="A93" s="43" t="str">
        <f>HLOOKUP(INDICE!$F$2,Nombres!$C$3:$D$636,60,FALSE)</f>
        <v>Depósitos de bancos centrales y entidades de crédito</v>
      </c>
      <c r="B93" s="60">
        <v>2926.802197373077</v>
      </c>
      <c r="C93" s="60">
        <v>1556.4879114445657</v>
      </c>
      <c r="D93" s="60">
        <v>1724.1564268283198</v>
      </c>
      <c r="E93" s="68">
        <v>1715.914054429825</v>
      </c>
      <c r="F93" s="44">
        <v>3268.834962442422</v>
      </c>
      <c r="G93" s="44">
        <v>3067.973525776222</v>
      </c>
      <c r="H93" s="44">
        <v>3459.73300002</v>
      </c>
      <c r="I93" s="44">
        <v>0</v>
      </c>
    </row>
    <row r="94" spans="1:9" ht="14.25">
      <c r="A94" s="43" t="str">
        <f>HLOOKUP(INDICE!$F$2,Nombres!$C$3:$D$636,61,FALSE)</f>
        <v>Depósitos de la clientela</v>
      </c>
      <c r="B94" s="60">
        <v>42167.93920279868</v>
      </c>
      <c r="C94" s="60">
        <v>44132.28555365531</v>
      </c>
      <c r="D94" s="60">
        <v>43278.38388879773</v>
      </c>
      <c r="E94" s="68">
        <v>45328.84501900522</v>
      </c>
      <c r="F94" s="44">
        <v>49058.04202784967</v>
      </c>
      <c r="G94" s="44">
        <v>49940.785887182006</v>
      </c>
      <c r="H94" s="44">
        <v>50769.67100001</v>
      </c>
      <c r="I94" s="44">
        <v>0</v>
      </c>
    </row>
    <row r="95" spans="1:9" ht="14.25">
      <c r="A95" s="43" t="str">
        <f>HLOOKUP(INDICE!$F$2,Nombres!$C$3:$D$636,62,FALSE)</f>
        <v>Valores representativos de deuda emitidos</v>
      </c>
      <c r="B95" s="44">
        <v>7514.040032887037</v>
      </c>
      <c r="C95" s="44">
        <v>7926.158324771008</v>
      </c>
      <c r="D95" s="44">
        <v>7654.342697005549</v>
      </c>
      <c r="E95" s="45">
        <v>7163.917250107747</v>
      </c>
      <c r="F95" s="44">
        <v>8876.6528716008</v>
      </c>
      <c r="G95" s="44">
        <v>7728.304357931701</v>
      </c>
      <c r="H95" s="44">
        <v>7469.49099999</v>
      </c>
      <c r="I95" s="44">
        <v>0</v>
      </c>
    </row>
    <row r="96" spans="1:9" ht="14.25">
      <c r="A96" s="43" t="str">
        <f>HLOOKUP(INDICE!$F$2,Nombres!$C$3:$D$636,63,FALSE)</f>
        <v>Otros pasivos</v>
      </c>
      <c r="B96" s="60">
        <f>+B91-B92-B93-B94-B95-B97</f>
        <v>13705.167057068973</v>
      </c>
      <c r="C96" s="60">
        <f aca="true" t="shared" si="16" ref="C96:I96">+C91-C92-C93-C94-C95-C97</f>
        <v>13571.895867644263</v>
      </c>
      <c r="D96" s="60">
        <f t="shared" si="16"/>
        <v>12772.750116561232</v>
      </c>
      <c r="E96" s="68">
        <f t="shared" si="16"/>
        <v>12572.903353382595</v>
      </c>
      <c r="F96" s="44">
        <f t="shared" si="16"/>
        <v>11827.808242960436</v>
      </c>
      <c r="G96" s="44">
        <f t="shared" si="16"/>
        <v>12421.418952292803</v>
      </c>
      <c r="H96" s="44">
        <f t="shared" si="16"/>
        <v>13085.937861569993</v>
      </c>
      <c r="I96" s="44">
        <f t="shared" si="16"/>
        <v>0</v>
      </c>
    </row>
    <row r="97" spans="1:9" ht="14.25">
      <c r="A97" s="43" t="str">
        <f>HLOOKUP(INDICE!$F$2,Nombres!$C$3:$D$636,64,FALSE)</f>
        <v>Dotación de capital económico</v>
      </c>
      <c r="B97" s="44">
        <v>3262.1020080592734</v>
      </c>
      <c r="C97" s="44">
        <v>3381.9155094985986</v>
      </c>
      <c r="D97" s="44">
        <v>3634.4440777032128</v>
      </c>
      <c r="E97" s="45">
        <v>3961.9825440731424</v>
      </c>
      <c r="F97" s="44">
        <v>5549.4096254568285</v>
      </c>
      <c r="G97" s="44">
        <v>5299.225249612402</v>
      </c>
      <c r="H97" s="44">
        <v>5059.27295421</v>
      </c>
      <c r="I97" s="44">
        <v>0</v>
      </c>
    </row>
    <row r="98" spans="1:9" ht="14.25">
      <c r="A98" s="65"/>
      <c r="B98" s="60"/>
      <c r="C98" s="60"/>
      <c r="D98" s="60"/>
      <c r="E98" s="60"/>
      <c r="F98" s="44"/>
      <c r="G98" s="44"/>
      <c r="H98" s="44"/>
      <c r="I98" s="44"/>
    </row>
    <row r="99" spans="1:9" ht="14.25">
      <c r="A99" s="43"/>
      <c r="B99" s="60"/>
      <c r="C99" s="60"/>
      <c r="D99" s="60"/>
      <c r="E99" s="60"/>
      <c r="F99" s="44"/>
      <c r="G99" s="44"/>
      <c r="H99" s="44"/>
      <c r="I99" s="44"/>
    </row>
    <row r="100" spans="1:9" ht="16.5">
      <c r="A100" s="69" t="str">
        <f>HLOOKUP(INDICE!$F$2,Nombres!$C$3:$D$636,65,FALSE)</f>
        <v>Indicadores relevantes y de gestión</v>
      </c>
      <c r="B100" s="70"/>
      <c r="C100" s="70"/>
      <c r="D100" s="70"/>
      <c r="E100" s="70"/>
      <c r="F100" s="75"/>
      <c r="G100" s="75"/>
      <c r="H100" s="75"/>
      <c r="I100" s="75"/>
    </row>
    <row r="101" spans="1:9" ht="14.25">
      <c r="A101" s="35" t="str">
        <f>HLOOKUP(INDICE!$F$2,Nombres!$C$3:$D$636,73,FALSE)</f>
        <v>(Millones de euros constantes)</v>
      </c>
      <c r="B101" s="30"/>
      <c r="C101" s="30"/>
      <c r="D101" s="30"/>
      <c r="E101" s="30"/>
      <c r="F101" s="73"/>
      <c r="G101" s="73"/>
      <c r="H101" s="73"/>
      <c r="I101" s="73"/>
    </row>
    <row r="102" spans="1:9" ht="14.25">
      <c r="A102" s="30"/>
      <c r="B102" s="55">
        <f aca="true" t="shared" si="17" ref="B102:I102">+B$30</f>
        <v>43555</v>
      </c>
      <c r="C102" s="55">
        <f t="shared" si="17"/>
        <v>43646</v>
      </c>
      <c r="D102" s="55">
        <f t="shared" si="17"/>
        <v>43738</v>
      </c>
      <c r="E102" s="71">
        <f t="shared" si="17"/>
        <v>43830</v>
      </c>
      <c r="F102" s="55">
        <f t="shared" si="17"/>
        <v>43921</v>
      </c>
      <c r="G102" s="55">
        <f t="shared" si="17"/>
        <v>44012</v>
      </c>
      <c r="H102" s="55">
        <f t="shared" si="17"/>
        <v>44104</v>
      </c>
      <c r="I102" s="55">
        <f t="shared" si="17"/>
        <v>44196</v>
      </c>
    </row>
    <row r="103" spans="1:9" ht="14.25">
      <c r="A103" s="43" t="str">
        <f>HLOOKUP(INDICE!$F$2,Nombres!$C$3:$D$636,66,FALSE)</f>
        <v>Préstamos y anticipos a la clientela bruto (*)</v>
      </c>
      <c r="B103" s="44">
        <v>45855.135771046414</v>
      </c>
      <c r="C103" s="44">
        <v>46944.564150501545</v>
      </c>
      <c r="D103" s="44">
        <v>47928.25103623706</v>
      </c>
      <c r="E103" s="45">
        <v>48701.247181722785</v>
      </c>
      <c r="F103" s="44">
        <v>52407.08800480865</v>
      </c>
      <c r="G103" s="44">
        <v>50944.59601721604</v>
      </c>
      <c r="H103" s="44">
        <v>49803.25699865</v>
      </c>
      <c r="I103" s="44">
        <v>0</v>
      </c>
    </row>
    <row r="104" spans="1:9" ht="14.25">
      <c r="A104" s="43" t="str">
        <f>HLOOKUP(INDICE!$F$2,Nombres!$C$3:$D$636,67,FALSE)</f>
        <v>Depósitos de clientes en gestión (**)</v>
      </c>
      <c r="B104" s="44">
        <v>42106.14517618466</v>
      </c>
      <c r="C104" s="44">
        <v>43898.0389707012</v>
      </c>
      <c r="D104" s="44">
        <v>42920.78914282885</v>
      </c>
      <c r="E104" s="45">
        <v>44840.226392812176</v>
      </c>
      <c r="F104" s="44">
        <v>48922.50476911612</v>
      </c>
      <c r="G104" s="44">
        <v>49676.01714441974</v>
      </c>
      <c r="H104" s="44">
        <v>50431.99854927</v>
      </c>
      <c r="I104" s="44">
        <v>0</v>
      </c>
    </row>
    <row r="105" spans="1:9" ht="14.25">
      <c r="A105" s="43" t="str">
        <f>HLOOKUP(INDICE!$F$2,Nombres!$C$3:$D$636,68,FALSE)</f>
        <v>Fondos de inversión</v>
      </c>
      <c r="B105" s="44">
        <v>16197.307108499472</v>
      </c>
      <c r="C105" s="44">
        <v>16909.75362313698</v>
      </c>
      <c r="D105" s="44">
        <v>17414.287937704274</v>
      </c>
      <c r="E105" s="45">
        <v>17771.681683740753</v>
      </c>
      <c r="F105" s="44">
        <v>18533.96820488173</v>
      </c>
      <c r="G105" s="44">
        <v>19183.52532867764</v>
      </c>
      <c r="H105" s="44">
        <v>19592.429874099995</v>
      </c>
      <c r="I105" s="44">
        <v>0</v>
      </c>
    </row>
    <row r="106" spans="1:9" ht="14.25">
      <c r="A106" s="43" t="str">
        <f>HLOOKUP(INDICE!$F$2,Nombres!$C$3:$D$636,69,FALSE)</f>
        <v>Fondos de pensiones</v>
      </c>
      <c r="B106" s="44">
        <v>0</v>
      </c>
      <c r="C106" s="44">
        <v>0</v>
      </c>
      <c r="D106" s="44">
        <v>0</v>
      </c>
      <c r="E106" s="45">
        <v>0</v>
      </c>
      <c r="F106" s="44">
        <v>0</v>
      </c>
      <c r="G106" s="44">
        <v>0</v>
      </c>
      <c r="H106" s="44">
        <v>0</v>
      </c>
      <c r="I106" s="44">
        <v>0</v>
      </c>
    </row>
    <row r="107" spans="1:9" ht="14.25">
      <c r="A107" s="43" t="str">
        <f>HLOOKUP(INDICE!$F$2,Nombres!$C$3:$D$636,70,FALSE)</f>
        <v>Otros recursos fuera de balance</v>
      </c>
      <c r="B107" s="44">
        <v>2643.082159754977</v>
      </c>
      <c r="C107" s="44">
        <v>2605.52194668838</v>
      </c>
      <c r="D107" s="44">
        <v>2374.7081139873026</v>
      </c>
      <c r="E107" s="45">
        <v>2053.7401853831316</v>
      </c>
      <c r="F107" s="44">
        <v>2077.4793713368317</v>
      </c>
      <c r="G107" s="44">
        <v>1894.6545078815006</v>
      </c>
      <c r="H107" s="44">
        <v>1735.1617847599998</v>
      </c>
      <c r="I107" s="44">
        <v>0</v>
      </c>
    </row>
    <row r="108" spans="1:9" ht="14.25">
      <c r="A108" s="65" t="str">
        <f>HLOOKUP(INDICE!$F$2,Nombres!$C$3:$D$636,71,FALSE)</f>
        <v>(*) No incluye las adquisiciones temporales de activos.</v>
      </c>
      <c r="B108" s="60"/>
      <c r="C108" s="60"/>
      <c r="D108" s="60"/>
      <c r="E108" s="60"/>
      <c r="F108" s="60"/>
      <c r="G108" s="60"/>
      <c r="H108" s="60"/>
      <c r="I108" s="60"/>
    </row>
    <row r="109" spans="1:9" ht="14.25">
      <c r="A109" s="65" t="str">
        <f>HLOOKUP(INDICE!$F$2,Nombres!$C$3:$D$636,72,FALSE)</f>
        <v>(**) No incluye las cesiones temporales de activos.</v>
      </c>
      <c r="B109" s="30"/>
      <c r="C109" s="30"/>
      <c r="D109" s="30"/>
      <c r="E109" s="30"/>
      <c r="F109" s="30"/>
      <c r="G109" s="30"/>
      <c r="H109" s="30"/>
      <c r="I109" s="30"/>
    </row>
    <row r="110" spans="1:9" ht="14.25">
      <c r="A110" s="65"/>
      <c r="B110" s="60"/>
      <c r="C110" s="44"/>
      <c r="D110" s="44"/>
      <c r="E110" s="44"/>
      <c r="F110" s="44"/>
      <c r="G110" s="30"/>
      <c r="H110" s="30"/>
      <c r="I110" s="30"/>
    </row>
    <row r="111" spans="1:9" ht="16.5">
      <c r="A111" s="33" t="str">
        <f>HLOOKUP(INDICE!$F$2,Nombres!$C$3:$D$636,31,FALSE)</f>
        <v>Cuenta de resultados  </v>
      </c>
      <c r="B111" s="34"/>
      <c r="C111" s="34"/>
      <c r="D111" s="34"/>
      <c r="E111" s="34"/>
      <c r="F111" s="34"/>
      <c r="G111" s="34"/>
      <c r="H111" s="34"/>
      <c r="I111" s="34"/>
    </row>
    <row r="112" spans="1:9" ht="14.25">
      <c r="A112" s="35" t="str">
        <f>HLOOKUP(INDICE!$F$2,Nombres!$C$3:$D$636,74,FALSE)</f>
        <v>(Millones de pesos mexicanos)</v>
      </c>
      <c r="B112" s="30"/>
      <c r="C112" s="36"/>
      <c r="D112" s="36"/>
      <c r="E112" s="36"/>
      <c r="F112" s="30"/>
      <c r="G112" s="30"/>
      <c r="H112" s="30"/>
      <c r="I112" s="30"/>
    </row>
    <row r="113" spans="1:9" ht="14.25">
      <c r="A113" s="37"/>
      <c r="B113" s="30"/>
      <c r="C113" s="36"/>
      <c r="D113" s="36"/>
      <c r="E113" s="36"/>
      <c r="F113" s="30"/>
      <c r="G113" s="30"/>
      <c r="H113" s="30"/>
      <c r="I113" s="30"/>
    </row>
    <row r="114" spans="1:9" ht="14.25">
      <c r="A114" s="38"/>
      <c r="B114" s="305">
        <f>+B$6</f>
        <v>2019</v>
      </c>
      <c r="C114" s="305"/>
      <c r="D114" s="305"/>
      <c r="E114" s="306"/>
      <c r="F114" s="305">
        <f>+F$6</f>
        <v>2020</v>
      </c>
      <c r="G114" s="305"/>
      <c r="H114" s="305"/>
      <c r="I114" s="305"/>
    </row>
    <row r="115" spans="1:9" ht="14.25">
      <c r="A115" s="38"/>
      <c r="B115" s="39" t="str">
        <f>+B$7</f>
        <v>1er Trim.</v>
      </c>
      <c r="C115" s="39" t="str">
        <f aca="true" t="shared" si="18" ref="C115:I115">+C$7</f>
        <v>2º Trim.</v>
      </c>
      <c r="D115" s="39" t="str">
        <f t="shared" si="18"/>
        <v>3er Trim.</v>
      </c>
      <c r="E115" s="40" t="str">
        <f t="shared" si="18"/>
        <v>4º Trim.</v>
      </c>
      <c r="F115" s="39" t="str">
        <f t="shared" si="18"/>
        <v>1er Trim.</v>
      </c>
      <c r="G115" s="39" t="str">
        <f t="shared" si="18"/>
        <v>2º Trim.</v>
      </c>
      <c r="H115" s="39" t="str">
        <f t="shared" si="18"/>
        <v>3er Trim.</v>
      </c>
      <c r="I115" s="39" t="str">
        <f t="shared" si="18"/>
        <v>4º Trim.</v>
      </c>
    </row>
    <row r="116" spans="1:9" ht="14.25">
      <c r="A116" s="41" t="str">
        <f>HLOOKUP(INDICE!$F$2,Nombres!$C$3:$D$636,33,FALSE)</f>
        <v>Margen de intereses</v>
      </c>
      <c r="B116" s="41">
        <v>32705.536449009945</v>
      </c>
      <c r="C116" s="41">
        <v>33165.39502769991</v>
      </c>
      <c r="D116" s="41">
        <v>33608.27741650812</v>
      </c>
      <c r="E116" s="42">
        <v>34343.83823302177</v>
      </c>
      <c r="F116" s="52">
        <v>34138.19111623784</v>
      </c>
      <c r="G116" s="52">
        <v>30736.802714464604</v>
      </c>
      <c r="H116" s="52">
        <v>34158.7629759824</v>
      </c>
      <c r="I116" s="52">
        <v>0</v>
      </c>
    </row>
    <row r="117" spans="1:9" ht="14.25">
      <c r="A117" s="43" t="str">
        <f>HLOOKUP(INDICE!$F$2,Nombres!$C$3:$D$636,34,FALSE)</f>
        <v>Comisiones netas</v>
      </c>
      <c r="B117" s="44">
        <v>6548.801353366783</v>
      </c>
      <c r="C117" s="44">
        <v>6899.916448229862</v>
      </c>
      <c r="D117" s="44">
        <v>7139.322575010605</v>
      </c>
      <c r="E117" s="45">
        <v>7393.544202248677</v>
      </c>
      <c r="F117" s="44">
        <v>6544.3951145926385</v>
      </c>
      <c r="G117" s="44">
        <v>5695.99864744506</v>
      </c>
      <c r="H117" s="44">
        <v>6554.075826693854</v>
      </c>
      <c r="I117" s="44">
        <v>0</v>
      </c>
    </row>
    <row r="118" spans="1:9" ht="14.25">
      <c r="A118" s="43" t="str">
        <f>HLOOKUP(INDICE!$F$2,Nombres!$C$3:$D$636,35,FALSE)</f>
        <v>Resultados de operaciones financieras</v>
      </c>
      <c r="B118" s="44">
        <v>1362.8984866657133</v>
      </c>
      <c r="C118" s="44">
        <v>1568.6528700007989</v>
      </c>
      <c r="D118" s="44">
        <v>2285.3549710683096</v>
      </c>
      <c r="E118" s="45">
        <v>1462.279491988457</v>
      </c>
      <c r="F118" s="44">
        <v>1727.3541961885935</v>
      </c>
      <c r="G118" s="44">
        <v>3799.449277201641</v>
      </c>
      <c r="H118" s="44">
        <v>2573.2677919498133</v>
      </c>
      <c r="I118" s="44">
        <v>0</v>
      </c>
    </row>
    <row r="119" spans="1:9" ht="14.25">
      <c r="A119" s="43" t="str">
        <f>HLOOKUP(INDICE!$F$2,Nombres!$C$3:$D$636,36,FALSE)</f>
        <v>Otros ingresos y cargas de explotación</v>
      </c>
      <c r="B119" s="44">
        <v>866.4511583757017</v>
      </c>
      <c r="C119" s="44">
        <v>1334.949028194806</v>
      </c>
      <c r="D119" s="44">
        <v>407.20825745471745</v>
      </c>
      <c r="E119" s="45">
        <v>1959.796805882253</v>
      </c>
      <c r="F119" s="44">
        <v>1566.881942682739</v>
      </c>
      <c r="G119" s="44">
        <v>543.387468518062</v>
      </c>
      <c r="H119" s="44">
        <v>316.588378675724</v>
      </c>
      <c r="I119" s="44">
        <v>0</v>
      </c>
    </row>
    <row r="120" spans="1:9" ht="14.25">
      <c r="A120" s="41" t="str">
        <f>HLOOKUP(INDICE!$F$2,Nombres!$C$3:$D$636,37,FALSE)</f>
        <v>Margen bruto</v>
      </c>
      <c r="B120" s="41">
        <f>+SUM(B116:B119)</f>
        <v>41483.687447418146</v>
      </c>
      <c r="C120" s="41">
        <f aca="true" t="shared" si="19" ref="C120:I120">+SUM(C116:C119)</f>
        <v>42968.91337412538</v>
      </c>
      <c r="D120" s="41">
        <f t="shared" si="19"/>
        <v>43440.16322004175</v>
      </c>
      <c r="E120" s="42">
        <f t="shared" si="19"/>
        <v>45159.45873314115</v>
      </c>
      <c r="F120" s="52">
        <f t="shared" si="19"/>
        <v>43976.82236970181</v>
      </c>
      <c r="G120" s="52">
        <f t="shared" si="19"/>
        <v>40775.63810762936</v>
      </c>
      <c r="H120" s="52">
        <f t="shared" si="19"/>
        <v>43602.6949733018</v>
      </c>
      <c r="I120" s="52">
        <f t="shared" si="19"/>
        <v>0</v>
      </c>
    </row>
    <row r="121" spans="1:9" ht="14.25">
      <c r="A121" s="43" t="str">
        <f>HLOOKUP(INDICE!$F$2,Nombres!$C$3:$D$636,38,FALSE)</f>
        <v>Gastos de explotación</v>
      </c>
      <c r="B121" s="44">
        <v>-13831.32564220091</v>
      </c>
      <c r="C121" s="44">
        <v>-14098.222721541617</v>
      </c>
      <c r="D121" s="44">
        <v>-14426.695476784536</v>
      </c>
      <c r="E121" s="45">
        <v>-14651.352328581956</v>
      </c>
      <c r="F121" s="44">
        <v>-14587.322031974996</v>
      </c>
      <c r="G121" s="44">
        <v>-14071.483855388484</v>
      </c>
      <c r="H121" s="44">
        <v>-14088.957653150599</v>
      </c>
      <c r="I121" s="44">
        <v>0</v>
      </c>
    </row>
    <row r="122" spans="1:9" ht="14.25">
      <c r="A122" s="43" t="str">
        <f>HLOOKUP(INDICE!$F$2,Nombres!$C$3:$D$636,39,FALSE)</f>
        <v>  Gastos de administración</v>
      </c>
      <c r="B122" s="44">
        <v>-11998.702905585627</v>
      </c>
      <c r="C122" s="44">
        <v>-12204.763070528748</v>
      </c>
      <c r="D122" s="44">
        <v>-12531.300524178878</v>
      </c>
      <c r="E122" s="45">
        <v>-12821.971761833958</v>
      </c>
      <c r="F122" s="44">
        <v>-12698.097527967791</v>
      </c>
      <c r="G122" s="44">
        <v>-12173.381080999825</v>
      </c>
      <c r="H122" s="44">
        <v>-12159.793901102865</v>
      </c>
      <c r="I122" s="44">
        <v>0</v>
      </c>
    </row>
    <row r="123" spans="1:9" ht="14.25">
      <c r="A123" s="46" t="str">
        <f>HLOOKUP(INDICE!$F$2,Nombres!$C$3:$D$636,40,FALSE)</f>
        <v>  Gastos de personal</v>
      </c>
      <c r="B123" s="44">
        <v>-5866.697280657886</v>
      </c>
      <c r="C123" s="44">
        <v>-5994.587394476458</v>
      </c>
      <c r="D123" s="44">
        <v>-6137.1849315396985</v>
      </c>
      <c r="E123" s="45">
        <v>-6238.0009217935085</v>
      </c>
      <c r="F123" s="44">
        <v>-6316.179685254512</v>
      </c>
      <c r="G123" s="44">
        <v>-5390.620301882889</v>
      </c>
      <c r="H123" s="44">
        <v>-5867.838860865511</v>
      </c>
      <c r="I123" s="44">
        <v>0</v>
      </c>
    </row>
    <row r="124" spans="1:9" ht="14.25">
      <c r="A124" s="46" t="str">
        <f>HLOOKUP(INDICE!$F$2,Nombres!$C$3:$D$636,41,FALSE)</f>
        <v>  Otros gastos de administración</v>
      </c>
      <c r="B124" s="44">
        <v>-6132.005624927739</v>
      </c>
      <c r="C124" s="44">
        <v>-6210.17567605229</v>
      </c>
      <c r="D124" s="44">
        <v>-6394.11559263918</v>
      </c>
      <c r="E124" s="45">
        <v>-6583.97084004045</v>
      </c>
      <c r="F124" s="44">
        <v>-6381.917842713279</v>
      </c>
      <c r="G124" s="44">
        <v>-6782.7607791169385</v>
      </c>
      <c r="H124" s="44">
        <v>-6291.9550402373525</v>
      </c>
      <c r="I124" s="44">
        <v>0</v>
      </c>
    </row>
    <row r="125" spans="1:9" ht="14.25">
      <c r="A125" s="43" t="str">
        <f>HLOOKUP(INDICE!$F$2,Nombres!$C$3:$D$636,42,FALSE)</f>
        <v>  Amortización</v>
      </c>
      <c r="B125" s="44">
        <v>-1832.6227366152839</v>
      </c>
      <c r="C125" s="44">
        <v>-1893.45965101287</v>
      </c>
      <c r="D125" s="44">
        <v>-1895.3949526056576</v>
      </c>
      <c r="E125" s="45">
        <v>-1829.380566747998</v>
      </c>
      <c r="F125" s="44">
        <v>-1889.2245040072048</v>
      </c>
      <c r="G125" s="44">
        <v>-1898.1027743886586</v>
      </c>
      <c r="H125" s="44">
        <v>-1929.1637520477339</v>
      </c>
      <c r="I125" s="44">
        <v>0</v>
      </c>
    </row>
    <row r="126" spans="1:9" ht="14.25">
      <c r="A126" s="41" t="str">
        <f>HLOOKUP(INDICE!$F$2,Nombres!$C$3:$D$636,43,FALSE)</f>
        <v>Margen neto</v>
      </c>
      <c r="B126" s="41">
        <f>+B120+B121</f>
        <v>27652.361805217235</v>
      </c>
      <c r="C126" s="41">
        <f aca="true" t="shared" si="20" ref="C126:I126">+C120+C121</f>
        <v>28870.690652583766</v>
      </c>
      <c r="D126" s="41">
        <f t="shared" si="20"/>
        <v>29013.467743257213</v>
      </c>
      <c r="E126" s="42">
        <f t="shared" si="20"/>
        <v>30508.1064045592</v>
      </c>
      <c r="F126" s="52">
        <f t="shared" si="20"/>
        <v>29389.500337726815</v>
      </c>
      <c r="G126" s="52">
        <f t="shared" si="20"/>
        <v>26704.154252240878</v>
      </c>
      <c r="H126" s="52">
        <f t="shared" si="20"/>
        <v>29513.7373201512</v>
      </c>
      <c r="I126" s="52">
        <f t="shared" si="20"/>
        <v>0</v>
      </c>
    </row>
    <row r="127" spans="1:9" ht="14.25">
      <c r="A127" s="43" t="str">
        <f>HLOOKUP(INDICE!$F$2,Nombres!$C$3:$D$636,44,FALSE)</f>
        <v>Deterioro de activos financieros no valorados a valor razonable con cambios en resultados</v>
      </c>
      <c r="B127" s="44">
        <v>-8603.891622304962</v>
      </c>
      <c r="C127" s="44">
        <v>-9101.079983341657</v>
      </c>
      <c r="D127" s="44">
        <v>-9076.84702835582</v>
      </c>
      <c r="E127" s="45">
        <v>-9808.508110265113</v>
      </c>
      <c r="F127" s="44">
        <v>-17079.20316655902</v>
      </c>
      <c r="G127" s="44">
        <v>-16213.832138709982</v>
      </c>
      <c r="H127" s="44">
        <v>-9628.564337988364</v>
      </c>
      <c r="I127" s="44">
        <v>0</v>
      </c>
    </row>
    <row r="128" spans="1:9" ht="14.25">
      <c r="A128" s="43" t="str">
        <f>HLOOKUP(INDICE!$F$2,Nombres!$C$3:$D$636,45,FALSE)</f>
        <v>Provisiones o reversión de provisiones y otros resultados</v>
      </c>
      <c r="B128" s="44">
        <v>80.68124561858839</v>
      </c>
      <c r="C128" s="44">
        <v>-287.05777671459373</v>
      </c>
      <c r="D128" s="44">
        <v>-99.66604322244578</v>
      </c>
      <c r="E128" s="45">
        <v>405.91986258245436</v>
      </c>
      <c r="F128" s="44">
        <v>-278.6878671111182</v>
      </c>
      <c r="G128" s="44">
        <v>-1246.1582808439798</v>
      </c>
      <c r="H128" s="44">
        <v>349.9166050056751</v>
      </c>
      <c r="I128" s="44">
        <v>0</v>
      </c>
    </row>
    <row r="129" spans="1:9" ht="14.25">
      <c r="A129" s="41" t="str">
        <f>HLOOKUP(INDICE!$F$2,Nombres!$C$3:$D$636,46,FALSE)</f>
        <v>Resultado antes de impuestos</v>
      </c>
      <c r="B129" s="41">
        <f>+B126+B127+B128</f>
        <v>19129.15142853086</v>
      </c>
      <c r="C129" s="41">
        <f aca="true" t="shared" si="21" ref="C129:I129">+C126+C127+C128</f>
        <v>19482.552892527514</v>
      </c>
      <c r="D129" s="41">
        <f t="shared" si="21"/>
        <v>19836.95467167895</v>
      </c>
      <c r="E129" s="42">
        <f t="shared" si="21"/>
        <v>21105.51815687654</v>
      </c>
      <c r="F129" s="52">
        <f t="shared" si="21"/>
        <v>12031.609304056678</v>
      </c>
      <c r="G129" s="52">
        <f t="shared" si="21"/>
        <v>9244.163832686916</v>
      </c>
      <c r="H129" s="52">
        <f t="shared" si="21"/>
        <v>20235.089587168506</v>
      </c>
      <c r="I129" s="52">
        <f t="shared" si="21"/>
        <v>0</v>
      </c>
    </row>
    <row r="130" spans="1:9" ht="14.25">
      <c r="A130" s="43" t="str">
        <f>HLOOKUP(INDICE!$F$2,Nombres!$C$3:$D$636,47,FALSE)</f>
        <v>Impuesto sobre beneficios</v>
      </c>
      <c r="B130" s="44">
        <v>-5451.7014437375365</v>
      </c>
      <c r="C130" s="44">
        <v>-5297.8843279389</v>
      </c>
      <c r="D130" s="44">
        <v>-5187.662210574808</v>
      </c>
      <c r="E130" s="45">
        <v>-5438.417621192393</v>
      </c>
      <c r="F130" s="44">
        <v>-3805.4547162491886</v>
      </c>
      <c r="G130" s="44">
        <v>-1842.9673434491317</v>
      </c>
      <c r="H130" s="44">
        <v>-6310.294701743007</v>
      </c>
      <c r="I130" s="44">
        <v>0</v>
      </c>
    </row>
    <row r="131" spans="1:9" ht="14.25">
      <c r="A131" s="41" t="str">
        <f>HLOOKUP(INDICE!$F$2,Nombres!$C$3:$D$636,48,FALSE)</f>
        <v>Resultado del ejercicio</v>
      </c>
      <c r="B131" s="41">
        <f>+B129+B130</f>
        <v>13677.449984793322</v>
      </c>
      <c r="C131" s="41">
        <f aca="true" t="shared" si="22" ref="C131:I131">+C129+C130</f>
        <v>14184.668564588614</v>
      </c>
      <c r="D131" s="41">
        <f t="shared" si="22"/>
        <v>14649.29246110414</v>
      </c>
      <c r="E131" s="42">
        <f t="shared" si="22"/>
        <v>15667.100535684147</v>
      </c>
      <c r="F131" s="52">
        <f t="shared" si="22"/>
        <v>8226.154587807488</v>
      </c>
      <c r="G131" s="52">
        <f t="shared" si="22"/>
        <v>7401.196489237785</v>
      </c>
      <c r="H131" s="52">
        <f t="shared" si="22"/>
        <v>13924.7948854255</v>
      </c>
      <c r="I131" s="52">
        <f t="shared" si="22"/>
        <v>0</v>
      </c>
    </row>
    <row r="132" spans="1:9" ht="14.25">
      <c r="A132" s="43" t="str">
        <f>HLOOKUP(INDICE!$F$2,Nombres!$C$3:$D$636,49,FALSE)</f>
        <v>Minoritarios</v>
      </c>
      <c r="B132" s="44">
        <v>-2.4640488460162144</v>
      </c>
      <c r="C132" s="44">
        <v>-2.7538219099967964</v>
      </c>
      <c r="D132" s="44">
        <v>-2.569472123979648</v>
      </c>
      <c r="E132" s="45">
        <v>-2.8599122321075807</v>
      </c>
      <c r="F132" s="44">
        <v>-1.502241379993918</v>
      </c>
      <c r="G132" s="44">
        <v>-1.4105497340344517</v>
      </c>
      <c r="H132" s="44">
        <v>-2.8289859919382696</v>
      </c>
      <c r="I132" s="44">
        <v>0</v>
      </c>
    </row>
    <row r="133" spans="1:9" ht="14.25">
      <c r="A133" s="47" t="str">
        <f>HLOOKUP(INDICE!$F$2,Nombres!$C$3:$D$636,50,FALSE)</f>
        <v>Resultado atribuido</v>
      </c>
      <c r="B133" s="47">
        <f>+B131+B132</f>
        <v>13674.985935947307</v>
      </c>
      <c r="C133" s="47">
        <f aca="true" t="shared" si="23" ref="C133:I133">+C131+C132</f>
        <v>14181.914742678617</v>
      </c>
      <c r="D133" s="47">
        <f t="shared" si="23"/>
        <v>14646.72298898016</v>
      </c>
      <c r="E133" s="47">
        <f t="shared" si="23"/>
        <v>15664.240623452039</v>
      </c>
      <c r="F133" s="53">
        <f t="shared" si="23"/>
        <v>8224.652346427494</v>
      </c>
      <c r="G133" s="53">
        <f t="shared" si="23"/>
        <v>7399.78593950375</v>
      </c>
      <c r="H133" s="53">
        <f t="shared" si="23"/>
        <v>13921.96589943356</v>
      </c>
      <c r="I133" s="53">
        <f t="shared" si="23"/>
        <v>0</v>
      </c>
    </row>
    <row r="134" spans="1:9" ht="14.25">
      <c r="A134" s="65"/>
      <c r="B134" s="66">
        <v>0</v>
      </c>
      <c r="C134" s="66">
        <v>0</v>
      </c>
      <c r="D134" s="66">
        <v>0</v>
      </c>
      <c r="E134" s="66">
        <v>0</v>
      </c>
      <c r="F134" s="66">
        <v>0</v>
      </c>
      <c r="G134" s="66">
        <v>0</v>
      </c>
      <c r="H134" s="66">
        <v>0</v>
      </c>
      <c r="I134" s="66">
        <v>0</v>
      </c>
    </row>
    <row r="135" spans="1:9" ht="14.25">
      <c r="A135" s="41"/>
      <c r="B135" s="41"/>
      <c r="C135" s="41"/>
      <c r="D135" s="41"/>
      <c r="E135" s="41"/>
      <c r="F135" s="52"/>
      <c r="G135" s="52"/>
      <c r="H135" s="52"/>
      <c r="I135" s="52"/>
    </row>
    <row r="136" spans="1:9" ht="16.5">
      <c r="A136" s="33" t="str">
        <f>HLOOKUP(INDICE!$F$2,Nombres!$C$3:$D$636,51,FALSE)</f>
        <v>Balances</v>
      </c>
      <c r="B136" s="34"/>
      <c r="C136" s="34"/>
      <c r="D136" s="34"/>
      <c r="E136" s="34"/>
      <c r="F136" s="72"/>
      <c r="G136" s="72"/>
      <c r="H136" s="72"/>
      <c r="I136" s="72"/>
    </row>
    <row r="137" spans="1:9" ht="14.25">
      <c r="A137" s="35" t="str">
        <f>HLOOKUP(INDICE!$F$2,Nombres!$C$3:$D$636,74,FALSE)</f>
        <v>(Millones de pesos mexicanos)</v>
      </c>
      <c r="B137" s="30"/>
      <c r="C137" s="54"/>
      <c r="D137" s="54"/>
      <c r="E137" s="54"/>
      <c r="F137" s="73"/>
      <c r="G137" s="44"/>
      <c r="H137" s="44"/>
      <c r="I137" s="44"/>
    </row>
    <row r="138" spans="1:9" ht="14.25">
      <c r="A138" s="30"/>
      <c r="B138" s="55">
        <f aca="true" t="shared" si="24" ref="B138:I138">+B$30</f>
        <v>43555</v>
      </c>
      <c r="C138" s="55">
        <f t="shared" si="24"/>
        <v>43646</v>
      </c>
      <c r="D138" s="55">
        <f t="shared" si="24"/>
        <v>43738</v>
      </c>
      <c r="E138" s="71">
        <f t="shared" si="24"/>
        <v>43830</v>
      </c>
      <c r="F138" s="55">
        <f t="shared" si="24"/>
        <v>43921</v>
      </c>
      <c r="G138" s="55">
        <f t="shared" si="24"/>
        <v>44012</v>
      </c>
      <c r="H138" s="55">
        <f t="shared" si="24"/>
        <v>44104</v>
      </c>
      <c r="I138" s="55">
        <f t="shared" si="24"/>
        <v>44196</v>
      </c>
    </row>
    <row r="139" spans="1:9" ht="14.25">
      <c r="A139" s="43" t="str">
        <f>HLOOKUP(INDICE!$F$2,Nombres!$C$3:$D$636,52,FALSE)</f>
        <v>Efectivo, saldos en efectivo en bancos centrales y otros depósitos a la vista</v>
      </c>
      <c r="B139" s="44">
        <v>188235.69100454723</v>
      </c>
      <c r="C139" s="44">
        <v>219319.49832444338</v>
      </c>
      <c r="D139" s="44">
        <v>146542.98150852794</v>
      </c>
      <c r="E139" s="45">
        <v>137698.0051200962</v>
      </c>
      <c r="F139" s="44">
        <v>153097.17095754016</v>
      </c>
      <c r="G139" s="44">
        <v>170273.50302654467</v>
      </c>
      <c r="H139" s="44">
        <v>209189.97442776122</v>
      </c>
      <c r="I139" s="44">
        <v>0</v>
      </c>
    </row>
    <row r="140" spans="1:9" ht="14.25">
      <c r="A140" s="43" t="str">
        <f>HLOOKUP(INDICE!$F$2,Nombres!$C$3:$D$636,53,FALSE)</f>
        <v>Activos financieros a valor razonable</v>
      </c>
      <c r="B140" s="60">
        <v>568152.6883642881</v>
      </c>
      <c r="C140" s="60">
        <v>619806.9883876827</v>
      </c>
      <c r="D140" s="60">
        <v>657917.8006813993</v>
      </c>
      <c r="E140" s="68">
        <v>666353.4100426439</v>
      </c>
      <c r="F140" s="44">
        <v>909668.3279340717</v>
      </c>
      <c r="G140" s="44">
        <v>880673.0169702156</v>
      </c>
      <c r="H140" s="44">
        <v>836278.8567502454</v>
      </c>
      <c r="I140" s="44">
        <v>0</v>
      </c>
    </row>
    <row r="141" spans="1:9" ht="14.25">
      <c r="A141" s="43" t="str">
        <f>HLOOKUP(INDICE!$F$2,Nombres!$C$3:$D$636,54,FALSE)</f>
        <v>Activos financieros a coste amortizado</v>
      </c>
      <c r="B141" s="44">
        <v>1317815.035688915</v>
      </c>
      <c r="C141" s="44">
        <v>1342155.7038358012</v>
      </c>
      <c r="D141" s="44">
        <v>1385374.8383608346</v>
      </c>
      <c r="E141" s="45">
        <v>1404363.0429019297</v>
      </c>
      <c r="F141" s="44">
        <v>1540238.0719002676</v>
      </c>
      <c r="G141" s="44">
        <v>1515764.7624720582</v>
      </c>
      <c r="H141" s="44">
        <v>1488141.9377108538</v>
      </c>
      <c r="I141" s="44">
        <v>0</v>
      </c>
    </row>
    <row r="142" spans="1:9" ht="14.25">
      <c r="A142" s="43" t="str">
        <f>HLOOKUP(INDICE!$F$2,Nombres!$C$3:$D$636,55,FALSE)</f>
        <v>    de los que préstamos y anticipos a la clientela</v>
      </c>
      <c r="B142" s="44">
        <v>1160034.094340896</v>
      </c>
      <c r="C142" s="44">
        <v>1187709.6539211795</v>
      </c>
      <c r="D142" s="44">
        <v>1212268.3698711966</v>
      </c>
      <c r="E142" s="45">
        <v>1232482.6908143722</v>
      </c>
      <c r="F142" s="44">
        <v>1321531.0736470008</v>
      </c>
      <c r="G142" s="44">
        <v>1282810.4688171488</v>
      </c>
      <c r="H142" s="44">
        <v>1251332.0529495245</v>
      </c>
      <c r="I142" s="44">
        <v>0</v>
      </c>
    </row>
    <row r="143" spans="1:9" ht="14.25">
      <c r="A143" s="43" t="str">
        <f>HLOOKUP(INDICE!$F$2,Nombres!$C$3:$D$636,56,FALSE)</f>
        <v>Activos tangibles</v>
      </c>
      <c r="B143" s="44">
        <v>44020.734877161754</v>
      </c>
      <c r="C143" s="44">
        <v>44087.03200748709</v>
      </c>
      <c r="D143" s="44">
        <v>42839.03514675434</v>
      </c>
      <c r="E143" s="45">
        <v>42908.83591437771</v>
      </c>
      <c r="F143" s="44">
        <v>41824.647476518534</v>
      </c>
      <c r="G143" s="44">
        <v>41057.053821068774</v>
      </c>
      <c r="H143" s="44">
        <v>40264.366959430336</v>
      </c>
      <c r="I143" s="44">
        <v>0</v>
      </c>
    </row>
    <row r="144" spans="1:9" ht="14.25">
      <c r="A144" s="43" t="str">
        <f>HLOOKUP(INDICE!$F$2,Nombres!$C$3:$D$636,57,FALSE)</f>
        <v>Otros activos</v>
      </c>
      <c r="B144" s="60">
        <f>+B145-B143-B141-B140-B139</f>
        <v>88565.48418423726</v>
      </c>
      <c r="C144" s="60">
        <f aca="true" t="shared" si="25" ref="C144:I144">+C145-C143-C141-C140-C139</f>
        <v>73731.77622991332</v>
      </c>
      <c r="D144" s="60">
        <f t="shared" si="25"/>
        <v>65524.14394271473</v>
      </c>
      <c r="E144" s="68">
        <f t="shared" si="25"/>
        <v>63350.828167010506</v>
      </c>
      <c r="F144" s="44">
        <f t="shared" si="25"/>
        <v>82867.17257275362</v>
      </c>
      <c r="G144" s="44">
        <f t="shared" si="25"/>
        <v>82180.37628013748</v>
      </c>
      <c r="H144" s="44">
        <f t="shared" si="25"/>
        <v>81675.96374089929</v>
      </c>
      <c r="I144" s="44">
        <f t="shared" si="25"/>
        <v>0</v>
      </c>
    </row>
    <row r="145" spans="1:9" ht="14.25">
      <c r="A145" s="47" t="str">
        <f>HLOOKUP(INDICE!$F$2,Nombres!$C$3:$D$636,58,FALSE)</f>
        <v>Total activo / pasivo</v>
      </c>
      <c r="B145" s="47">
        <v>2206789.6341191493</v>
      </c>
      <c r="C145" s="47">
        <v>2299100.9987853277</v>
      </c>
      <c r="D145" s="47">
        <v>2298198.799640231</v>
      </c>
      <c r="E145" s="47">
        <v>2314674.122146058</v>
      </c>
      <c r="F145" s="53">
        <v>2727695.3908411516</v>
      </c>
      <c r="G145" s="53">
        <v>2689948.7125700247</v>
      </c>
      <c r="H145" s="53">
        <v>2655551.09958919</v>
      </c>
      <c r="I145" s="53">
        <v>0</v>
      </c>
    </row>
    <row r="146" spans="1:9" ht="14.25">
      <c r="A146" s="43" t="str">
        <f>HLOOKUP(INDICE!$F$2,Nombres!$C$3:$D$636,59,FALSE)</f>
        <v>Pasivos financieros mantenidos para negociar y designados a valor razonable con cambios en resultados</v>
      </c>
      <c r="B146" s="60">
        <v>384954.6670363007</v>
      </c>
      <c r="C146" s="60">
        <v>451272.5727078153</v>
      </c>
      <c r="D146" s="60">
        <v>489769.7507951645</v>
      </c>
      <c r="E146" s="68">
        <v>462268.09410376986</v>
      </c>
      <c r="F146" s="44">
        <v>670074.2276748761</v>
      </c>
      <c r="G146" s="44">
        <v>635549.3208463241</v>
      </c>
      <c r="H146" s="44">
        <v>564849.157626017</v>
      </c>
      <c r="I146" s="44">
        <v>0</v>
      </c>
    </row>
    <row r="147" spans="1:9" ht="14.25">
      <c r="A147" s="43" t="str">
        <f>HLOOKUP(INDICE!$F$2,Nombres!$C$3:$D$636,60,FALSE)</f>
        <v>Depósitos de bancos centrales y entidades de crédito</v>
      </c>
      <c r="B147" s="60">
        <v>76637.73017768706</v>
      </c>
      <c r="C147" s="60">
        <v>40756.32466354714</v>
      </c>
      <c r="D147" s="60">
        <v>45146.69120516265</v>
      </c>
      <c r="E147" s="68">
        <v>44930.86633238279</v>
      </c>
      <c r="F147" s="44">
        <v>85593.78972446463</v>
      </c>
      <c r="G147" s="44">
        <v>80334.27317765351</v>
      </c>
      <c r="H147" s="44">
        <v>90592.41665882028</v>
      </c>
      <c r="I147" s="44">
        <v>0</v>
      </c>
    </row>
    <row r="148" spans="1:9" ht="14.25">
      <c r="A148" s="43" t="str">
        <f>HLOOKUP(INDICE!$F$2,Nombres!$C$3:$D$636,61,FALSE)</f>
        <v>Depósitos de la clientela</v>
      </c>
      <c r="B148" s="60">
        <v>1104159.0544361826</v>
      </c>
      <c r="C148" s="60">
        <v>1155595.0707640345</v>
      </c>
      <c r="D148" s="60">
        <v>1133235.8264500974</v>
      </c>
      <c r="E148" s="68">
        <v>1186926.7410522928</v>
      </c>
      <c r="F148" s="44">
        <v>1284575.0188893713</v>
      </c>
      <c r="G148" s="44">
        <v>1307689.4902971904</v>
      </c>
      <c r="H148" s="44">
        <v>1329393.681199544</v>
      </c>
      <c r="I148" s="44">
        <v>0</v>
      </c>
    </row>
    <row r="149" spans="1:9" ht="14.25">
      <c r="A149" s="43" t="str">
        <f>HLOOKUP(INDICE!$F$2,Nombres!$C$3:$D$636,62,FALSE)</f>
        <v>Valores representativos de deuda emitidos</v>
      </c>
      <c r="B149" s="44">
        <v>196753.6354529159</v>
      </c>
      <c r="C149" s="44">
        <v>207544.87050222696</v>
      </c>
      <c r="D149" s="44">
        <v>200427.43265232208</v>
      </c>
      <c r="E149" s="45">
        <v>187585.74041040725</v>
      </c>
      <c r="F149" s="44">
        <v>232433.38011202728</v>
      </c>
      <c r="G149" s="44">
        <v>202364.10395133897</v>
      </c>
      <c r="H149" s="44">
        <v>195587.12793631488</v>
      </c>
      <c r="I149" s="44">
        <v>0</v>
      </c>
    </row>
    <row r="150" spans="1:9" ht="14.25">
      <c r="A150" s="43" t="str">
        <f>HLOOKUP(INDICE!$F$2,Nombres!$C$3:$D$636,63,FALSE)</f>
        <v>Otros pasivos</v>
      </c>
      <c r="B150" s="60">
        <f>+B145-B146-B147-B148-B149-B151</f>
        <v>358867.05835553</v>
      </c>
      <c r="C150" s="60">
        <f aca="true" t="shared" si="26" ref="C150:I150">+C145-C146-C147-C148-C149-C151</f>
        <v>355377.3789146859</v>
      </c>
      <c r="D150" s="60">
        <f t="shared" si="26"/>
        <v>334451.9072517497</v>
      </c>
      <c r="E150" s="68">
        <f t="shared" si="26"/>
        <v>329218.95972727716</v>
      </c>
      <c r="F150" s="44">
        <f t="shared" si="26"/>
        <v>309708.7932799163</v>
      </c>
      <c r="G150" s="44">
        <f t="shared" si="26"/>
        <v>325252.3709816253</v>
      </c>
      <c r="H150" s="44">
        <f t="shared" si="26"/>
        <v>342652.6657172468</v>
      </c>
      <c r="I150" s="44">
        <f t="shared" si="26"/>
        <v>0</v>
      </c>
    </row>
    <row r="151" spans="1:9" ht="14.25">
      <c r="A151" s="43" t="str">
        <f>HLOOKUP(INDICE!$F$2,Nombres!$C$3:$D$636,64,FALSE)</f>
        <v>Dotación de capital económico</v>
      </c>
      <c r="B151" s="44">
        <v>85417.48866053297</v>
      </c>
      <c r="C151" s="44">
        <v>88554.78123301783</v>
      </c>
      <c r="D151" s="44">
        <v>95167.19128573446</v>
      </c>
      <c r="E151" s="45">
        <v>103743.720519928</v>
      </c>
      <c r="F151" s="44">
        <v>145310.18116049605</v>
      </c>
      <c r="G151" s="44">
        <v>138759.15331589238</v>
      </c>
      <c r="H151" s="44">
        <v>132476.0504512468</v>
      </c>
      <c r="I151" s="44">
        <v>0</v>
      </c>
    </row>
    <row r="152" spans="1:9" ht="14.25">
      <c r="A152" s="65"/>
      <c r="B152" s="60"/>
      <c r="C152" s="60"/>
      <c r="D152" s="60"/>
      <c r="E152" s="60"/>
      <c r="F152" s="44"/>
      <c r="G152" s="44"/>
      <c r="H152" s="44"/>
      <c r="I152" s="44"/>
    </row>
    <row r="153" spans="1:9" ht="14.25">
      <c r="A153" s="43"/>
      <c r="B153" s="60"/>
      <c r="C153" s="60"/>
      <c r="D153" s="60"/>
      <c r="E153" s="60"/>
      <c r="F153" s="44"/>
      <c r="G153" s="44"/>
      <c r="H153" s="44"/>
      <c r="I153" s="44"/>
    </row>
    <row r="154" spans="1:9" ht="16.5">
      <c r="A154" s="69" t="str">
        <f>HLOOKUP(INDICE!$F$2,Nombres!$C$3:$D$636,65,FALSE)</f>
        <v>Indicadores relevantes y de gestión</v>
      </c>
      <c r="B154" s="70"/>
      <c r="C154" s="70"/>
      <c r="D154" s="70"/>
      <c r="E154" s="70"/>
      <c r="F154" s="75"/>
      <c r="G154" s="75"/>
      <c r="H154" s="75"/>
      <c r="I154" s="75"/>
    </row>
    <row r="155" spans="1:9" ht="14.25">
      <c r="A155" s="35" t="str">
        <f>HLOOKUP(INDICE!$F$2,Nombres!$C$3:$D$636,74,FALSE)</f>
        <v>(Millones de pesos mexicanos)</v>
      </c>
      <c r="B155" s="30"/>
      <c r="C155" s="30"/>
      <c r="D155" s="30"/>
      <c r="E155" s="30"/>
      <c r="F155" s="73"/>
      <c r="G155" s="44"/>
      <c r="H155" s="44"/>
      <c r="I155" s="44"/>
    </row>
    <row r="156" spans="1:9" ht="15.75" customHeight="1">
      <c r="A156" s="30"/>
      <c r="B156" s="55">
        <f aca="true" t="shared" si="27" ref="B156:I156">+B$30</f>
        <v>43555</v>
      </c>
      <c r="C156" s="55">
        <f t="shared" si="27"/>
        <v>43646</v>
      </c>
      <c r="D156" s="55">
        <f t="shared" si="27"/>
        <v>43738</v>
      </c>
      <c r="E156" s="71">
        <f t="shared" si="27"/>
        <v>43830</v>
      </c>
      <c r="F156" s="55">
        <f t="shared" si="27"/>
        <v>43921</v>
      </c>
      <c r="G156" s="55">
        <f t="shared" si="27"/>
        <v>44012</v>
      </c>
      <c r="H156" s="55">
        <f t="shared" si="27"/>
        <v>44104</v>
      </c>
      <c r="I156" s="55">
        <f t="shared" si="27"/>
        <v>44196</v>
      </c>
    </row>
    <row r="157" spans="1:9" ht="15.75" customHeight="1">
      <c r="A157" s="43" t="str">
        <f>HLOOKUP(INDICE!$F$2,Nombres!$C$3:$D$636,66,FALSE)</f>
        <v>Préstamos y anticipos a la clientela bruto (*)</v>
      </c>
      <c r="B157" s="44">
        <v>1200707.5591363257</v>
      </c>
      <c r="C157" s="44">
        <v>1229234.0233666492</v>
      </c>
      <c r="D157" s="44">
        <v>1254991.6677322276</v>
      </c>
      <c r="E157" s="45">
        <v>1275232.417202519</v>
      </c>
      <c r="F157" s="44">
        <v>1372269.117986747</v>
      </c>
      <c r="G157" s="44">
        <v>1333974.0577900757</v>
      </c>
      <c r="H157" s="44">
        <v>1304088.323856762</v>
      </c>
      <c r="I157" s="44">
        <v>0</v>
      </c>
    </row>
    <row r="158" spans="1:9" ht="15.75" customHeight="1">
      <c r="A158" s="43" t="str">
        <f>HLOOKUP(INDICE!$F$2,Nombres!$C$3:$D$636,67,FALSE)</f>
        <v>Depósitos de clientes en gestión (**)</v>
      </c>
      <c r="B158" s="44">
        <v>1102540.990208101</v>
      </c>
      <c r="C158" s="44">
        <v>1149461.3708387043</v>
      </c>
      <c r="D158" s="44">
        <v>1123872.279545862</v>
      </c>
      <c r="E158" s="45">
        <v>1174132.3600491679</v>
      </c>
      <c r="F158" s="44">
        <v>1281026.0028768892</v>
      </c>
      <c r="G158" s="44">
        <v>1300756.573721717</v>
      </c>
      <c r="H158" s="44">
        <v>1320551.7956114179</v>
      </c>
      <c r="I158" s="44">
        <v>0</v>
      </c>
    </row>
    <row r="159" spans="1:9" ht="15.75" customHeight="1">
      <c r="A159" s="43" t="str">
        <f>HLOOKUP(INDICE!$F$2,Nombres!$C$3:$D$636,68,FALSE)</f>
        <v>Fondos de inversión</v>
      </c>
      <c r="B159" s="44">
        <v>424123.2471741528</v>
      </c>
      <c r="C159" s="44">
        <v>442778.5166706118</v>
      </c>
      <c r="D159" s="44">
        <v>455989.6467906783</v>
      </c>
      <c r="E159" s="45">
        <v>465347.9305518837</v>
      </c>
      <c r="F159" s="44">
        <v>485308.250650633</v>
      </c>
      <c r="G159" s="44">
        <v>502316.7740257847</v>
      </c>
      <c r="H159" s="44">
        <v>513023.857766748</v>
      </c>
      <c r="I159" s="44">
        <v>0</v>
      </c>
    </row>
    <row r="160" spans="1:9" ht="15.75" customHeight="1">
      <c r="A160" s="43" t="str">
        <f>HLOOKUP(INDICE!$F$2,Nombres!$C$3:$D$636,69,FALSE)</f>
        <v>Fondos de pensiones</v>
      </c>
      <c r="B160" s="44">
        <v>0</v>
      </c>
      <c r="C160" s="44">
        <v>0</v>
      </c>
      <c r="D160" s="44">
        <v>0</v>
      </c>
      <c r="E160" s="45">
        <v>0</v>
      </c>
      <c r="F160" s="44">
        <v>0</v>
      </c>
      <c r="G160" s="44">
        <v>0</v>
      </c>
      <c r="H160" s="44">
        <v>0</v>
      </c>
      <c r="I160" s="44">
        <v>0</v>
      </c>
    </row>
    <row r="161" spans="1:9" ht="14.25">
      <c r="A161" s="43" t="str">
        <f>HLOOKUP(INDICE!$F$2,Nombres!$C$3:$D$636,70,FALSE)</f>
        <v>Otros recursos fuera de balance</v>
      </c>
      <c r="B161" s="44">
        <v>69208.57773667312</v>
      </c>
      <c r="C161" s="44">
        <v>68225.07106956802</v>
      </c>
      <c r="D161" s="44">
        <v>62181.257023063736</v>
      </c>
      <c r="E161" s="45">
        <v>53776.77600615884</v>
      </c>
      <c r="F161" s="44">
        <v>54398.381842518575</v>
      </c>
      <c r="G161" s="44">
        <v>49611.14935791888</v>
      </c>
      <c r="H161" s="44">
        <v>45434.86430153178</v>
      </c>
      <c r="I161" s="44">
        <v>0</v>
      </c>
    </row>
    <row r="162" spans="1:9" ht="14.25">
      <c r="A162" s="65" t="str">
        <f>HLOOKUP(INDICE!$F$2,Nombres!$C$3:$D$636,71,FALSE)</f>
        <v>(*) No incluye las adquisiciones temporales de activos.</v>
      </c>
      <c r="B162" s="60"/>
      <c r="C162" s="60"/>
      <c r="D162" s="60"/>
      <c r="E162" s="60"/>
      <c r="F162" s="44"/>
      <c r="G162" s="44"/>
      <c r="H162" s="44"/>
      <c r="I162" s="44"/>
    </row>
    <row r="163" spans="1:9" ht="14.25">
      <c r="A163" s="65" t="str">
        <f>HLOOKUP(INDICE!$F$2,Nombres!$C$3:$D$636,72,FALSE)</f>
        <v>(**) No incluye las cesiones temporales de activos.</v>
      </c>
      <c r="B163" s="30"/>
      <c r="C163" s="30"/>
      <c r="D163" s="30"/>
      <c r="E163" s="30"/>
      <c r="F163" s="30"/>
      <c r="G163" s="30"/>
      <c r="H163" s="30"/>
      <c r="I163" s="30"/>
    </row>
    <row r="164" spans="1:9" ht="14.25">
      <c r="A164" s="30"/>
      <c r="B164" s="30"/>
      <c r="C164" s="30"/>
      <c r="D164" s="30"/>
      <c r="E164" s="30"/>
      <c r="F164" s="30"/>
      <c r="G164" s="30"/>
      <c r="H164" s="30"/>
      <c r="I164" s="30"/>
    </row>
    <row r="165" spans="1:9" ht="14.25">
      <c r="A165" s="30"/>
      <c r="B165" s="30"/>
      <c r="C165" s="30"/>
      <c r="D165" s="30"/>
      <c r="E165" s="30"/>
      <c r="F165" s="30"/>
      <c r="G165" s="30"/>
      <c r="H165" s="30"/>
      <c r="I165" s="30"/>
    </row>
    <row r="166" spans="1:9" ht="14.25">
      <c r="A166" s="77"/>
      <c r="B166" s="78"/>
      <c r="C166" s="79"/>
      <c r="D166" s="79"/>
      <c r="E166" s="79"/>
      <c r="F166" s="78"/>
      <c r="G166" s="78"/>
      <c r="H166" s="78"/>
      <c r="I166" s="78"/>
    </row>
    <row r="167" spans="1:15" ht="14.25">
      <c r="A167" s="77"/>
      <c r="B167" s="78"/>
      <c r="C167" s="79"/>
      <c r="D167" s="79"/>
      <c r="E167" s="79"/>
      <c r="F167" s="78"/>
      <c r="G167" s="78"/>
      <c r="H167" s="78"/>
      <c r="I167" s="78"/>
      <c r="J167" s="78"/>
      <c r="K167" s="78"/>
      <c r="L167" s="78"/>
      <c r="M167" s="78"/>
      <c r="N167" s="78"/>
      <c r="O167" s="78"/>
    </row>
    <row r="168" spans="1:15" ht="14.25">
      <c r="A168" s="78"/>
      <c r="B168" s="78"/>
      <c r="C168" s="78"/>
      <c r="D168" s="78"/>
      <c r="E168" s="78"/>
      <c r="F168" s="78"/>
      <c r="G168" s="78"/>
      <c r="H168" s="78"/>
      <c r="I168" s="78"/>
      <c r="J168" s="78"/>
      <c r="K168" s="78"/>
      <c r="L168" s="78"/>
      <c r="M168" s="78"/>
      <c r="N168" s="78"/>
      <c r="O168" s="78"/>
    </row>
    <row r="169" spans="1:15" ht="14.25">
      <c r="A169" s="78"/>
      <c r="B169" s="78"/>
      <c r="C169" s="78"/>
      <c r="D169" s="78"/>
      <c r="E169" s="78"/>
      <c r="F169" s="78"/>
      <c r="G169" s="78"/>
      <c r="H169" s="78"/>
      <c r="I169" s="78"/>
      <c r="J169" s="78"/>
      <c r="K169" s="78"/>
      <c r="L169" s="78"/>
      <c r="M169" s="78"/>
      <c r="N169" s="78"/>
      <c r="O169" s="78"/>
    </row>
    <row r="170" spans="1:15" ht="14.25">
      <c r="A170" s="78"/>
      <c r="B170" s="78"/>
      <c r="C170" s="78"/>
      <c r="D170" s="78"/>
      <c r="E170" s="78"/>
      <c r="F170" s="78"/>
      <c r="G170" s="78"/>
      <c r="H170" s="78"/>
      <c r="I170" s="78"/>
      <c r="J170" s="78"/>
      <c r="K170" s="78"/>
      <c r="L170" s="78"/>
      <c r="M170" s="78"/>
      <c r="N170" s="78"/>
      <c r="O170" s="78"/>
    </row>
    <row r="171" spans="1:15" ht="14.25">
      <c r="A171" s="78"/>
      <c r="B171" s="78"/>
      <c r="C171" s="78"/>
      <c r="D171" s="78"/>
      <c r="E171" s="78"/>
      <c r="F171" s="78"/>
      <c r="G171" s="78"/>
      <c r="H171" s="78"/>
      <c r="I171" s="78"/>
      <c r="J171" s="78"/>
      <c r="K171" s="78"/>
      <c r="L171" s="78"/>
      <c r="M171" s="78"/>
      <c r="N171" s="78"/>
      <c r="O171" s="78"/>
    </row>
    <row r="172" spans="1:15" ht="14.25">
      <c r="A172" s="78"/>
      <c r="B172" s="78"/>
      <c r="C172" s="78"/>
      <c r="D172" s="78"/>
      <c r="E172" s="78"/>
      <c r="F172" s="78"/>
      <c r="G172" s="78"/>
      <c r="H172" s="78"/>
      <c r="I172" s="78"/>
      <c r="J172" s="78"/>
      <c r="K172" s="78"/>
      <c r="L172" s="78"/>
      <c r="M172" s="78"/>
      <c r="N172" s="78"/>
      <c r="O172" s="78"/>
    </row>
    <row r="173" spans="1:15" ht="14.25">
      <c r="A173" s="78"/>
      <c r="B173" s="78"/>
      <c r="C173" s="78"/>
      <c r="D173" s="78"/>
      <c r="E173" s="78"/>
      <c r="F173" s="78"/>
      <c r="G173" s="78"/>
      <c r="H173" s="78"/>
      <c r="I173" s="78"/>
      <c r="J173" s="78"/>
      <c r="K173" s="78"/>
      <c r="L173" s="78"/>
      <c r="M173" s="78"/>
      <c r="N173" s="78"/>
      <c r="O173" s="78"/>
    </row>
    <row r="174" spans="1:15" ht="14.25">
      <c r="A174" s="78"/>
      <c r="B174" s="78"/>
      <c r="C174" s="78"/>
      <c r="D174" s="78"/>
      <c r="E174" s="78"/>
      <c r="F174" s="78"/>
      <c r="G174" s="78"/>
      <c r="H174" s="78"/>
      <c r="I174" s="78"/>
      <c r="J174" s="78"/>
      <c r="K174" s="78"/>
      <c r="L174" s="78"/>
      <c r="M174" s="78"/>
      <c r="N174" s="78"/>
      <c r="O174" s="78"/>
    </row>
    <row r="1000" ht="14.25">
      <c r="A1000" s="31" t="s">
        <v>397</v>
      </c>
    </row>
  </sheetData>
  <sheetProtection/>
  <mergeCells count="6">
    <mergeCell ref="B6:E6"/>
    <mergeCell ref="B60:E60"/>
    <mergeCell ref="B114:E114"/>
    <mergeCell ref="F6:I6"/>
    <mergeCell ref="F60:I60"/>
    <mergeCell ref="F114:I114"/>
  </mergeCells>
  <conditionalFormatting sqref="B26:I26">
    <cfRule type="cellIs" priority="3" dxfId="98" operator="notBetween">
      <formula>0.5</formula>
      <formula>-0.5</formula>
    </cfRule>
  </conditionalFormatting>
  <conditionalFormatting sqref="B80:I80">
    <cfRule type="cellIs" priority="2" dxfId="98" operator="notBetween">
      <formula>0.5</formula>
      <formula>-0.5</formula>
    </cfRule>
  </conditionalFormatting>
  <conditionalFormatting sqref="B134:I134">
    <cfRule type="cellIs" priority="1" dxfId="98" operator="notBetween">
      <formula>0.5</formula>
      <formula>-0.5</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I1" sqref="I1:I16384"/>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6.5">
      <c r="A1" s="29" t="str">
        <f>HLOOKUP(INDICE!$F$2,Nombres!$C$3:$D$636,12,FALSE)</f>
        <v>Turquía </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5">
        <f>+España!B6</f>
        <v>2019</v>
      </c>
      <c r="C6" s="305"/>
      <c r="D6" s="305"/>
      <c r="E6" s="306"/>
      <c r="F6" s="305">
        <f>+España!F6</f>
        <v>2020</v>
      </c>
      <c r="G6" s="305"/>
      <c r="H6" s="305"/>
      <c r="I6" s="305"/>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694.7669999899998</v>
      </c>
      <c r="C8" s="41">
        <v>658.4860000000001</v>
      </c>
      <c r="D8" s="41">
        <v>676.0629999999998</v>
      </c>
      <c r="E8" s="42">
        <v>784.9380000099999</v>
      </c>
      <c r="F8" s="52">
        <v>819.49299999</v>
      </c>
      <c r="G8" s="52">
        <v>714.7619999999997</v>
      </c>
      <c r="H8" s="52">
        <v>683.9560000199998</v>
      </c>
      <c r="I8" s="52">
        <v>0</v>
      </c>
    </row>
    <row r="9" spans="1:9" ht="14.25">
      <c r="A9" s="43" t="str">
        <f>HLOOKUP(INDICE!$F$2,Nombres!$C$3:$D$636,34,FALSE)</f>
        <v>Comisiones netas</v>
      </c>
      <c r="B9" s="44">
        <v>194.04399998000002</v>
      </c>
      <c r="C9" s="44">
        <v>166.10899998999997</v>
      </c>
      <c r="D9" s="44">
        <v>187.04900001999997</v>
      </c>
      <c r="E9" s="45">
        <v>169.67599998000003</v>
      </c>
      <c r="F9" s="44">
        <v>165.06999997999998</v>
      </c>
      <c r="G9" s="44">
        <v>99.06399999000001</v>
      </c>
      <c r="H9" s="44">
        <v>127.24000002</v>
      </c>
      <c r="I9" s="44">
        <v>0</v>
      </c>
    </row>
    <row r="10" spans="1:9" ht="14.25">
      <c r="A10" s="43" t="str">
        <f>HLOOKUP(INDICE!$F$2,Nombres!$C$3:$D$636,35,FALSE)</f>
        <v>Resultados de operaciones financieras</v>
      </c>
      <c r="B10" s="44">
        <v>-10.991000000000007</v>
      </c>
      <c r="C10" s="44">
        <v>-54.48299999999999</v>
      </c>
      <c r="D10" s="44">
        <v>0.05999999999998451</v>
      </c>
      <c r="E10" s="45">
        <v>75.08500000999999</v>
      </c>
      <c r="F10" s="44">
        <v>66.84599998999998</v>
      </c>
      <c r="G10" s="44">
        <v>59.774999999999984</v>
      </c>
      <c r="H10" s="44">
        <v>79.42800002000001</v>
      </c>
      <c r="I10" s="44">
        <v>0</v>
      </c>
    </row>
    <row r="11" spans="1:9" ht="14.25">
      <c r="A11" s="43" t="str">
        <f>HLOOKUP(INDICE!$F$2,Nombres!$C$3:$D$636,36,FALSE)</f>
        <v>Otros ingresos y cargas de explotación</v>
      </c>
      <c r="B11" s="44">
        <v>5.854000010000005</v>
      </c>
      <c r="C11" s="44">
        <v>23.70299999999999</v>
      </c>
      <c r="D11" s="44">
        <v>7.051999990000024</v>
      </c>
      <c r="E11" s="45">
        <v>12.966000020000019</v>
      </c>
      <c r="F11" s="44">
        <v>21.869000000000003</v>
      </c>
      <c r="G11" s="44">
        <v>10.06099999999999</v>
      </c>
      <c r="H11" s="44">
        <v>18.81700000999999</v>
      </c>
      <c r="I11" s="44">
        <v>0</v>
      </c>
    </row>
    <row r="12" spans="1:9" ht="14.25">
      <c r="A12" s="41" t="str">
        <f>HLOOKUP(INDICE!$F$2,Nombres!$C$3:$D$636,37,FALSE)</f>
        <v>Margen bruto</v>
      </c>
      <c r="B12" s="41">
        <f>+SUM(B8:B11)</f>
        <v>883.6739999799998</v>
      </c>
      <c r="C12" s="41">
        <f aca="true" t="shared" si="0" ref="C12:I12">+SUM(C8:C11)</f>
        <v>793.8149999900002</v>
      </c>
      <c r="D12" s="41">
        <f t="shared" si="0"/>
        <v>870.2240000099997</v>
      </c>
      <c r="E12" s="42">
        <f t="shared" si="0"/>
        <v>1042.6650000199998</v>
      </c>
      <c r="F12" s="52">
        <f t="shared" si="0"/>
        <v>1073.2779999599998</v>
      </c>
      <c r="G12" s="52">
        <f t="shared" si="0"/>
        <v>883.6619999899997</v>
      </c>
      <c r="H12" s="52">
        <f t="shared" si="0"/>
        <v>909.4410000699999</v>
      </c>
      <c r="I12" s="52">
        <f t="shared" si="0"/>
        <v>0</v>
      </c>
    </row>
    <row r="13" spans="1:9" ht="14.25">
      <c r="A13" s="43" t="str">
        <f>HLOOKUP(INDICE!$F$2,Nombres!$C$3:$D$636,38,FALSE)</f>
        <v>Gastos de explotación</v>
      </c>
      <c r="B13" s="44">
        <v>-312.8470845</v>
      </c>
      <c r="C13" s="44">
        <v>-281.02136904</v>
      </c>
      <c r="D13" s="44">
        <v>-292.4924851</v>
      </c>
      <c r="E13" s="45">
        <v>-328.64913457999995</v>
      </c>
      <c r="F13" s="44">
        <v>-309.88871794999994</v>
      </c>
      <c r="G13" s="44">
        <v>-252.57887993999998</v>
      </c>
      <c r="H13" s="44">
        <v>-229.31690749000003</v>
      </c>
      <c r="I13" s="44">
        <v>0</v>
      </c>
    </row>
    <row r="14" spans="1:9" ht="14.25">
      <c r="A14" s="43" t="str">
        <f>HLOOKUP(INDICE!$F$2,Nombres!$C$3:$D$636,39,FALSE)</f>
        <v>  Gastos de administración</v>
      </c>
      <c r="B14" s="44">
        <v>-268.71006250999994</v>
      </c>
      <c r="C14" s="44">
        <v>-239.26134802999994</v>
      </c>
      <c r="D14" s="44">
        <v>-246.0004631</v>
      </c>
      <c r="E14" s="45">
        <v>-282.26811356999997</v>
      </c>
      <c r="F14" s="44">
        <v>-262.03969594999995</v>
      </c>
      <c r="G14" s="44">
        <v>-217.17585792999995</v>
      </c>
      <c r="H14" s="44">
        <v>-194.02888550000003</v>
      </c>
      <c r="I14" s="44">
        <v>0</v>
      </c>
    </row>
    <row r="15" spans="1:9" ht="14.25">
      <c r="A15" s="46" t="str">
        <f>HLOOKUP(INDICE!$F$2,Nombres!$C$3:$D$636,40,FALSE)</f>
        <v>  Gastos de personal</v>
      </c>
      <c r="B15" s="44">
        <v>-171.44995514000001</v>
      </c>
      <c r="C15" s="44">
        <v>-163.97826908000002</v>
      </c>
      <c r="D15" s="44">
        <v>-171.27935614</v>
      </c>
      <c r="E15" s="45">
        <v>-170.8060546</v>
      </c>
      <c r="F15" s="44">
        <v>-156.81167564</v>
      </c>
      <c r="G15" s="44">
        <v>-150.30583693999998</v>
      </c>
      <c r="H15" s="44">
        <v>-130.36995622</v>
      </c>
      <c r="I15" s="44">
        <v>0</v>
      </c>
    </row>
    <row r="16" spans="1:9" ht="14.25">
      <c r="A16" s="46" t="str">
        <f>HLOOKUP(INDICE!$F$2,Nombres!$C$3:$D$636,41,FALSE)</f>
        <v>  Otros gastos de administración</v>
      </c>
      <c r="B16" s="44">
        <v>-97.26010736999996</v>
      </c>
      <c r="C16" s="44">
        <v>-75.28307894999998</v>
      </c>
      <c r="D16" s="44">
        <v>-74.72110696000001</v>
      </c>
      <c r="E16" s="45">
        <v>-111.46205896999999</v>
      </c>
      <c r="F16" s="44">
        <v>-105.22802030999999</v>
      </c>
      <c r="G16" s="44">
        <v>-66.87002099000001</v>
      </c>
      <c r="H16" s="44">
        <v>-63.65892928000001</v>
      </c>
      <c r="I16" s="44">
        <v>0</v>
      </c>
    </row>
    <row r="17" spans="1:9" ht="14.25">
      <c r="A17" s="43" t="str">
        <f>HLOOKUP(INDICE!$F$2,Nombres!$C$3:$D$636,42,FALSE)</f>
        <v>  Amortización</v>
      </c>
      <c r="B17" s="44">
        <v>-44.13702199000001</v>
      </c>
      <c r="C17" s="44">
        <v>-41.76002101</v>
      </c>
      <c r="D17" s="44">
        <v>-46.492022</v>
      </c>
      <c r="E17" s="45">
        <v>-46.38102101</v>
      </c>
      <c r="F17" s="44">
        <v>-47.849022</v>
      </c>
      <c r="G17" s="44">
        <v>-35.403022009999994</v>
      </c>
      <c r="H17" s="44">
        <v>-35.28802199</v>
      </c>
      <c r="I17" s="44">
        <v>0</v>
      </c>
    </row>
    <row r="18" spans="1:9" ht="14.25">
      <c r="A18" s="41" t="str">
        <f>HLOOKUP(INDICE!$F$2,Nombres!$C$3:$D$636,43,FALSE)</f>
        <v>Margen neto</v>
      </c>
      <c r="B18" s="41">
        <f>+B12+B13</f>
        <v>570.8269154799998</v>
      </c>
      <c r="C18" s="41">
        <f aca="true" t="shared" si="1" ref="C18:I18">+C12+C13</f>
        <v>512.7936309500001</v>
      </c>
      <c r="D18" s="41">
        <f t="shared" si="1"/>
        <v>577.7315149099998</v>
      </c>
      <c r="E18" s="42">
        <f t="shared" si="1"/>
        <v>714.0158654399997</v>
      </c>
      <c r="F18" s="52">
        <f t="shared" si="1"/>
        <v>763.3892820099998</v>
      </c>
      <c r="G18" s="52">
        <f t="shared" si="1"/>
        <v>631.0831200499997</v>
      </c>
      <c r="H18" s="52">
        <f t="shared" si="1"/>
        <v>680.1240925799998</v>
      </c>
      <c r="I18" s="52">
        <f t="shared" si="1"/>
        <v>0</v>
      </c>
    </row>
    <row r="19" spans="1:9" ht="14.25">
      <c r="A19" s="43" t="str">
        <f>HLOOKUP(INDICE!$F$2,Nombres!$C$3:$D$636,44,FALSE)</f>
        <v>Deterioro de activos financieros no valorados a valor razonable con cambios en resultados</v>
      </c>
      <c r="B19" s="44">
        <v>-201.5496435</v>
      </c>
      <c r="C19" s="44">
        <v>-135.36224725</v>
      </c>
      <c r="D19" s="44">
        <v>-307.6158804799999</v>
      </c>
      <c r="E19" s="45">
        <v>-261.46844854</v>
      </c>
      <c r="F19" s="44">
        <v>-403.24300000000005</v>
      </c>
      <c r="G19" s="44">
        <v>-215.16299999999995</v>
      </c>
      <c r="H19" s="44">
        <v>-61.252000010000025</v>
      </c>
      <c r="I19" s="44">
        <v>0</v>
      </c>
    </row>
    <row r="20" spans="1:9" ht="14.25">
      <c r="A20" s="43" t="str">
        <f>HLOOKUP(INDICE!$F$2,Nombres!$C$3:$D$636,45,FALSE)</f>
        <v>Provisiones o reversión de provisiones y otros resultados</v>
      </c>
      <c r="B20" s="44">
        <v>-1.2579999899999974</v>
      </c>
      <c r="C20" s="44">
        <v>-19.94600001</v>
      </c>
      <c r="D20" s="44">
        <v>-13.214000000000004</v>
      </c>
      <c r="E20" s="45">
        <v>-93.55799999999999</v>
      </c>
      <c r="F20" s="44">
        <v>-20.217000000000017</v>
      </c>
      <c r="G20" s="44">
        <v>-40.537000000000006</v>
      </c>
      <c r="H20" s="44">
        <v>-9.180999990000013</v>
      </c>
      <c r="I20" s="44">
        <v>0</v>
      </c>
    </row>
    <row r="21" spans="1:9" ht="14.25">
      <c r="A21" s="41" t="str">
        <f>HLOOKUP(INDICE!$F$2,Nombres!$C$3:$D$636,46,FALSE)</f>
        <v>Resultado antes de impuestos</v>
      </c>
      <c r="B21" s="41">
        <f>+B18+B19+B20</f>
        <v>368.0192719899998</v>
      </c>
      <c r="C21" s="41">
        <f aca="true" t="shared" si="2" ref="C21:I21">+C18+C19+C20</f>
        <v>357.4853836900001</v>
      </c>
      <c r="D21" s="41">
        <f t="shared" si="2"/>
        <v>256.9016344299999</v>
      </c>
      <c r="E21" s="42">
        <f t="shared" si="2"/>
        <v>358.98941689999975</v>
      </c>
      <c r="F21" s="52">
        <f t="shared" si="2"/>
        <v>339.92928200999967</v>
      </c>
      <c r="G21" s="52">
        <f t="shared" si="2"/>
        <v>375.3831200499998</v>
      </c>
      <c r="H21" s="52">
        <f t="shared" si="2"/>
        <v>609.6910925799997</v>
      </c>
      <c r="I21" s="52">
        <f t="shared" si="2"/>
        <v>0</v>
      </c>
    </row>
    <row r="22" spans="1:9" ht="14.25">
      <c r="A22" s="43" t="str">
        <f>HLOOKUP(INDICE!$F$2,Nombres!$C$3:$D$636,47,FALSE)</f>
        <v>Impuesto sobre beneficios</v>
      </c>
      <c r="B22" s="44">
        <v>-79.37097462999998</v>
      </c>
      <c r="C22" s="44">
        <v>-73.3787893</v>
      </c>
      <c r="D22" s="44">
        <v>-56.70235448000002</v>
      </c>
      <c r="E22" s="45">
        <v>-102.47585963</v>
      </c>
      <c r="F22" s="44">
        <v>-78.24558461999999</v>
      </c>
      <c r="G22" s="44">
        <v>-96.93393602999998</v>
      </c>
      <c r="H22" s="44">
        <v>-132.35332774000003</v>
      </c>
      <c r="I22" s="44">
        <v>0</v>
      </c>
    </row>
    <row r="23" spans="1:9" ht="14.25">
      <c r="A23" s="41" t="str">
        <f>HLOOKUP(INDICE!$F$2,Nombres!$C$3:$D$636,48,FALSE)</f>
        <v>Resultado del ejercicio</v>
      </c>
      <c r="B23" s="41">
        <f>+B21+B22</f>
        <v>288.64829735999984</v>
      </c>
      <c r="C23" s="41">
        <f aca="true" t="shared" si="3" ref="C23:I23">+C21+C22</f>
        <v>284.1065943900001</v>
      </c>
      <c r="D23" s="41">
        <f t="shared" si="3"/>
        <v>200.19927994999986</v>
      </c>
      <c r="E23" s="42">
        <f t="shared" si="3"/>
        <v>256.51355726999975</v>
      </c>
      <c r="F23" s="52">
        <f t="shared" si="3"/>
        <v>261.6836973899997</v>
      </c>
      <c r="G23" s="52">
        <f t="shared" si="3"/>
        <v>278.4491840199998</v>
      </c>
      <c r="H23" s="52">
        <f t="shared" si="3"/>
        <v>477.33776483999964</v>
      </c>
      <c r="I23" s="52">
        <f t="shared" si="3"/>
        <v>0</v>
      </c>
    </row>
    <row r="24" spans="1:9" ht="14.25">
      <c r="A24" s="43" t="str">
        <f>HLOOKUP(INDICE!$F$2,Nombres!$C$3:$D$636,49,FALSE)</f>
        <v>Minoritarios</v>
      </c>
      <c r="B24" s="44">
        <v>-146.97299999</v>
      </c>
      <c r="C24" s="44">
        <v>-144.11499999999995</v>
      </c>
      <c r="D24" s="44">
        <v>-102.27800001000007</v>
      </c>
      <c r="E24" s="45">
        <v>-130.35600000999992</v>
      </c>
      <c r="F24" s="44">
        <v>-132.89800000000002</v>
      </c>
      <c r="G24" s="44">
        <v>-141.08800001999998</v>
      </c>
      <c r="H24" s="44">
        <v>-240.95199997000003</v>
      </c>
      <c r="I24" s="44">
        <v>0</v>
      </c>
    </row>
    <row r="25" spans="1:9" ht="14.25">
      <c r="A25" s="47" t="str">
        <f>HLOOKUP(INDICE!$F$2,Nombres!$C$3:$D$636,50,FALSE)</f>
        <v>Resultado atribuido</v>
      </c>
      <c r="B25" s="47">
        <f>+B23+B24</f>
        <v>141.67529736999984</v>
      </c>
      <c r="C25" s="47">
        <f aca="true" t="shared" si="4" ref="C25:I25">+C23+C24</f>
        <v>139.99159439000016</v>
      </c>
      <c r="D25" s="47">
        <f t="shared" si="4"/>
        <v>97.92127993999979</v>
      </c>
      <c r="E25" s="47">
        <f t="shared" si="4"/>
        <v>126.15755725999983</v>
      </c>
      <c r="F25" s="53">
        <f t="shared" si="4"/>
        <v>128.78569738999965</v>
      </c>
      <c r="G25" s="53">
        <f t="shared" si="4"/>
        <v>137.3611839999998</v>
      </c>
      <c r="H25" s="53">
        <f t="shared" si="4"/>
        <v>236.3857648699996</v>
      </c>
      <c r="I25" s="53">
        <f t="shared" si="4"/>
        <v>0</v>
      </c>
    </row>
    <row r="26" spans="1:9" ht="14.25">
      <c r="A26" s="65"/>
      <c r="B26" s="66">
        <v>0</v>
      </c>
      <c r="C26" s="66">
        <v>0</v>
      </c>
      <c r="D26" s="66">
        <v>0</v>
      </c>
      <c r="E26" s="66">
        <v>0</v>
      </c>
      <c r="F26" s="66">
        <v>-2.2737367544323206E-13</v>
      </c>
      <c r="G26" s="66">
        <v>0</v>
      </c>
      <c r="H26" s="66">
        <v>0</v>
      </c>
      <c r="I26" s="66">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4"/>
      <c r="D29" s="54"/>
      <c r="E29" s="54"/>
      <c r="F29" s="30"/>
      <c r="G29" s="60"/>
      <c r="H29" s="60"/>
      <c r="I29" s="60"/>
    </row>
    <row r="30" spans="1:9" ht="14.25">
      <c r="A30" s="30"/>
      <c r="B30" s="55">
        <f>+España!B30</f>
        <v>43555</v>
      </c>
      <c r="C30" s="55">
        <f>+España!C30</f>
        <v>43646</v>
      </c>
      <c r="D30" s="55">
        <f>+España!D30</f>
        <v>43738</v>
      </c>
      <c r="E30" s="71">
        <f>+España!E30</f>
        <v>43830</v>
      </c>
      <c r="F30" s="80">
        <f>+España!F30</f>
        <v>43921</v>
      </c>
      <c r="G30" s="80">
        <f>+España!G30</f>
        <v>44012</v>
      </c>
      <c r="H30" s="80">
        <f>+España!H30</f>
        <v>44104</v>
      </c>
      <c r="I30" s="80">
        <f>+España!I30</f>
        <v>44196</v>
      </c>
    </row>
    <row r="31" spans="1:9" ht="14.25">
      <c r="A31" s="43" t="str">
        <f>HLOOKUP(INDICE!$F$2,Nombres!$C$3:$D$636,52,FALSE)</f>
        <v>Efectivo, saldos en efectivo en bancos centrales y otros depósitos a la vista</v>
      </c>
      <c r="B31" s="44">
        <v>7171.252</v>
      </c>
      <c r="C31" s="44">
        <v>7687.286999999999</v>
      </c>
      <c r="D31" s="44">
        <v>7038.539000000001</v>
      </c>
      <c r="E31" s="45">
        <v>5486.131</v>
      </c>
      <c r="F31" s="44">
        <v>5194.189</v>
      </c>
      <c r="G31" s="44">
        <v>5489.2119999999995</v>
      </c>
      <c r="H31" s="44">
        <v>5510.271</v>
      </c>
      <c r="I31" s="44">
        <v>0</v>
      </c>
    </row>
    <row r="32" spans="1:9" ht="14.25">
      <c r="A32" s="43" t="str">
        <f>HLOOKUP(INDICE!$F$2,Nombres!$C$3:$D$636,53,FALSE)</f>
        <v>Activos financieros a valor razonable</v>
      </c>
      <c r="B32" s="60">
        <v>5598.310000000001</v>
      </c>
      <c r="C32" s="60">
        <v>5256.778</v>
      </c>
      <c r="D32" s="60">
        <v>5598.288</v>
      </c>
      <c r="E32" s="68">
        <v>5268.108</v>
      </c>
      <c r="F32" s="44">
        <v>5058.879</v>
      </c>
      <c r="G32" s="44">
        <v>5712.279</v>
      </c>
      <c r="H32" s="44">
        <v>5429.875999999999</v>
      </c>
      <c r="I32" s="44">
        <v>0</v>
      </c>
    </row>
    <row r="33" spans="1:9" ht="14.25">
      <c r="A33" s="43" t="str">
        <f>HLOOKUP(INDICE!$F$2,Nombres!$C$3:$D$636,54,FALSE)</f>
        <v>Activos financieros a coste amortizado</v>
      </c>
      <c r="B33" s="44">
        <v>51655.761</v>
      </c>
      <c r="C33" s="44">
        <v>49118.938</v>
      </c>
      <c r="D33" s="44">
        <v>51878.471</v>
      </c>
      <c r="E33" s="45">
        <v>51284.78799999999</v>
      </c>
      <c r="F33" s="44">
        <v>50862.558000000005</v>
      </c>
      <c r="G33" s="44">
        <v>50078.886999999995</v>
      </c>
      <c r="H33" s="44">
        <v>45251.355</v>
      </c>
      <c r="I33" s="44">
        <v>0</v>
      </c>
    </row>
    <row r="34" spans="1:9" ht="14.25">
      <c r="A34" s="43" t="str">
        <f>HLOOKUP(INDICE!$F$2,Nombres!$C$3:$D$636,55,FALSE)</f>
        <v>    de los que préstamos y anticipos a la clientela</v>
      </c>
      <c r="B34" s="44">
        <v>42025.041000000005</v>
      </c>
      <c r="C34" s="44">
        <v>39286.08600000001</v>
      </c>
      <c r="D34" s="44">
        <v>40775.634000000005</v>
      </c>
      <c r="E34" s="45">
        <v>40499.86000000001</v>
      </c>
      <c r="F34" s="44">
        <v>39916.31599999999</v>
      </c>
      <c r="G34" s="44">
        <v>41196.41400000001</v>
      </c>
      <c r="H34" s="44">
        <v>36797.241</v>
      </c>
      <c r="I34" s="44">
        <v>0</v>
      </c>
    </row>
    <row r="35" spans="1:9" ht="14.25">
      <c r="A35" s="43" t="str">
        <f>HLOOKUP(INDICE!$F$2,Nombres!$C$3:$D$636,56,FALSE)</f>
        <v>Activos tangibles</v>
      </c>
      <c r="B35" s="44">
        <v>1163.893</v>
      </c>
      <c r="C35" s="44">
        <v>1128.5140000000001</v>
      </c>
      <c r="D35" s="44">
        <v>1184.0720000000001</v>
      </c>
      <c r="E35" s="45">
        <v>1117.498</v>
      </c>
      <c r="F35" s="44">
        <v>1033.449</v>
      </c>
      <c r="G35" s="44">
        <v>942.0169999999999</v>
      </c>
      <c r="H35" s="44">
        <v>827.0029999999999</v>
      </c>
      <c r="I35" s="44">
        <v>0</v>
      </c>
    </row>
    <row r="36" spans="1:9" ht="14.25">
      <c r="A36" s="43" t="str">
        <f>HLOOKUP(INDICE!$F$2,Nombres!$C$3:$D$636,57,FALSE)</f>
        <v>Otros activos</v>
      </c>
      <c r="B36" s="60">
        <f>+B37-B35-B33-B32-B31</f>
        <v>1541.0290000000132</v>
      </c>
      <c r="C36" s="60">
        <f aca="true" t="shared" si="5" ref="C36:I36">+C37-C35-C33-C32-C31</f>
        <v>1449.2610000000013</v>
      </c>
      <c r="D36" s="60">
        <f t="shared" si="5"/>
        <v>1456.5459999999985</v>
      </c>
      <c r="E36" s="68">
        <f t="shared" si="5"/>
        <v>1259.516068090009</v>
      </c>
      <c r="F36" s="44">
        <f t="shared" si="5"/>
        <v>1354.876000000003</v>
      </c>
      <c r="G36" s="44">
        <f t="shared" si="5"/>
        <v>1302.464000000009</v>
      </c>
      <c r="H36" s="44">
        <f t="shared" si="5"/>
        <v>1109.6209999999974</v>
      </c>
      <c r="I36" s="44">
        <f t="shared" si="5"/>
        <v>0</v>
      </c>
    </row>
    <row r="37" spans="1:9" ht="14.25">
      <c r="A37" s="47" t="str">
        <f>HLOOKUP(INDICE!$F$2,Nombres!$C$3:$D$636,58,FALSE)</f>
        <v>Total activo / pasivo</v>
      </c>
      <c r="B37" s="53">
        <v>67130.24500000001</v>
      </c>
      <c r="C37" s="53">
        <v>64640.778000000006</v>
      </c>
      <c r="D37" s="53">
        <v>67155.916</v>
      </c>
      <c r="E37" s="84">
        <v>64416.04106809</v>
      </c>
      <c r="F37" s="53">
        <v>63503.95100000001</v>
      </c>
      <c r="G37" s="53">
        <v>63524.859000000004</v>
      </c>
      <c r="H37" s="53">
        <v>58128.126</v>
      </c>
      <c r="I37" s="53">
        <v>0</v>
      </c>
    </row>
    <row r="38" spans="1:9" ht="14.25">
      <c r="A38" s="43" t="str">
        <f>HLOOKUP(INDICE!$F$2,Nombres!$C$3:$D$636,59,FALSE)</f>
        <v>Pasivos financieros mantenidos para negociar y designados a valor razonable con cambios en resultados</v>
      </c>
      <c r="B38" s="60">
        <v>1791.8429999999998</v>
      </c>
      <c r="C38" s="60">
        <v>2275.442</v>
      </c>
      <c r="D38" s="60">
        <v>2490.1990000000005</v>
      </c>
      <c r="E38" s="68">
        <v>2183.716</v>
      </c>
      <c r="F38" s="44">
        <v>2336.191</v>
      </c>
      <c r="G38" s="44">
        <v>2248.6989999999996</v>
      </c>
      <c r="H38" s="44">
        <v>2163.924</v>
      </c>
      <c r="I38" s="44">
        <v>0</v>
      </c>
    </row>
    <row r="39" spans="1:9" ht="14.25">
      <c r="A39" s="43" t="str">
        <f>HLOOKUP(INDICE!$F$2,Nombres!$C$3:$D$636,60,FALSE)</f>
        <v>Depósitos de bancos centrales y entidades de crédito</v>
      </c>
      <c r="B39" s="60">
        <v>6950.101000000001</v>
      </c>
      <c r="C39" s="60">
        <v>5459.238</v>
      </c>
      <c r="D39" s="60">
        <v>4938.094999999999</v>
      </c>
      <c r="E39" s="68">
        <v>4472.8769999999995</v>
      </c>
      <c r="F39" s="44">
        <v>4414.611</v>
      </c>
      <c r="G39" s="44">
        <v>5571.6900000000005</v>
      </c>
      <c r="H39" s="44">
        <v>3726.4350000000004</v>
      </c>
      <c r="I39" s="44">
        <v>0</v>
      </c>
    </row>
    <row r="40" spans="1:9" ht="15.75" customHeight="1">
      <c r="A40" s="43" t="str">
        <f>HLOOKUP(INDICE!$F$2,Nombres!$C$3:$D$636,61,FALSE)</f>
        <v>Depósitos de la clientela</v>
      </c>
      <c r="B40" s="60">
        <v>40544.277</v>
      </c>
      <c r="C40" s="60">
        <v>39455.706</v>
      </c>
      <c r="D40" s="60">
        <v>41650.666</v>
      </c>
      <c r="E40" s="68">
        <v>41334.625</v>
      </c>
      <c r="F40" s="44">
        <v>41058.386</v>
      </c>
      <c r="G40" s="44">
        <v>40131.886</v>
      </c>
      <c r="H40" s="44">
        <v>38130.409999999996</v>
      </c>
      <c r="I40" s="44">
        <v>0</v>
      </c>
    </row>
    <row r="41" spans="1:9" ht="14.25">
      <c r="A41" s="43" t="str">
        <f>HLOOKUP(INDICE!$F$2,Nombres!$C$3:$D$636,62,FALSE)</f>
        <v>Valores representativos de deuda emitidos</v>
      </c>
      <c r="B41" s="44">
        <v>6335.300000000001</v>
      </c>
      <c r="C41" s="44">
        <v>5798.933</v>
      </c>
      <c r="D41" s="44">
        <v>4836.344999999999</v>
      </c>
      <c r="E41" s="45">
        <v>4270.916</v>
      </c>
      <c r="F41" s="44">
        <v>4200.975</v>
      </c>
      <c r="G41" s="44">
        <v>4073.568</v>
      </c>
      <c r="H41" s="44">
        <v>3650.01</v>
      </c>
      <c r="I41" s="44">
        <v>0</v>
      </c>
    </row>
    <row r="42" spans="1:9" ht="14.25">
      <c r="A42" s="43" t="str">
        <f>HLOOKUP(INDICE!$F$2,Nombres!$C$3:$D$636,63,FALSE)</f>
        <v>Otros pasivos</v>
      </c>
      <c r="B42" s="60">
        <f>+B37-B38-B39-B40-B41-B43</f>
        <v>8786.053530000005</v>
      </c>
      <c r="C42" s="60">
        <f aca="true" t="shared" si="6" ref="C42:I42">+C37-C38-C39-C40-C41-C43</f>
        <v>9050.855150000007</v>
      </c>
      <c r="D42" s="60">
        <f t="shared" si="6"/>
        <v>10654.548045689999</v>
      </c>
      <c r="E42" s="68">
        <f t="shared" si="6"/>
        <v>9481.48445464</v>
      </c>
      <c r="F42" s="44">
        <f t="shared" si="6"/>
        <v>8704.070940000012</v>
      </c>
      <c r="G42" s="44">
        <f t="shared" si="6"/>
        <v>8751.109470000003</v>
      </c>
      <c r="H42" s="44">
        <f t="shared" si="6"/>
        <v>7879.984981170002</v>
      </c>
      <c r="I42" s="44">
        <f t="shared" si="6"/>
        <v>0</v>
      </c>
    </row>
    <row r="43" spans="1:9" ht="14.25">
      <c r="A43" s="43" t="str">
        <f>HLOOKUP(INDICE!$F$2,Nombres!$C$3:$D$636,64,FALSE)</f>
        <v>Dotación de capital económico</v>
      </c>
      <c r="B43" s="44">
        <v>2722.6704699999996</v>
      </c>
      <c r="C43" s="44">
        <v>2600.6038499999995</v>
      </c>
      <c r="D43" s="44">
        <v>2586.0629543100004</v>
      </c>
      <c r="E43" s="45">
        <v>2672.4226134500004</v>
      </c>
      <c r="F43" s="44">
        <v>2789.7170600000004</v>
      </c>
      <c r="G43" s="44">
        <v>2747.90653</v>
      </c>
      <c r="H43" s="44">
        <v>2577.3620188300006</v>
      </c>
      <c r="I43" s="44">
        <v>0</v>
      </c>
    </row>
    <row r="44" spans="1:9" ht="14.25">
      <c r="A44" s="65"/>
      <c r="B44" s="60"/>
      <c r="C44" s="60"/>
      <c r="D44" s="60"/>
      <c r="E44" s="60"/>
      <c r="F44" s="81"/>
      <c r="G44" s="81"/>
      <c r="H44" s="81"/>
      <c r="I44" s="81"/>
    </row>
    <row r="45" spans="1:9" ht="14.25">
      <c r="A45" s="43"/>
      <c r="B45" s="60"/>
      <c r="C45" s="60"/>
      <c r="D45" s="60"/>
      <c r="E45" s="60"/>
      <c r="F45" s="81"/>
      <c r="G45" s="81"/>
      <c r="H45" s="81"/>
      <c r="I45" s="81"/>
    </row>
    <row r="46" spans="1:9" ht="16.5">
      <c r="A46" s="33" t="str">
        <f>HLOOKUP(INDICE!$F$2,Nombres!$C$3:$D$636,65,FALSE)</f>
        <v>Indicadores relevantes y de gestión</v>
      </c>
      <c r="B46" s="34"/>
      <c r="C46" s="34"/>
      <c r="D46" s="34"/>
      <c r="E46" s="34"/>
      <c r="F46" s="85"/>
      <c r="G46" s="85"/>
      <c r="H46" s="85"/>
      <c r="I46" s="85"/>
    </row>
    <row r="47" spans="1:9" ht="14.25">
      <c r="A47" s="35" t="str">
        <f>HLOOKUP(INDICE!$F$2,Nombres!$C$3:$D$636,32,FALSE)</f>
        <v>(Millones de euros)</v>
      </c>
      <c r="B47" s="30"/>
      <c r="C47" s="30"/>
      <c r="D47" s="30"/>
      <c r="E47" s="30"/>
      <c r="F47" s="83"/>
      <c r="G47" s="81"/>
      <c r="H47" s="81"/>
      <c r="I47" s="81"/>
    </row>
    <row r="48" spans="1:9" ht="14.25">
      <c r="A48" s="30"/>
      <c r="B48" s="55">
        <f aca="true" t="shared" si="7" ref="B48:I48">+B$30</f>
        <v>43555</v>
      </c>
      <c r="C48" s="55">
        <f t="shared" si="7"/>
        <v>43646</v>
      </c>
      <c r="D48" s="55">
        <f t="shared" si="7"/>
        <v>43738</v>
      </c>
      <c r="E48" s="71">
        <f t="shared" si="7"/>
        <v>43830</v>
      </c>
      <c r="F48" s="80">
        <f t="shared" si="7"/>
        <v>43921</v>
      </c>
      <c r="G48" s="80">
        <f t="shared" si="7"/>
        <v>44012</v>
      </c>
      <c r="H48" s="80">
        <f t="shared" si="7"/>
        <v>44104</v>
      </c>
      <c r="I48" s="80">
        <f t="shared" si="7"/>
        <v>44196</v>
      </c>
    </row>
    <row r="49" spans="1:9" ht="14.25">
      <c r="A49" s="43" t="str">
        <f>HLOOKUP(INDICE!$F$2,Nombres!$C$3:$D$636,66,FALSE)</f>
        <v>Préstamos y anticipos a la clientela bruto (*)</v>
      </c>
      <c r="B49" s="44">
        <v>44375.77099999999</v>
      </c>
      <c r="C49" s="44">
        <v>41634.193</v>
      </c>
      <c r="D49" s="44">
        <v>43500.257000000005</v>
      </c>
      <c r="E49" s="45">
        <v>43113.172</v>
      </c>
      <c r="F49" s="44">
        <v>42779.227999999996</v>
      </c>
      <c r="G49" s="44">
        <v>44061.442</v>
      </c>
      <c r="H49" s="44">
        <v>39401.64</v>
      </c>
      <c r="I49" s="44">
        <v>0</v>
      </c>
    </row>
    <row r="50" spans="1:9" ht="14.25">
      <c r="A50" s="43" t="str">
        <f>HLOOKUP(INDICE!$F$2,Nombres!$C$3:$D$636,67,FALSE)</f>
        <v>Depósitos de clientes en gestión (**)</v>
      </c>
      <c r="B50" s="44">
        <v>40539.997</v>
      </c>
      <c r="C50" s="44">
        <v>39452.07899999999</v>
      </c>
      <c r="D50" s="44">
        <v>41647.482</v>
      </c>
      <c r="E50" s="45">
        <v>41324.482</v>
      </c>
      <c r="F50" s="44">
        <v>41050.208999999995</v>
      </c>
      <c r="G50" s="44">
        <v>39929.238999999994</v>
      </c>
      <c r="H50" s="44">
        <v>38125.38</v>
      </c>
      <c r="I50" s="44">
        <v>0</v>
      </c>
    </row>
    <row r="51" spans="1:9" ht="14.25">
      <c r="A51" s="43" t="str">
        <f>HLOOKUP(INDICE!$F$2,Nombres!$C$3:$D$636,68,FALSE)</f>
        <v>Fondos de inversión</v>
      </c>
      <c r="B51" s="44">
        <v>757.36</v>
      </c>
      <c r="C51" s="44">
        <v>872.207</v>
      </c>
      <c r="D51" s="44">
        <v>1035.144</v>
      </c>
      <c r="E51" s="45">
        <v>1459.741</v>
      </c>
      <c r="F51" s="44">
        <v>1502.553</v>
      </c>
      <c r="G51" s="44">
        <v>1754.509</v>
      </c>
      <c r="H51" s="44">
        <v>1216.837</v>
      </c>
      <c r="I51" s="44">
        <v>0</v>
      </c>
    </row>
    <row r="52" spans="1:9" ht="14.25">
      <c r="A52" s="43" t="str">
        <f>HLOOKUP(INDICE!$F$2,Nombres!$C$3:$D$636,69,FALSE)</f>
        <v>Fondos de pensiones</v>
      </c>
      <c r="B52" s="44">
        <v>2612.445</v>
      </c>
      <c r="C52" s="44">
        <v>2110.758</v>
      </c>
      <c r="D52" s="44">
        <v>2425.286</v>
      </c>
      <c r="E52" s="45">
        <v>2446.168</v>
      </c>
      <c r="F52" s="44">
        <v>2360.204</v>
      </c>
      <c r="G52" s="44">
        <v>2457.219</v>
      </c>
      <c r="H52" s="44">
        <v>2214.174</v>
      </c>
      <c r="I52" s="44">
        <v>0</v>
      </c>
    </row>
    <row r="53" spans="1:9" ht="14.25">
      <c r="A53" s="43" t="str">
        <f>HLOOKUP(INDICE!$F$2,Nombres!$C$3:$D$636,70,FALSE)</f>
        <v>Otros recursos fuera de balance</v>
      </c>
      <c r="B53" s="44">
        <v>0</v>
      </c>
      <c r="C53" s="44">
        <v>0</v>
      </c>
      <c r="D53" s="44">
        <v>0</v>
      </c>
      <c r="E53" s="45">
        <v>0</v>
      </c>
      <c r="F53" s="44">
        <v>0</v>
      </c>
      <c r="G53" s="44">
        <v>0</v>
      </c>
      <c r="H53" s="44">
        <v>0</v>
      </c>
      <c r="I53" s="44">
        <v>0</v>
      </c>
    </row>
    <row r="54" spans="1:9" ht="14.25">
      <c r="A54" s="65" t="str">
        <f>HLOOKUP(INDICE!$F$2,Nombres!$C$3:$D$636,71,FALSE)</f>
        <v>(*) No incluye las adquisiciones temporales de activos.</v>
      </c>
      <c r="B54" s="60"/>
      <c r="C54" s="60"/>
      <c r="D54" s="60"/>
      <c r="E54" s="60"/>
      <c r="F54" s="60"/>
      <c r="G54" s="60"/>
      <c r="H54" s="60"/>
      <c r="I54" s="60"/>
    </row>
    <row r="55" spans="1:9" ht="14.25">
      <c r="A55" s="65" t="str">
        <f>HLOOKUP(INDICE!$F$2,Nombres!$C$3:$D$636,72,FALSE)</f>
        <v>(**) No incluye las cesiones temporales de activos.</v>
      </c>
      <c r="B55" s="30"/>
      <c r="C55" s="30"/>
      <c r="D55" s="30"/>
      <c r="E55" s="30"/>
      <c r="F55" s="30"/>
      <c r="G55" s="30"/>
      <c r="H55" s="30"/>
      <c r="I55" s="30"/>
    </row>
    <row r="56" spans="1:9" ht="14.25">
      <c r="A56" s="65"/>
      <c r="B56" s="30"/>
      <c r="C56" s="30"/>
      <c r="D56" s="30"/>
      <c r="E56" s="30"/>
      <c r="F56" s="30"/>
      <c r="G56" s="30"/>
      <c r="H56" s="30"/>
      <c r="I56" s="30"/>
    </row>
    <row r="57" spans="1:9" ht="16.5">
      <c r="A57" s="33" t="str">
        <f>HLOOKUP(INDICE!$F$2,Nombres!$C$3:$D$636,31,FALSE)</f>
        <v>Cuenta de resultados  </v>
      </c>
      <c r="B57" s="34"/>
      <c r="C57" s="34"/>
      <c r="D57" s="34"/>
      <c r="E57" s="34"/>
      <c r="F57" s="34"/>
      <c r="G57" s="34"/>
      <c r="H57" s="34"/>
      <c r="I57" s="34"/>
    </row>
    <row r="58" spans="1:9" ht="14.25">
      <c r="A58" s="35" t="str">
        <f>HLOOKUP(INDICE!$F$2,Nombres!$C$3:$D$636,73,FALSE)</f>
        <v>(Millones de euros constantes)</v>
      </c>
      <c r="B58" s="30"/>
      <c r="C58" s="36"/>
      <c r="D58" s="36"/>
      <c r="E58" s="36"/>
      <c r="F58" s="30"/>
      <c r="G58" s="30"/>
      <c r="H58" s="30"/>
      <c r="I58" s="30"/>
    </row>
    <row r="59" spans="1:9" ht="14.25">
      <c r="A59" s="37"/>
      <c r="B59" s="30"/>
      <c r="C59" s="36"/>
      <c r="D59" s="36"/>
      <c r="E59" s="36"/>
      <c r="F59" s="30"/>
      <c r="G59" s="30"/>
      <c r="H59" s="30"/>
      <c r="I59" s="30"/>
    </row>
    <row r="60" spans="1:9" ht="14.25">
      <c r="A60" s="38"/>
      <c r="B60" s="305">
        <f>+B$6</f>
        <v>2019</v>
      </c>
      <c r="C60" s="305"/>
      <c r="D60" s="305"/>
      <c r="E60" s="306"/>
      <c r="F60" s="305">
        <f>+F$6</f>
        <v>2020</v>
      </c>
      <c r="G60" s="305"/>
      <c r="H60" s="305"/>
      <c r="I60" s="305"/>
    </row>
    <row r="61" spans="1:9" ht="14.25">
      <c r="A61" s="38"/>
      <c r="B61" s="39" t="str">
        <f>+B$7</f>
        <v>1er Trim.</v>
      </c>
      <c r="C61" s="39" t="str">
        <f aca="true" t="shared" si="8" ref="C61:I61">+C$7</f>
        <v>2º Trim.</v>
      </c>
      <c r="D61" s="39" t="str">
        <f t="shared" si="8"/>
        <v>3er Trim.</v>
      </c>
      <c r="E61" s="40" t="str">
        <f t="shared" si="8"/>
        <v>4º Trim.</v>
      </c>
      <c r="F61" s="39" t="str">
        <f t="shared" si="8"/>
        <v>1er Trim.</v>
      </c>
      <c r="G61" s="39" t="str">
        <f t="shared" si="8"/>
        <v>2º Trim.</v>
      </c>
      <c r="H61" s="39" t="str">
        <f t="shared" si="8"/>
        <v>3er Trim.</v>
      </c>
      <c r="I61" s="39" t="str">
        <f t="shared" si="8"/>
        <v>4º Trim.</v>
      </c>
    </row>
    <row r="62" spans="1:9" ht="14.25">
      <c r="A62" s="41" t="str">
        <f>HLOOKUP(INDICE!$F$2,Nombres!$C$3:$D$636,33,FALSE)</f>
        <v>Margen de intereses</v>
      </c>
      <c r="B62" s="41">
        <v>558.7427522970114</v>
      </c>
      <c r="C62" s="41">
        <v>573.6492398016146</v>
      </c>
      <c r="D62" s="41">
        <v>561.0281035505361</v>
      </c>
      <c r="E62" s="42">
        <v>662.1807523309501</v>
      </c>
      <c r="F62" s="52">
        <v>727.2885570461067</v>
      </c>
      <c r="G62" s="52">
        <v>717.3921631953011</v>
      </c>
      <c r="H62" s="52">
        <v>773.5302797685922</v>
      </c>
      <c r="I62" s="52">
        <v>0</v>
      </c>
    </row>
    <row r="63" spans="1:9" ht="14.25">
      <c r="A63" s="43" t="str">
        <f>HLOOKUP(INDICE!$F$2,Nombres!$C$3:$D$636,34,FALSE)</f>
        <v>Comisiones netas</v>
      </c>
      <c r="B63" s="44">
        <v>156.05329357483444</v>
      </c>
      <c r="C63" s="44">
        <v>145.32004393067155</v>
      </c>
      <c r="D63" s="44">
        <v>155.25483827739086</v>
      </c>
      <c r="E63" s="45">
        <v>143.41660504627444</v>
      </c>
      <c r="F63" s="44">
        <v>146.49731248286443</v>
      </c>
      <c r="G63" s="44">
        <v>102.21577453291248</v>
      </c>
      <c r="H63" s="44">
        <v>142.6609129742231</v>
      </c>
      <c r="I63" s="44">
        <v>0</v>
      </c>
    </row>
    <row r="64" spans="1:9" ht="14.25">
      <c r="A64" s="43" t="str">
        <f>HLOOKUP(INDICE!$F$2,Nombres!$C$3:$D$636,35,FALSE)</f>
        <v>Resultados de operaciones financieras</v>
      </c>
      <c r="B64" s="44">
        <v>-8.839138287490405</v>
      </c>
      <c r="C64" s="44">
        <v>-45.94901536242824</v>
      </c>
      <c r="D64" s="44">
        <v>0.20159239610691415</v>
      </c>
      <c r="E64" s="45">
        <v>62.68142967164877</v>
      </c>
      <c r="F64" s="44">
        <v>59.32488853184156</v>
      </c>
      <c r="G64" s="44">
        <v>59.903608337605</v>
      </c>
      <c r="H64" s="44">
        <v>86.82050314055343</v>
      </c>
      <c r="I64" s="44">
        <v>0</v>
      </c>
    </row>
    <row r="65" spans="1:9" ht="14.25">
      <c r="A65" s="43" t="str">
        <f>HLOOKUP(INDICE!$F$2,Nombres!$C$3:$D$636,36,FALSE)</f>
        <v>Otros ingresos y cargas de explotación</v>
      </c>
      <c r="B65" s="44">
        <v>4.707880595338024</v>
      </c>
      <c r="C65" s="44">
        <v>20.02519601489697</v>
      </c>
      <c r="D65" s="44">
        <v>5.816338208317513</v>
      </c>
      <c r="E65" s="45">
        <v>10.94609769941004</v>
      </c>
      <c r="F65" s="44">
        <v>19.40843113270691</v>
      </c>
      <c r="G65" s="44">
        <v>10.657402381023726</v>
      </c>
      <c r="H65" s="44">
        <v>20.68116649626935</v>
      </c>
      <c r="I65" s="44">
        <v>0</v>
      </c>
    </row>
    <row r="66" spans="1:9" ht="14.25">
      <c r="A66" s="41" t="str">
        <f>HLOOKUP(INDICE!$F$2,Nombres!$C$3:$D$636,37,FALSE)</f>
        <v>Margen bruto</v>
      </c>
      <c r="B66" s="41">
        <f>+SUM(B62:B65)</f>
        <v>710.6647881796935</v>
      </c>
      <c r="C66" s="41">
        <f aca="true" t="shared" si="9" ref="C66:I66">+SUM(C62:C65)</f>
        <v>693.045464384755</v>
      </c>
      <c r="D66" s="41">
        <f t="shared" si="9"/>
        <v>722.3008724323513</v>
      </c>
      <c r="E66" s="42">
        <f t="shared" si="9"/>
        <v>879.2248847482833</v>
      </c>
      <c r="F66" s="52">
        <f t="shared" si="9"/>
        <v>952.5191891935197</v>
      </c>
      <c r="G66" s="52">
        <f t="shared" si="9"/>
        <v>890.1689484468424</v>
      </c>
      <c r="H66" s="52">
        <f t="shared" si="9"/>
        <v>1023.6928623796381</v>
      </c>
      <c r="I66" s="52">
        <f t="shared" si="9"/>
        <v>0</v>
      </c>
    </row>
    <row r="67" spans="1:9" ht="14.25">
      <c r="A67" s="43" t="str">
        <f>HLOOKUP(INDICE!$F$2,Nombres!$C$3:$D$636,38,FALSE)</f>
        <v>Gastos de explotación</v>
      </c>
      <c r="B67" s="44">
        <v>-251.59663749737925</v>
      </c>
      <c r="C67" s="44">
        <v>-245.34804406154603</v>
      </c>
      <c r="D67" s="44">
        <v>-242.70425704838212</v>
      </c>
      <c r="E67" s="45">
        <v>-277.3448220061304</v>
      </c>
      <c r="F67" s="44">
        <v>-275.0218958862048</v>
      </c>
      <c r="G67" s="44">
        <v>-254.60720386414704</v>
      </c>
      <c r="H67" s="44">
        <v>-262.15540562964816</v>
      </c>
      <c r="I67" s="44">
        <v>0</v>
      </c>
    </row>
    <row r="68" spans="1:9" ht="14.25">
      <c r="A68" s="43" t="str">
        <f>HLOOKUP(INDICE!$F$2,Nombres!$C$3:$D$636,39,FALSE)</f>
        <v>  Gastos de administración</v>
      </c>
      <c r="B68" s="44">
        <v>-216.10093729106367</v>
      </c>
      <c r="C68" s="44">
        <v>-208.96574093894225</v>
      </c>
      <c r="D68" s="44">
        <v>-204.10646305627907</v>
      </c>
      <c r="E68" s="45">
        <v>-238.18559484157566</v>
      </c>
      <c r="F68" s="44">
        <v>-232.55655918793883</v>
      </c>
      <c r="G68" s="44">
        <v>-218.68099358833103</v>
      </c>
      <c r="H68" s="44">
        <v>-222.00688660373015</v>
      </c>
      <c r="I68" s="44">
        <v>0</v>
      </c>
    </row>
    <row r="69" spans="1:9" ht="14.25">
      <c r="A69" s="46" t="str">
        <f>HLOOKUP(INDICE!$F$2,Nombres!$C$3:$D$636,40,FALSE)</f>
        <v>  Gastos de personal</v>
      </c>
      <c r="B69" s="44">
        <v>-137.8828007339174</v>
      </c>
      <c r="C69" s="44">
        <v>-142.8010292915082</v>
      </c>
      <c r="D69" s="44">
        <v>-142.15263270566967</v>
      </c>
      <c r="E69" s="45">
        <v>-144.25936196342917</v>
      </c>
      <c r="F69" s="44">
        <v>-139.1681653236689</v>
      </c>
      <c r="G69" s="44">
        <v>-150.01893152510516</v>
      </c>
      <c r="H69" s="44">
        <v>-148.3003719512259</v>
      </c>
      <c r="I69" s="44">
        <v>0</v>
      </c>
    </row>
    <row r="70" spans="1:9" ht="14.25">
      <c r="A70" s="46" t="str">
        <f>HLOOKUP(INDICE!$F$2,Nombres!$C$3:$D$636,41,FALSE)</f>
        <v>  Otros gastos de administración</v>
      </c>
      <c r="B70" s="44">
        <v>-78.21813655714625</v>
      </c>
      <c r="C70" s="44">
        <v>-66.16471164743407</v>
      </c>
      <c r="D70" s="44">
        <v>-61.95383035060942</v>
      </c>
      <c r="E70" s="45">
        <v>-93.92623287814648</v>
      </c>
      <c r="F70" s="44">
        <v>-93.38839386426994</v>
      </c>
      <c r="G70" s="44">
        <v>-68.66206206322585</v>
      </c>
      <c r="H70" s="44">
        <v>-73.70651465250418</v>
      </c>
      <c r="I70" s="44">
        <v>0</v>
      </c>
    </row>
    <row r="71" spans="1:9" ht="14.25">
      <c r="A71" s="43" t="str">
        <f>HLOOKUP(INDICE!$F$2,Nombres!$C$3:$D$636,42,FALSE)</f>
        <v>  Amortización</v>
      </c>
      <c r="B71" s="44">
        <v>-35.49570020631561</v>
      </c>
      <c r="C71" s="44">
        <v>-36.38230312260376</v>
      </c>
      <c r="D71" s="44">
        <v>-38.59779399210305</v>
      </c>
      <c r="E71" s="45">
        <v>-39.15922716455478</v>
      </c>
      <c r="F71" s="44">
        <v>-42.46533669826596</v>
      </c>
      <c r="G71" s="44">
        <v>-35.92621027581598</v>
      </c>
      <c r="H71" s="44">
        <v>-40.148519025918056</v>
      </c>
      <c r="I71" s="44">
        <v>0</v>
      </c>
    </row>
    <row r="72" spans="1:9" ht="14.25">
      <c r="A72" s="41" t="str">
        <f>HLOOKUP(INDICE!$F$2,Nombres!$C$3:$D$636,43,FALSE)</f>
        <v>Margen neto</v>
      </c>
      <c r="B72" s="41">
        <f>+B66+B67</f>
        <v>459.06815068231424</v>
      </c>
      <c r="C72" s="41">
        <f aca="true" t="shared" si="10" ref="C72:I72">+C66+C67</f>
        <v>447.6974203232089</v>
      </c>
      <c r="D72" s="41">
        <f t="shared" si="10"/>
        <v>479.59661538396915</v>
      </c>
      <c r="E72" s="42">
        <f t="shared" si="10"/>
        <v>601.8800627421529</v>
      </c>
      <c r="F72" s="52">
        <f t="shared" si="10"/>
        <v>677.4972933073149</v>
      </c>
      <c r="G72" s="52">
        <f t="shared" si="10"/>
        <v>635.5617445826954</v>
      </c>
      <c r="H72" s="52">
        <f t="shared" si="10"/>
        <v>761.5374567499899</v>
      </c>
      <c r="I72" s="52">
        <f t="shared" si="10"/>
        <v>0</v>
      </c>
    </row>
    <row r="73" spans="1:9" ht="14.25">
      <c r="A73" s="43" t="str">
        <f>HLOOKUP(INDICE!$F$2,Nombres!$C$3:$D$636,44,FALSE)</f>
        <v>Deterioro de activos financieros no valorados a valor razonable con cambios en resultados</v>
      </c>
      <c r="B73" s="44">
        <v>-162.08945234199723</v>
      </c>
      <c r="C73" s="44">
        <v>-119.83589874233543</v>
      </c>
      <c r="D73" s="44">
        <v>-255.9190654630294</v>
      </c>
      <c r="E73" s="45">
        <v>-220.49703506183465</v>
      </c>
      <c r="F73" s="44">
        <v>-357.87251338635224</v>
      </c>
      <c r="G73" s="44">
        <v>-224.42914148029703</v>
      </c>
      <c r="H73" s="44">
        <v>-97.35634514335072</v>
      </c>
      <c r="I73" s="44">
        <v>0</v>
      </c>
    </row>
    <row r="74" spans="1:9" ht="14.25">
      <c r="A74" s="43" t="str">
        <f>HLOOKUP(INDICE!$F$2,Nombres!$C$3:$D$636,45,FALSE)</f>
        <v>Provisiones o reversión de provisiones y otros resultados</v>
      </c>
      <c r="B74" s="44">
        <v>-1.011703746453603</v>
      </c>
      <c r="C74" s="44">
        <v>-16.731644910919925</v>
      </c>
      <c r="D74" s="44">
        <v>-10.977724281656222</v>
      </c>
      <c r="E74" s="45">
        <v>-78.3980336238828</v>
      </c>
      <c r="F74" s="44">
        <v>-17.94230427591276</v>
      </c>
      <c r="G74" s="44">
        <v>-39.26470008654237</v>
      </c>
      <c r="H74" s="44">
        <v>-12.727995627544907</v>
      </c>
      <c r="I74" s="44">
        <v>0</v>
      </c>
    </row>
    <row r="75" spans="1:9" ht="14.25">
      <c r="A75" s="41" t="str">
        <f>HLOOKUP(INDICE!$F$2,Nombres!$C$3:$D$636,46,FALSE)</f>
        <v>Resultado antes de impuestos</v>
      </c>
      <c r="B75" s="41">
        <f>+B72+B73+B74</f>
        <v>295.96699459386343</v>
      </c>
      <c r="C75" s="41">
        <f aca="true" t="shared" si="11" ref="C75:I75">+C72+C73+C74</f>
        <v>311.12987666995355</v>
      </c>
      <c r="D75" s="41">
        <f t="shared" si="11"/>
        <v>212.69982563928352</v>
      </c>
      <c r="E75" s="42">
        <f t="shared" si="11"/>
        <v>302.9849940564354</v>
      </c>
      <c r="F75" s="52">
        <f t="shared" si="11"/>
        <v>301.68247564504986</v>
      </c>
      <c r="G75" s="52">
        <f t="shared" si="11"/>
        <v>371.867903015856</v>
      </c>
      <c r="H75" s="52">
        <f t="shared" si="11"/>
        <v>651.4531159790943</v>
      </c>
      <c r="I75" s="52">
        <f t="shared" si="11"/>
        <v>0</v>
      </c>
    </row>
    <row r="76" spans="1:9" ht="14.25">
      <c r="A76" s="43" t="str">
        <f>HLOOKUP(INDICE!$F$2,Nombres!$C$3:$D$636,47,FALSE)</f>
        <v>Impuesto sobre beneficios</v>
      </c>
      <c r="B76" s="44">
        <v>-63.83140940473683</v>
      </c>
      <c r="C76" s="44">
        <v>-63.98845093960804</v>
      </c>
      <c r="D76" s="44">
        <v>-46.96338011378474</v>
      </c>
      <c r="E76" s="45">
        <v>-86.30826357091178</v>
      </c>
      <c r="F76" s="44">
        <v>-69.4418601918543</v>
      </c>
      <c r="G76" s="44">
        <v>-95.51016933768028</v>
      </c>
      <c r="H76" s="44">
        <v>-142.5808188604654</v>
      </c>
      <c r="I76" s="44">
        <v>0</v>
      </c>
    </row>
    <row r="77" spans="1:9" ht="14.25">
      <c r="A77" s="41" t="str">
        <f>HLOOKUP(INDICE!$F$2,Nombres!$C$3:$D$636,48,FALSE)</f>
        <v>Resultado del ejercicio</v>
      </c>
      <c r="B77" s="41">
        <f>+B75+B76</f>
        <v>232.1355851891266</v>
      </c>
      <c r="C77" s="41">
        <f aca="true" t="shared" si="12" ref="C77:I77">+C75+C76</f>
        <v>247.1414257303455</v>
      </c>
      <c r="D77" s="41">
        <f t="shared" si="12"/>
        <v>165.73644552549877</v>
      </c>
      <c r="E77" s="42">
        <f t="shared" si="12"/>
        <v>216.67673048552365</v>
      </c>
      <c r="F77" s="52">
        <f t="shared" si="12"/>
        <v>232.24061545319557</v>
      </c>
      <c r="G77" s="52">
        <f t="shared" si="12"/>
        <v>276.3577336781757</v>
      </c>
      <c r="H77" s="52">
        <f t="shared" si="12"/>
        <v>508.87229711862886</v>
      </c>
      <c r="I77" s="52">
        <f t="shared" si="12"/>
        <v>0</v>
      </c>
    </row>
    <row r="78" spans="1:9" ht="14.25">
      <c r="A78" s="43" t="str">
        <f>HLOOKUP(INDICE!$F$2,Nombres!$C$3:$D$636,49,FALSE)</f>
        <v>Minoritarios</v>
      </c>
      <c r="B78" s="44">
        <v>-118.1980412554759</v>
      </c>
      <c r="C78" s="44">
        <v>-125.38222066680818</v>
      </c>
      <c r="D78" s="44">
        <v>-84.67511543068167</v>
      </c>
      <c r="E78" s="45">
        <v>-110.11300991037159</v>
      </c>
      <c r="F78" s="44">
        <v>-117.94511320474116</v>
      </c>
      <c r="G78" s="44">
        <v>-140.04478537635254</v>
      </c>
      <c r="H78" s="44">
        <v>-256.9481014089063</v>
      </c>
      <c r="I78" s="44">
        <v>0</v>
      </c>
    </row>
    <row r="79" spans="1:9" ht="14.25">
      <c r="A79" s="47" t="str">
        <f>HLOOKUP(INDICE!$F$2,Nombres!$C$3:$D$636,50,FALSE)</f>
        <v>Resultado atribuido</v>
      </c>
      <c r="B79" s="47">
        <f>+B77+B78</f>
        <v>113.9375439336507</v>
      </c>
      <c r="C79" s="47">
        <f aca="true" t="shared" si="13" ref="C79:I79">+C77+C78</f>
        <v>121.75920506353732</v>
      </c>
      <c r="D79" s="47">
        <f t="shared" si="13"/>
        <v>81.0613300948171</v>
      </c>
      <c r="E79" s="47">
        <f t="shared" si="13"/>
        <v>106.56372057515206</v>
      </c>
      <c r="F79" s="53">
        <f t="shared" si="13"/>
        <v>114.29550224845441</v>
      </c>
      <c r="G79" s="53">
        <f t="shared" si="13"/>
        <v>136.31294830182316</v>
      </c>
      <c r="H79" s="53">
        <f t="shared" si="13"/>
        <v>251.92419570972254</v>
      </c>
      <c r="I79" s="53">
        <f t="shared" si="13"/>
        <v>0</v>
      </c>
    </row>
    <row r="80" spans="1:9" ht="14.25">
      <c r="A80" s="65"/>
      <c r="B80" s="66">
        <v>0</v>
      </c>
      <c r="C80" s="66">
        <v>0</v>
      </c>
      <c r="D80" s="66">
        <v>-1.1368683772161603E-13</v>
      </c>
      <c r="E80" s="66">
        <v>-1.2789769243681803E-13</v>
      </c>
      <c r="F80" s="66">
        <v>0</v>
      </c>
      <c r="G80" s="66">
        <v>0</v>
      </c>
      <c r="H80" s="66">
        <v>0</v>
      </c>
      <c r="I80" s="66">
        <v>0</v>
      </c>
    </row>
    <row r="81" spans="1:9" ht="14.25">
      <c r="A81" s="41"/>
      <c r="B81" s="41"/>
      <c r="C81" s="41"/>
      <c r="D81" s="41"/>
      <c r="E81" s="41"/>
      <c r="F81" s="52"/>
      <c r="G81" s="52"/>
      <c r="H81" s="52"/>
      <c r="I81" s="52"/>
    </row>
    <row r="82" spans="1:9" ht="16.5">
      <c r="A82" s="33" t="str">
        <f>HLOOKUP(INDICE!$F$2,Nombres!$C$3:$D$636,51,FALSE)</f>
        <v>Balances</v>
      </c>
      <c r="B82" s="34"/>
      <c r="C82" s="34"/>
      <c r="D82" s="34"/>
      <c r="E82" s="34"/>
      <c r="F82" s="72"/>
      <c r="G82" s="72"/>
      <c r="H82" s="72"/>
      <c r="I82" s="72"/>
    </row>
    <row r="83" spans="1:9" ht="14.25">
      <c r="A83" s="35" t="str">
        <f>HLOOKUP(INDICE!$F$2,Nombres!$C$3:$D$636,73,FALSE)</f>
        <v>(Millones de euros constantes)</v>
      </c>
      <c r="B83" s="30"/>
      <c r="C83" s="54"/>
      <c r="D83" s="54"/>
      <c r="E83" s="54"/>
      <c r="F83" s="73"/>
      <c r="G83" s="44"/>
      <c r="H83" s="44"/>
      <c r="I83" s="44"/>
    </row>
    <row r="84" spans="1:9" ht="14.25">
      <c r="A84" s="30"/>
      <c r="B84" s="55">
        <f aca="true" t="shared" si="14" ref="B84:I84">+B$30</f>
        <v>43555</v>
      </c>
      <c r="C84" s="55">
        <f t="shared" si="14"/>
        <v>43646</v>
      </c>
      <c r="D84" s="55">
        <f t="shared" si="14"/>
        <v>43738</v>
      </c>
      <c r="E84" s="71">
        <f t="shared" si="14"/>
        <v>43830</v>
      </c>
      <c r="F84" s="55">
        <f t="shared" si="14"/>
        <v>43921</v>
      </c>
      <c r="G84" s="55">
        <f t="shared" si="14"/>
        <v>44012</v>
      </c>
      <c r="H84" s="55">
        <f t="shared" si="14"/>
        <v>44104</v>
      </c>
      <c r="I84" s="55">
        <f t="shared" si="14"/>
        <v>44196</v>
      </c>
    </row>
    <row r="85" spans="1:9" ht="14.25">
      <c r="A85" s="43" t="str">
        <f>HLOOKUP(INDICE!$F$2,Nombres!$C$3:$D$636,52,FALSE)</f>
        <v>Efectivo, saldos en efectivo en bancos centrales y otros depósitos a la vista</v>
      </c>
      <c r="B85" s="44">
        <v>5000.409433948717</v>
      </c>
      <c r="C85" s="44">
        <v>5546.860402099991</v>
      </c>
      <c r="D85" s="44">
        <v>4756.641407304919</v>
      </c>
      <c r="E85" s="45">
        <v>4030.2171055673443</v>
      </c>
      <c r="F85" s="44">
        <v>4113.736035921538</v>
      </c>
      <c r="G85" s="44">
        <v>4630.810004766016</v>
      </c>
      <c r="H85" s="44">
        <v>5510.271</v>
      </c>
      <c r="I85" s="44">
        <v>0</v>
      </c>
    </row>
    <row r="86" spans="1:9" ht="14.25">
      <c r="A86" s="43" t="str">
        <f>HLOOKUP(INDICE!$F$2,Nombres!$C$3:$D$636,53,FALSE)</f>
        <v>Activos financieros a valor razonable</v>
      </c>
      <c r="B86" s="60">
        <v>3903.619917159437</v>
      </c>
      <c r="C86" s="60">
        <v>3793.0955005101778</v>
      </c>
      <c r="D86" s="60">
        <v>3783.320446305439</v>
      </c>
      <c r="E86" s="68">
        <v>3870.0532261399103</v>
      </c>
      <c r="F86" s="44">
        <v>4006.572121974521</v>
      </c>
      <c r="G86" s="44">
        <v>4818.993827021951</v>
      </c>
      <c r="H86" s="44">
        <v>5429.875999999999</v>
      </c>
      <c r="I86" s="44">
        <v>0</v>
      </c>
    </row>
    <row r="87" spans="1:9" ht="14.25">
      <c r="A87" s="43" t="str">
        <f>HLOOKUP(INDICE!$F$2,Nombres!$C$3:$D$636,54,FALSE)</f>
        <v>Activos financieros a coste amortizado</v>
      </c>
      <c r="B87" s="44">
        <v>36018.80879687399</v>
      </c>
      <c r="C87" s="44">
        <v>35442.39888342981</v>
      </c>
      <c r="D87" s="44">
        <v>35059.44675539447</v>
      </c>
      <c r="E87" s="45">
        <v>37674.78936485382</v>
      </c>
      <c r="F87" s="44">
        <v>40282.542226274265</v>
      </c>
      <c r="G87" s="44">
        <v>42247.55956722873</v>
      </c>
      <c r="H87" s="44">
        <v>45251.355</v>
      </c>
      <c r="I87" s="44">
        <v>0</v>
      </c>
    </row>
    <row r="88" spans="1:9" ht="14.25">
      <c r="A88" s="43" t="str">
        <f>HLOOKUP(INDICE!$F$2,Nombres!$C$3:$D$636,55,FALSE)</f>
        <v>    de los que préstamos y anticipos a la clientela</v>
      </c>
      <c r="B88" s="44">
        <v>29303.448195445042</v>
      </c>
      <c r="C88" s="44">
        <v>28347.37857281702</v>
      </c>
      <c r="D88" s="44">
        <v>27556.154635714927</v>
      </c>
      <c r="E88" s="45">
        <v>29751.974304857587</v>
      </c>
      <c r="F88" s="44">
        <v>31613.24848796058</v>
      </c>
      <c r="G88" s="44">
        <v>34754.12611349001</v>
      </c>
      <c r="H88" s="44">
        <v>36797.241</v>
      </c>
      <c r="I88" s="44">
        <v>0</v>
      </c>
    </row>
    <row r="89" spans="1:9" ht="14.25">
      <c r="A89" s="43" t="str">
        <f>HLOOKUP(INDICE!$F$2,Nombres!$C$3:$D$636,56,FALSE)</f>
        <v>Activos tangibles</v>
      </c>
      <c r="B89" s="44">
        <v>811.5656146662918</v>
      </c>
      <c r="C89" s="44">
        <v>814.2937319519185</v>
      </c>
      <c r="D89" s="44">
        <v>800.1953110482659</v>
      </c>
      <c r="E89" s="45">
        <v>820.9354743875595</v>
      </c>
      <c r="F89" s="44">
        <v>818.4793415463084</v>
      </c>
      <c r="G89" s="44">
        <v>794.7045492612907</v>
      </c>
      <c r="H89" s="44">
        <v>827.0029999999999</v>
      </c>
      <c r="I89" s="44">
        <v>0</v>
      </c>
    </row>
    <row r="90" spans="1:9" ht="14.25">
      <c r="A90" s="43" t="str">
        <f>HLOOKUP(INDICE!$F$2,Nombres!$C$3:$D$636,57,FALSE)</f>
        <v>Otros activos</v>
      </c>
      <c r="B90" s="60">
        <f>+B91-B89-B87-B86-B85</f>
        <v>1074.5370473089715</v>
      </c>
      <c r="C90" s="60">
        <f aca="true" t="shared" si="15" ref="C90:I90">+C91-C89-C87-C86-C85</f>
        <v>1045.7328382832366</v>
      </c>
      <c r="D90" s="60">
        <f t="shared" si="15"/>
        <v>984.3331144779304</v>
      </c>
      <c r="E90" s="68">
        <f t="shared" si="15"/>
        <v>925.2646723808257</v>
      </c>
      <c r="F90" s="44">
        <f t="shared" si="15"/>
        <v>1073.0457103900662</v>
      </c>
      <c r="G90" s="44">
        <f t="shared" si="15"/>
        <v>1098.7849115770314</v>
      </c>
      <c r="H90" s="44">
        <f t="shared" si="15"/>
        <v>1109.6209999999974</v>
      </c>
      <c r="I90" s="44">
        <f t="shared" si="15"/>
        <v>0</v>
      </c>
    </row>
    <row r="91" spans="1:9" ht="14.25">
      <c r="A91" s="47" t="str">
        <f>HLOOKUP(INDICE!$F$2,Nombres!$C$3:$D$636,58,FALSE)</f>
        <v>Total activo / pasivo</v>
      </c>
      <c r="B91" s="47">
        <v>46808.940809957414</v>
      </c>
      <c r="C91" s="47">
        <v>46642.38135627513</v>
      </c>
      <c r="D91" s="47">
        <v>45383.93703453102</v>
      </c>
      <c r="E91" s="47">
        <v>47321.25984332946</v>
      </c>
      <c r="F91" s="47">
        <v>50294.3754361067</v>
      </c>
      <c r="G91" s="47">
        <v>53590.85285985502</v>
      </c>
      <c r="H91" s="47">
        <v>58128.126</v>
      </c>
      <c r="I91" s="47">
        <v>0</v>
      </c>
    </row>
    <row r="92" spans="1:9" ht="14.25">
      <c r="A92" s="43" t="str">
        <f>HLOOKUP(INDICE!$F$2,Nombres!$C$3:$D$636,59,FALSE)</f>
        <v>Pasivos financieros mantenidos para negociar y designados a valor razonable con cambios en resultados</v>
      </c>
      <c r="B92" s="60">
        <v>1249.4259916336746</v>
      </c>
      <c r="C92" s="60">
        <v>1641.8743214706576</v>
      </c>
      <c r="D92" s="60">
        <v>1682.875334757583</v>
      </c>
      <c r="E92" s="68">
        <v>1604.199676766942</v>
      </c>
      <c r="F92" s="44">
        <v>1850.2355427373886</v>
      </c>
      <c r="G92" s="44">
        <v>1897.0478507493126</v>
      </c>
      <c r="H92" s="44">
        <v>2163.924</v>
      </c>
      <c r="I92" s="44">
        <v>0</v>
      </c>
    </row>
    <row r="93" spans="1:9" ht="14.25">
      <c r="A93" s="43" t="str">
        <f>HLOOKUP(INDICE!$F$2,Nombres!$C$3:$D$636,60,FALSE)</f>
        <v>Depósitos de bancos centrales y entidades de crédito</v>
      </c>
      <c r="B93" s="60">
        <v>4846.204066918359</v>
      </c>
      <c r="C93" s="60">
        <v>3939.183106841145</v>
      </c>
      <c r="D93" s="60">
        <v>3337.1623216416624</v>
      </c>
      <c r="E93" s="68">
        <v>3285.8612739102928</v>
      </c>
      <c r="F93" s="44">
        <v>3496.3195130703975</v>
      </c>
      <c r="G93" s="44">
        <v>4700.390109810801</v>
      </c>
      <c r="H93" s="44">
        <v>3726.4350000000004</v>
      </c>
      <c r="I93" s="44">
        <v>0</v>
      </c>
    </row>
    <row r="94" spans="1:9" ht="14.25">
      <c r="A94" s="43" t="str">
        <f>HLOOKUP(INDICE!$F$2,Nombres!$C$3:$D$636,61,FALSE)</f>
        <v>Depósitos de la clientela</v>
      </c>
      <c r="B94" s="60">
        <v>28270.933053730365</v>
      </c>
      <c r="C94" s="60">
        <v>28469.770056497044</v>
      </c>
      <c r="D94" s="60">
        <v>28147.500857411906</v>
      </c>
      <c r="E94" s="68">
        <v>30365.20869210225</v>
      </c>
      <c r="F94" s="44">
        <v>32517.7543722372</v>
      </c>
      <c r="G94" s="44">
        <v>33856.06881259627</v>
      </c>
      <c r="H94" s="44">
        <v>38130.409999999996</v>
      </c>
      <c r="I94" s="44">
        <v>0</v>
      </c>
    </row>
    <row r="95" spans="1:9" ht="14.25">
      <c r="A95" s="43" t="str">
        <f>HLOOKUP(INDICE!$F$2,Nombres!$C$3:$D$636,62,FALSE)</f>
        <v>Valores representativos de deuda emitidos</v>
      </c>
      <c r="B95" s="44">
        <v>4417.512295885755</v>
      </c>
      <c r="C95" s="44">
        <v>4184.294385279345</v>
      </c>
      <c r="D95" s="44">
        <v>3268.399718608096</v>
      </c>
      <c r="E95" s="45">
        <v>3137.4968478954033</v>
      </c>
      <c r="F95" s="44">
        <v>3327.122336808592</v>
      </c>
      <c r="G95" s="44">
        <v>3436.5441614378697</v>
      </c>
      <c r="H95" s="44">
        <v>3650.01</v>
      </c>
      <c r="I95" s="44">
        <v>0</v>
      </c>
    </row>
    <row r="96" spans="1:9" ht="14.25">
      <c r="A96" s="43" t="str">
        <f>HLOOKUP(INDICE!$F$2,Nombres!$C$3:$D$636,63,FALSE)</f>
        <v>Otros pasivos</v>
      </c>
      <c r="B96" s="60">
        <f>+B91-B92-B93-B94-B95-B97</f>
        <v>6126.386990526965</v>
      </c>
      <c r="C96" s="60">
        <f aca="true" t="shared" si="16" ref="C96:I96">+C91-C92-C93-C94-C95-C97</f>
        <v>6530.760466817194</v>
      </c>
      <c r="D96" s="60">
        <f t="shared" si="16"/>
        <v>7200.338651281008</v>
      </c>
      <c r="E96" s="68">
        <f t="shared" si="16"/>
        <v>6965.280419891731</v>
      </c>
      <c r="F96" s="44">
        <f t="shared" si="16"/>
        <v>6893.520872092923</v>
      </c>
      <c r="G96" s="44">
        <f t="shared" si="16"/>
        <v>7382.612529171516</v>
      </c>
      <c r="H96" s="44">
        <f t="shared" si="16"/>
        <v>7879.984981170002</v>
      </c>
      <c r="I96" s="44">
        <f t="shared" si="16"/>
        <v>0</v>
      </c>
    </row>
    <row r="97" spans="1:9" ht="14.25">
      <c r="A97" s="43" t="str">
        <f>HLOOKUP(INDICE!$F$2,Nombres!$C$3:$D$636,64,FALSE)</f>
        <v>Dotación de capital económico</v>
      </c>
      <c r="B97" s="44">
        <v>1898.4784112623</v>
      </c>
      <c r="C97" s="44">
        <v>1876.4990193697442</v>
      </c>
      <c r="D97" s="44">
        <v>1747.6601508307665</v>
      </c>
      <c r="E97" s="45">
        <v>1963.2129327628481</v>
      </c>
      <c r="F97" s="44">
        <v>2209.422799160194</v>
      </c>
      <c r="G97" s="44">
        <v>2318.1893960892507</v>
      </c>
      <c r="H97" s="44">
        <v>2577.3620188300006</v>
      </c>
      <c r="I97" s="44">
        <v>0</v>
      </c>
    </row>
    <row r="98" spans="1:9" ht="14.25">
      <c r="A98" s="65"/>
      <c r="B98" s="60"/>
      <c r="C98" s="60"/>
      <c r="D98" s="60"/>
      <c r="E98" s="60"/>
      <c r="F98" s="44"/>
      <c r="G98" s="44"/>
      <c r="H98" s="44"/>
      <c r="I98" s="44"/>
    </row>
    <row r="99" spans="1:9" ht="14.25">
      <c r="A99" s="43"/>
      <c r="B99" s="60"/>
      <c r="C99" s="60"/>
      <c r="D99" s="60"/>
      <c r="E99" s="60"/>
      <c r="F99" s="44"/>
      <c r="G99" s="44"/>
      <c r="H99" s="44"/>
      <c r="I99" s="44"/>
    </row>
    <row r="100" spans="1:9" ht="16.5">
      <c r="A100" s="33" t="str">
        <f>HLOOKUP(INDICE!$F$2,Nombres!$C$3:$D$636,65,FALSE)</f>
        <v>Indicadores relevantes y de gestión</v>
      </c>
      <c r="B100" s="34"/>
      <c r="C100" s="34"/>
      <c r="D100" s="34"/>
      <c r="E100" s="34"/>
      <c r="F100" s="72"/>
      <c r="G100" s="72"/>
      <c r="H100" s="72"/>
      <c r="I100" s="72"/>
    </row>
    <row r="101" spans="1:9" ht="14.25">
      <c r="A101" s="35" t="str">
        <f>HLOOKUP(INDICE!$F$2,Nombres!$C$3:$D$636,73,FALSE)</f>
        <v>(Millones de euros constantes)</v>
      </c>
      <c r="B101" s="30"/>
      <c r="C101" s="30"/>
      <c r="D101" s="30"/>
      <c r="E101" s="30"/>
      <c r="F101" s="73"/>
      <c r="G101" s="44"/>
      <c r="H101" s="44"/>
      <c r="I101" s="44"/>
    </row>
    <row r="102" spans="1:9" ht="14.25">
      <c r="A102" s="30"/>
      <c r="B102" s="55">
        <f aca="true" t="shared" si="17" ref="B102:I102">+B$30</f>
        <v>43555</v>
      </c>
      <c r="C102" s="55">
        <f t="shared" si="17"/>
        <v>43646</v>
      </c>
      <c r="D102" s="55">
        <f t="shared" si="17"/>
        <v>43738</v>
      </c>
      <c r="E102" s="71">
        <f t="shared" si="17"/>
        <v>43830</v>
      </c>
      <c r="F102" s="55">
        <f t="shared" si="17"/>
        <v>43921</v>
      </c>
      <c r="G102" s="55">
        <f t="shared" si="17"/>
        <v>44012</v>
      </c>
      <c r="H102" s="55">
        <f t="shared" si="17"/>
        <v>44104</v>
      </c>
      <c r="I102" s="55">
        <f t="shared" si="17"/>
        <v>44196</v>
      </c>
    </row>
    <row r="103" spans="1:9" ht="14.25">
      <c r="A103" s="43" t="str">
        <f>HLOOKUP(INDICE!$F$2,Nombres!$C$3:$D$636,66,FALSE)</f>
        <v>Préstamos y anticipos a la clientela bruto (*)</v>
      </c>
      <c r="B103" s="44">
        <v>30942.57794136197</v>
      </c>
      <c r="C103" s="44">
        <v>30041.68525581113</v>
      </c>
      <c r="D103" s="44">
        <v>29397.45360146554</v>
      </c>
      <c r="E103" s="45">
        <v>31671.763446710822</v>
      </c>
      <c r="F103" s="44">
        <v>33880.64081081834</v>
      </c>
      <c r="G103" s="44">
        <v>37171.121544953545</v>
      </c>
      <c r="H103" s="44">
        <v>39401.64</v>
      </c>
      <c r="I103" s="44">
        <v>0</v>
      </c>
    </row>
    <row r="104" spans="1:9" ht="14.25">
      <c r="A104" s="43" t="str">
        <f>HLOOKUP(INDICE!$F$2,Nombres!$C$3:$D$636,67,FALSE)</f>
        <v>Depósitos de clientes en gestión (**)</v>
      </c>
      <c r="B104" s="44">
        <v>28267.94867214995</v>
      </c>
      <c r="C104" s="44">
        <v>28467.152948188428</v>
      </c>
      <c r="D104" s="44">
        <v>28145.3491116816</v>
      </c>
      <c r="E104" s="45">
        <v>30357.757449668963</v>
      </c>
      <c r="F104" s="44">
        <v>32511.278285293552</v>
      </c>
      <c r="G104" s="44">
        <v>33685.11171437601</v>
      </c>
      <c r="H104" s="44">
        <v>38125.38</v>
      </c>
      <c r="I104" s="44">
        <v>0</v>
      </c>
    </row>
    <row r="105" spans="1:9" ht="14.25">
      <c r="A105" s="43" t="str">
        <f>HLOOKUP(INDICE!$F$2,Nombres!$C$3:$D$636,68,FALSE)</f>
        <v>Fondos de inversión</v>
      </c>
      <c r="B105" s="44">
        <v>528.0960826499195</v>
      </c>
      <c r="C105" s="44">
        <v>629.3521330391887</v>
      </c>
      <c r="D105" s="44">
        <v>699.5498373914306</v>
      </c>
      <c r="E105" s="45">
        <v>1072.3537494635073</v>
      </c>
      <c r="F105" s="44">
        <v>1190.0041415477979</v>
      </c>
      <c r="G105" s="44">
        <v>1480.1391949613203</v>
      </c>
      <c r="H105" s="44">
        <v>1216.837</v>
      </c>
      <c r="I105" s="44">
        <v>0</v>
      </c>
    </row>
    <row r="106" spans="1:9" ht="14.25">
      <c r="A106" s="43" t="str">
        <f>HLOOKUP(INDICE!$F$2,Nombres!$C$3:$D$636,69,FALSE)</f>
        <v>Fondos de pensiones</v>
      </c>
      <c r="B106" s="44">
        <v>1821.6197985612773</v>
      </c>
      <c r="C106" s="44">
        <v>1523.0444718163599</v>
      </c>
      <c r="D106" s="44">
        <v>1639.0071593205519</v>
      </c>
      <c r="E106" s="45">
        <v>1797.0019521392144</v>
      </c>
      <c r="F106" s="44">
        <v>1869.2535537166934</v>
      </c>
      <c r="G106" s="44">
        <v>2072.959530275228</v>
      </c>
      <c r="H106" s="44">
        <v>2214.174</v>
      </c>
      <c r="I106" s="44">
        <v>0</v>
      </c>
    </row>
    <row r="107" spans="1:9" ht="14.25">
      <c r="A107" s="43" t="str">
        <f>HLOOKUP(INDICE!$F$2,Nombres!$C$3:$D$636,70,FALSE)</f>
        <v>Otros recursos fuera de balance</v>
      </c>
      <c r="B107" s="44">
        <v>0</v>
      </c>
      <c r="C107" s="44">
        <v>0</v>
      </c>
      <c r="D107" s="44">
        <v>0</v>
      </c>
      <c r="E107" s="45">
        <v>0</v>
      </c>
      <c r="F107" s="44">
        <v>0</v>
      </c>
      <c r="G107" s="44">
        <v>0</v>
      </c>
      <c r="H107" s="44">
        <v>0</v>
      </c>
      <c r="I107" s="44">
        <v>0</v>
      </c>
    </row>
    <row r="108" spans="1:9" ht="14.25">
      <c r="A108" s="65" t="str">
        <f>HLOOKUP(INDICE!$F$2,Nombres!$C$3:$D$636,71,FALSE)</f>
        <v>(*) No incluye las adquisiciones temporales de activos.</v>
      </c>
      <c r="B108" s="60"/>
      <c r="C108" s="60"/>
      <c r="D108" s="60"/>
      <c r="E108" s="60"/>
      <c r="F108" s="60"/>
      <c r="G108" s="60"/>
      <c r="H108" s="60"/>
      <c r="I108" s="60"/>
    </row>
    <row r="109" spans="1:9" ht="14.25">
      <c r="A109" s="65" t="str">
        <f>HLOOKUP(INDICE!$F$2,Nombres!$C$3:$D$636,72,FALSE)</f>
        <v>(**) No incluye las cesiones temporales de activos.</v>
      </c>
      <c r="B109" s="30"/>
      <c r="C109" s="30"/>
      <c r="D109" s="30"/>
      <c r="E109" s="30"/>
      <c r="F109" s="30"/>
      <c r="G109" s="30"/>
      <c r="H109" s="30"/>
      <c r="I109" s="30"/>
    </row>
    <row r="110" spans="1:9" ht="14.25">
      <c r="A110" s="65"/>
      <c r="B110" s="60"/>
      <c r="C110" s="44"/>
      <c r="D110" s="44"/>
      <c r="E110" s="44"/>
      <c r="F110" s="44"/>
      <c r="G110" s="30"/>
      <c r="H110" s="30"/>
      <c r="I110" s="30"/>
    </row>
    <row r="111" spans="1:9" ht="16.5">
      <c r="A111" s="33" t="str">
        <f>HLOOKUP(INDICE!$F$2,Nombres!$C$3:$D$636,31,FALSE)</f>
        <v>Cuenta de resultados  </v>
      </c>
      <c r="B111" s="34"/>
      <c r="C111" s="34"/>
      <c r="D111" s="34"/>
      <c r="E111" s="34"/>
      <c r="F111" s="34"/>
      <c r="G111" s="34"/>
      <c r="H111" s="34"/>
      <c r="I111" s="34"/>
    </row>
    <row r="112" spans="1:9" ht="14.25">
      <c r="A112" s="35" t="str">
        <f>HLOOKUP(INDICE!$F$2,Nombres!$C$3:$D$636,77,FALSE)</f>
        <v>(Millones de liras turcas)</v>
      </c>
      <c r="B112" s="30"/>
      <c r="C112" s="36"/>
      <c r="D112" s="36"/>
      <c r="E112" s="36"/>
      <c r="F112" s="30"/>
      <c r="G112" s="30"/>
      <c r="H112" s="30"/>
      <c r="I112" s="30"/>
    </row>
    <row r="113" spans="1:9" ht="14.25">
      <c r="A113" s="37"/>
      <c r="B113" s="30"/>
      <c r="C113" s="36"/>
      <c r="D113" s="36"/>
      <c r="E113" s="36"/>
      <c r="F113" s="30"/>
      <c r="G113" s="30"/>
      <c r="H113" s="30"/>
      <c r="I113" s="30"/>
    </row>
    <row r="114" spans="1:9" ht="14.25">
      <c r="A114" s="38"/>
      <c r="B114" s="305">
        <f>+B$6</f>
        <v>2019</v>
      </c>
      <c r="C114" s="305"/>
      <c r="D114" s="305"/>
      <c r="E114" s="306"/>
      <c r="F114" s="305">
        <f>+F$6</f>
        <v>2020</v>
      </c>
      <c r="G114" s="305"/>
      <c r="H114" s="305"/>
      <c r="I114" s="305"/>
    </row>
    <row r="115" spans="1:9" ht="14.25">
      <c r="A115" s="38"/>
      <c r="B115" s="39" t="str">
        <f>+B$7</f>
        <v>1er Trim.</v>
      </c>
      <c r="C115" s="39" t="str">
        <f aca="true" t="shared" si="18" ref="C115:I115">+C$7</f>
        <v>2º Trim.</v>
      </c>
      <c r="D115" s="39" t="str">
        <f t="shared" si="18"/>
        <v>3er Trim.</v>
      </c>
      <c r="E115" s="40" t="str">
        <f t="shared" si="18"/>
        <v>4º Trim.</v>
      </c>
      <c r="F115" s="39" t="str">
        <f t="shared" si="18"/>
        <v>1er Trim.</v>
      </c>
      <c r="G115" s="39" t="str">
        <f t="shared" si="18"/>
        <v>2º Trim.</v>
      </c>
      <c r="H115" s="39" t="str">
        <f t="shared" si="18"/>
        <v>3er Trim.</v>
      </c>
      <c r="I115" s="39" t="str">
        <f t="shared" si="18"/>
        <v>4º Trim.</v>
      </c>
    </row>
    <row r="116" spans="1:9" ht="14.25">
      <c r="A116" s="41" t="str">
        <f>HLOOKUP(INDICE!$F$2,Nombres!$C$3:$D$636,33,FALSE)</f>
        <v>Margen de intereses</v>
      </c>
      <c r="B116" s="41">
        <v>4245.151428001827</v>
      </c>
      <c r="C116" s="41">
        <v>4358.406224518666</v>
      </c>
      <c r="D116" s="41">
        <v>4262.51480694053</v>
      </c>
      <c r="E116" s="42">
        <v>5031.040769292655</v>
      </c>
      <c r="F116" s="52">
        <v>5525.709360561815</v>
      </c>
      <c r="G116" s="52">
        <v>5450.51967744717</v>
      </c>
      <c r="H116" s="52">
        <v>5877.039403665936</v>
      </c>
      <c r="I116" s="52">
        <v>0</v>
      </c>
    </row>
    <row r="117" spans="1:9" ht="14.25">
      <c r="A117" s="43" t="str">
        <f>HLOOKUP(INDICE!$F$2,Nombres!$C$3:$D$636,34,FALSE)</f>
        <v>Comisiones netas</v>
      </c>
      <c r="B117" s="44">
        <v>1185.6437677986146</v>
      </c>
      <c r="C117" s="44">
        <v>1104.0959179755932</v>
      </c>
      <c r="D117" s="44">
        <v>1179.5773559620338</v>
      </c>
      <c r="E117" s="45">
        <v>1089.634188915139</v>
      </c>
      <c r="F117" s="44">
        <v>1113.040433595595</v>
      </c>
      <c r="G117" s="44">
        <v>776.603256935037</v>
      </c>
      <c r="H117" s="44">
        <v>1083.892678594673</v>
      </c>
      <c r="I117" s="44">
        <v>0</v>
      </c>
    </row>
    <row r="118" spans="1:9" ht="14.25">
      <c r="A118" s="43" t="str">
        <f>HLOOKUP(INDICE!$F$2,Nombres!$C$3:$D$636,35,FALSE)</f>
        <v>Resultados de operaciones financieras</v>
      </c>
      <c r="B118" s="44">
        <v>-67.15698838004649</v>
      </c>
      <c r="C118" s="44">
        <v>-349.10614478521484</v>
      </c>
      <c r="D118" s="44">
        <v>1.5316355240212083</v>
      </c>
      <c r="E118" s="45">
        <v>476.2337579966478</v>
      </c>
      <c r="F118" s="44">
        <v>450.73181572675435</v>
      </c>
      <c r="G118" s="44">
        <v>455.12874651422396</v>
      </c>
      <c r="H118" s="44">
        <v>659.6348344059381</v>
      </c>
      <c r="I118" s="44">
        <v>0</v>
      </c>
    </row>
    <row r="119" spans="1:9" ht="14.25">
      <c r="A119" s="43" t="str">
        <f>HLOOKUP(INDICE!$F$2,Nombres!$C$3:$D$636,36,FALSE)</f>
        <v>Otros ingresos y cargas de explotación</v>
      </c>
      <c r="B119" s="44">
        <v>35.7689937811265</v>
      </c>
      <c r="C119" s="44">
        <v>152.14513138501974</v>
      </c>
      <c r="D119" s="44">
        <v>44.1907055604285</v>
      </c>
      <c r="E119" s="45">
        <v>83.16500229965759</v>
      </c>
      <c r="F119" s="44">
        <v>147.45914609105978</v>
      </c>
      <c r="G119" s="44">
        <v>80.97158620957539</v>
      </c>
      <c r="H119" s="44">
        <v>157.12898847180443</v>
      </c>
      <c r="I119" s="44">
        <v>0</v>
      </c>
    </row>
    <row r="120" spans="1:9" ht="14.25">
      <c r="A120" s="41" t="str">
        <f>HLOOKUP(INDICE!$F$2,Nombres!$C$3:$D$636,37,FALSE)</f>
        <v>Margen bruto</v>
      </c>
      <c r="B120" s="41">
        <f>+SUM(B116:B119)</f>
        <v>5399.407201201521</v>
      </c>
      <c r="C120" s="41">
        <f aca="true" t="shared" si="19" ref="C120:I120">+SUM(C116:C119)</f>
        <v>5265.541129094063</v>
      </c>
      <c r="D120" s="41">
        <f t="shared" si="19"/>
        <v>5487.814503987014</v>
      </c>
      <c r="E120" s="42">
        <f t="shared" si="19"/>
        <v>6680.073718504099</v>
      </c>
      <c r="F120" s="52">
        <f t="shared" si="19"/>
        <v>7236.9407559752235</v>
      </c>
      <c r="G120" s="52">
        <f t="shared" si="19"/>
        <v>6763.2232671060065</v>
      </c>
      <c r="H120" s="52">
        <f t="shared" si="19"/>
        <v>7777.695905138352</v>
      </c>
      <c r="I120" s="52">
        <f t="shared" si="19"/>
        <v>0</v>
      </c>
    </row>
    <row r="121" spans="1:9" ht="14.25">
      <c r="A121" s="43" t="str">
        <f>HLOOKUP(INDICE!$F$2,Nombres!$C$3:$D$636,38,FALSE)</f>
        <v>Gastos de explotación</v>
      </c>
      <c r="B121" s="44">
        <v>-1911.551998771529</v>
      </c>
      <c r="C121" s="44">
        <v>-1864.0771541528206</v>
      </c>
      <c r="D121" s="44">
        <v>-1843.9904932196332</v>
      </c>
      <c r="E121" s="45">
        <v>-2107.178593991643</v>
      </c>
      <c r="F121" s="44">
        <v>-2089.529733054108</v>
      </c>
      <c r="G121" s="44">
        <v>-1934.4253336979107</v>
      </c>
      <c r="H121" s="44">
        <v>-1991.7741930288514</v>
      </c>
      <c r="I121" s="44">
        <v>0</v>
      </c>
    </row>
    <row r="122" spans="1:9" ht="14.25">
      <c r="A122" s="43" t="str">
        <f>HLOOKUP(INDICE!$F$2,Nombres!$C$3:$D$636,39,FALSE)</f>
        <v>  Gastos de administración</v>
      </c>
      <c r="B122" s="44">
        <v>-1641.8668497484846</v>
      </c>
      <c r="C122" s="44">
        <v>-1587.6558754517118</v>
      </c>
      <c r="D122" s="44">
        <v>-1550.736612771629</v>
      </c>
      <c r="E122" s="45">
        <v>-1809.659121150784</v>
      </c>
      <c r="F122" s="44">
        <v>-1766.891481400519</v>
      </c>
      <c r="G122" s="44">
        <v>-1661.4693047774622</v>
      </c>
      <c r="H122" s="44">
        <v>-1686.7383922522617</v>
      </c>
      <c r="I122" s="44">
        <v>0</v>
      </c>
    </row>
    <row r="123" spans="1:9" ht="14.25">
      <c r="A123" s="46" t="str">
        <f>HLOOKUP(INDICE!$F$2,Nombres!$C$3:$D$636,40,FALSE)</f>
        <v>  Gastos de personal</v>
      </c>
      <c r="B123" s="44">
        <v>-1047.590086898048</v>
      </c>
      <c r="C123" s="44">
        <v>-1084.9572382367692</v>
      </c>
      <c r="D123" s="44">
        <v>-1080.0309252224733</v>
      </c>
      <c r="E123" s="45">
        <v>-1096.0371905032753</v>
      </c>
      <c r="F123" s="44">
        <v>-1057.3558821611712</v>
      </c>
      <c r="G123" s="44">
        <v>-1139.7965857686434</v>
      </c>
      <c r="H123" s="44">
        <v>-1126.739511472525</v>
      </c>
      <c r="I123" s="44">
        <v>0</v>
      </c>
    </row>
    <row r="124" spans="1:9" ht="14.25">
      <c r="A124" s="46" t="str">
        <f>HLOOKUP(INDICE!$F$2,Nombres!$C$3:$D$636,41,FALSE)</f>
        <v>  Otros gastos de administración</v>
      </c>
      <c r="B124" s="44">
        <v>-594.2767628504366</v>
      </c>
      <c r="C124" s="44">
        <v>-502.69863721494283</v>
      </c>
      <c r="D124" s="44">
        <v>-470.70568754915547</v>
      </c>
      <c r="E124" s="45">
        <v>-713.6219306475084</v>
      </c>
      <c r="F124" s="44">
        <v>-709.5355992393481</v>
      </c>
      <c r="G124" s="44">
        <v>-521.6727190088191</v>
      </c>
      <c r="H124" s="44">
        <v>-559.9988807797365</v>
      </c>
      <c r="I124" s="44">
        <v>0</v>
      </c>
    </row>
    <row r="125" spans="1:9" ht="14.25">
      <c r="A125" s="43" t="str">
        <f>HLOOKUP(INDICE!$F$2,Nombres!$C$3:$D$636,42,FALSE)</f>
        <v>  Amortización</v>
      </c>
      <c r="B125" s="44">
        <v>-269.68514902304435</v>
      </c>
      <c r="C125" s="44">
        <v>-276.42127870110846</v>
      </c>
      <c r="D125" s="44">
        <v>-293.2538804480042</v>
      </c>
      <c r="E125" s="45">
        <v>-297.51947284085924</v>
      </c>
      <c r="F125" s="44">
        <v>-322.63825165358895</v>
      </c>
      <c r="G125" s="44">
        <v>-272.95602892044855</v>
      </c>
      <c r="H125" s="44">
        <v>-305.03580077658967</v>
      </c>
      <c r="I125" s="44">
        <v>0</v>
      </c>
    </row>
    <row r="126" spans="1:9" ht="14.25">
      <c r="A126" s="41" t="str">
        <f>HLOOKUP(INDICE!$F$2,Nombres!$C$3:$D$636,43,FALSE)</f>
        <v>Margen neto</v>
      </c>
      <c r="B126" s="41">
        <f>+B120+B121</f>
        <v>3487.8552024299925</v>
      </c>
      <c r="C126" s="41">
        <f aca="true" t="shared" si="20" ref="C126:I126">+C120+C121</f>
        <v>3401.463974941242</v>
      </c>
      <c r="D126" s="41">
        <f t="shared" si="20"/>
        <v>3643.824010767381</v>
      </c>
      <c r="E126" s="42">
        <f t="shared" si="20"/>
        <v>4572.895124512455</v>
      </c>
      <c r="F126" s="52">
        <f t="shared" si="20"/>
        <v>5147.411022921116</v>
      </c>
      <c r="G126" s="52">
        <f t="shared" si="20"/>
        <v>4828.797933408096</v>
      </c>
      <c r="H126" s="52">
        <f t="shared" si="20"/>
        <v>5785.921712109501</v>
      </c>
      <c r="I126" s="52">
        <f t="shared" si="20"/>
        <v>0</v>
      </c>
    </row>
    <row r="127" spans="1:9" ht="14.25">
      <c r="A127" s="43" t="str">
        <f>HLOOKUP(INDICE!$F$2,Nombres!$C$3:$D$636,44,FALSE)</f>
        <v>Deterioro de activos financieros no valorados a valor razonable con cambios en resultados</v>
      </c>
      <c r="B127" s="44">
        <v>-1231.5046007216795</v>
      </c>
      <c r="C127" s="44">
        <v>-910.4754103396156</v>
      </c>
      <c r="D127" s="44">
        <v>-1944.392444889854</v>
      </c>
      <c r="E127" s="45">
        <v>-1675.267015840132</v>
      </c>
      <c r="F127" s="44">
        <v>-2719.002626878104</v>
      </c>
      <c r="G127" s="44">
        <v>-1705.1419217942005</v>
      </c>
      <c r="H127" s="44">
        <v>-739.6828431532653</v>
      </c>
      <c r="I127" s="44">
        <v>0</v>
      </c>
    </row>
    <row r="128" spans="1:9" ht="14.25">
      <c r="A128" s="43" t="str">
        <f>HLOOKUP(INDICE!$F$2,Nombres!$C$3:$D$636,45,FALSE)</f>
        <v>Provisiones o reversión de provisiones y otros resultados</v>
      </c>
      <c r="B128" s="44">
        <v>-7.686606378903512</v>
      </c>
      <c r="C128" s="44">
        <v>-127.121767565505</v>
      </c>
      <c r="D128" s="44">
        <v>-83.40529110919168</v>
      </c>
      <c r="E128" s="45">
        <v>-595.6435640959298</v>
      </c>
      <c r="F128" s="44">
        <v>-136.31997606305552</v>
      </c>
      <c r="G128" s="44">
        <v>-298.32082287815354</v>
      </c>
      <c r="H128" s="44">
        <v>-96.70330145983039</v>
      </c>
      <c r="I128" s="44">
        <v>0</v>
      </c>
    </row>
    <row r="129" spans="1:9" ht="14.25">
      <c r="A129" s="41" t="str">
        <f>HLOOKUP(INDICE!$F$2,Nombres!$C$3:$D$636,46,FALSE)</f>
        <v>Resultado antes de impuestos</v>
      </c>
      <c r="B129" s="41">
        <f>+B126+B127+B128</f>
        <v>2248.6639953294093</v>
      </c>
      <c r="C129" s="41">
        <f aca="true" t="shared" si="21" ref="C129:I129">+C126+C127+C128</f>
        <v>2363.8667970361216</v>
      </c>
      <c r="D129" s="41">
        <f t="shared" si="21"/>
        <v>1616.0262747683353</v>
      </c>
      <c r="E129" s="42">
        <f t="shared" si="21"/>
        <v>2301.9845445763935</v>
      </c>
      <c r="F129" s="52">
        <f t="shared" si="21"/>
        <v>2292.088419979956</v>
      </c>
      <c r="G129" s="52">
        <f t="shared" si="21"/>
        <v>2825.3351887357417</v>
      </c>
      <c r="H129" s="52">
        <f t="shared" si="21"/>
        <v>4949.535567496406</v>
      </c>
      <c r="I129" s="52">
        <f t="shared" si="21"/>
        <v>0</v>
      </c>
    </row>
    <row r="130" spans="1:9" ht="14.25">
      <c r="A130" s="43" t="str">
        <f>HLOOKUP(INDICE!$F$2,Nombres!$C$3:$D$636,47,FALSE)</f>
        <v>Impuesto sobre beneficios</v>
      </c>
      <c r="B130" s="44">
        <v>-484.970941765068</v>
      </c>
      <c r="C130" s="44">
        <v>-486.1640938789408</v>
      </c>
      <c r="D130" s="44">
        <v>-356.81296864115444</v>
      </c>
      <c r="E130" s="45">
        <v>-655.7429995112509</v>
      </c>
      <c r="F130" s="44">
        <v>-527.5973795537503</v>
      </c>
      <c r="G130" s="44">
        <v>-725.6561809271067</v>
      </c>
      <c r="H130" s="44">
        <v>-1083.2841487479855</v>
      </c>
      <c r="I130" s="44">
        <v>0</v>
      </c>
    </row>
    <row r="131" spans="1:9" ht="14.25">
      <c r="A131" s="41" t="str">
        <f>HLOOKUP(INDICE!$F$2,Nombres!$C$3:$D$636,48,FALSE)</f>
        <v>Resultado del ejercicio</v>
      </c>
      <c r="B131" s="41">
        <f>+B129+B130</f>
        <v>1763.6930535643414</v>
      </c>
      <c r="C131" s="41">
        <f aca="true" t="shared" si="22" ref="C131:I131">+C129+C130</f>
        <v>1877.7027031571808</v>
      </c>
      <c r="D131" s="41">
        <f t="shared" si="22"/>
        <v>1259.2133061271809</v>
      </c>
      <c r="E131" s="42">
        <f t="shared" si="22"/>
        <v>1646.2415450651426</v>
      </c>
      <c r="F131" s="52">
        <f t="shared" si="22"/>
        <v>1764.491040426206</v>
      </c>
      <c r="G131" s="52">
        <f t="shared" si="22"/>
        <v>2099.679007808635</v>
      </c>
      <c r="H131" s="52">
        <f t="shared" si="22"/>
        <v>3866.2514187484203</v>
      </c>
      <c r="I131" s="52">
        <f t="shared" si="22"/>
        <v>0</v>
      </c>
    </row>
    <row r="132" spans="1:9" ht="14.25">
      <c r="A132" s="43" t="str">
        <f>HLOOKUP(INDICE!$F$2,Nombres!$C$3:$D$636,49,FALSE)</f>
        <v>Minoritarios</v>
      </c>
      <c r="B132" s="44">
        <v>-898.0314850795178</v>
      </c>
      <c r="C132" s="44">
        <v>-952.6146172305131</v>
      </c>
      <c r="D132" s="44">
        <v>-643.334854383399</v>
      </c>
      <c r="E132" s="45">
        <v>-836.6039637040565</v>
      </c>
      <c r="F132" s="44">
        <v>-896.1098174223639</v>
      </c>
      <c r="G132" s="44">
        <v>-1064.0161651861697</v>
      </c>
      <c r="H132" s="44">
        <v>-1952.2107358603337</v>
      </c>
      <c r="I132" s="44">
        <v>0</v>
      </c>
    </row>
    <row r="133" spans="1:9" ht="14.25">
      <c r="A133" s="47" t="str">
        <f>HLOOKUP(INDICE!$F$2,Nombres!$C$3:$D$636,50,FALSE)</f>
        <v>Resultado atribuido</v>
      </c>
      <c r="B133" s="47">
        <f>+B131+B132</f>
        <v>865.6615684848236</v>
      </c>
      <c r="C133" s="47">
        <f aca="true" t="shared" si="23" ref="C133:I133">+C131+C132</f>
        <v>925.0880859266678</v>
      </c>
      <c r="D133" s="47">
        <f t="shared" si="23"/>
        <v>615.8784517437819</v>
      </c>
      <c r="E133" s="47">
        <f t="shared" si="23"/>
        <v>809.6375813610862</v>
      </c>
      <c r="F133" s="53">
        <f t="shared" si="23"/>
        <v>868.381223003842</v>
      </c>
      <c r="G133" s="53">
        <f t="shared" si="23"/>
        <v>1035.6628426224654</v>
      </c>
      <c r="H133" s="53">
        <f t="shared" si="23"/>
        <v>1914.0406828880866</v>
      </c>
      <c r="I133" s="53">
        <f t="shared" si="23"/>
        <v>0</v>
      </c>
    </row>
    <row r="134" spans="1:9" ht="14.25">
      <c r="A134" s="65"/>
      <c r="B134" s="66">
        <v>-1.1368683772161603E-12</v>
      </c>
      <c r="C134" s="66">
        <v>-1.9326762412674725E-12</v>
      </c>
      <c r="D134" s="66">
        <v>0</v>
      </c>
      <c r="E134" s="66">
        <v>0</v>
      </c>
      <c r="F134" s="66">
        <v>-9.094947017729282E-13</v>
      </c>
      <c r="G134" s="66">
        <v>0</v>
      </c>
      <c r="H134" s="66">
        <v>1.8189894035458565E-12</v>
      </c>
      <c r="I134" s="66">
        <v>0</v>
      </c>
    </row>
    <row r="135" spans="1:9" ht="14.25">
      <c r="A135" s="41"/>
      <c r="B135" s="41"/>
      <c r="C135" s="41"/>
      <c r="D135" s="41"/>
      <c r="E135" s="41"/>
      <c r="F135" s="52"/>
      <c r="G135" s="52"/>
      <c r="H135" s="52"/>
      <c r="I135" s="52"/>
    </row>
    <row r="136" spans="1:9" ht="16.5">
      <c r="A136" s="33" t="str">
        <f>HLOOKUP(INDICE!$F$2,Nombres!$C$3:$D$636,51,FALSE)</f>
        <v>Balances</v>
      </c>
      <c r="B136" s="34"/>
      <c r="C136" s="34"/>
      <c r="D136" s="34"/>
      <c r="E136" s="34"/>
      <c r="F136" s="72"/>
      <c r="G136" s="72"/>
      <c r="H136" s="72"/>
      <c r="I136" s="72"/>
    </row>
    <row r="137" spans="1:9" ht="14.25">
      <c r="A137" s="35" t="str">
        <f>HLOOKUP(INDICE!$F$2,Nombres!$C$3:$D$636,77,FALSE)</f>
        <v>(Millones de liras turcas)</v>
      </c>
      <c r="B137" s="30"/>
      <c r="C137" s="54"/>
      <c r="D137" s="54"/>
      <c r="E137" s="54"/>
      <c r="F137" s="73"/>
      <c r="G137" s="44"/>
      <c r="H137" s="44"/>
      <c r="I137" s="44"/>
    </row>
    <row r="138" spans="1:9" ht="14.25">
      <c r="A138" s="30"/>
      <c r="B138" s="55">
        <f aca="true" t="shared" si="24" ref="B138:I138">+B$30</f>
        <v>43555</v>
      </c>
      <c r="C138" s="55">
        <f t="shared" si="24"/>
        <v>43646</v>
      </c>
      <c r="D138" s="55">
        <f t="shared" si="24"/>
        <v>43738</v>
      </c>
      <c r="E138" s="71">
        <f t="shared" si="24"/>
        <v>43830</v>
      </c>
      <c r="F138" s="55">
        <f t="shared" si="24"/>
        <v>43921</v>
      </c>
      <c r="G138" s="55">
        <f t="shared" si="24"/>
        <v>44012</v>
      </c>
      <c r="H138" s="55">
        <f t="shared" si="24"/>
        <v>44104</v>
      </c>
      <c r="I138" s="55">
        <f t="shared" si="24"/>
        <v>44196</v>
      </c>
    </row>
    <row r="139" spans="1:9" ht="14.25">
      <c r="A139" s="43" t="str">
        <f>HLOOKUP(INDICE!$F$2,Nombres!$C$3:$D$636,52,FALSE)</f>
        <v>Efectivo, saldos en efectivo en bancos centrales y otros depósitos a la vista</v>
      </c>
      <c r="B139" s="44">
        <v>45498.72543930164</v>
      </c>
      <c r="C139" s="44">
        <v>50470.88279848846</v>
      </c>
      <c r="D139" s="44">
        <v>43280.68016487936</v>
      </c>
      <c r="E139" s="45">
        <v>36670.94544339789</v>
      </c>
      <c r="F139" s="44">
        <v>37430.8841906874</v>
      </c>
      <c r="G139" s="44">
        <v>42135.74023318286</v>
      </c>
      <c r="H139" s="44">
        <v>50137.955828782106</v>
      </c>
      <c r="I139" s="44">
        <v>0</v>
      </c>
    </row>
    <row r="140" spans="1:9" ht="14.25">
      <c r="A140" s="43" t="str">
        <f>HLOOKUP(INDICE!$F$2,Nombres!$C$3:$D$636,53,FALSE)</f>
        <v>Activos financieros a valor razonable</v>
      </c>
      <c r="B140" s="60">
        <v>35519.03762607935</v>
      </c>
      <c r="C140" s="60">
        <v>34513.3759589921</v>
      </c>
      <c r="D140" s="60">
        <v>34424.43274078358</v>
      </c>
      <c r="E140" s="68">
        <v>35213.614304494</v>
      </c>
      <c r="F140" s="44">
        <v>36455.79973768773</v>
      </c>
      <c r="G140" s="44">
        <v>43848.02483188216</v>
      </c>
      <c r="H140" s="44">
        <v>49406.441723785276</v>
      </c>
      <c r="I140" s="44">
        <v>0</v>
      </c>
    </row>
    <row r="141" spans="1:9" ht="14.25">
      <c r="A141" s="43" t="str">
        <f>HLOOKUP(INDICE!$F$2,Nombres!$C$3:$D$636,54,FALSE)</f>
        <v>Activos financieros a coste amortizado</v>
      </c>
      <c r="B141" s="44">
        <v>327735.1412413321</v>
      </c>
      <c r="C141" s="44">
        <v>322490.3874389263</v>
      </c>
      <c r="D141" s="44">
        <v>319005.9060259479</v>
      </c>
      <c r="E141" s="45">
        <v>342802.9084293151</v>
      </c>
      <c r="F141" s="44">
        <v>366530.85171527666</v>
      </c>
      <c r="G141" s="44">
        <v>384410.5445005436</v>
      </c>
      <c r="H141" s="44">
        <v>411742.0791432106</v>
      </c>
      <c r="I141" s="44">
        <v>0</v>
      </c>
    </row>
    <row r="142" spans="1:9" ht="14.25">
      <c r="A142" s="43" t="str">
        <f>HLOOKUP(INDICE!$F$2,Nombres!$C$3:$D$636,55,FALSE)</f>
        <v>    de los que préstamos y anticipos a la clientela</v>
      </c>
      <c r="B142" s="44">
        <v>266632.07512919564</v>
      </c>
      <c r="C142" s="44">
        <v>257932.79763294107</v>
      </c>
      <c r="D142" s="44">
        <v>250733.4510292804</v>
      </c>
      <c r="E142" s="45">
        <v>270713.2141987226</v>
      </c>
      <c r="F142" s="44">
        <v>287648.9479907032</v>
      </c>
      <c r="G142" s="44">
        <v>316227.7935052714</v>
      </c>
      <c r="H142" s="44">
        <v>334818.09585754486</v>
      </c>
      <c r="I142" s="44">
        <v>0</v>
      </c>
    </row>
    <row r="143" spans="1:9" ht="14.25">
      <c r="A143" s="43" t="str">
        <f>HLOOKUP(INDICE!$F$2,Nombres!$C$3:$D$636,56,FALSE)</f>
        <v>Activos tangibles</v>
      </c>
      <c r="B143" s="44">
        <v>7384.435527816496</v>
      </c>
      <c r="C143" s="44">
        <v>7409.258666998307</v>
      </c>
      <c r="D143" s="44">
        <v>7280.977135196528</v>
      </c>
      <c r="E143" s="45">
        <v>7469.691881419941</v>
      </c>
      <c r="F143" s="44">
        <v>7447.343528697495</v>
      </c>
      <c r="G143" s="44">
        <v>7231.016693697059</v>
      </c>
      <c r="H143" s="44">
        <v>7524.9002969672965</v>
      </c>
      <c r="I143" s="44">
        <v>0</v>
      </c>
    </row>
    <row r="144" spans="1:9" ht="14.25">
      <c r="A144" s="43" t="str">
        <f>HLOOKUP(INDICE!$F$2,Nombres!$C$3:$D$636,57,FALSE)</f>
        <v>Otros activos</v>
      </c>
      <c r="B144" s="60">
        <f>+B145-B143-B141-B140-B139</f>
        <v>9777.212593421791</v>
      </c>
      <c r="C144" s="60">
        <f aca="true" t="shared" si="25" ref="C144:I144">+C145-C143-C141-C140-C139</f>
        <v>9515.123095497867</v>
      </c>
      <c r="D144" s="60">
        <f t="shared" si="25"/>
        <v>8956.447008595715</v>
      </c>
      <c r="E144" s="68">
        <f t="shared" si="25"/>
        <v>8418.983253956554</v>
      </c>
      <c r="F144" s="44">
        <f t="shared" si="25"/>
        <v>9763.642918796686</v>
      </c>
      <c r="G144" s="44">
        <f t="shared" si="25"/>
        <v>9997.843910396019</v>
      </c>
      <c r="H144" s="44">
        <f t="shared" si="25"/>
        <v>10096.441478956061</v>
      </c>
      <c r="I144" s="44">
        <f t="shared" si="25"/>
        <v>0</v>
      </c>
    </row>
    <row r="145" spans="1:9" ht="14.25">
      <c r="A145" s="47" t="str">
        <f>HLOOKUP(INDICE!$F$2,Nombres!$C$3:$D$636,58,FALSE)</f>
        <v>Total activo / pasivo</v>
      </c>
      <c r="B145" s="47">
        <v>425914.55242795136</v>
      </c>
      <c r="C145" s="47">
        <v>424399.02795890305</v>
      </c>
      <c r="D145" s="47">
        <v>412948.44307540305</v>
      </c>
      <c r="E145" s="74">
        <v>430576.14331258344</v>
      </c>
      <c r="F145" s="53">
        <v>457628.522091146</v>
      </c>
      <c r="G145" s="53">
        <v>487623.17016970174</v>
      </c>
      <c r="H145" s="53">
        <v>528907.8184717014</v>
      </c>
      <c r="I145" s="53">
        <v>0</v>
      </c>
    </row>
    <row r="146" spans="1:9" ht="14.25">
      <c r="A146" s="43" t="str">
        <f>HLOOKUP(INDICE!$F$2,Nombres!$C$3:$D$636,59,FALSE)</f>
        <v>Pasivos financieros mantenidos para negociar y designados a valor razonable con cambios en resultados</v>
      </c>
      <c r="B146" s="60">
        <v>11368.527097825398</v>
      </c>
      <c r="C146" s="60">
        <v>14939.414450996588</v>
      </c>
      <c r="D146" s="60">
        <v>15312.482670892696</v>
      </c>
      <c r="E146" s="68">
        <v>14596.612858838966</v>
      </c>
      <c r="F146" s="44">
        <v>16835.29320329433</v>
      </c>
      <c r="G146" s="44">
        <v>17261.238393892974</v>
      </c>
      <c r="H146" s="44">
        <v>19689.544475914427</v>
      </c>
      <c r="I146" s="44">
        <v>0</v>
      </c>
    </row>
    <row r="147" spans="1:9" ht="14.25">
      <c r="A147" s="43" t="str">
        <f>HLOOKUP(INDICE!$F$2,Nombres!$C$3:$D$636,60,FALSE)</f>
        <v>Depósitos de bancos centrales y entidades de crédito</v>
      </c>
      <c r="B147" s="60">
        <v>44095.61080469851</v>
      </c>
      <c r="C147" s="60">
        <v>35842.62708899181</v>
      </c>
      <c r="D147" s="60">
        <v>30364.839964485516</v>
      </c>
      <c r="E147" s="68">
        <v>29898.05173117981</v>
      </c>
      <c r="F147" s="44">
        <v>31813.011249289295</v>
      </c>
      <c r="G147" s="44">
        <v>42768.84960898261</v>
      </c>
      <c r="H147" s="44">
        <v>33906.83206485265</v>
      </c>
      <c r="I147" s="44">
        <v>0</v>
      </c>
    </row>
    <row r="148" spans="1:9" ht="14.25">
      <c r="A148" s="43" t="str">
        <f>HLOOKUP(INDICE!$F$2,Nombres!$C$3:$D$636,61,FALSE)</f>
        <v>Depósitos de la clientela</v>
      </c>
      <c r="B148" s="60">
        <v>257237.21985477465</v>
      </c>
      <c r="C148" s="60">
        <v>259046.4377429408</v>
      </c>
      <c r="D148" s="60">
        <v>256114.11030047789</v>
      </c>
      <c r="E148" s="68">
        <v>276293.03388823755</v>
      </c>
      <c r="F148" s="44">
        <v>295879.0470317004</v>
      </c>
      <c r="G148" s="44">
        <v>308056.37012447463</v>
      </c>
      <c r="H148" s="44">
        <v>346948.6005884922</v>
      </c>
      <c r="I148" s="44">
        <v>0</v>
      </c>
    </row>
    <row r="149" spans="1:9" ht="14.25">
      <c r="A149" s="43" t="str">
        <f>HLOOKUP(INDICE!$F$2,Nombres!$C$3:$D$636,62,FALSE)</f>
        <v>Valores representativos de deuda emitidos</v>
      </c>
      <c r="B149" s="44">
        <v>40194.94438008979</v>
      </c>
      <c r="C149" s="44">
        <v>38072.8946114913</v>
      </c>
      <c r="D149" s="44">
        <v>29739.16903948582</v>
      </c>
      <c r="E149" s="45">
        <v>28548.08381887621</v>
      </c>
      <c r="F149" s="44">
        <v>30273.48614248981</v>
      </c>
      <c r="G149" s="44">
        <v>31269.115324787283</v>
      </c>
      <c r="H149" s="44">
        <v>33211.44098985566</v>
      </c>
      <c r="I149" s="44">
        <v>0</v>
      </c>
    </row>
    <row r="150" spans="1:9" ht="14.25">
      <c r="A150" s="43" t="str">
        <f>HLOOKUP(INDICE!$F$2,Nombres!$C$3:$D$636,63,FALSE)</f>
        <v>Otros pasivos</v>
      </c>
      <c r="B150" s="60">
        <f>+B145-B146-B147-B148-B149-B151</f>
        <v>55743.995226562416</v>
      </c>
      <c r="C150" s="60">
        <f aca="true" t="shared" si="26" ref="C150:I150">+C145-C146-C147-C148-C149-C151</f>
        <v>59423.38948731145</v>
      </c>
      <c r="D150" s="60">
        <f t="shared" si="26"/>
        <v>65515.88138772114</v>
      </c>
      <c r="E150" s="68">
        <f t="shared" si="26"/>
        <v>63377.08654031936</v>
      </c>
      <c r="F150" s="44">
        <f t="shared" si="26"/>
        <v>62724.1464149009</v>
      </c>
      <c r="G150" s="44">
        <f t="shared" si="26"/>
        <v>67174.39140263978</v>
      </c>
      <c r="H150" s="44">
        <f t="shared" si="26"/>
        <v>71699.98334335416</v>
      </c>
      <c r="I150" s="44">
        <f t="shared" si="26"/>
        <v>0</v>
      </c>
    </row>
    <row r="151" spans="1:9" ht="14.25">
      <c r="A151" s="43" t="str">
        <f>HLOOKUP(INDICE!$F$2,Nombres!$C$3:$D$636,64,FALSE)</f>
        <v>Dotación de capital económico</v>
      </c>
      <c r="B151" s="44">
        <v>17274.255064000594</v>
      </c>
      <c r="C151" s="44">
        <v>17074.264577171096</v>
      </c>
      <c r="D151" s="44">
        <v>15901.959712340036</v>
      </c>
      <c r="E151" s="45">
        <v>17863.27447513152</v>
      </c>
      <c r="F151" s="44">
        <v>20103.538049471234</v>
      </c>
      <c r="G151" s="44">
        <v>21093.20531492442</v>
      </c>
      <c r="H151" s="44">
        <v>23451.417009232253</v>
      </c>
      <c r="I151" s="44">
        <v>0</v>
      </c>
    </row>
    <row r="152" spans="1:9" ht="14.25">
      <c r="A152" s="65"/>
      <c r="B152" s="60"/>
      <c r="C152" s="60"/>
      <c r="D152" s="60"/>
      <c r="E152" s="60"/>
      <c r="F152" s="44"/>
      <c r="G152" s="44"/>
      <c r="H152" s="44"/>
      <c r="I152" s="44"/>
    </row>
    <row r="153" spans="1:9" ht="14.25">
      <c r="A153" s="43"/>
      <c r="B153" s="60"/>
      <c r="C153" s="60"/>
      <c r="D153" s="60"/>
      <c r="E153" s="60"/>
      <c r="F153" s="44"/>
      <c r="G153" s="44"/>
      <c r="H153" s="44"/>
      <c r="I153" s="44"/>
    </row>
    <row r="154" spans="1:9" ht="16.5">
      <c r="A154" s="33" t="str">
        <f>HLOOKUP(INDICE!$F$2,Nombres!$C$3:$D$636,65,FALSE)</f>
        <v>Indicadores relevantes y de gestión</v>
      </c>
      <c r="B154" s="34"/>
      <c r="C154" s="34"/>
      <c r="D154" s="34"/>
      <c r="E154" s="34"/>
      <c r="F154" s="72"/>
      <c r="G154" s="72"/>
      <c r="H154" s="72"/>
      <c r="I154" s="72"/>
    </row>
    <row r="155" spans="1:9" ht="14.25">
      <c r="A155" s="35" t="str">
        <f>HLOOKUP(INDICE!$F$2,Nombres!$C$3:$D$636,77,FALSE)</f>
        <v>(Millones de liras turcas)</v>
      </c>
      <c r="B155" s="30"/>
      <c r="C155" s="30"/>
      <c r="D155" s="30"/>
      <c r="E155" s="30"/>
      <c r="F155" s="73"/>
      <c r="G155" s="44"/>
      <c r="H155" s="44"/>
      <c r="I155" s="44"/>
    </row>
    <row r="156" spans="1:9" ht="15.75" customHeight="1">
      <c r="A156" s="30"/>
      <c r="B156" s="55">
        <f aca="true" t="shared" si="27" ref="B156:I156">+B$30</f>
        <v>43555</v>
      </c>
      <c r="C156" s="55">
        <f t="shared" si="27"/>
        <v>43646</v>
      </c>
      <c r="D156" s="55">
        <f t="shared" si="27"/>
        <v>43738</v>
      </c>
      <c r="E156" s="71">
        <f t="shared" si="27"/>
        <v>43830</v>
      </c>
      <c r="F156" s="55">
        <f t="shared" si="27"/>
        <v>43921</v>
      </c>
      <c r="G156" s="55">
        <f t="shared" si="27"/>
        <v>44012</v>
      </c>
      <c r="H156" s="55">
        <f t="shared" si="27"/>
        <v>44104</v>
      </c>
      <c r="I156" s="55">
        <f t="shared" si="27"/>
        <v>44196</v>
      </c>
    </row>
    <row r="157" spans="1:9" ht="15.75" customHeight="1">
      <c r="A157" s="43" t="str">
        <f>HLOOKUP(INDICE!$F$2,Nombres!$C$3:$D$636,66,FALSE)</f>
        <v>Préstamos y anticipos a la clientela bruto (*)</v>
      </c>
      <c r="B157" s="44">
        <v>281546.5166872289</v>
      </c>
      <c r="C157" s="44">
        <v>273349.2941414375</v>
      </c>
      <c r="D157" s="44">
        <v>267487.43031857244</v>
      </c>
      <c r="E157" s="45">
        <v>288181.3756003693</v>
      </c>
      <c r="F157" s="44">
        <v>308279.95073629625</v>
      </c>
      <c r="G157" s="44">
        <v>338220.0349360624</v>
      </c>
      <c r="H157" s="44">
        <v>358515.52235844184</v>
      </c>
      <c r="I157" s="44">
        <v>0</v>
      </c>
    </row>
    <row r="158" spans="1:9" ht="15.75" customHeight="1">
      <c r="A158" s="43" t="str">
        <f>HLOOKUP(INDICE!$F$2,Nombres!$C$3:$D$636,67,FALSE)</f>
        <v>Depósitos de clientes en gestión (**)</v>
      </c>
      <c r="B158" s="44">
        <v>257210.06496677463</v>
      </c>
      <c r="C158" s="44">
        <v>259022.6246744408</v>
      </c>
      <c r="D158" s="44">
        <v>256094.5315660779</v>
      </c>
      <c r="E158" s="45">
        <v>276225.23503333743</v>
      </c>
      <c r="F158" s="44">
        <v>295820.1211166004</v>
      </c>
      <c r="G158" s="44">
        <v>306500.8314877754</v>
      </c>
      <c r="H158" s="44">
        <v>346902.83261849236</v>
      </c>
      <c r="I158" s="44">
        <v>0</v>
      </c>
    </row>
    <row r="159" spans="1:9" ht="15.75" customHeight="1">
      <c r="A159" s="43" t="str">
        <f>HLOOKUP(INDICE!$F$2,Nombres!$C$3:$D$636,68,FALSE)</f>
        <v>Fondos de inversión</v>
      </c>
      <c r="B159" s="44">
        <v>4805.146256010735</v>
      </c>
      <c r="C159" s="44">
        <v>5726.475058498691</v>
      </c>
      <c r="D159" s="44">
        <v>6365.203970396964</v>
      </c>
      <c r="E159" s="45">
        <v>9757.346766326047</v>
      </c>
      <c r="F159" s="44">
        <v>10827.847683896356</v>
      </c>
      <c r="G159" s="44">
        <v>13467.786534894522</v>
      </c>
      <c r="H159" s="44">
        <v>11071.999862951881</v>
      </c>
      <c r="I159" s="44">
        <v>0</v>
      </c>
    </row>
    <row r="160" spans="1:9" ht="15.75" customHeight="1">
      <c r="A160" s="43" t="str">
        <f>HLOOKUP(INDICE!$F$2,Nombres!$C$3:$D$636,69,FALSE)</f>
        <v>Fondos de pensiones</v>
      </c>
      <c r="B160" s="44">
        <v>16574.91854703703</v>
      </c>
      <c r="C160" s="44">
        <v>13858.181648996831</v>
      </c>
      <c r="D160" s="44">
        <v>14913.326142592889</v>
      </c>
      <c r="E160" s="45">
        <v>16350.92076244365</v>
      </c>
      <c r="F160" s="44">
        <v>17008.33808519428</v>
      </c>
      <c r="G160" s="44">
        <v>18861.858765892328</v>
      </c>
      <c r="H160" s="44">
        <v>20146.76922591244</v>
      </c>
      <c r="I160" s="44">
        <v>0</v>
      </c>
    </row>
    <row r="161" spans="1:9" ht="14.25">
      <c r="A161" s="43" t="str">
        <f>HLOOKUP(INDICE!$F$2,Nombres!$C$3:$D$636,70,FALSE)</f>
        <v>Otros recursos fuera de balance</v>
      </c>
      <c r="B161" s="44">
        <v>0</v>
      </c>
      <c r="C161" s="44">
        <v>0</v>
      </c>
      <c r="D161" s="44">
        <v>0</v>
      </c>
      <c r="E161" s="45">
        <v>0</v>
      </c>
      <c r="F161" s="44">
        <v>0</v>
      </c>
      <c r="G161" s="44">
        <v>0</v>
      </c>
      <c r="H161" s="44">
        <v>0</v>
      </c>
      <c r="I161" s="44">
        <v>0</v>
      </c>
    </row>
    <row r="162" spans="1:9" ht="14.25">
      <c r="A162" s="65" t="str">
        <f>HLOOKUP(INDICE!$F$2,Nombres!$C$3:$D$636,71,FALSE)</f>
        <v>(*) No incluye las adquisiciones temporales de activos.</v>
      </c>
      <c r="B162" s="60"/>
      <c r="C162" s="60"/>
      <c r="D162" s="60"/>
      <c r="E162" s="60"/>
      <c r="F162" s="44"/>
      <c r="G162" s="44"/>
      <c r="H162" s="44"/>
      <c r="I162" s="44"/>
    </row>
    <row r="163" spans="1:9" ht="14.25">
      <c r="A163" s="65" t="str">
        <f>HLOOKUP(INDICE!$F$2,Nombres!$C$3:$D$636,72,FALSE)</f>
        <v>(**) No incluye las cesiones temporales de activos.</v>
      </c>
      <c r="B163" s="30"/>
      <c r="C163" s="30"/>
      <c r="D163" s="30"/>
      <c r="E163" s="30"/>
      <c r="F163" s="30"/>
      <c r="G163" s="30"/>
      <c r="H163" s="30"/>
      <c r="I163" s="30"/>
    </row>
    <row r="164" spans="1:9" ht="14.25">
      <c r="A164" s="30"/>
      <c r="B164" s="30"/>
      <c r="C164" s="30"/>
      <c r="D164" s="30"/>
      <c r="E164" s="30"/>
      <c r="F164" s="30"/>
      <c r="G164" s="30"/>
      <c r="H164" s="30"/>
      <c r="I164" s="30"/>
    </row>
    <row r="165" spans="1:9" ht="14.25">
      <c r="A165" s="30"/>
      <c r="B165" s="30"/>
      <c r="C165" s="30"/>
      <c r="D165" s="30"/>
      <c r="E165" s="30"/>
      <c r="F165" s="30"/>
      <c r="G165" s="30"/>
      <c r="H165" s="30"/>
      <c r="I165" s="30"/>
    </row>
    <row r="166" spans="1:9" ht="14.25">
      <c r="A166" s="77"/>
      <c r="B166" s="78"/>
      <c r="C166" s="79"/>
      <c r="D166" s="79"/>
      <c r="E166" s="79"/>
      <c r="F166" s="78"/>
      <c r="G166" s="78"/>
      <c r="H166" s="78"/>
      <c r="I166" s="78"/>
    </row>
    <row r="167" spans="1:15" ht="14.25">
      <c r="A167" s="77"/>
      <c r="B167" s="78"/>
      <c r="C167" s="79"/>
      <c r="D167" s="79"/>
      <c r="E167" s="79"/>
      <c r="F167" s="78"/>
      <c r="G167" s="78"/>
      <c r="H167" s="78"/>
      <c r="I167" s="78"/>
      <c r="J167" s="78"/>
      <c r="K167" s="78"/>
      <c r="L167" s="78"/>
      <c r="M167" s="78"/>
      <c r="N167" s="78"/>
      <c r="O167" s="78"/>
    </row>
    <row r="168" spans="1:15" ht="14.25">
      <c r="A168" s="78"/>
      <c r="B168" s="78"/>
      <c r="C168" s="78"/>
      <c r="D168" s="78"/>
      <c r="E168" s="78"/>
      <c r="F168" s="78"/>
      <c r="G168" s="78"/>
      <c r="H168" s="78"/>
      <c r="I168" s="78"/>
      <c r="J168" s="78"/>
      <c r="K168" s="78"/>
      <c r="L168" s="78"/>
      <c r="M168" s="78"/>
      <c r="N168" s="78"/>
      <c r="O168" s="78"/>
    </row>
    <row r="169" spans="1:15" ht="14.25">
      <c r="A169" s="78"/>
      <c r="B169" s="78"/>
      <c r="C169" s="78"/>
      <c r="D169" s="78"/>
      <c r="E169" s="78"/>
      <c r="F169" s="78"/>
      <c r="G169" s="78"/>
      <c r="H169" s="78"/>
      <c r="I169" s="78"/>
      <c r="J169" s="78"/>
      <c r="K169" s="78"/>
      <c r="L169" s="78"/>
      <c r="M169" s="78"/>
      <c r="N169" s="78"/>
      <c r="O169" s="78"/>
    </row>
    <row r="170" spans="1:15" ht="14.25">
      <c r="A170" s="78"/>
      <c r="B170" s="78"/>
      <c r="C170" s="78"/>
      <c r="D170" s="78"/>
      <c r="E170" s="78"/>
      <c r="F170" s="78"/>
      <c r="G170" s="78"/>
      <c r="H170" s="78"/>
      <c r="I170" s="78"/>
      <c r="J170" s="78"/>
      <c r="K170" s="78"/>
      <c r="L170" s="78"/>
      <c r="M170" s="78"/>
      <c r="N170" s="78"/>
      <c r="O170" s="78"/>
    </row>
    <row r="171" spans="1:15" ht="14.25">
      <c r="A171" s="78"/>
      <c r="B171" s="78"/>
      <c r="C171" s="78"/>
      <c r="D171" s="78"/>
      <c r="E171" s="78"/>
      <c r="F171" s="78"/>
      <c r="G171" s="78"/>
      <c r="H171" s="78"/>
      <c r="I171" s="78"/>
      <c r="J171" s="78"/>
      <c r="K171" s="78"/>
      <c r="L171" s="78"/>
      <c r="M171" s="78"/>
      <c r="N171" s="78"/>
      <c r="O171" s="78"/>
    </row>
    <row r="172" spans="1:15" ht="14.25">
      <c r="A172" s="78"/>
      <c r="B172" s="78"/>
      <c r="C172" s="78"/>
      <c r="D172" s="78"/>
      <c r="E172" s="78"/>
      <c r="F172" s="78"/>
      <c r="G172" s="78"/>
      <c r="H172" s="78"/>
      <c r="I172" s="78"/>
      <c r="J172" s="78"/>
      <c r="K172" s="78"/>
      <c r="L172" s="78"/>
      <c r="M172" s="78"/>
      <c r="N172" s="78"/>
      <c r="O172" s="78"/>
    </row>
    <row r="173" spans="1:15" ht="14.25">
      <c r="A173" s="78"/>
      <c r="B173" s="78"/>
      <c r="C173" s="78"/>
      <c r="D173" s="78"/>
      <c r="E173" s="78"/>
      <c r="F173" s="78"/>
      <c r="G173" s="78"/>
      <c r="H173" s="78"/>
      <c r="I173" s="78"/>
      <c r="J173" s="78"/>
      <c r="K173" s="78"/>
      <c r="L173" s="78"/>
      <c r="M173" s="78"/>
      <c r="N173" s="78"/>
      <c r="O173" s="78"/>
    </row>
    <row r="174" spans="1:15" ht="14.25">
      <c r="A174" s="78"/>
      <c r="B174" s="78"/>
      <c r="C174" s="78"/>
      <c r="D174" s="78"/>
      <c r="E174" s="78"/>
      <c r="F174" s="78"/>
      <c r="G174" s="78"/>
      <c r="H174" s="78"/>
      <c r="I174" s="78"/>
      <c r="J174" s="78"/>
      <c r="K174" s="78"/>
      <c r="L174" s="78"/>
      <c r="M174" s="78"/>
      <c r="N174" s="78"/>
      <c r="O174" s="78"/>
    </row>
    <row r="1000" ht="14.25">
      <c r="A1000" s="31" t="s">
        <v>397</v>
      </c>
    </row>
  </sheetData>
  <sheetProtection/>
  <mergeCells count="6">
    <mergeCell ref="B6:E6"/>
    <mergeCell ref="B60:E60"/>
    <mergeCell ref="B114:E114"/>
    <mergeCell ref="F6:I6"/>
    <mergeCell ref="F60:I60"/>
    <mergeCell ref="F114:I114"/>
  </mergeCells>
  <conditionalFormatting sqref="B26:I26">
    <cfRule type="cellIs" priority="3" dxfId="98" operator="notBetween">
      <formula>0.5</formula>
      <formula>-0.5</formula>
    </cfRule>
  </conditionalFormatting>
  <conditionalFormatting sqref="B80:I80">
    <cfRule type="cellIs" priority="2" dxfId="98" operator="notBetween">
      <formula>0.5</formula>
      <formula>-0.5</formula>
    </cfRule>
  </conditionalFormatting>
  <conditionalFormatting sqref="B134:I134">
    <cfRule type="cellIs" priority="1" dxfId="98" operator="notBetween">
      <formula>0.5</formula>
      <formula>-0.5</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I1" sqref="I1:I16384"/>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6.5">
      <c r="A1" s="29" t="str">
        <f>HLOOKUP(INDICE!$F$2,Nombres!$C$3:$D$636,13,FALSE)</f>
        <v>América del Sur </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5">
        <f>+España!B6</f>
        <v>2019</v>
      </c>
      <c r="C6" s="305"/>
      <c r="D6" s="305"/>
      <c r="E6" s="306"/>
      <c r="F6" s="305">
        <f>+España!F6</f>
        <v>2020</v>
      </c>
      <c r="G6" s="305"/>
      <c r="H6" s="305"/>
      <c r="I6" s="305"/>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760.2469960400001</v>
      </c>
      <c r="C8" s="41">
        <v>852.45497825</v>
      </c>
      <c r="D8" s="41">
        <v>762.84097045</v>
      </c>
      <c r="E8" s="42">
        <v>820.8909661</v>
      </c>
      <c r="F8" s="52">
        <v>763.1889958799999</v>
      </c>
      <c r="G8" s="52">
        <v>679.60597806</v>
      </c>
      <c r="H8" s="52">
        <v>626.5529847800001</v>
      </c>
      <c r="I8" s="52">
        <v>0</v>
      </c>
    </row>
    <row r="9" spans="1:9" ht="14.25">
      <c r="A9" s="43" t="str">
        <f>HLOOKUP(INDICE!$F$2,Nombres!$C$3:$D$636,34,FALSE)</f>
        <v>Comisiones netas</v>
      </c>
      <c r="B9" s="44">
        <v>134.72437054</v>
      </c>
      <c r="C9" s="44">
        <v>163.64929165</v>
      </c>
      <c r="D9" s="44">
        <v>125.36818768999998</v>
      </c>
      <c r="E9" s="45">
        <v>132.77113399</v>
      </c>
      <c r="F9" s="44">
        <v>119.18508365</v>
      </c>
      <c r="G9" s="44">
        <v>112.76146721</v>
      </c>
      <c r="H9" s="44">
        <v>135.58380037</v>
      </c>
      <c r="I9" s="44">
        <v>0</v>
      </c>
    </row>
    <row r="10" spans="1:9" ht="14.25">
      <c r="A10" s="43" t="str">
        <f>HLOOKUP(INDICE!$F$2,Nombres!$C$3:$D$636,35,FALSE)</f>
        <v>Resultados de operaciones financieras</v>
      </c>
      <c r="B10" s="44">
        <v>206.19724782999995</v>
      </c>
      <c r="C10" s="44">
        <v>108.25140379</v>
      </c>
      <c r="D10" s="44">
        <v>102.93838012000003</v>
      </c>
      <c r="E10" s="45">
        <v>158.35670112999995</v>
      </c>
      <c r="F10" s="44">
        <v>80.40936833</v>
      </c>
      <c r="G10" s="44">
        <v>91.73590293000001</v>
      </c>
      <c r="H10" s="44">
        <v>97.76752325000001</v>
      </c>
      <c r="I10" s="44">
        <v>0</v>
      </c>
    </row>
    <row r="11" spans="1:9" ht="14.25">
      <c r="A11" s="43" t="str">
        <f>HLOOKUP(INDICE!$F$2,Nombres!$C$3:$D$636,36,FALSE)</f>
        <v>Otros ingresos y cargas de explotación</v>
      </c>
      <c r="B11" s="44">
        <v>-116.178</v>
      </c>
      <c r="C11" s="44">
        <v>-114.885</v>
      </c>
      <c r="D11" s="44">
        <v>-101.61699999999996</v>
      </c>
      <c r="E11" s="45">
        <v>-146.413</v>
      </c>
      <c r="F11" s="44">
        <v>-100.19599999999998</v>
      </c>
      <c r="G11" s="44">
        <v>-82.402</v>
      </c>
      <c r="H11" s="44">
        <v>-83.18000000000002</v>
      </c>
      <c r="I11" s="44">
        <v>0</v>
      </c>
    </row>
    <row r="12" spans="1:9" ht="14.25">
      <c r="A12" s="41" t="str">
        <f>HLOOKUP(INDICE!$F$2,Nombres!$C$3:$D$636,37,FALSE)</f>
        <v>Margen bruto</v>
      </c>
      <c r="B12" s="41">
        <f>+SUM(B8:B11)</f>
        <v>984.9906144100001</v>
      </c>
      <c r="C12" s="41">
        <f aca="true" t="shared" si="0" ref="C12:I12">+SUM(C8:C11)</f>
        <v>1009.47067369</v>
      </c>
      <c r="D12" s="41">
        <f t="shared" si="0"/>
        <v>889.5305382600001</v>
      </c>
      <c r="E12" s="42">
        <f t="shared" si="0"/>
        <v>965.6058012199999</v>
      </c>
      <c r="F12" s="52">
        <f t="shared" si="0"/>
        <v>862.5874478599999</v>
      </c>
      <c r="G12" s="52">
        <f t="shared" si="0"/>
        <v>801.7013482</v>
      </c>
      <c r="H12" s="52">
        <f t="shared" si="0"/>
        <v>776.7243084000002</v>
      </c>
      <c r="I12" s="52">
        <f t="shared" si="0"/>
        <v>0</v>
      </c>
    </row>
    <row r="13" spans="1:9" ht="14.25">
      <c r="A13" s="43" t="str">
        <f>HLOOKUP(INDICE!$F$2,Nombres!$C$3:$D$636,38,FALSE)</f>
        <v>Gastos de explotación</v>
      </c>
      <c r="B13" s="44">
        <v>-378.57976147</v>
      </c>
      <c r="C13" s="44">
        <v>-400.71090519</v>
      </c>
      <c r="D13" s="44">
        <v>-371.24367008</v>
      </c>
      <c r="E13" s="45">
        <v>-423.51330616000007</v>
      </c>
      <c r="F13" s="44">
        <v>-389.56641964999994</v>
      </c>
      <c r="G13" s="44">
        <v>-329.49252897</v>
      </c>
      <c r="H13" s="44">
        <v>-324.65845329</v>
      </c>
      <c r="I13" s="44">
        <v>0</v>
      </c>
    </row>
    <row r="14" spans="1:9" ht="14.25">
      <c r="A14" s="43" t="str">
        <f>HLOOKUP(INDICE!$F$2,Nombres!$C$3:$D$636,39,FALSE)</f>
        <v>  Gastos de administración</v>
      </c>
      <c r="B14" s="44">
        <v>-337.35576147</v>
      </c>
      <c r="C14" s="44">
        <v>-357.70790519</v>
      </c>
      <c r="D14" s="44">
        <v>-332.54767008</v>
      </c>
      <c r="E14" s="45">
        <v>-375.10430615999996</v>
      </c>
      <c r="F14" s="44">
        <v>-345.60541965000004</v>
      </c>
      <c r="G14" s="44">
        <v>-290.71252897</v>
      </c>
      <c r="H14" s="44">
        <v>-288.88545329</v>
      </c>
      <c r="I14" s="44">
        <v>0</v>
      </c>
    </row>
    <row r="15" spans="1:9" ht="14.25">
      <c r="A15" s="46" t="str">
        <f>HLOOKUP(INDICE!$F$2,Nombres!$C$3:$D$636,40,FALSE)</f>
        <v>  Gastos de personal</v>
      </c>
      <c r="B15" s="44">
        <v>-194.99451276</v>
      </c>
      <c r="C15" s="44">
        <v>-206.80953108</v>
      </c>
      <c r="D15" s="44">
        <v>-181.89978388</v>
      </c>
      <c r="E15" s="45">
        <v>-210.3353035</v>
      </c>
      <c r="F15" s="44">
        <v>-197.28728021</v>
      </c>
      <c r="G15" s="44">
        <v>-159.56920114000002</v>
      </c>
      <c r="H15" s="44">
        <v>-158.25797253</v>
      </c>
      <c r="I15" s="44">
        <v>0</v>
      </c>
    </row>
    <row r="16" spans="1:9" ht="14.25">
      <c r="A16" s="46" t="str">
        <f>HLOOKUP(INDICE!$F$2,Nombres!$C$3:$D$636,41,FALSE)</f>
        <v>  Otros gastos de administración</v>
      </c>
      <c r="B16" s="44">
        <v>-142.36124871</v>
      </c>
      <c r="C16" s="44">
        <v>-150.89837411000002</v>
      </c>
      <c r="D16" s="44">
        <v>-150.64788620000002</v>
      </c>
      <c r="E16" s="45">
        <v>-164.76900266</v>
      </c>
      <c r="F16" s="44">
        <v>-148.31813944</v>
      </c>
      <c r="G16" s="44">
        <v>-131.14332783</v>
      </c>
      <c r="H16" s="44">
        <v>-130.62748076</v>
      </c>
      <c r="I16" s="44">
        <v>0</v>
      </c>
    </row>
    <row r="17" spans="1:9" ht="14.25">
      <c r="A17" s="43" t="str">
        <f>HLOOKUP(INDICE!$F$2,Nombres!$C$3:$D$636,42,FALSE)</f>
        <v>  Amortización</v>
      </c>
      <c r="B17" s="44">
        <v>-41.224</v>
      </c>
      <c r="C17" s="44">
        <v>-43.003</v>
      </c>
      <c r="D17" s="44">
        <v>-38.696</v>
      </c>
      <c r="E17" s="45">
        <v>-48.409000000000006</v>
      </c>
      <c r="F17" s="44">
        <v>-43.961</v>
      </c>
      <c r="G17" s="44">
        <v>-38.78</v>
      </c>
      <c r="H17" s="44">
        <v>-35.772999999999996</v>
      </c>
      <c r="I17" s="44">
        <v>0</v>
      </c>
    </row>
    <row r="18" spans="1:9" ht="14.25">
      <c r="A18" s="41" t="str">
        <f>HLOOKUP(INDICE!$F$2,Nombres!$C$3:$D$636,43,FALSE)</f>
        <v>Margen neto</v>
      </c>
      <c r="B18" s="41">
        <f>+B12+B13</f>
        <v>606.4108529400002</v>
      </c>
      <c r="C18" s="41">
        <f aca="true" t="shared" si="1" ref="C18:I18">+C12+C13</f>
        <v>608.7597685000001</v>
      </c>
      <c r="D18" s="41">
        <f t="shared" si="1"/>
        <v>518.28686818</v>
      </c>
      <c r="E18" s="42">
        <f t="shared" si="1"/>
        <v>542.0924950599998</v>
      </c>
      <c r="F18" s="52">
        <f t="shared" si="1"/>
        <v>473.02102820999994</v>
      </c>
      <c r="G18" s="52">
        <f t="shared" si="1"/>
        <v>472.20881922999996</v>
      </c>
      <c r="H18" s="52">
        <f t="shared" si="1"/>
        <v>452.06585511000014</v>
      </c>
      <c r="I18" s="52">
        <f t="shared" si="1"/>
        <v>0</v>
      </c>
    </row>
    <row r="19" spans="1:9" ht="14.25">
      <c r="A19" s="43" t="str">
        <f>HLOOKUP(INDICE!$F$2,Nombres!$C$3:$D$636,44,FALSE)</f>
        <v>Deterioro de activos financieros no valorados a valor razonable con cambios en resultados</v>
      </c>
      <c r="B19" s="44">
        <v>-176.951</v>
      </c>
      <c r="C19" s="44">
        <v>-172.462</v>
      </c>
      <c r="D19" s="44">
        <v>-213.60699999999997</v>
      </c>
      <c r="E19" s="45">
        <v>-213.52000000000004</v>
      </c>
      <c r="F19" s="44">
        <v>-318.74199999999996</v>
      </c>
      <c r="G19" s="44">
        <v>-283.932</v>
      </c>
      <c r="H19" s="44">
        <v>-72.37499999999997</v>
      </c>
      <c r="I19" s="44">
        <v>0</v>
      </c>
    </row>
    <row r="20" spans="1:9" ht="14.25">
      <c r="A20" s="43" t="str">
        <f>HLOOKUP(INDICE!$F$2,Nombres!$C$3:$D$636,45,FALSE)</f>
        <v>Provisiones o reversión de provisiones y otros resultados</v>
      </c>
      <c r="B20" s="44">
        <v>-12.426999999999992</v>
      </c>
      <c r="C20" s="44">
        <v>-6.579999999999993</v>
      </c>
      <c r="D20" s="44">
        <v>-14.749000000000015</v>
      </c>
      <c r="E20" s="45">
        <v>-69.569</v>
      </c>
      <c r="F20" s="44">
        <v>-17.688000000000002</v>
      </c>
      <c r="G20" s="44">
        <v>-27.756999999999998</v>
      </c>
      <c r="H20" s="44">
        <v>-29.577999999999996</v>
      </c>
      <c r="I20" s="44">
        <v>0</v>
      </c>
    </row>
    <row r="21" spans="1:9" ht="14.25">
      <c r="A21" s="41" t="str">
        <f>HLOOKUP(INDICE!$F$2,Nombres!$C$3:$D$636,46,FALSE)</f>
        <v>Resultado antes de impuestos</v>
      </c>
      <c r="B21" s="41">
        <f>+B18+B19+B20</f>
        <v>417.0328529400001</v>
      </c>
      <c r="C21" s="41">
        <f aca="true" t="shared" si="2" ref="C21:I21">+C18+C19+C20</f>
        <v>429.7177685000001</v>
      </c>
      <c r="D21" s="41">
        <f t="shared" si="2"/>
        <v>289.93086818000006</v>
      </c>
      <c r="E21" s="42">
        <f t="shared" si="2"/>
        <v>259.00349505999975</v>
      </c>
      <c r="F21" s="52">
        <f t="shared" si="2"/>
        <v>136.59102821</v>
      </c>
      <c r="G21" s="52">
        <f t="shared" si="2"/>
        <v>160.51981922999994</v>
      </c>
      <c r="H21" s="52">
        <f t="shared" si="2"/>
        <v>350.11285511000017</v>
      </c>
      <c r="I21" s="52">
        <f t="shared" si="2"/>
        <v>0</v>
      </c>
    </row>
    <row r="22" spans="1:9" ht="14.25">
      <c r="A22" s="43" t="str">
        <f>HLOOKUP(INDICE!$F$2,Nombres!$C$3:$D$636,47,FALSE)</f>
        <v>Impuesto sobre beneficios</v>
      </c>
      <c r="B22" s="44">
        <v>-137.76212579999998</v>
      </c>
      <c r="C22" s="44">
        <v>-133.42388689</v>
      </c>
      <c r="D22" s="44">
        <v>-49.62055456999998</v>
      </c>
      <c r="E22" s="45">
        <v>-46.78526214</v>
      </c>
      <c r="F22" s="44">
        <v>-29.39512622999999</v>
      </c>
      <c r="G22" s="44">
        <v>-51.93055445999998</v>
      </c>
      <c r="H22" s="44">
        <v>-111.81223169999998</v>
      </c>
      <c r="I22" s="44">
        <v>0</v>
      </c>
    </row>
    <row r="23" spans="1:9" ht="14.25">
      <c r="A23" s="41" t="str">
        <f>HLOOKUP(INDICE!$F$2,Nombres!$C$3:$D$636,48,FALSE)</f>
        <v>Resultado del ejercicio</v>
      </c>
      <c r="B23" s="41">
        <f>+B21+B22</f>
        <v>279.27072714000013</v>
      </c>
      <c r="C23" s="41">
        <f aca="true" t="shared" si="3" ref="C23:I23">+C21+C22</f>
        <v>296.2938816100001</v>
      </c>
      <c r="D23" s="41">
        <f t="shared" si="3"/>
        <v>240.3103136100001</v>
      </c>
      <c r="E23" s="42">
        <f t="shared" si="3"/>
        <v>212.21823291999976</v>
      </c>
      <c r="F23" s="52">
        <f t="shared" si="3"/>
        <v>107.19590198</v>
      </c>
      <c r="G23" s="52">
        <f t="shared" si="3"/>
        <v>108.58926476999996</v>
      </c>
      <c r="H23" s="52">
        <f t="shared" si="3"/>
        <v>238.30062341000018</v>
      </c>
      <c r="I23" s="52">
        <f t="shared" si="3"/>
        <v>0</v>
      </c>
    </row>
    <row r="24" spans="1:9" ht="14.25">
      <c r="A24" s="43" t="str">
        <f>HLOOKUP(INDICE!$F$2,Nombres!$C$3:$D$636,49,FALSE)</f>
        <v>Minoritarios</v>
      </c>
      <c r="B24" s="44">
        <v>-86.11211804999999</v>
      </c>
      <c r="C24" s="44">
        <v>-85.25376215</v>
      </c>
      <c r="D24" s="44">
        <v>-75.68045954</v>
      </c>
      <c r="E24" s="45">
        <v>-59.75962379999999</v>
      </c>
      <c r="F24" s="44">
        <v>-37.35593481000001</v>
      </c>
      <c r="G24" s="44">
        <v>-19.17750641999999</v>
      </c>
      <c r="H24" s="44">
        <v>-71.41591481</v>
      </c>
      <c r="I24" s="44">
        <v>0</v>
      </c>
    </row>
    <row r="25" spans="1:9" ht="14.25">
      <c r="A25" s="47" t="str">
        <f>HLOOKUP(INDICE!$F$2,Nombres!$C$3:$D$636,50,FALSE)</f>
        <v>Resultado atribuido</v>
      </c>
      <c r="B25" s="47">
        <f>+B23+B24</f>
        <v>193.15860909000014</v>
      </c>
      <c r="C25" s="47">
        <f aca="true" t="shared" si="4" ref="C25:I25">+C23+C24</f>
        <v>211.04011946000008</v>
      </c>
      <c r="D25" s="47">
        <f t="shared" si="4"/>
        <v>164.62985407000008</v>
      </c>
      <c r="E25" s="47">
        <f t="shared" si="4"/>
        <v>152.45860911999978</v>
      </c>
      <c r="F25" s="53">
        <f t="shared" si="4"/>
        <v>69.83996717</v>
      </c>
      <c r="G25" s="53">
        <f t="shared" si="4"/>
        <v>89.41175834999997</v>
      </c>
      <c r="H25" s="53">
        <f t="shared" si="4"/>
        <v>166.88470860000018</v>
      </c>
      <c r="I25" s="53">
        <f t="shared" si="4"/>
        <v>0</v>
      </c>
    </row>
    <row r="26" spans="1:9" ht="14.25">
      <c r="A26" s="65"/>
      <c r="B26" s="66">
        <v>0</v>
      </c>
      <c r="C26" s="66">
        <v>0</v>
      </c>
      <c r="D26" s="66">
        <v>0</v>
      </c>
      <c r="E26" s="66">
        <v>-2.2737367544323206E-13</v>
      </c>
      <c r="F26" s="66">
        <v>0</v>
      </c>
      <c r="G26" s="66">
        <v>0</v>
      </c>
      <c r="H26" s="66">
        <v>0</v>
      </c>
      <c r="I26" s="66">
        <v>0</v>
      </c>
    </row>
    <row r="27" spans="1:15" ht="14.25">
      <c r="A27" s="286"/>
      <c r="B27" s="286"/>
      <c r="C27" s="286"/>
      <c r="D27" s="286"/>
      <c r="E27" s="286"/>
      <c r="F27" s="286"/>
      <c r="G27" s="286"/>
      <c r="H27" s="286"/>
      <c r="I27" s="286"/>
      <c r="J27" s="168"/>
      <c r="K27" s="168"/>
      <c r="L27" s="168"/>
      <c r="M27" s="168"/>
      <c r="N27" s="168"/>
      <c r="O27" s="168"/>
    </row>
    <row r="28" spans="1:15" ht="14.25">
      <c r="A28" s="287"/>
      <c r="B28" s="288"/>
      <c r="C28" s="288"/>
      <c r="D28" s="288"/>
      <c r="E28" s="288"/>
      <c r="F28" s="288"/>
      <c r="G28" s="288"/>
      <c r="H28" s="288"/>
      <c r="I28" s="288"/>
      <c r="J28" s="168"/>
      <c r="K28" s="168"/>
      <c r="L28" s="168"/>
      <c r="M28" s="168"/>
      <c r="N28" s="168"/>
      <c r="O28" s="168"/>
    </row>
    <row r="29" spans="1:9" ht="14.25">
      <c r="A29" s="65"/>
      <c r="B29" s="66"/>
      <c r="C29" s="66"/>
      <c r="D29" s="66"/>
      <c r="E29" s="66"/>
      <c r="F29" s="66"/>
      <c r="G29" s="66"/>
      <c r="H29" s="66"/>
      <c r="I29" s="66"/>
    </row>
    <row r="30" spans="1:9" ht="14.25">
      <c r="A30" s="41"/>
      <c r="B30" s="41"/>
      <c r="C30" s="41"/>
      <c r="D30" s="41"/>
      <c r="E30" s="41"/>
      <c r="F30" s="41"/>
      <c r="G30" s="41"/>
      <c r="H30" s="41"/>
      <c r="I30" s="41"/>
    </row>
    <row r="31" spans="1:9" ht="16.5">
      <c r="A31" s="33" t="str">
        <f>HLOOKUP(INDICE!$F$2,Nombres!$C$3:$D$636,51,FALSE)</f>
        <v>Balances</v>
      </c>
      <c r="B31" s="34"/>
      <c r="C31" s="34"/>
      <c r="D31" s="34"/>
      <c r="E31" s="34"/>
      <c r="F31" s="34"/>
      <c r="G31" s="34"/>
      <c r="H31" s="34"/>
      <c r="I31" s="34"/>
    </row>
    <row r="32" spans="1:9" ht="14.25">
      <c r="A32" s="35" t="str">
        <f>HLOOKUP(INDICE!$F$2,Nombres!$C$3:$D$636,32,FALSE)</f>
        <v>(Millones de euros)</v>
      </c>
      <c r="B32" s="30"/>
      <c r="C32" s="54"/>
      <c r="D32" s="54"/>
      <c r="E32" s="54"/>
      <c r="F32" s="30"/>
      <c r="G32" s="60"/>
      <c r="H32" s="60"/>
      <c r="I32" s="60"/>
    </row>
    <row r="33" spans="1:9" ht="14.25">
      <c r="A33" s="30"/>
      <c r="B33" s="55">
        <f>+España!B30</f>
        <v>43555</v>
      </c>
      <c r="C33" s="55">
        <f>+España!C30</f>
        <v>43646</v>
      </c>
      <c r="D33" s="55">
        <f>+España!D30</f>
        <v>43738</v>
      </c>
      <c r="E33" s="71">
        <f>+España!E30</f>
        <v>43830</v>
      </c>
      <c r="F33" s="80">
        <f>+España!F30</f>
        <v>43921</v>
      </c>
      <c r="G33" s="80">
        <f>+España!G30</f>
        <v>44012</v>
      </c>
      <c r="H33" s="80">
        <f>+España!H30</f>
        <v>44104</v>
      </c>
      <c r="I33" s="80">
        <f>+España!I30</f>
        <v>44196</v>
      </c>
    </row>
    <row r="34" spans="1:10" ht="14.25">
      <c r="A34" s="43" t="str">
        <f>HLOOKUP(INDICE!$F$2,Nombres!$C$3:$D$636,52,FALSE)</f>
        <v>Efectivo, saldos en efectivo en bancos centrales y otros depósitos a la vista</v>
      </c>
      <c r="B34" s="44">
        <v>8830.099</v>
      </c>
      <c r="C34" s="44">
        <v>7661.6630000000005</v>
      </c>
      <c r="D34" s="44">
        <v>7162.622</v>
      </c>
      <c r="E34" s="45">
        <v>8600.637</v>
      </c>
      <c r="F34" s="44">
        <v>8313.47</v>
      </c>
      <c r="G34" s="44">
        <v>8398.868</v>
      </c>
      <c r="H34" s="44">
        <v>6825.441999999999</v>
      </c>
      <c r="I34" s="44">
        <v>0</v>
      </c>
      <c r="J34" s="86"/>
    </row>
    <row r="35" spans="1:10" ht="14.25">
      <c r="A35" s="43" t="str">
        <f>HLOOKUP(INDICE!$F$2,Nombres!$C$3:$D$636,53,FALSE)</f>
        <v>Activos financieros a valor razonable</v>
      </c>
      <c r="B35" s="60">
        <v>6861.116</v>
      </c>
      <c r="C35" s="60">
        <v>7377.868</v>
      </c>
      <c r="D35" s="60">
        <v>7100.55</v>
      </c>
      <c r="E35" s="68">
        <v>6119.976000000001</v>
      </c>
      <c r="F35" s="44">
        <v>7561.228999999999</v>
      </c>
      <c r="G35" s="44">
        <v>8250.433</v>
      </c>
      <c r="H35" s="44">
        <v>8153.83</v>
      </c>
      <c r="I35" s="44">
        <v>0</v>
      </c>
      <c r="J35" s="86"/>
    </row>
    <row r="36" spans="1:10" ht="14.25">
      <c r="A36" s="43" t="str">
        <f>HLOOKUP(INDICE!$F$2,Nombres!$C$3:$D$636,54,FALSE)</f>
        <v>Activos financieros a coste amortizado</v>
      </c>
      <c r="B36" s="44">
        <v>37985.671</v>
      </c>
      <c r="C36" s="44">
        <v>37996.350999999995</v>
      </c>
      <c r="D36" s="44">
        <v>38230.965000000004</v>
      </c>
      <c r="E36" s="45">
        <v>37868.638999999996</v>
      </c>
      <c r="F36" s="44">
        <v>36145.816999999995</v>
      </c>
      <c r="G36" s="44">
        <v>38741.912</v>
      </c>
      <c r="H36" s="44">
        <v>38223.009</v>
      </c>
      <c r="I36" s="44">
        <v>0</v>
      </c>
      <c r="J36" s="86"/>
    </row>
    <row r="37" spans="1:10" ht="14.25">
      <c r="A37" s="43" t="str">
        <f>HLOOKUP(INDICE!$F$2,Nombres!$C$3:$D$636,55,FALSE)</f>
        <v>    de los que préstamos y anticipos a la clientela</v>
      </c>
      <c r="B37" s="44">
        <v>35691.312</v>
      </c>
      <c r="C37" s="44">
        <v>35712.08</v>
      </c>
      <c r="D37" s="44">
        <v>35874.947</v>
      </c>
      <c r="E37" s="45">
        <v>35701.328</v>
      </c>
      <c r="F37" s="44">
        <v>34202.087</v>
      </c>
      <c r="G37" s="44">
        <v>35335.912</v>
      </c>
      <c r="H37" s="44">
        <v>33678.044</v>
      </c>
      <c r="I37" s="44">
        <v>0</v>
      </c>
      <c r="J37" s="86"/>
    </row>
    <row r="38" spans="1:10" ht="14.25">
      <c r="A38" s="43" t="str">
        <f>HLOOKUP(INDICE!$F$2,Nombres!$C$3:$D$636,56,FALSE)</f>
        <v>Activos tangibles</v>
      </c>
      <c r="B38" s="44">
        <v>972.4350000000001</v>
      </c>
      <c r="C38" s="44">
        <v>1000.5010000000002</v>
      </c>
      <c r="D38" s="44">
        <v>961.4799999999999</v>
      </c>
      <c r="E38" s="45">
        <v>968.006</v>
      </c>
      <c r="F38" s="44">
        <v>920.8204417600001</v>
      </c>
      <c r="G38" s="44">
        <v>874.265</v>
      </c>
      <c r="H38" s="44">
        <v>809.6049176799999</v>
      </c>
      <c r="I38" s="44">
        <v>0</v>
      </c>
      <c r="J38" s="86"/>
    </row>
    <row r="39" spans="1:10" ht="14.25">
      <c r="A39" s="43" t="str">
        <f>HLOOKUP(INDICE!$F$2,Nombres!$C$3:$D$636,57,FALSE)</f>
        <v>Otros activos</v>
      </c>
      <c r="B39" s="60">
        <f aca="true" t="shared" si="5" ref="B39:I39">+B40-B38-B36-B35-B34</f>
        <v>2382.0129999999954</v>
      </c>
      <c r="C39" s="60">
        <f t="shared" si="5"/>
        <v>2396.9912354100106</v>
      </c>
      <c r="D39" s="60">
        <f t="shared" si="5"/>
        <v>2517.655699839989</v>
      </c>
      <c r="E39" s="68">
        <f t="shared" si="5"/>
        <v>1438.4908747799964</v>
      </c>
      <c r="F39" s="44">
        <f t="shared" si="5"/>
        <v>1830.2078954400004</v>
      </c>
      <c r="G39" s="44">
        <f t="shared" si="5"/>
        <v>1625.5767774400138</v>
      </c>
      <c r="H39" s="44">
        <f t="shared" si="5"/>
        <v>1521.1646062599957</v>
      </c>
      <c r="I39" s="44">
        <f t="shared" si="5"/>
        <v>0</v>
      </c>
      <c r="J39" s="86"/>
    </row>
    <row r="40" spans="1:10" ht="15.75" customHeight="1">
      <c r="A40" s="47" t="str">
        <f>HLOOKUP(INDICE!$F$2,Nombres!$C$3:$D$636,58,FALSE)</f>
        <v>Total activo / pasivo</v>
      </c>
      <c r="B40" s="47">
        <v>57031.333999999995</v>
      </c>
      <c r="C40" s="47">
        <v>56433.37423541</v>
      </c>
      <c r="D40" s="47">
        <v>55973.272699839996</v>
      </c>
      <c r="E40" s="47">
        <v>54995.748874779994</v>
      </c>
      <c r="F40" s="53">
        <v>54771.54433719999</v>
      </c>
      <c r="G40" s="53">
        <v>57891.05477744001</v>
      </c>
      <c r="H40" s="53">
        <v>55533.05052393999</v>
      </c>
      <c r="I40" s="53">
        <v>0</v>
      </c>
      <c r="J40" s="86"/>
    </row>
    <row r="41" spans="1:10" ht="14.25">
      <c r="A41" s="43" t="str">
        <f>HLOOKUP(INDICE!$F$2,Nombres!$C$3:$D$636,59,FALSE)</f>
        <v>Pasivos financieros mantenidos para negociar y designados a valor razonable con cambios en resultados</v>
      </c>
      <c r="B41" s="60">
        <v>2324.884</v>
      </c>
      <c r="C41" s="60">
        <v>1931.3759999999997</v>
      </c>
      <c r="D41" s="60">
        <v>1641.4089999999999</v>
      </c>
      <c r="E41" s="68">
        <v>1860.009</v>
      </c>
      <c r="F41" s="44">
        <v>2005.9350000000002</v>
      </c>
      <c r="G41" s="44">
        <v>1942.9720000000002</v>
      </c>
      <c r="H41" s="44">
        <v>1618.1270000000002</v>
      </c>
      <c r="I41" s="44">
        <v>0</v>
      </c>
      <c r="J41" s="86"/>
    </row>
    <row r="42" spans="1:10" ht="14.25">
      <c r="A42" s="43" t="str">
        <f>HLOOKUP(INDICE!$F$2,Nombres!$C$3:$D$636,60,FALSE)</f>
        <v>Depósitos de bancos centrales y entidades de crédito</v>
      </c>
      <c r="B42" s="60">
        <v>3153.6319999999996</v>
      </c>
      <c r="C42" s="60">
        <v>3230.6949999999997</v>
      </c>
      <c r="D42" s="60">
        <v>3682.479</v>
      </c>
      <c r="E42" s="68">
        <v>3656.085</v>
      </c>
      <c r="F42" s="44">
        <v>4055.4549999999995</v>
      </c>
      <c r="G42" s="44">
        <v>4289.307999999999</v>
      </c>
      <c r="H42" s="44">
        <v>5877.398999999999</v>
      </c>
      <c r="I42" s="44">
        <v>0</v>
      </c>
      <c r="J42" s="86"/>
    </row>
    <row r="43" spans="1:10" ht="14.25">
      <c r="A43" s="43" t="str">
        <f>HLOOKUP(INDICE!$F$2,Nombres!$C$3:$D$636,61,FALSE)</f>
        <v>Depósitos de la clientela</v>
      </c>
      <c r="B43" s="60">
        <v>37235.835</v>
      </c>
      <c r="C43" s="60">
        <v>36895.701</v>
      </c>
      <c r="D43" s="60">
        <v>36159.263</v>
      </c>
      <c r="E43" s="68">
        <v>36104.399</v>
      </c>
      <c r="F43" s="44">
        <v>35948.85399999999</v>
      </c>
      <c r="G43" s="44">
        <v>39356.901</v>
      </c>
      <c r="H43" s="44">
        <v>36023.834</v>
      </c>
      <c r="I43" s="44">
        <v>0</v>
      </c>
      <c r="J43" s="86"/>
    </row>
    <row r="44" spans="1:10" ht="14.25">
      <c r="A44" s="43" t="str">
        <f>HLOOKUP(INDICE!$F$2,Nombres!$C$3:$D$636,62,FALSE)</f>
        <v>Valores representativos de deuda emitidos</v>
      </c>
      <c r="B44" s="44">
        <v>3387.7419999999997</v>
      </c>
      <c r="C44" s="44">
        <v>3201.6079999999997</v>
      </c>
      <c r="D44" s="44">
        <v>3306.9010000000003</v>
      </c>
      <c r="E44" s="45">
        <v>3220.065</v>
      </c>
      <c r="F44" s="44">
        <v>3104.6769999999997</v>
      </c>
      <c r="G44" s="44">
        <v>2971.7239999999997</v>
      </c>
      <c r="H44" s="44">
        <v>2811.827</v>
      </c>
      <c r="I44" s="44">
        <v>0</v>
      </c>
      <c r="J44" s="86"/>
    </row>
    <row r="45" spans="1:10" ht="14.25">
      <c r="A45" s="43" t="str">
        <f>HLOOKUP(INDICE!$F$2,Nombres!$C$3:$D$636,63,FALSE)</f>
        <v>Otros pasivos</v>
      </c>
      <c r="B45" s="60">
        <f aca="true" t="shared" si="6" ref="B45:I45">+B40-B41-B42-B43-B44-B46</f>
        <v>8500.71126</v>
      </c>
      <c r="C45" s="60">
        <f t="shared" si="6"/>
        <v>8721.578295410005</v>
      </c>
      <c r="D45" s="60">
        <f>+D40-D41-D42-D43-D44-D46</f>
        <v>8807.818620179998</v>
      </c>
      <c r="E45" s="68">
        <f t="shared" si="6"/>
        <v>7663.6497986099985</v>
      </c>
      <c r="F45" s="44">
        <f t="shared" si="6"/>
        <v>7142.732037200003</v>
      </c>
      <c r="G45" s="44">
        <f t="shared" si="6"/>
        <v>6997.744047440015</v>
      </c>
      <c r="H45" s="44">
        <f t="shared" si="6"/>
        <v>7012.206456539992</v>
      </c>
      <c r="I45" s="44">
        <f t="shared" si="6"/>
        <v>0</v>
      </c>
      <c r="J45" s="86"/>
    </row>
    <row r="46" spans="1:10" ht="14.25">
      <c r="A46" s="43" t="str">
        <f>HLOOKUP(INDICE!$F$2,Nombres!$C$3:$D$636,64,FALSE)</f>
        <v>Dotación de capital económico</v>
      </c>
      <c r="B46" s="44">
        <v>2428.52974</v>
      </c>
      <c r="C46" s="44">
        <v>2452.4159400000003</v>
      </c>
      <c r="D46" s="44">
        <v>2375.40207966</v>
      </c>
      <c r="E46" s="45">
        <v>2491.54107617</v>
      </c>
      <c r="F46" s="44">
        <v>2513.8913</v>
      </c>
      <c r="G46" s="44">
        <v>2332.4057299999995</v>
      </c>
      <c r="H46" s="44">
        <v>2189.6570674</v>
      </c>
      <c r="I46" s="44">
        <v>0</v>
      </c>
      <c r="J46" s="86"/>
    </row>
    <row r="47" spans="1:10" ht="14.25">
      <c r="A47" s="65"/>
      <c r="B47" s="60"/>
      <c r="C47" s="60"/>
      <c r="D47" s="60"/>
      <c r="E47" s="60"/>
      <c r="F47" s="44"/>
      <c r="G47" s="44"/>
      <c r="H47" s="44"/>
      <c r="I47" s="44"/>
      <c r="J47" s="86"/>
    </row>
    <row r="48" spans="1:10" ht="14.25">
      <c r="A48" s="43"/>
      <c r="B48" s="60"/>
      <c r="C48" s="60"/>
      <c r="D48" s="60"/>
      <c r="E48" s="60"/>
      <c r="F48" s="44"/>
      <c r="G48" s="44"/>
      <c r="H48" s="44"/>
      <c r="I48" s="44"/>
      <c r="J48" s="86"/>
    </row>
    <row r="49" spans="1:10" ht="16.5">
      <c r="A49" s="33" t="str">
        <f>HLOOKUP(INDICE!$F$2,Nombres!$C$3:$D$636,65,FALSE)</f>
        <v>Indicadores relevantes y de gestión</v>
      </c>
      <c r="B49" s="34"/>
      <c r="C49" s="34"/>
      <c r="D49" s="34"/>
      <c r="E49" s="34"/>
      <c r="F49" s="72"/>
      <c r="G49" s="72"/>
      <c r="H49" s="72"/>
      <c r="I49" s="72"/>
      <c r="J49" s="86"/>
    </row>
    <row r="50" spans="1:10" ht="14.25">
      <c r="A50" s="35" t="str">
        <f>HLOOKUP(INDICE!$F$2,Nombres!$C$3:$D$636,32,FALSE)</f>
        <v>(Millones de euros)</v>
      </c>
      <c r="B50" s="30"/>
      <c r="C50" s="30"/>
      <c r="D50" s="30"/>
      <c r="E50" s="30"/>
      <c r="F50" s="73"/>
      <c r="G50" s="44"/>
      <c r="H50" s="44"/>
      <c r="I50" s="44"/>
      <c r="J50" s="86"/>
    </row>
    <row r="51" spans="1:10" ht="14.25">
      <c r="A51" s="30"/>
      <c r="B51" s="55">
        <f aca="true" t="shared" si="7" ref="B51:I51">+B$33</f>
        <v>43555</v>
      </c>
      <c r="C51" s="55">
        <f t="shared" si="7"/>
        <v>43646</v>
      </c>
      <c r="D51" s="55">
        <f t="shared" si="7"/>
        <v>43738</v>
      </c>
      <c r="E51" s="71">
        <f t="shared" si="7"/>
        <v>43830</v>
      </c>
      <c r="F51" s="55">
        <f t="shared" si="7"/>
        <v>43921</v>
      </c>
      <c r="G51" s="55">
        <f t="shared" si="7"/>
        <v>44012</v>
      </c>
      <c r="H51" s="55">
        <f t="shared" si="7"/>
        <v>44104</v>
      </c>
      <c r="I51" s="55">
        <f t="shared" si="7"/>
        <v>44196</v>
      </c>
      <c r="J51" s="86"/>
    </row>
    <row r="52" spans="1:10" ht="14.25">
      <c r="A52" s="43" t="str">
        <f>HLOOKUP(INDICE!$F$2,Nombres!$C$3:$D$636,66,FALSE)</f>
        <v>Préstamos y anticipos a la clientela bruto (*)</v>
      </c>
      <c r="B52" s="44">
        <v>37073.45334887999</v>
      </c>
      <c r="C52" s="44">
        <v>37080.63978956</v>
      </c>
      <c r="D52" s="44">
        <v>37417.00290693001</v>
      </c>
      <c r="E52" s="45">
        <v>37424.30825982</v>
      </c>
      <c r="F52" s="44">
        <v>35917.29836894</v>
      </c>
      <c r="G52" s="44">
        <v>37122.318925789994</v>
      </c>
      <c r="H52" s="44">
        <v>35480.540991320006</v>
      </c>
      <c r="I52" s="44">
        <v>0</v>
      </c>
      <c r="J52" s="86"/>
    </row>
    <row r="53" spans="1:10" ht="14.25">
      <c r="A53" s="43" t="str">
        <f>HLOOKUP(INDICE!$F$2,Nombres!$C$3:$D$636,67,FALSE)</f>
        <v>Depósitos de clientes en gestión (**)</v>
      </c>
      <c r="B53" s="44">
        <v>37354.36870739</v>
      </c>
      <c r="C53" s="44">
        <v>36911.02720615</v>
      </c>
      <c r="D53" s="44">
        <v>36163.63943116</v>
      </c>
      <c r="E53" s="45">
        <v>36123.418474850005</v>
      </c>
      <c r="F53" s="44">
        <v>35963.78127501</v>
      </c>
      <c r="G53" s="44">
        <v>39375.98712307</v>
      </c>
      <c r="H53" s="44">
        <v>36036.081061720004</v>
      </c>
      <c r="I53" s="44">
        <v>0</v>
      </c>
      <c r="J53" s="86"/>
    </row>
    <row r="54" spans="1:10" ht="14.25">
      <c r="A54" s="43" t="str">
        <f>HLOOKUP(INDICE!$F$2,Nombres!$C$3:$D$636,68,FALSE)</f>
        <v>Fondos de inversión</v>
      </c>
      <c r="B54" s="44">
        <v>4200.42768723</v>
      </c>
      <c r="C54" s="44">
        <v>4164.98669668</v>
      </c>
      <c r="D54" s="44">
        <v>3938.4021081</v>
      </c>
      <c r="E54" s="45">
        <v>3859.8348800199997</v>
      </c>
      <c r="F54" s="44">
        <v>3501.2440465500003</v>
      </c>
      <c r="G54" s="44">
        <v>4488.52960532</v>
      </c>
      <c r="H54" s="44">
        <v>4680.5537464</v>
      </c>
      <c r="I54" s="44">
        <v>0</v>
      </c>
      <c r="J54" s="86"/>
    </row>
    <row r="55" spans="1:10" ht="14.25">
      <c r="A55" s="43" t="str">
        <f>HLOOKUP(INDICE!$F$2,Nombres!$C$3:$D$636,69,FALSE)</f>
        <v>Fondos de pensiones</v>
      </c>
      <c r="B55" s="44">
        <v>8280.6570624</v>
      </c>
      <c r="C55" s="44">
        <v>8412.01073898</v>
      </c>
      <c r="D55" s="44">
        <v>9047.52912357</v>
      </c>
      <c r="E55" s="45">
        <v>9004.5869315</v>
      </c>
      <c r="F55" s="44">
        <v>9433.94754052</v>
      </c>
      <c r="G55" s="44">
        <v>9349.92267847</v>
      </c>
      <c r="H55" s="44">
        <v>9180.04306231</v>
      </c>
      <c r="I55" s="44">
        <v>0</v>
      </c>
      <c r="J55" s="86"/>
    </row>
    <row r="56" spans="1:10" ht="14.25">
      <c r="A56" s="43" t="str">
        <f>HLOOKUP(INDICE!$F$2,Nombres!$C$3:$D$636,70,FALSE)</f>
        <v>Otros recursos fuera de balance</v>
      </c>
      <c r="B56" s="44">
        <v>0</v>
      </c>
      <c r="C56" s="44">
        <v>0</v>
      </c>
      <c r="D56" s="44">
        <v>0</v>
      </c>
      <c r="E56" s="45">
        <v>0</v>
      </c>
      <c r="F56" s="44">
        <v>0</v>
      </c>
      <c r="G56" s="44">
        <v>0</v>
      </c>
      <c r="H56" s="44">
        <v>0</v>
      </c>
      <c r="I56" s="44">
        <v>0</v>
      </c>
      <c r="J56" s="86"/>
    </row>
    <row r="57" spans="1:9" ht="14.25">
      <c r="A57" s="65" t="str">
        <f>HLOOKUP(INDICE!$F$2,Nombres!$C$3:$D$636,71,FALSE)</f>
        <v>(*) No incluye las adquisiciones temporales de activos.</v>
      </c>
      <c r="B57" s="60"/>
      <c r="C57" s="60"/>
      <c r="D57" s="60"/>
      <c r="E57" s="60"/>
      <c r="F57" s="60"/>
      <c r="G57" s="60"/>
      <c r="H57" s="60"/>
      <c r="I57" s="60"/>
    </row>
    <row r="58" spans="1:9" ht="14.25">
      <c r="A58" s="65" t="str">
        <f>HLOOKUP(INDICE!$F$2,Nombres!$C$3:$D$636,72,FALSE)</f>
        <v>(**) No incluye las cesiones temporales de activos.</v>
      </c>
      <c r="B58" s="30"/>
      <c r="C58" s="30"/>
      <c r="D58" s="30"/>
      <c r="E58" s="30"/>
      <c r="F58" s="30"/>
      <c r="G58" s="30"/>
      <c r="H58" s="30"/>
      <c r="I58" s="30"/>
    </row>
    <row r="59" spans="1:9" ht="14.25">
      <c r="A59" s="65"/>
      <c r="B59" s="30"/>
      <c r="C59" s="30"/>
      <c r="D59" s="30"/>
      <c r="E59" s="30"/>
      <c r="F59" s="30"/>
      <c r="G59" s="30"/>
      <c r="H59" s="30"/>
      <c r="I59" s="30"/>
    </row>
    <row r="60" spans="1:9" ht="16.5">
      <c r="A60" s="33" t="str">
        <f>HLOOKUP(INDICE!$F$2,Nombres!$C$3:$D$636,31,FALSE)</f>
        <v>Cuenta de resultados  </v>
      </c>
      <c r="B60" s="34"/>
      <c r="C60" s="34"/>
      <c r="D60" s="34"/>
      <c r="E60" s="34"/>
      <c r="F60" s="34"/>
      <c r="G60" s="34"/>
      <c r="H60" s="34"/>
      <c r="I60" s="34"/>
    </row>
    <row r="61" spans="1:9" ht="14.25">
      <c r="A61" s="35" t="str">
        <f>HLOOKUP(INDICE!$F$2,Nombres!$C$3:$D$636,73,FALSE)</f>
        <v>(Millones de euros constantes)</v>
      </c>
      <c r="B61" s="30"/>
      <c r="C61" s="36"/>
      <c r="D61" s="36"/>
      <c r="E61" s="36"/>
      <c r="F61" s="30"/>
      <c r="G61" s="30"/>
      <c r="H61" s="30"/>
      <c r="I61" s="30"/>
    </row>
    <row r="62" spans="1:9" ht="14.25">
      <c r="A62" s="37"/>
      <c r="B62" s="30"/>
      <c r="C62" s="36"/>
      <c r="D62" s="36"/>
      <c r="E62" s="36"/>
      <c r="F62" s="30"/>
      <c r="G62" s="30"/>
      <c r="H62" s="30"/>
      <c r="I62" s="30"/>
    </row>
    <row r="63" spans="1:9" ht="14.25">
      <c r="A63" s="38"/>
      <c r="B63" s="305">
        <f>+B$6</f>
        <v>2019</v>
      </c>
      <c r="C63" s="305"/>
      <c r="D63" s="305"/>
      <c r="E63" s="306"/>
      <c r="F63" s="305">
        <f>+F$6</f>
        <v>2020</v>
      </c>
      <c r="G63" s="305"/>
      <c r="H63" s="305"/>
      <c r="I63" s="305"/>
    </row>
    <row r="64" spans="1:9" ht="14.25">
      <c r="A64" s="38"/>
      <c r="B64" s="39" t="str">
        <f>+B$7</f>
        <v>1er Trim.</v>
      </c>
      <c r="C64" s="39" t="str">
        <f aca="true" t="shared" si="8" ref="C64:I64">+C$7</f>
        <v>2º Trim.</v>
      </c>
      <c r="D64" s="39" t="str">
        <f t="shared" si="8"/>
        <v>3er Trim.</v>
      </c>
      <c r="E64" s="40" t="str">
        <f t="shared" si="8"/>
        <v>4º Trim.</v>
      </c>
      <c r="F64" s="39" t="str">
        <f t="shared" si="8"/>
        <v>1er Trim.</v>
      </c>
      <c r="G64" s="39" t="str">
        <f t="shared" si="8"/>
        <v>2º Trim.</v>
      </c>
      <c r="H64" s="39" t="str">
        <f t="shared" si="8"/>
        <v>3er Trim.</v>
      </c>
      <c r="I64" s="39" t="str">
        <f t="shared" si="8"/>
        <v>4º Trim.</v>
      </c>
    </row>
    <row r="65" spans="1:9" ht="14.25">
      <c r="A65" s="41" t="str">
        <f>HLOOKUP(INDICE!$F$2,Nombres!$C$3:$D$636,33,FALSE)</f>
        <v>Margen de intereses</v>
      </c>
      <c r="B65" s="41">
        <v>611.9172374808497</v>
      </c>
      <c r="C65" s="41">
        <v>676.928715980691</v>
      </c>
      <c r="D65" s="41">
        <v>744.1312804796776</v>
      </c>
      <c r="E65" s="42">
        <v>768.4735022820807</v>
      </c>
      <c r="F65" s="52">
        <v>689.6372861885585</v>
      </c>
      <c r="G65" s="52">
        <v>677.791728714696</v>
      </c>
      <c r="H65" s="52">
        <v>701.9189438167457</v>
      </c>
      <c r="I65" s="52">
        <v>0</v>
      </c>
    </row>
    <row r="66" spans="1:9" ht="14.25">
      <c r="A66" s="43" t="str">
        <f>HLOOKUP(INDICE!$F$2,Nombres!$C$3:$D$636,34,FALSE)</f>
        <v>Comisiones netas</v>
      </c>
      <c r="B66" s="44">
        <v>112.87680398633862</v>
      </c>
      <c r="C66" s="44">
        <v>133.14503202230196</v>
      </c>
      <c r="D66" s="44">
        <v>127.30808056101063</v>
      </c>
      <c r="E66" s="45">
        <v>126.87094514313036</v>
      </c>
      <c r="F66" s="44">
        <v>109.92085146995473</v>
      </c>
      <c r="G66" s="44">
        <v>109.80941236733591</v>
      </c>
      <c r="H66" s="44">
        <v>147.80008739270932</v>
      </c>
      <c r="I66" s="44">
        <v>0</v>
      </c>
    </row>
    <row r="67" spans="1:9" ht="14.25">
      <c r="A67" s="43" t="str">
        <f>HLOOKUP(INDICE!$F$2,Nombres!$C$3:$D$636,35,FALSE)</f>
        <v>Resultados de operaciones financieras</v>
      </c>
      <c r="B67" s="44">
        <v>141.01560640512082</v>
      </c>
      <c r="C67" s="44">
        <v>90.11243544045246</v>
      </c>
      <c r="D67" s="44">
        <v>117.51488901162107</v>
      </c>
      <c r="E67" s="45">
        <v>149.04654001816274</v>
      </c>
      <c r="F67" s="44">
        <v>73.00468353594943</v>
      </c>
      <c r="G67" s="44">
        <v>90.2211796197785</v>
      </c>
      <c r="H67" s="44">
        <v>106.6869313542721</v>
      </c>
      <c r="I67" s="44">
        <v>0</v>
      </c>
    </row>
    <row r="68" spans="1:9" ht="14.25">
      <c r="A68" s="43" t="str">
        <f>HLOOKUP(INDICE!$F$2,Nombres!$C$3:$D$636,36,FALSE)</f>
        <v>Otros ingresos y cargas de explotación</v>
      </c>
      <c r="B68" s="44">
        <v>-104.85711045145595</v>
      </c>
      <c r="C68" s="44">
        <v>-110.40234791202322</v>
      </c>
      <c r="D68" s="44">
        <v>-101.34791744645509</v>
      </c>
      <c r="E68" s="45">
        <v>-143.99075214004978</v>
      </c>
      <c r="F68" s="44">
        <v>-95.39271509613869</v>
      </c>
      <c r="G68" s="44">
        <v>-82.29536133833557</v>
      </c>
      <c r="H68" s="44">
        <v>-88.08992356552574</v>
      </c>
      <c r="I68" s="44">
        <v>0</v>
      </c>
    </row>
    <row r="69" spans="1:9" ht="14.25">
      <c r="A69" s="41" t="str">
        <f>HLOOKUP(INDICE!$F$2,Nombres!$C$3:$D$636,37,FALSE)</f>
        <v>Margen bruto</v>
      </c>
      <c r="B69" s="41">
        <f>+SUM(B65:B68)</f>
        <v>760.9525374208532</v>
      </c>
      <c r="C69" s="41">
        <f aca="true" t="shared" si="9" ref="C69:I69">+SUM(C65:C68)</f>
        <v>789.7838355314223</v>
      </c>
      <c r="D69" s="41">
        <f t="shared" si="9"/>
        <v>887.6063326058543</v>
      </c>
      <c r="E69" s="42">
        <f t="shared" si="9"/>
        <v>900.400235303324</v>
      </c>
      <c r="F69" s="52">
        <f t="shared" si="9"/>
        <v>777.170106098324</v>
      </c>
      <c r="G69" s="52">
        <f t="shared" si="9"/>
        <v>795.5269593634748</v>
      </c>
      <c r="H69" s="52">
        <f t="shared" si="9"/>
        <v>868.3160389982014</v>
      </c>
      <c r="I69" s="52">
        <f t="shared" si="9"/>
        <v>0</v>
      </c>
    </row>
    <row r="70" spans="1:9" ht="14.25">
      <c r="A70" s="43" t="str">
        <f>HLOOKUP(INDICE!$F$2,Nombres!$C$3:$D$636,38,FALSE)</f>
        <v>Gastos de explotación</v>
      </c>
      <c r="B70" s="44">
        <v>-308.88832695721266</v>
      </c>
      <c r="C70" s="44">
        <v>-324.76078649657387</v>
      </c>
      <c r="D70" s="44">
        <v>-361.79239505265883</v>
      </c>
      <c r="E70" s="45">
        <v>-396.3042525981116</v>
      </c>
      <c r="F70" s="44">
        <v>-354.53799389354606</v>
      </c>
      <c r="G70" s="44">
        <v>-328.41861148997197</v>
      </c>
      <c r="H70" s="44">
        <v>-360.760796526482</v>
      </c>
      <c r="I70" s="44">
        <v>0</v>
      </c>
    </row>
    <row r="71" spans="1:9" ht="14.25">
      <c r="A71" s="43" t="str">
        <f>HLOOKUP(INDICE!$F$2,Nombres!$C$3:$D$636,39,FALSE)</f>
        <v>  Gastos de administración</v>
      </c>
      <c r="B71" s="44">
        <v>-273.0890576970113</v>
      </c>
      <c r="C71" s="44">
        <v>-287.4389845055067</v>
      </c>
      <c r="D71" s="44">
        <v>-323.9077424357654</v>
      </c>
      <c r="E71" s="45">
        <v>-351.3791064586504</v>
      </c>
      <c r="F71" s="44">
        <v>-313.14081014531666</v>
      </c>
      <c r="G71" s="44">
        <v>-289.9778802249117</v>
      </c>
      <c r="H71" s="44">
        <v>-322.0847115397717</v>
      </c>
      <c r="I71" s="44">
        <v>0</v>
      </c>
    </row>
    <row r="72" spans="1:9" ht="14.25">
      <c r="A72" s="46" t="str">
        <f>HLOOKUP(INDICE!$F$2,Nombres!$C$3:$D$636,40,FALSE)</f>
        <v>  Gastos de personal</v>
      </c>
      <c r="B72" s="44">
        <v>-156.27330231111094</v>
      </c>
      <c r="C72" s="44">
        <v>-164.3991753255752</v>
      </c>
      <c r="D72" s="44">
        <v>-180.20775141119748</v>
      </c>
      <c r="E72" s="45">
        <v>-197.7805759652693</v>
      </c>
      <c r="F72" s="44">
        <v>-178.0332726796123</v>
      </c>
      <c r="G72" s="44">
        <v>-159.72214344013184</v>
      </c>
      <c r="H72" s="44">
        <v>-177.3590377602559</v>
      </c>
      <c r="I72" s="44">
        <v>0</v>
      </c>
    </row>
    <row r="73" spans="1:9" ht="14.25">
      <c r="A73" s="46" t="str">
        <f>HLOOKUP(INDICE!$F$2,Nombres!$C$3:$D$636,41,FALSE)</f>
        <v>  Otros gastos de administración</v>
      </c>
      <c r="B73" s="44">
        <v>-116.81575538590036</v>
      </c>
      <c r="C73" s="44">
        <v>-123.03980917993157</v>
      </c>
      <c r="D73" s="44">
        <v>-143.69999102456794</v>
      </c>
      <c r="E73" s="45">
        <v>-153.59853049338113</v>
      </c>
      <c r="F73" s="44">
        <v>-135.10753746570435</v>
      </c>
      <c r="G73" s="44">
        <v>-130.25573678477986</v>
      </c>
      <c r="H73" s="44">
        <v>-144.7256737795158</v>
      </c>
      <c r="I73" s="44">
        <v>0</v>
      </c>
    </row>
    <row r="74" spans="1:9" ht="14.25">
      <c r="A74" s="43" t="str">
        <f>HLOOKUP(INDICE!$F$2,Nombres!$C$3:$D$636,42,FALSE)</f>
        <v>  Amortización</v>
      </c>
      <c r="B74" s="44">
        <v>-35.799269260201314</v>
      </c>
      <c r="C74" s="44">
        <v>-37.3218019910671</v>
      </c>
      <c r="D74" s="44">
        <v>-37.884652616893476</v>
      </c>
      <c r="E74" s="45">
        <v>-44.92514613946111</v>
      </c>
      <c r="F74" s="44">
        <v>-41.39718374822937</v>
      </c>
      <c r="G74" s="44">
        <v>-38.44073126506028</v>
      </c>
      <c r="H74" s="44">
        <v>-38.67608498671036</v>
      </c>
      <c r="I74" s="44">
        <v>0</v>
      </c>
    </row>
    <row r="75" spans="1:9" ht="14.25">
      <c r="A75" s="41" t="str">
        <f>HLOOKUP(INDICE!$F$2,Nombres!$C$3:$D$636,43,FALSE)</f>
        <v>Margen neto</v>
      </c>
      <c r="B75" s="41">
        <f>+B69+B70</f>
        <v>452.06421046364056</v>
      </c>
      <c r="C75" s="41">
        <f aca="true" t="shared" si="10" ref="C75:I75">+C69+C70</f>
        <v>465.0230490348484</v>
      </c>
      <c r="D75" s="41">
        <f t="shared" si="10"/>
        <v>525.8139375531955</v>
      </c>
      <c r="E75" s="42">
        <f t="shared" si="10"/>
        <v>504.09598270521246</v>
      </c>
      <c r="F75" s="52">
        <f t="shared" si="10"/>
        <v>422.63211220477797</v>
      </c>
      <c r="G75" s="52">
        <f t="shared" si="10"/>
        <v>467.10834787350285</v>
      </c>
      <c r="H75" s="52">
        <f t="shared" si="10"/>
        <v>507.5552424717194</v>
      </c>
      <c r="I75" s="52">
        <f t="shared" si="10"/>
        <v>0</v>
      </c>
    </row>
    <row r="76" spans="1:9" ht="14.25">
      <c r="A76" s="43" t="str">
        <f>HLOOKUP(INDICE!$F$2,Nombres!$C$3:$D$636,44,FALSE)</f>
        <v>Deterioro de activos financieros no valorados a valor razonable con cambios en resultados</v>
      </c>
      <c r="B76" s="44">
        <v>-151.19763322256412</v>
      </c>
      <c r="C76" s="44">
        <v>-144.1076247797463</v>
      </c>
      <c r="D76" s="44">
        <v>-184.6306653550813</v>
      </c>
      <c r="E76" s="45">
        <v>-196.1917443979122</v>
      </c>
      <c r="F76" s="44">
        <v>-292.92765982237495</v>
      </c>
      <c r="G76" s="44">
        <v>-286.37051846018625</v>
      </c>
      <c r="H76" s="44">
        <v>-95.75082171743882</v>
      </c>
      <c r="I76" s="44">
        <v>0</v>
      </c>
    </row>
    <row r="77" spans="1:9" ht="14.25">
      <c r="A77" s="43" t="str">
        <f>HLOOKUP(INDICE!$F$2,Nombres!$C$3:$D$636,45,FALSE)</f>
        <v>Provisiones o reversión de provisiones y otros resultados</v>
      </c>
      <c r="B77" s="44">
        <v>-9.519642038965173</v>
      </c>
      <c r="C77" s="44">
        <v>-1.388106501198175</v>
      </c>
      <c r="D77" s="44">
        <v>-13.057769654806348</v>
      </c>
      <c r="E77" s="45">
        <v>-58.43165201029554</v>
      </c>
      <c r="F77" s="44">
        <v>-15.176684046558474</v>
      </c>
      <c r="G77" s="44">
        <v>-28.5458151721128</v>
      </c>
      <c r="H77" s="44">
        <v>-31.300500781328736</v>
      </c>
      <c r="I77" s="44">
        <v>0</v>
      </c>
    </row>
    <row r="78" spans="1:9" ht="14.25">
      <c r="A78" s="41" t="str">
        <f>HLOOKUP(INDICE!$F$2,Nombres!$C$3:$D$636,46,FALSE)</f>
        <v>Resultado antes de impuestos</v>
      </c>
      <c r="B78" s="41">
        <f>+B75+B76+B77</f>
        <v>291.3469352021113</v>
      </c>
      <c r="C78" s="41">
        <f aca="true" t="shared" si="11" ref="C78:I78">+C75+C76+C77</f>
        <v>319.5273177539039</v>
      </c>
      <c r="D78" s="41">
        <f t="shared" si="11"/>
        <v>328.12550254330785</v>
      </c>
      <c r="E78" s="42">
        <f t="shared" si="11"/>
        <v>249.47258629700474</v>
      </c>
      <c r="F78" s="52">
        <f t="shared" si="11"/>
        <v>114.52776833584454</v>
      </c>
      <c r="G78" s="52">
        <f t="shared" si="11"/>
        <v>152.1920142412038</v>
      </c>
      <c r="H78" s="52">
        <f t="shared" si="11"/>
        <v>380.50391997295185</v>
      </c>
      <c r="I78" s="52">
        <f t="shared" si="11"/>
        <v>0</v>
      </c>
    </row>
    <row r="79" spans="1:9" ht="14.25">
      <c r="A79" s="43" t="str">
        <f>HLOOKUP(INDICE!$F$2,Nombres!$C$3:$D$636,47,FALSE)</f>
        <v>Impuesto sobre beneficios</v>
      </c>
      <c r="B79" s="44">
        <v>-101.96132921303558</v>
      </c>
      <c r="C79" s="44">
        <v>-103.96165123167242</v>
      </c>
      <c r="D79" s="44">
        <v>-55.295196009738916</v>
      </c>
      <c r="E79" s="45">
        <v>-48.47688132328014</v>
      </c>
      <c r="F79" s="44">
        <v>-24.133300806444026</v>
      </c>
      <c r="G79" s="44">
        <v>-48.64909907468994</v>
      </c>
      <c r="H79" s="44">
        <v>-120.35551250886603</v>
      </c>
      <c r="I79" s="44">
        <v>0</v>
      </c>
    </row>
    <row r="80" spans="1:9" ht="14.25">
      <c r="A80" s="41" t="str">
        <f>HLOOKUP(INDICE!$F$2,Nombres!$C$3:$D$636,48,FALSE)</f>
        <v>Resultado del ejercicio</v>
      </c>
      <c r="B80" s="41">
        <f>+B78+B79</f>
        <v>189.3856059890757</v>
      </c>
      <c r="C80" s="41">
        <f aca="true" t="shared" si="12" ref="C80:I80">+C78+C79</f>
        <v>215.56566652223148</v>
      </c>
      <c r="D80" s="41">
        <f t="shared" si="12"/>
        <v>272.83030653356894</v>
      </c>
      <c r="E80" s="42">
        <f t="shared" si="12"/>
        <v>200.9957049737246</v>
      </c>
      <c r="F80" s="52">
        <f t="shared" si="12"/>
        <v>90.39446752940052</v>
      </c>
      <c r="G80" s="52">
        <f t="shared" si="12"/>
        <v>103.54291516651385</v>
      </c>
      <c r="H80" s="52">
        <f t="shared" si="12"/>
        <v>260.14840746408584</v>
      </c>
      <c r="I80" s="52">
        <f t="shared" si="12"/>
        <v>0</v>
      </c>
    </row>
    <row r="81" spans="1:9" ht="14.25">
      <c r="A81" s="43" t="str">
        <f>HLOOKUP(INDICE!$F$2,Nombres!$C$3:$D$636,49,FALSE)</f>
        <v>Minoritarios</v>
      </c>
      <c r="B81" s="44">
        <v>-59.92451816902337</v>
      </c>
      <c r="C81" s="44">
        <v>-64.46936249143991</v>
      </c>
      <c r="D81" s="44">
        <v>-87.07994518050013</v>
      </c>
      <c r="E81" s="45">
        <v>-58.028254165453674</v>
      </c>
      <c r="F81" s="44">
        <v>-32.06734345936019</v>
      </c>
      <c r="G81" s="44">
        <v>-17.644684013070652</v>
      </c>
      <c r="H81" s="44">
        <v>-78.23732856756916</v>
      </c>
      <c r="I81" s="44">
        <v>0</v>
      </c>
    </row>
    <row r="82" spans="1:9" ht="14.25">
      <c r="A82" s="47" t="str">
        <f>HLOOKUP(INDICE!$F$2,Nombres!$C$3:$D$636,50,FALSE)</f>
        <v>Resultado atribuido</v>
      </c>
      <c r="B82" s="47">
        <f>+B80+B81</f>
        <v>129.46108782005234</v>
      </c>
      <c r="C82" s="47">
        <f aca="true" t="shared" si="13" ref="C82:I82">+C80+C81</f>
        <v>151.09630403079157</v>
      </c>
      <c r="D82" s="47">
        <f t="shared" si="13"/>
        <v>185.7503613530688</v>
      </c>
      <c r="E82" s="47">
        <f t="shared" si="13"/>
        <v>142.96745080827094</v>
      </c>
      <c r="F82" s="53">
        <f t="shared" si="13"/>
        <v>58.32712407004033</v>
      </c>
      <c r="G82" s="53">
        <f t="shared" si="13"/>
        <v>85.89823115344319</v>
      </c>
      <c r="H82" s="53">
        <f t="shared" si="13"/>
        <v>181.91107889651667</v>
      </c>
      <c r="I82" s="53">
        <f t="shared" si="13"/>
        <v>0</v>
      </c>
    </row>
    <row r="83" spans="1:15" ht="14.25">
      <c r="A83" s="289"/>
      <c r="B83" s="288"/>
      <c r="C83" s="288"/>
      <c r="D83" s="288"/>
      <c r="E83" s="288"/>
      <c r="F83" s="288"/>
      <c r="G83" s="288"/>
      <c r="H83" s="288"/>
      <c r="I83" s="288"/>
      <c r="J83" s="168"/>
      <c r="K83" s="168"/>
      <c r="L83" s="168"/>
      <c r="M83" s="168"/>
      <c r="N83" s="168"/>
      <c r="O83" s="168"/>
    </row>
    <row r="84" spans="1:15" ht="14.25">
      <c r="A84" s="286"/>
      <c r="B84" s="286"/>
      <c r="C84" s="286"/>
      <c r="D84" s="286"/>
      <c r="E84" s="286"/>
      <c r="F84" s="286"/>
      <c r="G84" s="286"/>
      <c r="H84" s="286"/>
      <c r="I84" s="286"/>
      <c r="J84" s="168"/>
      <c r="K84" s="168"/>
      <c r="L84" s="168"/>
      <c r="M84" s="168"/>
      <c r="N84" s="168"/>
      <c r="O84" s="168"/>
    </row>
    <row r="85" spans="1:15" ht="14.25">
      <c r="A85" s="287"/>
      <c r="B85" s="288"/>
      <c r="C85" s="288"/>
      <c r="D85" s="288"/>
      <c r="E85" s="288"/>
      <c r="F85" s="288"/>
      <c r="G85" s="288"/>
      <c r="H85" s="288"/>
      <c r="I85" s="288"/>
      <c r="J85" s="168"/>
      <c r="K85" s="168"/>
      <c r="L85" s="168"/>
      <c r="M85" s="168"/>
      <c r="N85" s="168"/>
      <c r="O85" s="168"/>
    </row>
    <row r="86" spans="1:9" ht="14.25">
      <c r="A86" s="65"/>
      <c r="B86" s="66"/>
      <c r="C86" s="66"/>
      <c r="D86" s="66"/>
      <c r="E86" s="66"/>
      <c r="F86" s="66"/>
      <c r="G86" s="66"/>
      <c r="H86" s="66"/>
      <c r="I86" s="66"/>
    </row>
    <row r="87" spans="1:9" ht="14.25">
      <c r="A87" s="41"/>
      <c r="B87" s="41"/>
      <c r="C87" s="41"/>
      <c r="D87" s="41"/>
      <c r="E87" s="41"/>
      <c r="F87" s="52"/>
      <c r="G87" s="52"/>
      <c r="H87" s="52"/>
      <c r="I87" s="52"/>
    </row>
    <row r="88" spans="1:9" ht="16.5">
      <c r="A88" s="33" t="str">
        <f>HLOOKUP(INDICE!$F$2,Nombres!$C$3:$D$636,51,FALSE)</f>
        <v>Balances</v>
      </c>
      <c r="B88" s="34"/>
      <c r="C88" s="34"/>
      <c r="D88" s="34"/>
      <c r="E88" s="34"/>
      <c r="F88" s="72"/>
      <c r="G88" s="72"/>
      <c r="H88" s="72"/>
      <c r="I88" s="72"/>
    </row>
    <row r="89" spans="1:9" ht="14.25">
      <c r="A89" s="35" t="str">
        <f>HLOOKUP(INDICE!$F$2,Nombres!$C$3:$D$636,73,FALSE)</f>
        <v>(Millones de euros constantes)</v>
      </c>
      <c r="B89" s="30"/>
      <c r="C89" s="54"/>
      <c r="D89" s="54"/>
      <c r="E89" s="54"/>
      <c r="F89" s="73"/>
      <c r="G89" s="44"/>
      <c r="H89" s="44"/>
      <c r="I89" s="44"/>
    </row>
    <row r="90" spans="1:9" ht="14.25">
      <c r="A90" s="30"/>
      <c r="B90" s="55">
        <f aca="true" t="shared" si="14" ref="B90:I90">+B$33</f>
        <v>43555</v>
      </c>
      <c r="C90" s="55">
        <f t="shared" si="14"/>
        <v>43646</v>
      </c>
      <c r="D90" s="55">
        <f t="shared" si="14"/>
        <v>43738</v>
      </c>
      <c r="E90" s="71">
        <f t="shared" si="14"/>
        <v>43830</v>
      </c>
      <c r="F90" s="55">
        <f t="shared" si="14"/>
        <v>43921</v>
      </c>
      <c r="G90" s="55">
        <f t="shared" si="14"/>
        <v>44012</v>
      </c>
      <c r="H90" s="55">
        <f t="shared" si="14"/>
        <v>44104</v>
      </c>
      <c r="I90" s="55">
        <f t="shared" si="14"/>
        <v>44196</v>
      </c>
    </row>
    <row r="91" spans="1:9" ht="14.25">
      <c r="A91" s="43" t="str">
        <f>HLOOKUP(INDICE!$F$2,Nombres!$C$3:$D$636,52,FALSE)</f>
        <v>Efectivo, saldos en efectivo en bancos centrales y otros depósitos a la vista</v>
      </c>
      <c r="B91" s="44">
        <v>6844.926679691728</v>
      </c>
      <c r="C91" s="44">
        <v>5987.858553854608</v>
      </c>
      <c r="D91" s="44">
        <v>5899.924494062285</v>
      </c>
      <c r="E91" s="45">
        <v>7192.475200630446</v>
      </c>
      <c r="F91" s="44">
        <v>7400.9413382212</v>
      </c>
      <c r="G91" s="44">
        <v>7791.247333444171</v>
      </c>
      <c r="H91" s="44">
        <v>6825.441999999999</v>
      </c>
      <c r="I91" s="44">
        <v>0</v>
      </c>
    </row>
    <row r="92" spans="1:9" ht="14.25">
      <c r="A92" s="43" t="str">
        <f>HLOOKUP(INDICE!$F$2,Nombres!$C$3:$D$636,53,FALSE)</f>
        <v>Activos financieros a valor razonable</v>
      </c>
      <c r="B92" s="60">
        <v>5423.665369407961</v>
      </c>
      <c r="C92" s="60">
        <v>5687.97887013392</v>
      </c>
      <c r="D92" s="60">
        <v>5860.8009396135</v>
      </c>
      <c r="E92" s="68">
        <v>5100.58960675733</v>
      </c>
      <c r="F92" s="44">
        <v>6986.6675351252525</v>
      </c>
      <c r="G92" s="44">
        <v>7649.335338335348</v>
      </c>
      <c r="H92" s="44">
        <v>8153.83</v>
      </c>
      <c r="I92" s="44">
        <v>0</v>
      </c>
    </row>
    <row r="93" spans="1:9" ht="14.25">
      <c r="A93" s="43" t="str">
        <f>HLOOKUP(INDICE!$F$2,Nombres!$C$3:$D$636,54,FALSE)</f>
        <v>Activos financieros a coste amortizado</v>
      </c>
      <c r="B93" s="44">
        <v>30610.409022119293</v>
      </c>
      <c r="C93" s="44">
        <v>31006.57623894579</v>
      </c>
      <c r="D93" s="44">
        <v>32127.46184116048</v>
      </c>
      <c r="E93" s="45">
        <v>32136.68584869818</v>
      </c>
      <c r="F93" s="44">
        <v>33258.94549264872</v>
      </c>
      <c r="G93" s="44">
        <v>36104.68711115928</v>
      </c>
      <c r="H93" s="44">
        <v>38223.009</v>
      </c>
      <c r="I93" s="44">
        <v>0</v>
      </c>
    </row>
    <row r="94" spans="1:9" ht="14.25">
      <c r="A94" s="43" t="str">
        <f>HLOOKUP(INDICE!$F$2,Nombres!$C$3:$D$636,55,FALSE)</f>
        <v>    de los que préstamos y anticipos a la clientela</v>
      </c>
      <c r="B94" s="44">
        <v>28747.38157152453</v>
      </c>
      <c r="C94" s="44">
        <v>29099.4064862358</v>
      </c>
      <c r="D94" s="44">
        <v>30093.25136966327</v>
      </c>
      <c r="E94" s="45">
        <v>30239.052978074273</v>
      </c>
      <c r="F94" s="44">
        <v>31466.730171017913</v>
      </c>
      <c r="G94" s="44">
        <v>32930.22146457579</v>
      </c>
      <c r="H94" s="44">
        <v>33678.044</v>
      </c>
      <c r="I94" s="44">
        <v>0</v>
      </c>
    </row>
    <row r="95" spans="1:9" ht="14.25">
      <c r="A95" s="43" t="str">
        <f>HLOOKUP(INDICE!$F$2,Nombres!$C$3:$D$636,56,FALSE)</f>
        <v>Activos tangibles</v>
      </c>
      <c r="B95" s="44">
        <v>826.828571183282</v>
      </c>
      <c r="C95" s="44">
        <v>856.284048561206</v>
      </c>
      <c r="D95" s="44">
        <v>850.0805560743426</v>
      </c>
      <c r="E95" s="45">
        <v>867.2708383196897</v>
      </c>
      <c r="F95" s="44">
        <v>857.8345151537761</v>
      </c>
      <c r="G95" s="44">
        <v>833.0947518222351</v>
      </c>
      <c r="H95" s="44">
        <v>809.6049176799999</v>
      </c>
      <c r="I95" s="44">
        <v>0</v>
      </c>
    </row>
    <row r="96" spans="1:9" ht="14.25">
      <c r="A96" s="43" t="str">
        <f>HLOOKUP(INDICE!$F$2,Nombres!$C$3:$D$636,57,FALSE)</f>
        <v>Otros activos</v>
      </c>
      <c r="B96" s="60">
        <f>+B97-B95-B93-B92-B91</f>
        <v>1970.8143440593494</v>
      </c>
      <c r="C96" s="60">
        <f aca="true" t="shared" si="15" ref="C96:I96">+C97-C95-C93-C92-C91</f>
        <v>1990.6273614605407</v>
      </c>
      <c r="D96" s="60">
        <f t="shared" si="15"/>
        <v>2152.659702990053</v>
      </c>
      <c r="E96" s="68">
        <f t="shared" si="15"/>
        <v>1238.71107147783</v>
      </c>
      <c r="F96" s="44">
        <f t="shared" si="15"/>
        <v>1704.990082151443</v>
      </c>
      <c r="G96" s="44">
        <f t="shared" si="15"/>
        <v>1526.0349506294606</v>
      </c>
      <c r="H96" s="44">
        <f t="shared" si="15"/>
        <v>1521.1646062599957</v>
      </c>
      <c r="I96" s="44">
        <f t="shared" si="15"/>
        <v>0</v>
      </c>
    </row>
    <row r="97" spans="1:9" ht="14.25">
      <c r="A97" s="47" t="str">
        <f>HLOOKUP(INDICE!$F$2,Nombres!$C$3:$D$636,58,FALSE)</f>
        <v>Total activo / pasivo</v>
      </c>
      <c r="B97" s="47">
        <v>45676.64398646161</v>
      </c>
      <c r="C97" s="47">
        <v>45529.32507295606</v>
      </c>
      <c r="D97" s="47">
        <v>46890.927533900656</v>
      </c>
      <c r="E97" s="47">
        <v>46535.732565883474</v>
      </c>
      <c r="F97" s="53">
        <v>50209.3789633004</v>
      </c>
      <c r="G97" s="53">
        <v>53904.399485390495</v>
      </c>
      <c r="H97" s="53">
        <v>55533.05052393999</v>
      </c>
      <c r="I97" s="53">
        <v>0</v>
      </c>
    </row>
    <row r="98" spans="1:9" ht="14.25">
      <c r="A98" s="43" t="str">
        <f>HLOOKUP(INDICE!$F$2,Nombres!$C$3:$D$636,59,FALSE)</f>
        <v>Pasivos financieros mantenidos para negociar y designados a valor razonable con cambios en resultados</v>
      </c>
      <c r="B98" s="60">
        <v>1828.3094769908053</v>
      </c>
      <c r="C98" s="60">
        <v>1538.8978557987386</v>
      </c>
      <c r="D98" s="60">
        <v>1359.562750786427</v>
      </c>
      <c r="E98" s="68">
        <v>1515.4617896510817</v>
      </c>
      <c r="F98" s="44">
        <v>1943.3473222916791</v>
      </c>
      <c r="G98" s="44">
        <v>1803.7490791409032</v>
      </c>
      <c r="H98" s="44">
        <v>1618.1270000000002</v>
      </c>
      <c r="I98" s="44">
        <v>0</v>
      </c>
    </row>
    <row r="99" spans="1:9" ht="14.25">
      <c r="A99" s="43" t="str">
        <f>HLOOKUP(INDICE!$F$2,Nombres!$C$3:$D$636,60,FALSE)</f>
        <v>Depósitos de bancos centrales y entidades de crédito</v>
      </c>
      <c r="B99" s="60">
        <v>2673.501667197559</v>
      </c>
      <c r="C99" s="60">
        <v>2777.776070116194</v>
      </c>
      <c r="D99" s="60">
        <v>3151.188197590267</v>
      </c>
      <c r="E99" s="68">
        <v>3185.742822128999</v>
      </c>
      <c r="F99" s="44">
        <v>3722.5361933482195</v>
      </c>
      <c r="G99" s="44">
        <v>4044.6055607349253</v>
      </c>
      <c r="H99" s="44">
        <v>5877.398999999999</v>
      </c>
      <c r="I99" s="44">
        <v>0</v>
      </c>
    </row>
    <row r="100" spans="1:9" ht="14.25">
      <c r="A100" s="43" t="str">
        <f>HLOOKUP(INDICE!$F$2,Nombres!$C$3:$D$636,61,FALSE)</f>
        <v>Depósitos de la clientela</v>
      </c>
      <c r="B100" s="60">
        <v>29523.056822472834</v>
      </c>
      <c r="C100" s="60">
        <v>29469.658221077414</v>
      </c>
      <c r="D100" s="60">
        <v>30115.356630864233</v>
      </c>
      <c r="E100" s="68">
        <v>30351.342065697325</v>
      </c>
      <c r="F100" s="44">
        <v>32864.76833915722</v>
      </c>
      <c r="G100" s="44">
        <v>36531.15953657845</v>
      </c>
      <c r="H100" s="44">
        <v>36023.834</v>
      </c>
      <c r="I100" s="44">
        <v>0</v>
      </c>
    </row>
    <row r="101" spans="1:9" ht="14.25">
      <c r="A101" s="43" t="str">
        <f>HLOOKUP(INDICE!$F$2,Nombres!$C$3:$D$636,62,FALSE)</f>
        <v>Valores representativos de deuda emitidos</v>
      </c>
      <c r="B101" s="44">
        <v>2850.1281181023883</v>
      </c>
      <c r="C101" s="44">
        <v>2710.0629477044286</v>
      </c>
      <c r="D101" s="44">
        <v>2824.204139202856</v>
      </c>
      <c r="E101" s="45">
        <v>2820.2024504541273</v>
      </c>
      <c r="F101" s="44">
        <v>2913.199593518579</v>
      </c>
      <c r="G101" s="44">
        <v>2825.769813970434</v>
      </c>
      <c r="H101" s="44">
        <v>2811.827</v>
      </c>
      <c r="I101" s="44">
        <v>0</v>
      </c>
    </row>
    <row r="102" spans="1:9" ht="14.25">
      <c r="A102" s="43" t="str">
        <f>HLOOKUP(INDICE!$F$2,Nombres!$C$3:$D$636,63,FALSE)</f>
        <v>Otros pasivos</v>
      </c>
      <c r="B102" s="60">
        <f>+B97-B98-B99-B100-B101-B103</f>
        <v>6908.529282654593</v>
      </c>
      <c r="C102" s="60">
        <f aca="true" t="shared" si="16" ref="C102:I102">+C97-C98-C99-C100-C101-C103</f>
        <v>7118.382872936585</v>
      </c>
      <c r="D102" s="60">
        <f t="shared" si="16"/>
        <v>7480.798715861855</v>
      </c>
      <c r="E102" s="68">
        <f t="shared" si="16"/>
        <v>6589.7678669657635</v>
      </c>
      <c r="F102" s="44">
        <f t="shared" si="16"/>
        <v>6462.112539996509</v>
      </c>
      <c r="G102" s="44">
        <f t="shared" si="16"/>
        <v>6543.404582697499</v>
      </c>
      <c r="H102" s="44">
        <f t="shared" si="16"/>
        <v>7012.206456539992</v>
      </c>
      <c r="I102" s="44">
        <f t="shared" si="16"/>
        <v>0</v>
      </c>
    </row>
    <row r="103" spans="1:9" ht="14.25">
      <c r="A103" s="43" t="str">
        <f>HLOOKUP(INDICE!$F$2,Nombres!$C$3:$D$636,64,FALSE)</f>
        <v>Dotación de capital económico</v>
      </c>
      <c r="B103" s="44">
        <v>1893.11861904343</v>
      </c>
      <c r="C103" s="44">
        <v>1914.547105322701</v>
      </c>
      <c r="D103" s="44">
        <v>1959.8170995950213</v>
      </c>
      <c r="E103" s="45">
        <v>2073.2155709861804</v>
      </c>
      <c r="F103" s="44">
        <v>2303.4149749881885</v>
      </c>
      <c r="G103" s="44">
        <v>2155.710912268284</v>
      </c>
      <c r="H103" s="44">
        <v>2189.6570674</v>
      </c>
      <c r="I103" s="44">
        <v>0</v>
      </c>
    </row>
    <row r="104" spans="1:9" ht="14.25">
      <c r="A104" s="65"/>
      <c r="B104" s="60"/>
      <c r="C104" s="60"/>
      <c r="D104" s="60"/>
      <c r="E104" s="60"/>
      <c r="F104" s="44"/>
      <c r="G104" s="44"/>
      <c r="H104" s="44"/>
      <c r="I104" s="44"/>
    </row>
    <row r="105" spans="1:9" ht="14.25">
      <c r="A105" s="43"/>
      <c r="B105" s="60"/>
      <c r="C105" s="60"/>
      <c r="D105" s="60"/>
      <c r="E105" s="60"/>
      <c r="F105" s="44"/>
      <c r="G105" s="44"/>
      <c r="H105" s="44"/>
      <c r="I105" s="44"/>
    </row>
    <row r="106" spans="1:9" ht="16.5">
      <c r="A106" s="33" t="str">
        <f>HLOOKUP(INDICE!$F$2,Nombres!$C$3:$D$636,65,FALSE)</f>
        <v>Indicadores relevantes y de gestión</v>
      </c>
      <c r="B106" s="34"/>
      <c r="C106" s="34"/>
      <c r="D106" s="34"/>
      <c r="E106" s="34"/>
      <c r="F106" s="72"/>
      <c r="G106" s="72"/>
      <c r="H106" s="72"/>
      <c r="I106" s="72"/>
    </row>
    <row r="107" spans="1:9" ht="14.25">
      <c r="A107" s="35" t="str">
        <f>HLOOKUP(INDICE!$F$2,Nombres!$C$3:$D$636,73,FALSE)</f>
        <v>(Millones de euros constantes)</v>
      </c>
      <c r="B107" s="30"/>
      <c r="C107" s="30"/>
      <c r="D107" s="30"/>
      <c r="E107" s="30"/>
      <c r="F107" s="73"/>
      <c r="G107" s="44"/>
      <c r="H107" s="44"/>
      <c r="I107" s="44"/>
    </row>
    <row r="108" spans="1:9" ht="14.25">
      <c r="A108" s="30"/>
      <c r="B108" s="55">
        <f aca="true" t="shared" si="17" ref="B108:I108">+B$33</f>
        <v>43555</v>
      </c>
      <c r="C108" s="55">
        <f t="shared" si="17"/>
        <v>43646</v>
      </c>
      <c r="D108" s="55">
        <f t="shared" si="17"/>
        <v>43738</v>
      </c>
      <c r="E108" s="71">
        <f t="shared" si="17"/>
        <v>43830</v>
      </c>
      <c r="F108" s="55">
        <f t="shared" si="17"/>
        <v>43921</v>
      </c>
      <c r="G108" s="55">
        <f t="shared" si="17"/>
        <v>44012</v>
      </c>
      <c r="H108" s="55">
        <f t="shared" si="17"/>
        <v>44104</v>
      </c>
      <c r="I108" s="55">
        <f t="shared" si="17"/>
        <v>44196</v>
      </c>
    </row>
    <row r="109" spans="1:9" ht="14.25">
      <c r="A109" s="43" t="str">
        <f>HLOOKUP(INDICE!$F$2,Nombres!$C$3:$D$636,66,FALSE)</f>
        <v>Préstamos y anticipos a la clientela bruto (*)</v>
      </c>
      <c r="B109" s="44">
        <v>29950.115239135182</v>
      </c>
      <c r="C109" s="44">
        <v>30247.25267716715</v>
      </c>
      <c r="D109" s="44">
        <v>31378.125873448516</v>
      </c>
      <c r="E109" s="45">
        <v>31689.661988391446</v>
      </c>
      <c r="F109" s="44">
        <v>33040.158928419296</v>
      </c>
      <c r="G109" s="44">
        <v>34590.57860545215</v>
      </c>
      <c r="H109" s="44">
        <v>35480.540991320006</v>
      </c>
      <c r="I109" s="44">
        <v>0</v>
      </c>
    </row>
    <row r="110" spans="1:9" ht="14.25">
      <c r="A110" s="43" t="str">
        <f>HLOOKUP(INDICE!$F$2,Nombres!$C$3:$D$636,67,FALSE)</f>
        <v>Depósitos de clientes en gestión (**)</v>
      </c>
      <c r="B110" s="44">
        <v>29613.580681057338</v>
      </c>
      <c r="C110" s="44">
        <v>29481.088667251264</v>
      </c>
      <c r="D110" s="44">
        <v>30119.830959326737</v>
      </c>
      <c r="E110" s="45">
        <v>30366.5805386387</v>
      </c>
      <c r="F110" s="44">
        <v>32879.78460381667</v>
      </c>
      <c r="G110" s="44">
        <v>36549.12424509923</v>
      </c>
      <c r="H110" s="44">
        <v>36036.081061720004</v>
      </c>
      <c r="I110" s="44">
        <v>0</v>
      </c>
    </row>
    <row r="111" spans="1:9" ht="14.25">
      <c r="A111" s="43" t="str">
        <f>HLOOKUP(INDICE!$F$2,Nombres!$C$3:$D$636,68,FALSE)</f>
        <v>Fondos de inversión</v>
      </c>
      <c r="B111" s="44">
        <v>3232.41739917625</v>
      </c>
      <c r="C111" s="44">
        <v>3218.718066582122</v>
      </c>
      <c r="D111" s="44">
        <v>3263.127330907145</v>
      </c>
      <c r="E111" s="45">
        <v>3225.9073348854245</v>
      </c>
      <c r="F111" s="44">
        <v>3088.1164478962237</v>
      </c>
      <c r="G111" s="44">
        <v>4117.776021576832</v>
      </c>
      <c r="H111" s="44">
        <v>4680.5537464</v>
      </c>
      <c r="I111" s="44">
        <v>0</v>
      </c>
    </row>
    <row r="112" spans="1:9" ht="14.25">
      <c r="A112" s="43" t="str">
        <f>HLOOKUP(INDICE!$F$2,Nombres!$C$3:$D$636,69,FALSE)</f>
        <v>Fondos de pensiones</v>
      </c>
      <c r="B112" s="44">
        <v>7946.120780331765</v>
      </c>
      <c r="C112" s="44">
        <v>8176.347985110266</v>
      </c>
      <c r="D112" s="44">
        <v>8414.634833178472</v>
      </c>
      <c r="E112" s="45">
        <v>8640.034983680493</v>
      </c>
      <c r="F112" s="44">
        <v>8828.008989946917</v>
      </c>
      <c r="G112" s="44">
        <v>8942.640429929968</v>
      </c>
      <c r="H112" s="44">
        <v>9180.04306231</v>
      </c>
      <c r="I112" s="44">
        <v>0</v>
      </c>
    </row>
    <row r="113" spans="1:9" ht="14.25">
      <c r="A113" s="43" t="str">
        <f>HLOOKUP(INDICE!$F$2,Nombres!$C$3:$D$636,70,FALSE)</f>
        <v>Otros recursos fuera de balance</v>
      </c>
      <c r="B113" s="44">
        <v>0</v>
      </c>
      <c r="C113" s="44">
        <v>0</v>
      </c>
      <c r="D113" s="44">
        <v>0</v>
      </c>
      <c r="E113" s="45">
        <v>0</v>
      </c>
      <c r="F113" s="44">
        <v>0</v>
      </c>
      <c r="G113" s="44">
        <v>0</v>
      </c>
      <c r="H113" s="44">
        <v>0</v>
      </c>
      <c r="I113" s="44">
        <v>0</v>
      </c>
    </row>
    <row r="114" spans="1:9" ht="14.25">
      <c r="A114" s="65" t="str">
        <f>HLOOKUP(INDICE!$F$2,Nombres!$C$3:$D$636,71,FALSE)</f>
        <v>(*) No incluye las adquisiciones temporales de activos.</v>
      </c>
      <c r="B114" s="60"/>
      <c r="C114" s="60"/>
      <c r="D114" s="60"/>
      <c r="E114" s="60"/>
      <c r="F114" s="60"/>
      <c r="G114" s="60"/>
      <c r="H114" s="60"/>
      <c r="I114" s="60"/>
    </row>
    <row r="115" spans="1:9" ht="14.25">
      <c r="A115" s="65" t="str">
        <f>HLOOKUP(INDICE!$F$2,Nombres!$C$3:$D$636,72,FALSE)</f>
        <v>(**) No incluye las cesiones temporales de activos.</v>
      </c>
      <c r="B115" s="30"/>
      <c r="C115" s="30"/>
      <c r="D115" s="30"/>
      <c r="E115" s="30"/>
      <c r="F115" s="30"/>
      <c r="G115" s="30"/>
      <c r="H115" s="30"/>
      <c r="I115" s="30"/>
    </row>
    <row r="116" spans="1:9" ht="14.25">
      <c r="A116" s="65"/>
      <c r="B116" s="60"/>
      <c r="C116" s="44"/>
      <c r="D116" s="44"/>
      <c r="E116" s="44"/>
      <c r="F116" s="44"/>
      <c r="G116" s="30"/>
      <c r="H116" s="30"/>
      <c r="I116" s="30"/>
    </row>
    <row r="122" spans="6:9" ht="14.25">
      <c r="F122" s="86"/>
      <c r="G122" s="86"/>
      <c r="H122" s="86"/>
      <c r="I122" s="86"/>
    </row>
    <row r="123" spans="6:9" ht="14.25">
      <c r="F123" s="86"/>
      <c r="G123" s="86"/>
      <c r="H123" s="86"/>
      <c r="I123" s="86"/>
    </row>
    <row r="124" spans="6:9" ht="14.25">
      <c r="F124" s="86"/>
      <c r="G124" s="86"/>
      <c r="H124" s="86"/>
      <c r="I124" s="86"/>
    </row>
    <row r="125" spans="6:9" ht="14.25">
      <c r="F125" s="86"/>
      <c r="G125" s="86"/>
      <c r="H125" s="86"/>
      <c r="I125" s="86"/>
    </row>
    <row r="126" spans="6:9" ht="14.25">
      <c r="F126" s="86"/>
      <c r="G126" s="86"/>
      <c r="H126" s="86"/>
      <c r="I126" s="86"/>
    </row>
    <row r="127" spans="6:9" ht="14.25">
      <c r="F127" s="86"/>
      <c r="G127" s="86"/>
      <c r="H127" s="86"/>
      <c r="I127" s="86"/>
    </row>
    <row r="128" spans="6:9" ht="14.25">
      <c r="F128" s="86"/>
      <c r="G128" s="86"/>
      <c r="H128" s="86"/>
      <c r="I128" s="86"/>
    </row>
    <row r="129" spans="6:9" ht="14.25">
      <c r="F129" s="86"/>
      <c r="G129" s="86"/>
      <c r="H129" s="86"/>
      <c r="I129" s="86"/>
    </row>
    <row r="130" spans="6:9" ht="14.25">
      <c r="F130" s="86"/>
      <c r="G130" s="86"/>
      <c r="H130" s="86"/>
      <c r="I130" s="86"/>
    </row>
    <row r="131" spans="6:9" ht="14.25">
      <c r="F131" s="86"/>
      <c r="G131" s="86"/>
      <c r="H131" s="86"/>
      <c r="I131" s="86"/>
    </row>
    <row r="132" spans="6:9" ht="14.25">
      <c r="F132" s="86"/>
      <c r="G132" s="86"/>
      <c r="H132" s="86"/>
      <c r="I132" s="86"/>
    </row>
    <row r="133" spans="6:9" ht="14.25">
      <c r="F133" s="86"/>
      <c r="G133" s="86"/>
      <c r="H133" s="86"/>
      <c r="I133" s="86"/>
    </row>
    <row r="134" spans="6:9" ht="14.25">
      <c r="F134" s="86"/>
      <c r="G134" s="86"/>
      <c r="H134" s="86"/>
      <c r="I134" s="86"/>
    </row>
    <row r="135" spans="6:9" ht="14.25">
      <c r="F135" s="86"/>
      <c r="G135" s="86"/>
      <c r="H135" s="86"/>
      <c r="I135" s="86"/>
    </row>
    <row r="136" spans="6:9" ht="14.25">
      <c r="F136" s="86"/>
      <c r="G136" s="86"/>
      <c r="H136" s="86"/>
      <c r="I136" s="86"/>
    </row>
    <row r="137" spans="6:9" ht="14.25">
      <c r="F137" s="86"/>
      <c r="G137" s="86"/>
      <c r="H137" s="86"/>
      <c r="I137" s="86"/>
    </row>
    <row r="138" spans="6:9" ht="14.25">
      <c r="F138" s="86"/>
      <c r="G138" s="86"/>
      <c r="H138" s="86"/>
      <c r="I138" s="86"/>
    </row>
    <row r="139" spans="6:9" ht="14.25">
      <c r="F139" s="86"/>
      <c r="G139" s="86"/>
      <c r="H139" s="86"/>
      <c r="I139" s="86"/>
    </row>
    <row r="140" spans="6:9" ht="14.25">
      <c r="F140" s="86"/>
      <c r="G140" s="86"/>
      <c r="H140" s="86"/>
      <c r="I140" s="86"/>
    </row>
    <row r="141" spans="6:9" ht="14.25">
      <c r="F141" s="86"/>
      <c r="G141" s="86"/>
      <c r="H141" s="86"/>
      <c r="I141" s="86"/>
    </row>
    <row r="142" spans="6:9" ht="14.25">
      <c r="F142" s="86"/>
      <c r="G142" s="86"/>
      <c r="H142" s="86"/>
      <c r="I142" s="86"/>
    </row>
    <row r="143" spans="6:9" ht="14.25">
      <c r="F143" s="86"/>
      <c r="G143" s="86"/>
      <c r="H143" s="86"/>
      <c r="I143" s="86"/>
    </row>
    <row r="144" spans="6:9" ht="14.25">
      <c r="F144" s="86"/>
      <c r="G144" s="86"/>
      <c r="H144" s="86"/>
      <c r="I144" s="86"/>
    </row>
    <row r="145" spans="6:9" ht="14.25">
      <c r="F145" s="86"/>
      <c r="G145" s="86"/>
      <c r="H145" s="86"/>
      <c r="I145" s="86"/>
    </row>
    <row r="146" spans="6:9" ht="14.25">
      <c r="F146" s="86"/>
      <c r="G146" s="86"/>
      <c r="H146" s="86"/>
      <c r="I146" s="86"/>
    </row>
    <row r="147" spans="6:9" ht="14.25">
      <c r="F147" s="86"/>
      <c r="G147" s="86"/>
      <c r="H147" s="86"/>
      <c r="I147" s="86"/>
    </row>
    <row r="148" spans="6:9" ht="14.25">
      <c r="F148" s="86"/>
      <c r="G148" s="86"/>
      <c r="H148" s="86"/>
      <c r="I148" s="86"/>
    </row>
    <row r="149" spans="6:9" ht="14.25">
      <c r="F149" s="86"/>
      <c r="G149" s="86"/>
      <c r="H149" s="86"/>
      <c r="I149" s="86"/>
    </row>
    <row r="150" spans="6:9" ht="14.25">
      <c r="F150" s="86"/>
      <c r="G150" s="86"/>
      <c r="H150" s="86"/>
      <c r="I150" s="86"/>
    </row>
    <row r="151" spans="6:9" ht="14.25">
      <c r="F151" s="86"/>
      <c r="G151" s="86"/>
      <c r="H151" s="86"/>
      <c r="I151" s="86"/>
    </row>
    <row r="152" spans="6:9" ht="14.25">
      <c r="F152" s="86"/>
      <c r="G152" s="86"/>
      <c r="H152" s="86"/>
      <c r="I152" s="86"/>
    </row>
    <row r="153" spans="6:9" ht="14.25">
      <c r="F153" s="86"/>
      <c r="G153" s="86"/>
      <c r="H153" s="86"/>
      <c r="I153" s="86"/>
    </row>
    <row r="154" spans="6:9" ht="14.25">
      <c r="F154" s="86"/>
      <c r="G154" s="86"/>
      <c r="H154" s="86"/>
      <c r="I154" s="86"/>
    </row>
    <row r="155" spans="6:9" ht="14.25">
      <c r="F155" s="86"/>
      <c r="G155" s="86"/>
      <c r="H155" s="86"/>
      <c r="I155" s="86"/>
    </row>
    <row r="156" spans="6:9" ht="14.25">
      <c r="F156" s="86"/>
      <c r="G156" s="86"/>
      <c r="H156" s="86"/>
      <c r="I156" s="86"/>
    </row>
    <row r="157" spans="6:9" ht="14.25">
      <c r="F157" s="86"/>
      <c r="G157" s="86"/>
      <c r="H157" s="86"/>
      <c r="I157" s="86"/>
    </row>
    <row r="158" spans="6:9" ht="14.25">
      <c r="F158" s="86"/>
      <c r="G158" s="86"/>
      <c r="H158" s="86"/>
      <c r="I158" s="86"/>
    </row>
    <row r="159" spans="6:9" ht="14.25">
      <c r="F159" s="86"/>
      <c r="G159" s="86"/>
      <c r="H159" s="86"/>
      <c r="I159" s="86"/>
    </row>
    <row r="160" spans="6:9" ht="14.25">
      <c r="F160" s="86"/>
      <c r="G160" s="86"/>
      <c r="H160" s="86"/>
      <c r="I160" s="86"/>
    </row>
    <row r="161" spans="6:9" ht="14.25">
      <c r="F161" s="86"/>
      <c r="G161" s="86"/>
      <c r="H161" s="86"/>
      <c r="I161" s="86"/>
    </row>
    <row r="162" spans="6:9" ht="14.25">
      <c r="F162" s="86"/>
      <c r="G162" s="86"/>
      <c r="H162" s="86"/>
      <c r="I162" s="86"/>
    </row>
    <row r="163" spans="6:9" ht="14.25">
      <c r="F163" s="86"/>
      <c r="G163" s="86"/>
      <c r="H163" s="86"/>
      <c r="I163" s="86"/>
    </row>
    <row r="164" spans="6:9" ht="14.25">
      <c r="F164" s="86"/>
      <c r="G164" s="86"/>
      <c r="H164" s="86"/>
      <c r="I164" s="86"/>
    </row>
    <row r="165" spans="6:9" ht="14.25">
      <c r="F165" s="86"/>
      <c r="G165" s="86"/>
      <c r="H165" s="86"/>
      <c r="I165" s="86"/>
    </row>
    <row r="166" spans="6:9" ht="14.25">
      <c r="F166" s="86"/>
      <c r="G166" s="86"/>
      <c r="H166" s="86"/>
      <c r="I166" s="86"/>
    </row>
    <row r="167" spans="6:9" ht="14.25">
      <c r="F167" s="86"/>
      <c r="G167" s="86"/>
      <c r="H167" s="86"/>
      <c r="I167" s="86"/>
    </row>
    <row r="168" spans="6:9" ht="14.25">
      <c r="F168" s="86"/>
      <c r="G168" s="86"/>
      <c r="H168" s="86"/>
      <c r="I168" s="86"/>
    </row>
    <row r="1000" ht="14.25">
      <c r="A1000" s="31" t="s">
        <v>397</v>
      </c>
    </row>
  </sheetData>
  <sheetProtection/>
  <mergeCells count="4">
    <mergeCell ref="B6:E6"/>
    <mergeCell ref="F6:I6"/>
    <mergeCell ref="B63:E63"/>
    <mergeCell ref="F63:I63"/>
  </mergeCells>
  <conditionalFormatting sqref="B26:I26 B28:I29">
    <cfRule type="cellIs" priority="2" dxfId="98" operator="notBetween">
      <formula>0.5</formula>
      <formula>-0.5</formula>
    </cfRule>
  </conditionalFormatting>
  <conditionalFormatting sqref="B83:I83 B85:I86">
    <cfRule type="cellIs" priority="1" dxfId="98" operator="notBetween">
      <formula>0.5</formula>
      <formula>-0.5</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LERCHUNDI LIZASO ,ION</dc:creator>
  <cp:keywords/>
  <dc:description/>
  <cp:lastModifiedBy>GONZALEZ SOBRADO, SONIA</cp:lastModifiedBy>
  <dcterms:created xsi:type="dcterms:W3CDTF">2019-04-26T12:12:53Z</dcterms:created>
  <dcterms:modified xsi:type="dcterms:W3CDTF">2020-10-29T18:59:17Z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