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27.xml" ContentType="application/vnd.openxmlformats-officedocument.drawing+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450" firstSheet="1" activeTab="1"/>
  </bookViews>
  <sheets>
    <sheet name="Nombres" sheetId="1" state="hidden" r:id="rId1"/>
    <sheet name="INDICE" sheetId="2" r:id="rId2"/>
    <sheet name="Cuenta de Resultados" sheetId="3" r:id="rId3"/>
    <sheet name="Balance" sheetId="4" r:id="rId4"/>
    <sheet name="España" sheetId="5" r:id="rId5"/>
    <sheet name="EEUU" sheetId="6" r:id="rId6"/>
    <sheet name="Mexico" sheetId="7" r:id="rId7"/>
    <sheet name="Turquia" sheetId="8" r:id="rId8"/>
    <sheet name="AdS" sheetId="9" r:id="rId9"/>
    <sheet name="Argentina" sheetId="10" r:id="rId10"/>
    <sheet name="Chile" sheetId="11" r:id="rId11"/>
    <sheet name="Colombia" sheetId="12" r:id="rId12"/>
    <sheet name="Peru" sheetId="13" r:id="rId13"/>
    <sheet name="Resto de Eurasia" sheetId="14" r:id="rId14"/>
    <sheet name="Centro Corporativo" sheetId="15" r:id="rId15"/>
    <sheet name="Corporate &amp; Investment Banking" sheetId="16" r:id="rId16"/>
    <sheet name="PM Resto de Negocios" sheetId="17" r:id="rId17"/>
    <sheet name="PM Centro Corporativo" sheetId="18" r:id="rId18"/>
    <sheet name="PM EEUU no vendido" sheetId="19" r:id="rId19"/>
    <sheet name="Eficiencia" sheetId="20" r:id="rId20"/>
    <sheet name="Mora,cobertura,coste de riesgo" sheetId="21" r:id="rId21"/>
    <sheet name="Empleados, oficinas y cajeros" sheetId="22" r:id="rId22"/>
    <sheet name="Tipos de Cambio" sheetId="23" r:id="rId23"/>
    <sheet name="Diferenciales" sheetId="24" r:id="rId24"/>
    <sheet name="APRs" sheetId="25" r:id="rId25"/>
    <sheet name="Inversion" sheetId="26" r:id="rId26"/>
    <sheet name="Recursos" sheetId="27" r:id="rId27"/>
    <sheet name="Hoja1" sheetId="28" state="hidden" r:id="rId28"/>
    <sheet name="Hoja2" sheetId="29" state="hidden" r:id="rId29"/>
    <sheet name="Hoja3" sheetId="30" state="hidden" r:id="rId30"/>
    <sheet name="ALCO" sheetId="31" r:id="rId31"/>
    <sheet name="Hoja4" sheetId="32" state="hidden" r:id="rId32"/>
  </sheets>
  <definedNames/>
  <calcPr fullCalcOnLoad="1"/>
</workbook>
</file>

<file path=xl/sharedStrings.xml><?xml version="1.0" encoding="utf-8"?>
<sst xmlns="http://schemas.openxmlformats.org/spreadsheetml/2006/main" count="572" uniqueCount="459">
  <si>
    <t>IDIOMA/LANGUAGE</t>
  </si>
  <si>
    <t>1er Trim.</t>
  </si>
  <si>
    <t>2º Trim.</t>
  </si>
  <si>
    <t>3er Trim.</t>
  </si>
  <si>
    <t>4º Trim.</t>
  </si>
  <si>
    <t>Resultado Atribuido</t>
  </si>
  <si>
    <t>Total</t>
  </si>
  <si>
    <t>C&amp;IB</t>
  </si>
  <si>
    <t>Argentina</t>
  </si>
  <si>
    <t>Chile</t>
  </si>
  <si>
    <t>Colombia</t>
  </si>
  <si>
    <t>Perú</t>
  </si>
  <si>
    <t>Otros</t>
  </si>
  <si>
    <t>Orden</t>
  </si>
  <si>
    <t>Castellano</t>
  </si>
  <si>
    <t>Inglés</t>
  </si>
  <si>
    <t>ESPAÑOL</t>
  </si>
  <si>
    <t>Grupo BBVA</t>
  </si>
  <si>
    <t>BBVA Group</t>
  </si>
  <si>
    <t>ENGLISH</t>
  </si>
  <si>
    <t>Cuentas de resultados consolidadas</t>
  </si>
  <si>
    <t>Consolidated income statement</t>
  </si>
  <si>
    <t>Balances de situación consolidados</t>
  </si>
  <si>
    <t>Consolidated balance sheet</t>
  </si>
  <si>
    <t>Áreas de negocio</t>
  </si>
  <si>
    <t>Business areas</t>
  </si>
  <si>
    <t>España</t>
  </si>
  <si>
    <t>Spain</t>
  </si>
  <si>
    <t>Actividad bancaria en España</t>
  </si>
  <si>
    <t>Banking activity in Spain</t>
  </si>
  <si>
    <t>Non Core Real Estate</t>
  </si>
  <si>
    <t>EEUU</t>
  </si>
  <si>
    <t>USA</t>
  </si>
  <si>
    <t>México</t>
  </si>
  <si>
    <t>Mexico</t>
  </si>
  <si>
    <t xml:space="preserve">Turquía </t>
  </si>
  <si>
    <t xml:space="preserve">Turkey </t>
  </si>
  <si>
    <t xml:space="preserve">América del Sur </t>
  </si>
  <si>
    <t>South America</t>
  </si>
  <si>
    <t>Peru</t>
  </si>
  <si>
    <t>Resto de Eurasia</t>
  </si>
  <si>
    <t>Rest of Eurasia</t>
  </si>
  <si>
    <t>Centro Corporativo</t>
  </si>
  <si>
    <t xml:space="preserve">Corporate Center </t>
  </si>
  <si>
    <t>Información adicional:</t>
  </si>
  <si>
    <t>Additional information:</t>
  </si>
  <si>
    <t>Corporate &amp; Investment Banking</t>
  </si>
  <si>
    <t>Anexo:</t>
  </si>
  <si>
    <t>Annex:</t>
  </si>
  <si>
    <t>Eficiencia</t>
  </si>
  <si>
    <t>Efficiency</t>
  </si>
  <si>
    <t>Tasas de mora, cobertura y coste de riesgo</t>
  </si>
  <si>
    <t>NPL, coverage ratios and cost of risk</t>
  </si>
  <si>
    <t>Empleados, oficinas y cajeros automáticos</t>
  </si>
  <si>
    <t>Branches, employees and atm´s</t>
  </si>
  <si>
    <t>Tipos de cambio</t>
  </si>
  <si>
    <t>Exchange rates</t>
  </si>
  <si>
    <t>Diferenciales de la clientela</t>
  </si>
  <si>
    <t>Customer Spreads</t>
  </si>
  <si>
    <t>Activos ponderados por riesgo. Desglose por áreas de negocio y principales países</t>
  </si>
  <si>
    <t>Risk-weighted assets. Breakdown by business areas and main countries</t>
  </si>
  <si>
    <t>Desglose del crédito no dudoso en gestión</t>
  </si>
  <si>
    <t>Breakdown of performing loans under management</t>
  </si>
  <si>
    <t>Desglose de los recursos de clientes en gestión</t>
  </si>
  <si>
    <t>Breakdown of customer funds under management</t>
  </si>
  <si>
    <t xml:space="preserve">Cuenta de resultados  </t>
  </si>
  <si>
    <t xml:space="preserve">Income statement  </t>
  </si>
  <si>
    <t>(Millones de euros)</t>
  </si>
  <si>
    <t>(Million euros)</t>
  </si>
  <si>
    <t>Margen de intereses</t>
  </si>
  <si>
    <t>Net interest income</t>
  </si>
  <si>
    <t>Comisiones netas</t>
  </si>
  <si>
    <t>Net fees and commissions</t>
  </si>
  <si>
    <t>Resultados de operaciones financieras</t>
  </si>
  <si>
    <t>Net trading income</t>
  </si>
  <si>
    <t>Otros ingresos y cargas de explotación</t>
  </si>
  <si>
    <t>Other operating income and expenses</t>
  </si>
  <si>
    <t>Margen bruto</t>
  </si>
  <si>
    <t>Gross income</t>
  </si>
  <si>
    <t>Gastos de explotación</t>
  </si>
  <si>
    <t>Operating expenses</t>
  </si>
  <si>
    <t xml:space="preserve">  Gastos de administración</t>
  </si>
  <si>
    <t xml:space="preserve">  Administration expenses</t>
  </si>
  <si>
    <t xml:space="preserve">  Gastos de personal</t>
  </si>
  <si>
    <t xml:space="preserve">  Personnel expenses</t>
  </si>
  <si>
    <t xml:space="preserve">  Otros gastos de administración</t>
  </si>
  <si>
    <t xml:space="preserve">  General and administrative expenses</t>
  </si>
  <si>
    <t xml:space="preserve">  Amortización</t>
  </si>
  <si>
    <t xml:space="preserve">  Depreciation</t>
  </si>
  <si>
    <t>Margen neto</t>
  </si>
  <si>
    <t>Operating income</t>
  </si>
  <si>
    <t>Deterioro de activos financieros no valorados a valor razonable con cambios en resultados</t>
  </si>
  <si>
    <t>Impaiment on financial assets not measured at fair value through profit or loss</t>
  </si>
  <si>
    <t>Provisiones o reversión de provisiones y otros resultados</t>
  </si>
  <si>
    <t>Provisions or reversal of provisions and other results</t>
  </si>
  <si>
    <t>Resultado antes de impuestos</t>
  </si>
  <si>
    <t>Profit/(loss) before tax</t>
  </si>
  <si>
    <t>Impuesto sobre beneficios</t>
  </si>
  <si>
    <t>Income tax</t>
  </si>
  <si>
    <t>Resultado del ejercicio</t>
  </si>
  <si>
    <t>Profit/(loss) for the year</t>
  </si>
  <si>
    <t>Minoritarios</t>
  </si>
  <si>
    <t>Non-controlling interests</t>
  </si>
  <si>
    <t>Resultado atribuido</t>
  </si>
  <si>
    <t>Net attributable profit</t>
  </si>
  <si>
    <t>Balances</t>
  </si>
  <si>
    <t>Balance sheets</t>
  </si>
  <si>
    <t>Efectivo, saldos en efectivo en bancos centrales y otros depósitos a la vista</t>
  </si>
  <si>
    <t>Cash, cash balances at central banks and other demand deposits</t>
  </si>
  <si>
    <t>Activos financieros a valor razonable</t>
  </si>
  <si>
    <t xml:space="preserve">Financial assets designated at fair value </t>
  </si>
  <si>
    <t>Activos financieros a coste amortizado</t>
  </si>
  <si>
    <t>Financial assets at amortized cost</t>
  </si>
  <si>
    <t xml:space="preserve">    de los que préstamos y anticipos a la clientela</t>
  </si>
  <si>
    <t xml:space="preserve">    of which loans and advances to customers</t>
  </si>
  <si>
    <t>Activos tangibles</t>
  </si>
  <si>
    <t>Tangible assets</t>
  </si>
  <si>
    <t>Otros activos</t>
  </si>
  <si>
    <t>Other assets</t>
  </si>
  <si>
    <t>Total activo / pasivo</t>
  </si>
  <si>
    <t>Total assets / Liabilities and equity</t>
  </si>
  <si>
    <t>Pasivos financieros mantenidos para negociar y designados a valor razonable con cambios en resultados</t>
  </si>
  <si>
    <t>Financial liabilities held for trading and designated at fair value through profit or loss</t>
  </si>
  <si>
    <t>Depósitos de bancos centrales y entidades de crédito</t>
  </si>
  <si>
    <t>Deposits from central banks and credit institutions</t>
  </si>
  <si>
    <t>Depósitos de la clientela</t>
  </si>
  <si>
    <t>Deposits from customers</t>
  </si>
  <si>
    <t>Valores representativos de deuda emitidos</t>
  </si>
  <si>
    <t>Debt certificates</t>
  </si>
  <si>
    <t>Otros pasivos</t>
  </si>
  <si>
    <t>Other liabilities</t>
  </si>
  <si>
    <t>Dotación de capital económico</t>
  </si>
  <si>
    <t>Economic capital allocated</t>
  </si>
  <si>
    <t>Indicadores relevantes y de gestión</t>
  </si>
  <si>
    <t>Relevant business indicators</t>
  </si>
  <si>
    <t>Préstamos y anticipos a la clientela bruto (*)</t>
  </si>
  <si>
    <t>Loans and advances to customers (gross) (*)</t>
  </si>
  <si>
    <t>Depósitos de clientes en gestión (**)</t>
  </si>
  <si>
    <t>Customer deposits under management (*)</t>
  </si>
  <si>
    <t>Fondos de inversión</t>
  </si>
  <si>
    <t>Mutual funds</t>
  </si>
  <si>
    <t>Fondos de pensiones</t>
  </si>
  <si>
    <t>Pension funds</t>
  </si>
  <si>
    <t>Otros recursos fuera de balance</t>
  </si>
  <si>
    <t>Other off balance-sheet funds</t>
  </si>
  <si>
    <t>(*) No incluye las adquisiciones temporales de activos.</t>
  </si>
  <si>
    <t xml:space="preserve">(*) Excluding repos. </t>
  </si>
  <si>
    <t>(**) No incluye las cesiones temporales de activos.</t>
  </si>
  <si>
    <t>(Millones de euros constantes)</t>
  </si>
  <si>
    <t xml:space="preserve">(Constant million euros)    </t>
  </si>
  <si>
    <t>(Millones de pesos mexicanos)</t>
  </si>
  <si>
    <t>(Million Mexican pesos)</t>
  </si>
  <si>
    <t>(Millones de pesos colombianos)</t>
  </si>
  <si>
    <t>(Million Colombian pesos)</t>
  </si>
  <si>
    <t>(Millones de dolares)</t>
  </si>
  <si>
    <t>(Million dolars)</t>
  </si>
  <si>
    <t>(Millones de liras turcas)</t>
  </si>
  <si>
    <t>(Million Turkish liras)</t>
  </si>
  <si>
    <t>(Millones de pesos argentinos)</t>
  </si>
  <si>
    <t>(Million Argentinian pesos)</t>
  </si>
  <si>
    <t>(Millones de soles peruanos)</t>
  </si>
  <si>
    <t>(Million Peruvian soles)</t>
  </si>
  <si>
    <t>Venezuela</t>
  </si>
  <si>
    <t>(Millones de pesos chilenos)</t>
  </si>
  <si>
    <t>(Million Chilean pesos)</t>
  </si>
  <si>
    <t>Eficiencia (*)</t>
  </si>
  <si>
    <t>Efficiency (*)</t>
  </si>
  <si>
    <t>(*) Gastos de explotación / Margen bruto. Incluye amortizaciones</t>
  </si>
  <si>
    <t>(*) Operating expenses / Gross income. Including depreciation</t>
  </si>
  <si>
    <t>(Porcentaje)</t>
  </si>
  <si>
    <t>(Percentage)</t>
  </si>
  <si>
    <t>Tasa de mora</t>
  </si>
  <si>
    <t>NPL ratio</t>
  </si>
  <si>
    <t>Tasa de cobertura</t>
  </si>
  <si>
    <t>NPL coverage ratio</t>
  </si>
  <si>
    <t>Resto de América del Sur</t>
  </si>
  <si>
    <t>Resto of South América</t>
  </si>
  <si>
    <t>CRD IV fully-loaded</t>
  </si>
  <si>
    <t>Grupo BBVA. Cuentas de resultados consolidadas</t>
  </si>
  <si>
    <t xml:space="preserve">BBVA Group. Consolidated Income statement </t>
  </si>
  <si>
    <t>1Q</t>
  </si>
  <si>
    <t>2Q</t>
  </si>
  <si>
    <t>3Q</t>
  </si>
  <si>
    <t>4Q</t>
  </si>
  <si>
    <t>Ingresos por dividendos</t>
  </si>
  <si>
    <t>Dividend income</t>
  </si>
  <si>
    <t>Part. gananc/pdas inversiones en dependientes, neg conjunt y asoc</t>
  </si>
  <si>
    <t>Share of  profit/loss of invest. in subsidaries, joint ventures and associates</t>
  </si>
  <si>
    <t>Otros productos/cargas de explotación</t>
  </si>
  <si>
    <t>Other products and expenses</t>
  </si>
  <si>
    <t>Resultado después de impuestos de operaciones continuadas</t>
  </si>
  <si>
    <t>Result after continuing operation tax</t>
  </si>
  <si>
    <t>Resultado atribuido sin operaciones corporativas</t>
  </si>
  <si>
    <t xml:space="preserve">Attributable profit without corporate transactions </t>
  </si>
  <si>
    <t>Nota general: los datos de los trimestres estancos del 2018 se presentan como datos proforma que tienen la consideración de Medidas Alternativas de Rendimiento (MAR), recogiéndose íntegramente el efecto acumulado para reflejar el impacto derivado de la contabilización de la hiperinflación en Argentina entre el 1-1-2018 y el 30-9-2018 en el tercer trimestre del 2018, sin haberse reexpresado los datos mostrados en la tabla anterior del primer y segundo trimestre del 2018.</t>
  </si>
  <si>
    <t>General note: the data for the quarters of 2018 are presented as proforma data which are considered as Alternative Performance Measures (APM), the accumulated effect being fully collected to reflect the impact derived from the accounting for hyperinflation in Argentina between 1-1-2018 and the 30-9-2018 in the third quarter of 2018, without having been reexpressed the data shown in the previous table of the first and second quarter of 2018.</t>
  </si>
  <si>
    <t>(*) Incluye plusvalías netas de la venta de BBVA Chile.</t>
  </si>
  <si>
    <t>(*) Includes net capital gains  from the sale of BBVA Chile.</t>
  </si>
  <si>
    <t>Grupo BBVA. Balances de situación consolidados</t>
  </si>
  <si>
    <t>BBVA Group. Consolidated balance sheet</t>
  </si>
  <si>
    <t>Hipotecario</t>
  </si>
  <si>
    <t>Mortages</t>
  </si>
  <si>
    <t>Consumo</t>
  </si>
  <si>
    <t>Consumer</t>
  </si>
  <si>
    <t>Tarjetas de Crédito</t>
  </si>
  <si>
    <t>Credit Cards</t>
  </si>
  <si>
    <t>Sector público</t>
  </si>
  <si>
    <t>Public Sector</t>
  </si>
  <si>
    <t>Sociedades financieras y sociedades no financieras</t>
  </si>
  <si>
    <t>Financial and Non Financial Companies</t>
  </si>
  <si>
    <t>Pymes</t>
  </si>
  <si>
    <t>SMEs</t>
  </si>
  <si>
    <t>Others</t>
  </si>
  <si>
    <t>Crédito no dudoso en gestión (*)</t>
  </si>
  <si>
    <t>Performing Loans under management (*)</t>
  </si>
  <si>
    <t>Depósitos a la vista + Disponibles con preaviso</t>
  </si>
  <si>
    <t>Demand deposits</t>
  </si>
  <si>
    <t>Depósitos a plazo</t>
  </si>
  <si>
    <t>Time deposits</t>
  </si>
  <si>
    <t>Recursos fuera de balance (*)</t>
  </si>
  <si>
    <t>Off balance sheet funds (*)</t>
  </si>
  <si>
    <t>Vista+Plazo</t>
  </si>
  <si>
    <t>Demand + Time deposits</t>
  </si>
  <si>
    <t>(*) Incluye fondos de inversión, fondos de pensiones y otros recursos fuera de balance.</t>
  </si>
  <si>
    <t>Posiciones inter-áreas activo</t>
  </si>
  <si>
    <t>Inter-area positions</t>
  </si>
  <si>
    <t>Posiciones inter-áreas pasivo</t>
  </si>
  <si>
    <t>Oficinas</t>
  </si>
  <si>
    <t>Branches</t>
  </si>
  <si>
    <t>Empleados</t>
  </si>
  <si>
    <t>Employees</t>
  </si>
  <si>
    <t>Cajeros automáticos</t>
  </si>
  <si>
    <t>ATM´s</t>
  </si>
  <si>
    <t>Uruguay</t>
  </si>
  <si>
    <t>Paraguay</t>
  </si>
  <si>
    <t>Bolivia</t>
  </si>
  <si>
    <t>Cuba</t>
  </si>
  <si>
    <t>Brasil</t>
  </si>
  <si>
    <t>Activos financieros mantenidos para negociar</t>
  </si>
  <si>
    <t>Financial assets held for trading</t>
  </si>
  <si>
    <t>Activos financieros no destinados a negociación valorados obligatoriamente a valor razonable con cambios en resultados</t>
  </si>
  <si>
    <t>Non-trading financial assets mandatorily at fair value through profit or loss</t>
  </si>
  <si>
    <t>Activos financieros designados a valor razonable con cambios en resultados</t>
  </si>
  <si>
    <t>Financial assets designated at fair value through profit or loss</t>
  </si>
  <si>
    <t>Activos financieros designados a valor razonable con cambios en otro resultado global acumulado</t>
  </si>
  <si>
    <t>Financial assets at fair value through accumulated other comprehensive income</t>
  </si>
  <si>
    <t>. Préstamos y anticipos en bancos centrales  y entidades de crédito</t>
  </si>
  <si>
    <t xml:space="preserve">. Loans and advances to central banks and credit institutions </t>
  </si>
  <si>
    <t>. Préstamos y anticipos a la clientela</t>
  </si>
  <si>
    <t>. Loans and advances to customers</t>
  </si>
  <si>
    <t>. Valores representativos de deuda</t>
  </si>
  <si>
    <t>. Debt securities</t>
  </si>
  <si>
    <t>Inversiones mantenidas hasta el vencimiento</t>
  </si>
  <si>
    <t>Held-to-maturity investments</t>
  </si>
  <si>
    <t>Inversiones en negocios conjuntos y asociadas</t>
  </si>
  <si>
    <t>Investments in subsidiaries, joint ventures and associates</t>
  </si>
  <si>
    <t>Activos Intangibles</t>
  </si>
  <si>
    <t>Intangible assets</t>
  </si>
  <si>
    <t>Pasivos financieros designados a valor razonable con cambios en resultados</t>
  </si>
  <si>
    <t>Other financial liabilities designated at fair value through profit or loss</t>
  </si>
  <si>
    <t>Pasivos financieros a coste amortizado</t>
  </si>
  <si>
    <t>Financial liabilities at amortized cost</t>
  </si>
  <si>
    <t>. Otros pasivos financieros</t>
  </si>
  <si>
    <t>. Other financial liabilities</t>
  </si>
  <si>
    <t>Pasivos amparados por contratos de seguros o reaseguro</t>
  </si>
  <si>
    <t>Liabilities under insurance and reinsurance contracts</t>
  </si>
  <si>
    <t>Total pasivo</t>
  </si>
  <si>
    <t>Total liabilities</t>
  </si>
  <si>
    <t>Intereses minoritarios</t>
  </si>
  <si>
    <t>Otro resultado global acumulado</t>
  </si>
  <si>
    <t>Accumulated other comprehensive income</t>
  </si>
  <si>
    <t>Fondos propios</t>
  </si>
  <si>
    <t>Shareholders' funds</t>
  </si>
  <si>
    <t>Patrimonio neto</t>
  </si>
  <si>
    <t>Total equity</t>
  </si>
  <si>
    <t>Total patrimonio neto y pasivo</t>
  </si>
  <si>
    <t>Total equity and liabilities</t>
  </si>
  <si>
    <t>Peso mexicano</t>
  </si>
  <si>
    <t>Mexican peso</t>
  </si>
  <si>
    <t>Dólar estadounidense</t>
  </si>
  <si>
    <t>U.S. dollar</t>
  </si>
  <si>
    <t>Peso argentino</t>
  </si>
  <si>
    <t>Argentine peso</t>
  </si>
  <si>
    <t>Peso chileno</t>
  </si>
  <si>
    <t>Chilean peso</t>
  </si>
  <si>
    <t>Peso colombiano</t>
  </si>
  <si>
    <t>Colombian peso</t>
  </si>
  <si>
    <t>Sol peruano</t>
  </si>
  <si>
    <t>Peruvian sol</t>
  </si>
  <si>
    <t>Lira turca</t>
  </si>
  <si>
    <t>Turkish lira</t>
  </si>
  <si>
    <t>(*) Utilizados en el cálculo de euros constantes de los datos de balance y actividad</t>
  </si>
  <si>
    <t>(*) Used in the constant euros comparisons for the balance sheet and business activity</t>
  </si>
  <si>
    <t>(**) Utilizados en el cálculo de euros constantes de los datos de resultados</t>
  </si>
  <si>
    <t>(**) Used in the constant euros comparisons for the profit and loss</t>
  </si>
  <si>
    <t>(Expresados en divisa/euro)</t>
  </si>
  <si>
    <t>(Expressed in currency/euro)</t>
  </si>
  <si>
    <t>Cambios finales (*)</t>
  </si>
  <si>
    <t>Year-end exchange rates (*)</t>
  </si>
  <si>
    <t>Cambios medios (**)</t>
  </si>
  <si>
    <t>Average exchange rates (**)</t>
  </si>
  <si>
    <t>∆% sobre</t>
  </si>
  <si>
    <t>∆% on</t>
  </si>
  <si>
    <t>Diferenciales de la clientela (*)</t>
  </si>
  <si>
    <t>Customer Spreads (*)</t>
  </si>
  <si>
    <t>Estados Unidos (**)</t>
  </si>
  <si>
    <t>The United States (**)</t>
  </si>
  <si>
    <t>México pesos mexicanos</t>
  </si>
  <si>
    <t>Mexico MXN</t>
  </si>
  <si>
    <t>México moneda extranjera</t>
  </si>
  <si>
    <t>Mexico  FC (Foreing currency)</t>
  </si>
  <si>
    <t>Turquía liras turcas</t>
  </si>
  <si>
    <t>Turkey TRY</t>
  </si>
  <si>
    <t>Turquía moneda extranjera</t>
  </si>
  <si>
    <t>Turkey FC (Foreing currency)</t>
  </si>
  <si>
    <t>(*) Diferencia entre el rendimiento de los préstamos y el coste de los depósitos de los clientes.</t>
  </si>
  <si>
    <t>(*) Difference between lending yield on loans and cost of deposits from customers.</t>
  </si>
  <si>
    <t>(**)  Excluye la actividad en Nueva York.</t>
  </si>
  <si>
    <t>(**) Excluding New York Business Activity.</t>
  </si>
  <si>
    <t>Nota: Los diferenciales de la clientela han sido actualizados.</t>
  </si>
  <si>
    <t>Note: Customer spreads have been restated.</t>
  </si>
  <si>
    <t>Capital y Reservas</t>
  </si>
  <si>
    <t xml:space="preserve">Hogares - Prestamos Hipotecarios </t>
  </si>
  <si>
    <t>Hogares - Consumo</t>
  </si>
  <si>
    <t>Hogares - Tarjetas  de crédito</t>
  </si>
  <si>
    <t>Resto de Empresas</t>
  </si>
  <si>
    <t>Sector Público</t>
  </si>
  <si>
    <t>Tarjeta de Crédito</t>
  </si>
  <si>
    <t>Resto Minorista</t>
  </si>
  <si>
    <t>Total Cartera Vigente</t>
  </si>
  <si>
    <t>Resto Comercial</t>
  </si>
  <si>
    <t>Other Commercial</t>
  </si>
  <si>
    <t>Mexico (***)</t>
  </si>
  <si>
    <t xml:space="preserve">Criterio Local Contable(***) </t>
  </si>
  <si>
    <t xml:space="preserve">According to Local GAAP(***) </t>
  </si>
  <si>
    <t>Incluye fondos de inversión, fondos de pensiones y otros recursos fuera de balance.(*)</t>
  </si>
  <si>
    <t xml:space="preserve">Includes mutual funds, pension funds and other off-balance sheet funds. (*) </t>
  </si>
  <si>
    <t>No incluye las cesiones temporales de activos.  (**)</t>
  </si>
  <si>
    <t>Excluding repos  (**)</t>
  </si>
  <si>
    <t xml:space="preserve"> Recursos de clientes en gestión (**)</t>
  </si>
  <si>
    <t>Customer funds under management (**)</t>
  </si>
  <si>
    <t>Consumo  y tarjetas de Credito</t>
  </si>
  <si>
    <t>Consumer &amp; Credit Cards</t>
  </si>
  <si>
    <t>Negocios retail</t>
  </si>
  <si>
    <t>Empresas medianas</t>
  </si>
  <si>
    <t>Mid-size companies</t>
  </si>
  <si>
    <t>Corporativa + CIB</t>
  </si>
  <si>
    <t>Corporates + CIB</t>
  </si>
  <si>
    <t>Other</t>
  </si>
  <si>
    <t>Other Retail</t>
  </si>
  <si>
    <t>Resto Empresas</t>
  </si>
  <si>
    <t xml:space="preserve">Nota general: la aplicación de la contabilidad por hiperinflación en Argentina se realizó por primera vez en septiembre del 2018 con efectos contables 1 de enero del 2018, recogiéndose el impacto de los nueve meses en el tercer trimestre. Con el fin de que la información del 2019 sea comparable con la del 2018, se ha procedido a reexpresar el balance de situación de los tres primeros trimestres del 2018 para recoger los impactos de la inflación sobre los activos y pasivos del mismo. </t>
  </si>
  <si>
    <t>General note: the application of accounting for hyperinflation in Argentina was performed for the first time in September 2018 with accounting effects on January 1, 2018, recording the impact of the nine months in the third quarter. In order to make the 2019 information comparable to the 2018, the balance sheet of the first three quarters of 2018 has been reexpressed to reflect the impacts of inflation on its assets and liabilities.</t>
  </si>
  <si>
    <t>General note: the application of accounting for hyperinflation in Argentina was performed for the first time in September 2018 with accounting effects on January 1, 2018, recording the impact of the 9 months in the third quarter. In order to make the 2019 information comparable to the 2018, the income statements for the first three quarters of 2018 have been reexpressed to reflect the impacts of inflation on their income and expenses.</t>
  </si>
  <si>
    <t>(1) Incluye plusvalías netas de la venta de BBVA Chile.</t>
  </si>
  <si>
    <t>(1) Includes net capital gains  from the sale of BBVA Chile.</t>
  </si>
  <si>
    <t>(2) Ajustado por remuneración de instrumentos de capital de nivel 1 adicional.</t>
  </si>
  <si>
    <t>(2) Adjusted by additional Tier 1 instrument remuneration.</t>
  </si>
  <si>
    <t>Cuenta de resultados sin Chile</t>
  </si>
  <si>
    <t>Income statement w/o Chile</t>
  </si>
  <si>
    <t>Resultado de operaciones corporativas</t>
  </si>
  <si>
    <t>Result from corporate operations</t>
  </si>
  <si>
    <t>Grupo BBVA. Cuentas de resultados proforma (*)</t>
  </si>
  <si>
    <t>BBVA group. Consolidated income statements proforma (*)</t>
  </si>
  <si>
    <t>CRD IV fully loaded</t>
  </si>
  <si>
    <t>(*) No se incluye los resultados de los dos primeros trimestres del 2018 de BBVA Chile ni las plusvalías por su venta del tercer trimestre del 2018.</t>
  </si>
  <si>
    <t>(*) Not including BBVA Chile`s profit for the 2 first quarters of 2018 and net capital gains in 3Q 2018 of its sale .</t>
  </si>
  <si>
    <t>Very small business</t>
  </si>
  <si>
    <t>Cuentas de resultados consolidadas proforma</t>
  </si>
  <si>
    <t>Consolidated income statement proforma</t>
  </si>
  <si>
    <t>(*) Including BBVA Chile`s profit for the 2 first quarters of 2018 and net capital gains in 3Q 2018 of its sale .</t>
  </si>
  <si>
    <t>(*) Hay pequeñas diferencias en el 1T 2019 de APRs entre las Areas de Negocio por reclasificaciones hechas posteriores al cierre no habiendo variacíon ninguna en el total de los APRs.</t>
  </si>
  <si>
    <t>(*) There are slight differences in the RWAs of the Business Units in the 1st Q  2019 due to reclasifications. The total amount of BBVA RWAs did not change.</t>
  </si>
  <si>
    <t>Balance Euro</t>
  </si>
  <si>
    <t>Euro Balance</t>
  </si>
  <si>
    <t>Italia</t>
  </si>
  <si>
    <t>Italy</t>
  </si>
  <si>
    <t>Resto</t>
  </si>
  <si>
    <t>Rest</t>
  </si>
  <si>
    <t>Turquia</t>
  </si>
  <si>
    <t>Turkey</t>
  </si>
  <si>
    <t>Amércia del Sur</t>
  </si>
  <si>
    <t>Total Cartera COAP</t>
  </si>
  <si>
    <t>Total ALCO Portfolio</t>
  </si>
  <si>
    <t>Cartera COAP a Coste Amortizado</t>
  </si>
  <si>
    <t>ALCO Portfolio Hold to Collect</t>
  </si>
  <si>
    <t>Cartera COAP a Valor Razonable</t>
  </si>
  <si>
    <t>ALCO Portfolio Hold to Collect and Sell</t>
  </si>
  <si>
    <t>Carteras Coap</t>
  </si>
  <si>
    <t>ALCO Portfolio</t>
  </si>
  <si>
    <t>(*) Serie de datos revisada 18-19 debido a cambio de criterio en la contabilización de cajeros.</t>
  </si>
  <si>
    <t>(*) Reviewed data serie 18-19 due to a change in the amount criteria of ATMs</t>
  </si>
  <si>
    <t>(**) Reajuste del dato del 1T en 2T</t>
  </si>
  <si>
    <t>(**) Readjustment of 1Q19 in 2Q19</t>
  </si>
  <si>
    <t>EEUU (*)</t>
  </si>
  <si>
    <t>USA (*)</t>
  </si>
  <si>
    <t>Mexico (**)</t>
  </si>
  <si>
    <t>MARCA</t>
  </si>
  <si>
    <t>(*) Se incluyen los resultados de los dos primeros trimestres del 2018 de BBVA Chile y las plusvalías por su venta del tercer trimestre del 2018.</t>
  </si>
  <si>
    <t>Nota general: la aplicación de la contabilidad por hiperinflación en Argentina se realizó por primera vez en septiembre del 2018 con efectos contables 1 de enero del 2018, recogiéndose el impacto de los 9 meses en el tercer trimestre. Con el fin de que la información del 2019 sea comparable con la del 2018, se ha procedido a reexpresar las cuentas de resultados de los tres primeros trimestres del 2018 para recoger los impactos de la inflación sobre los ingresos y gastos de las mismas. Adicionalmente, durante el ejercicio 2019 se ha modificado la NIC 12 “Impuesto sobre las ganancias” con efectos contables 1 de enero del 2019. Por ello, y con el fin de que la información sea comparable, se ha procedido a reexpresar la información trimestral de las cuentas de resultados del 2018 y del 2019.</t>
  </si>
  <si>
    <t>Provisiones o reversión de provisiones</t>
  </si>
  <si>
    <t>Provisions or reversal of provisions</t>
  </si>
  <si>
    <t>Otros resultados</t>
  </si>
  <si>
    <t>Other results</t>
  </si>
  <si>
    <t>Resultado atribuido sin el deterioro del fondo de comercio de Estados Unidos y sin BBVA Chile (*)</t>
  </si>
  <si>
    <t>Net attributable profit excluding the goodwill impairment in the United States and BBVA Chile (*)</t>
  </si>
  <si>
    <t>Resultado Atribuido (*)</t>
  </si>
  <si>
    <t>Net attributable profit (*)</t>
  </si>
  <si>
    <t>(*) Resultados generados por BBVA Chile hasta su venta el 6 de julio del 2018 y las plusvalías de la operación</t>
  </si>
  <si>
    <t>(*) BBVA Chile recurrent profit until the sale as of 6 July, 2018 and the capital gains of the operation</t>
  </si>
  <si>
    <t>(*)No incluye Resultados generados por BBVA Chile hasta su venta el 6 de julio del 2018 ni las plusvalías de la operación, tampoco el deterioro del fondo de comercio de Estados Unidos.</t>
  </si>
  <si>
    <t>(*) Not including BBVA Chile recurrent profit until the sale as of 6 July 2018 and and the capital gains of the operation neither the goodwill impairment in the United States</t>
  </si>
  <si>
    <t>Nota general: la aplicación de la contabilidad por hiperinflación en Argentina se realizó por primera vez en septiembre del 2018 con efectos contables 1 de enero del 2018, recogiéndose el impacto de los 9 meses en el tercer trimestre. Adicionalmente, durante el ejercicio 2019 se ha modificado la NIC 12 “Impuesto sobre las ganancias” con efectos contables 1 de enero del 2019. Por ello, y con el fin de que la información sea comparable, se ha procedido a reexpresar la información trimestral de las cuentas de resultados del 2018 y del 2019</t>
  </si>
  <si>
    <t>General note: the application of accounting for hyperinflation in Argentina was done  for the first time in September 2018 with accounting effects from  January 1, 2018, recording the impact of the 9 months in the third quarter. In addition, during 2019 an amendment to IAS 12 "Income Taxes" was introduced with accounting effects from  January 1, 2019. Therefore, in  order to make the information comparable, the quarterly income statements for 2019 and 2018 have been restated .</t>
  </si>
  <si>
    <t>Resultado atribuido sin BBVA Chile (*)</t>
  </si>
  <si>
    <t>Net Atributable Profit ex BBVA Chile (*)</t>
  </si>
  <si>
    <t>(*) Net capital gains of BBVA Chile sale on the 3rd Q of 2018.</t>
  </si>
  <si>
    <t>Coste del riesgo acumulado</t>
  </si>
  <si>
    <t>Cost of risk YTD</t>
  </si>
  <si>
    <t>-</t>
  </si>
  <si>
    <t>Cost of deposits</t>
  </si>
  <si>
    <t>Rentabilidad de los prestamos</t>
  </si>
  <si>
    <t>Coste de los depositos</t>
  </si>
  <si>
    <t>Lending Yield</t>
  </si>
  <si>
    <t>Series trimestrales 2019-2020</t>
  </si>
  <si>
    <t>Quarterly series 2019-2020</t>
  </si>
  <si>
    <t>Resultado atribuido sin el deterioro del fondo de comercio de Estados Unidos (*)</t>
  </si>
  <si>
    <t>Net attributable profit excluding the goodwill impairment in the United States (*)</t>
  </si>
  <si>
    <t>(1)</t>
  </si>
  <si>
    <t xml:space="preserve">Nota general: como consecuencia de una interpretación emitida por el IFRIC (International Financial Reporting Standards Interpretations Committee) relativa al cobro de intereses de fallidos en el marco de la NIIF 9, dichos cobros se presentan como menor saneamiento crediticio y no como un mayor ingreso por intereses, método de reconocimiento aplicado hasta diciembre de 2019. Por ello, y con el fin de que la información sea comparable, se ha procedido a reexpresar la información de la cuenta de resultados del primer semestre de 2019. </t>
  </si>
  <si>
    <t>#NoAccess</t>
  </si>
  <si>
    <t>(*) Plusvalías por la venta de BBVA Chile del tercer trimestre de 2018.</t>
  </si>
  <si>
    <t>General note: as a result of the interpretation issued by the International Financial Reporting Standards Interpretations Committee (IFRIC) regarding the collecting of interests of written-off financial assets for the purpose of IFRS 9, those collections are presented as reduction of the credit allowances and not as a higher interest income, recognition method applied until December 2019. Therefore, and in order to make the information comparable, the first six months information of the 2019 income statements has been restated.</t>
  </si>
  <si>
    <t>Operaciones Corporativas (1)</t>
  </si>
  <si>
    <t>Corporate Operations (1)</t>
  </si>
  <si>
    <t>Resultado después de impuestos</t>
  </si>
  <si>
    <t>Result after Tax</t>
  </si>
  <si>
    <t>(1) Incluye el resultado neto de impuestos por la venta a Allianz de la mitad más una acción de la sociedad constituida para impulsar de forma conjunta el negocio de seguros de no vida en España, excluyendo el ramo de salud.</t>
  </si>
  <si>
    <t>(1) Include the net capital gain from the sale to Allianz the half plus one share of the company created to jointly develop the non-life insurance business in Spain, excluding the health insurance line.</t>
  </si>
  <si>
    <t>Resultado atribuido sin el deterioro del fondo de comercio de Estados Unidos y sin operaciones corporativas</t>
  </si>
  <si>
    <t>Net attributable profit/(loss) excluding the goodwill impairment in the United States and corporate operations</t>
  </si>
  <si>
    <t>Resto de Negocios</t>
  </si>
  <si>
    <t>Rest of Business</t>
  </si>
  <si>
    <t>Nota general: cifras sin considerar la clasificación de BBVA Paraguay como Activos y Pasivos No corrientes en Venta a 31-12-2020 y 31-12-2019 y a 31-12-2020 BBVA USA y el resto de sociedades del Grupo en Estados Unidos incluidas en el acuerdo de venta suscrito con PNC.</t>
  </si>
  <si>
    <t>General note: figures without considering the classification of BBVA Paraguay as Non-current Assets and Liabilities Held for Sale as of 31-12-2020 and 31-12-2019 and BBVA USA and the rest of Group's companies in the United States included in the sale agreement signed with PNC as Non-current Assets and Liabilities Held For Sale as of 31-12-2020.</t>
  </si>
  <si>
    <t>Sociedades de la filial de Estados Unidos excluidas del acuerdo de venta</t>
  </si>
  <si>
    <t>Companies excluded from the sale agreement of the BBVA subsidiary in the United States</t>
  </si>
  <si>
    <t>Starting in 1Q21, for management reporting purposes, the US Business sold to PNC will be shown as one Balance Sheet and one P&amp;L heading, in line with the accounting reclassification to Non Current Asset Available for sale which took place in 4Q20. For informational purposes, we are providing below an aggregation of the CIB business in the US that is not included in the agreement with PNC and the information currently reported as Rest of Eurasia.</t>
  </si>
  <si>
    <t>Starting in 1Q21, for management reporting purposes, the US Business sold to PNC will be shown as one Balance Sheet and one P&amp;L heading, in line with the accounting reclassification to Non Current Asset Available for sale which took place in 4Q20. As a result, for informational purposes, you can find below an aggregation of the Corporate Center and all the other US businesses that are not included in the agreement with PNC and have not been added to the Rest of Eurasia in the previous page. </t>
  </si>
  <si>
    <t>A partir del 1T21, a efectos de información de gestión, el negocio de EE.UU. vendido a PNC se mostrará como una rúbrica del balance y de la cuenta de resultados, en línea con la reclasificación contable a "Activo no corriente disponible para la venta" que tuvo lugar en el 4T20. En consecuencia, se presenta a continuación a efectos informativos una agregación del Centro Corporativo y de todos los demás negocios de EE.UU. que no están incluidos en el acuerdo con PNC y que no han sido agregados al Resto de Eurasia en la página anterior.</t>
  </si>
  <si>
    <t>For informational purposes, we are providing below 8 quarters of historical information of the perimeter currently reported as USA that will remain with BBVA once the announced agreement with PNC has been closed.   </t>
  </si>
  <si>
    <t>A efectos informativos, facilitamos a continuación 8 trimestres de información histórica del perímetro actualmente reportado como EE.UU. que permanecerá en BBVA una vez cerrado el acuerdo anunciado con PNC. </t>
  </si>
  <si>
    <t>Corporate Center (for rest of business)</t>
  </si>
  <si>
    <t>Centro Corporativo (para resto de negocios)</t>
  </si>
  <si>
    <r>
      <rPr>
        <sz val="8"/>
        <color indexed="56"/>
        <rFont val="Calibri"/>
        <family val="2"/>
      </rPr>
      <t>(1)</t>
    </r>
    <r>
      <rPr>
        <sz val="11"/>
        <color theme="1"/>
        <rFont val="Calibri"/>
        <family val="2"/>
      </rPr>
      <t xml:space="preserve"> En aplicación de la NIC 29 "Información en economías hiperinflacionarias", la conversión de la cuenta de resultados de Argentina se hace empleando el tipo de cambio final.</t>
    </r>
  </si>
  <si>
    <r>
      <rPr>
        <sz val="8"/>
        <color indexed="56"/>
        <rFont val="Calibri"/>
        <family val="2"/>
      </rPr>
      <t>(1)</t>
    </r>
    <r>
      <rPr>
        <sz val="11"/>
        <color theme="1"/>
        <rFont val="Calibri"/>
        <family val="2"/>
      </rPr>
      <t xml:space="preserve"> According to IAS 29 "Financial information in hyperinflationary economies", the year-end exchange rate is used for the conversion of the Argentina income statement. </t>
    </r>
  </si>
  <si>
    <t>Nuevo Holding</t>
  </si>
  <si>
    <t>New Holding</t>
  </si>
  <si>
    <t>A partir del 1T21, a efectos de información de gestión, el negocio de EE.UU. vendido a PNC se mostrará como una rúbrica del balance y de la cuenta de resultados, en línea con la reclasificación contable a "Activo no corriente disponible para la venta" que tuvo lugar en el 4T20. A efectos informativos, ofrecemos a continuación una agregación del negocio de CIB en EE.UU. que no está incluido en el acuerdo con PNC y la información que se presenta actualmente como Resto de Eurasia.,</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</si>
</sst>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0.0"/>
    <numFmt numFmtId="166" formatCode="#,##0.000"/>
    <numFmt numFmtId="167" formatCode="0.0%"/>
    <numFmt numFmtId="168" formatCode="#,##0.0000"/>
    <numFmt numFmtId="169" formatCode="dd\-mm\-yy;@"/>
    <numFmt numFmtId="170" formatCode="_-* #,##0\ _P_t_s_-;\-* #,##0\ _P_t_s_-;_-* &quot;-&quot;??\ _P_t_s_-;_-@_-"/>
    <numFmt numFmtId="171" formatCode="#,##0.0"/>
    <numFmt numFmtId="172" formatCode="0.000%"/>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119">
    <font>
      <sz val="11"/>
      <color theme="1"/>
      <name val="Calibri"/>
      <family val="2"/>
    </font>
    <font>
      <sz val="11"/>
      <color indexed="8"/>
      <name val="Calibri"/>
      <family val="2"/>
    </font>
    <font>
      <sz val="10"/>
      <name val="Lucida Sans Unicode"/>
      <family val="2"/>
    </font>
    <font>
      <vertAlign val="superscript"/>
      <sz val="10"/>
      <name val="Stag Sans Medium"/>
      <family val="2"/>
    </font>
    <font>
      <vertAlign val="superscript"/>
      <sz val="10"/>
      <name val="BBVA Office Book"/>
      <family val="2"/>
    </font>
    <font>
      <vertAlign val="superscript"/>
      <sz val="20"/>
      <name val="BBVA Office Book"/>
      <family val="2"/>
    </font>
    <font>
      <sz val="10"/>
      <name val="Arial"/>
      <family val="2"/>
    </font>
    <font>
      <vertAlign val="superscript"/>
      <sz val="10"/>
      <color indexed="21"/>
      <name val="Stag Sans Medium"/>
      <family val="2"/>
    </font>
    <font>
      <vertAlign val="superscript"/>
      <sz val="22"/>
      <color indexed="21"/>
      <name val="Stag Sans Medium"/>
      <family val="2"/>
    </font>
    <font>
      <b/>
      <sz val="16"/>
      <name val="BBVA Office Book"/>
      <family val="2"/>
    </font>
    <font>
      <vertAlign val="superscript"/>
      <sz val="10"/>
      <color indexed="9"/>
      <name val="Stag Sans Medium"/>
      <family val="2"/>
    </font>
    <font>
      <vertAlign val="superscript"/>
      <sz val="10"/>
      <color indexed="58"/>
      <name val="Stag Sans Medium"/>
      <family val="2"/>
    </font>
    <font>
      <vertAlign val="superscript"/>
      <sz val="10"/>
      <color indexed="58"/>
      <name val="BBVA Office Book"/>
      <family val="2"/>
    </font>
    <font>
      <vertAlign val="superscript"/>
      <sz val="20"/>
      <name val="Stag Sans Medium"/>
      <family val="2"/>
    </font>
    <font>
      <sz val="14"/>
      <name val="BBVA Office Book"/>
      <family val="2"/>
    </font>
    <font>
      <sz val="10"/>
      <name val="BBVA Office Book"/>
      <family val="2"/>
    </font>
    <font>
      <b/>
      <sz val="10"/>
      <name val="BBVA Office Book"/>
      <family val="2"/>
    </font>
    <font>
      <sz val="8"/>
      <name val="BBVA Office Book"/>
      <family val="2"/>
    </font>
    <font>
      <i/>
      <sz val="10"/>
      <name val="BBVA Office Book"/>
      <family val="2"/>
    </font>
    <font>
      <sz val="10"/>
      <color indexed="18"/>
      <name val="Tahoma"/>
      <family val="2"/>
    </font>
    <font>
      <sz val="10"/>
      <name val="Tahoma"/>
      <family val="2"/>
    </font>
    <font>
      <sz val="9"/>
      <name val="BBVA Office Book"/>
      <family val="2"/>
    </font>
    <font>
      <b/>
      <sz val="10"/>
      <name val="Arial"/>
      <family val="2"/>
    </font>
    <font>
      <sz val="10"/>
      <color indexed="18"/>
      <name val="Arial"/>
      <family val="2"/>
    </font>
    <font>
      <sz val="12"/>
      <name val="BBVA Office Book"/>
      <family val="2"/>
    </font>
    <font>
      <sz val="11"/>
      <name val="BBVA Office Book"/>
      <family val="2"/>
    </font>
    <font>
      <sz val="10"/>
      <name val="Baskerville BE Regular"/>
      <family val="0"/>
    </font>
    <font>
      <sz val="8"/>
      <name val="Arial"/>
      <family val="2"/>
    </font>
    <font>
      <sz val="8"/>
      <name val="Tahoma"/>
      <family val="2"/>
    </font>
    <font>
      <sz val="11"/>
      <name val="Lucida Sans Unicode"/>
      <family val="2"/>
    </font>
    <font>
      <sz val="8"/>
      <color indexed="56"/>
      <name val="Calibri"/>
      <family val="2"/>
    </font>
    <font>
      <sz val="11"/>
      <color indexed="56"/>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30"/>
      <name val="Calibri"/>
      <family val="2"/>
    </font>
    <font>
      <b/>
      <sz val="11"/>
      <color indexed="30"/>
      <name val="Calibri"/>
      <family val="2"/>
    </font>
    <font>
      <sz val="11"/>
      <color indexed="62"/>
      <name val="Calibri"/>
      <family val="2"/>
    </font>
    <font>
      <u val="single"/>
      <sz val="11"/>
      <color indexed="56"/>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30"/>
      <name val="Cambria"/>
      <family val="2"/>
    </font>
    <font>
      <b/>
      <sz val="13"/>
      <color indexed="30"/>
      <name val="Calibri"/>
      <family val="2"/>
    </font>
    <font>
      <b/>
      <sz val="11"/>
      <color indexed="56"/>
      <name val="Calibri"/>
      <family val="2"/>
    </font>
    <font>
      <vertAlign val="superscript"/>
      <sz val="26"/>
      <color indexed="40"/>
      <name val="BBVA Office Book"/>
      <family val="2"/>
    </font>
    <font>
      <vertAlign val="superscript"/>
      <sz val="22"/>
      <color indexed="9"/>
      <name val="BBVA Office Book"/>
      <family val="2"/>
    </font>
    <font>
      <sz val="14"/>
      <color indexed="56"/>
      <name val="BBVA Office Book"/>
      <family val="2"/>
    </font>
    <font>
      <sz val="14"/>
      <color indexed="40"/>
      <name val="BBVA Office Book"/>
      <family val="2"/>
    </font>
    <font>
      <sz val="10"/>
      <color indexed="40"/>
      <name val="BBVA Office Book"/>
      <family val="2"/>
    </font>
    <font>
      <sz val="10"/>
      <color indexed="49"/>
      <name val="BBVA Office Book"/>
      <family val="2"/>
    </font>
    <font>
      <sz val="11"/>
      <color indexed="30"/>
      <name val="BBVA Office Book"/>
      <family val="2"/>
    </font>
    <font>
      <b/>
      <sz val="10"/>
      <color indexed="9"/>
      <name val="BBVA Office Book"/>
      <family val="2"/>
    </font>
    <font>
      <sz val="10"/>
      <color indexed="9"/>
      <name val="BBVA Office Book"/>
      <family val="2"/>
    </font>
    <font>
      <sz val="8"/>
      <color indexed="9"/>
      <name val="BBVA Office Book"/>
      <family val="2"/>
    </font>
    <font>
      <sz val="10"/>
      <color indexed="48"/>
      <name val="Arial"/>
      <family val="2"/>
    </font>
    <font>
      <b/>
      <sz val="16"/>
      <color indexed="40"/>
      <name val="BBVA Office Book"/>
      <family val="2"/>
    </font>
    <font>
      <sz val="10"/>
      <color indexed="30"/>
      <name val="BBVA Office Book"/>
      <family val="2"/>
    </font>
    <font>
      <sz val="16"/>
      <color indexed="40"/>
      <name val="BBVA Office Book"/>
      <family val="2"/>
    </font>
    <font>
      <sz val="10"/>
      <color indexed="10"/>
      <name val="Arial"/>
      <family val="2"/>
    </font>
    <font>
      <sz val="11"/>
      <color indexed="40"/>
      <name val="BBVA Office Book"/>
      <family val="2"/>
    </font>
    <font>
      <sz val="11"/>
      <color indexed="9"/>
      <name val="BBVA Office Book"/>
      <family val="2"/>
    </font>
    <font>
      <sz val="11"/>
      <color indexed="30"/>
      <name val="Calibri"/>
      <family val="2"/>
    </font>
    <font>
      <sz val="16"/>
      <color indexed="56"/>
      <name val="BBVA Office Book"/>
      <family val="2"/>
    </font>
    <font>
      <sz val="12"/>
      <color indexed="56"/>
      <name val="BBVA Office Book"/>
      <family val="2"/>
    </font>
    <font>
      <sz val="12"/>
      <color indexed="30"/>
      <name val="BBVA Office Book"/>
      <family val="2"/>
    </font>
    <font>
      <sz val="11"/>
      <name val="Calibri"/>
      <family val="2"/>
    </font>
    <font>
      <sz val="8"/>
      <color indexed="9"/>
      <name val="Calibri"/>
      <family val="2"/>
    </font>
    <font>
      <i/>
      <sz val="14"/>
      <color indexed="56"/>
      <name val="BBVA Office Book"/>
      <family val="2"/>
    </font>
    <font>
      <i/>
      <sz val="11"/>
      <color indexed="56"/>
      <name val="Calibri"/>
      <family val="2"/>
    </font>
    <font>
      <b/>
      <sz val="9"/>
      <color indexed="10"/>
      <name val="BBVA Office Book"/>
      <family val="2"/>
    </font>
    <font>
      <sz val="2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vertAlign val="superscript"/>
      <sz val="26"/>
      <color theme="1" tint="0.34999001026153564"/>
      <name val="BBVA Office Book"/>
      <family val="2"/>
    </font>
    <font>
      <vertAlign val="superscript"/>
      <sz val="22"/>
      <color theme="0"/>
      <name val="BBVA Office Book"/>
      <family val="2"/>
    </font>
    <font>
      <sz val="14"/>
      <color theme="1"/>
      <name val="BBVA Office Book"/>
      <family val="2"/>
    </font>
    <font>
      <sz val="14"/>
      <color theme="1" tint="0.34999001026153564"/>
      <name val="BBVA Office Book"/>
      <family val="2"/>
    </font>
    <font>
      <sz val="10"/>
      <color theme="1" tint="0.34999001026153564"/>
      <name val="BBVA Office Book"/>
      <family val="2"/>
    </font>
    <font>
      <sz val="10"/>
      <color theme="4"/>
      <name val="BBVA Office Book"/>
      <family val="2"/>
    </font>
    <font>
      <sz val="11"/>
      <color theme="3"/>
      <name val="BBVA Office Book"/>
      <family val="2"/>
    </font>
    <font>
      <b/>
      <sz val="10"/>
      <color theme="0"/>
      <name val="BBVA Office Book"/>
      <family val="2"/>
    </font>
    <font>
      <sz val="10"/>
      <color theme="0"/>
      <name val="BBVA Office Book"/>
      <family val="2"/>
    </font>
    <font>
      <sz val="8"/>
      <color theme="0"/>
      <name val="BBVA Office Book"/>
      <family val="2"/>
    </font>
    <font>
      <sz val="10"/>
      <color theme="5"/>
      <name val="Arial"/>
      <family val="2"/>
    </font>
    <font>
      <b/>
      <sz val="16"/>
      <color theme="1" tint="0.34999001026153564"/>
      <name val="BBVA Office Book"/>
      <family val="2"/>
    </font>
    <font>
      <sz val="10"/>
      <color theme="3"/>
      <name val="BBVA Office Book"/>
      <family val="2"/>
    </font>
    <font>
      <sz val="16"/>
      <color theme="1" tint="0.34999001026153564"/>
      <name val="BBVA Office Book"/>
      <family val="2"/>
    </font>
    <font>
      <sz val="10"/>
      <color rgb="FFFF0000"/>
      <name val="Arial"/>
      <family val="2"/>
    </font>
    <font>
      <sz val="11"/>
      <color theme="1" tint="0.34999001026153564"/>
      <name val="BBVA Office Book"/>
      <family val="2"/>
    </font>
    <font>
      <sz val="11"/>
      <color theme="0"/>
      <name val="BBVA Office Book"/>
      <family val="2"/>
    </font>
    <font>
      <sz val="11"/>
      <color theme="3"/>
      <name val="Calibri"/>
      <family val="2"/>
    </font>
    <font>
      <sz val="16"/>
      <color theme="1"/>
      <name val="BBVA Office Book"/>
      <family val="2"/>
    </font>
    <font>
      <sz val="12"/>
      <color rgb="FF002060"/>
      <name val="BBVA Office Book"/>
      <family val="2"/>
    </font>
    <font>
      <sz val="12"/>
      <color theme="3"/>
      <name val="BBVA Office Book"/>
      <family val="2"/>
    </font>
    <font>
      <sz val="8"/>
      <color theme="0"/>
      <name val="Calibri"/>
      <family val="2"/>
    </font>
    <font>
      <i/>
      <sz val="14"/>
      <color theme="1"/>
      <name val="BBVA Office Book"/>
      <family val="2"/>
    </font>
    <font>
      <i/>
      <sz val="11"/>
      <color theme="1"/>
      <name val="Calibri"/>
      <family val="2"/>
    </font>
    <font>
      <b/>
      <sz val="9"/>
      <color rgb="FFFF0000"/>
      <name val="BBVA Office Book"/>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bgColor indexed="64"/>
      </patternFill>
    </fill>
    <fill>
      <patternFill patternType="solid">
        <fgColor theme="2" tint="0.8999900221824646"/>
        <bgColor indexed="64"/>
      </patternFill>
    </fill>
    <fill>
      <patternFill patternType="solid">
        <fgColor theme="0"/>
        <bgColor indexed="64"/>
      </patternFill>
    </fill>
    <fill>
      <patternFill patternType="solid">
        <fgColor rgb="FFA7CFED"/>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right/>
      <top/>
      <bottom style="thin"/>
    </border>
    <border>
      <left/>
      <right style="thin"/>
      <top style="thin"/>
      <bottom/>
    </border>
    <border>
      <left style="thin"/>
      <right/>
      <top/>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0" applyNumberFormat="0" applyBorder="0" applyAlignment="0" applyProtection="0"/>
    <xf numFmtId="0" fontId="78" fillId="21" borderId="1" applyNumberFormat="0" applyAlignment="0" applyProtection="0"/>
    <xf numFmtId="0" fontId="79" fillId="22" borderId="2" applyNumberFormat="0" applyAlignment="0" applyProtection="0"/>
    <xf numFmtId="0" fontId="80" fillId="0" borderId="3" applyNumberFormat="0" applyFill="0" applyAlignment="0" applyProtection="0"/>
    <xf numFmtId="0" fontId="81" fillId="0" borderId="4" applyNumberFormat="0" applyFill="0" applyAlignment="0" applyProtection="0"/>
    <xf numFmtId="0" fontId="82" fillId="0" borderId="0" applyNumberFormat="0" applyFill="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83" fillId="29" borderId="1"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7" fillId="31" borderId="0" applyNumberFormat="0" applyBorder="0" applyAlignment="0" applyProtection="0"/>
    <xf numFmtId="0" fontId="6" fillId="0" borderId="0">
      <alignment/>
      <protection/>
    </xf>
    <xf numFmtId="0" fontId="6" fillId="0" borderId="0">
      <alignment/>
      <protection/>
    </xf>
    <xf numFmtId="3" fontId="6" fillId="0" borderId="0">
      <alignment/>
      <protection/>
    </xf>
    <xf numFmtId="0" fontId="0" fillId="0" borderId="0">
      <alignment/>
      <protection/>
    </xf>
    <xf numFmtId="0" fontId="2" fillId="0" borderId="0">
      <alignment/>
      <protection/>
    </xf>
    <xf numFmtId="0" fontId="2" fillId="0" borderId="0">
      <alignment/>
      <protection/>
    </xf>
    <xf numFmtId="0" fontId="6" fillId="0" borderId="0">
      <alignment/>
      <protection/>
    </xf>
    <xf numFmtId="0" fontId="26" fillId="0" borderId="0">
      <alignment/>
      <protection/>
    </xf>
    <xf numFmtId="0" fontId="0" fillId="32" borderId="5"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8" fillId="21" borderId="6"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7" applyNumberFormat="0" applyFill="0" applyAlignment="0" applyProtection="0"/>
    <xf numFmtId="0" fontId="82" fillId="0" borderId="8" applyNumberFormat="0" applyFill="0" applyAlignment="0" applyProtection="0"/>
    <xf numFmtId="0" fontId="93" fillId="0" borderId="9" applyNumberFormat="0" applyFill="0" applyAlignment="0" applyProtection="0"/>
  </cellStyleXfs>
  <cellXfs count="318">
    <xf numFmtId="0" fontId="0" fillId="0" borderId="0" xfId="0" applyFont="1" applyAlignment="1">
      <alignment/>
    </xf>
    <xf numFmtId="0" fontId="3" fillId="0" borderId="0" xfId="58" applyFont="1">
      <alignment/>
      <protection/>
    </xf>
    <xf numFmtId="0" fontId="4" fillId="0" borderId="0" xfId="58" applyFont="1">
      <alignment/>
      <protection/>
    </xf>
    <xf numFmtId="0" fontId="5" fillId="0" borderId="0" xfId="58" applyFont="1">
      <alignment/>
      <protection/>
    </xf>
    <xf numFmtId="0" fontId="94" fillId="33" borderId="0" xfId="55" applyFont="1" applyFill="1" applyAlignment="1" applyProtection="1">
      <alignment horizontal="center" vertical="top"/>
      <protection hidden="1"/>
    </xf>
    <xf numFmtId="0" fontId="7" fillId="0" borderId="0" xfId="58" applyFont="1" applyProtection="1">
      <alignment/>
      <protection locked="0"/>
    </xf>
    <xf numFmtId="0" fontId="8" fillId="0" borderId="0" xfId="55" applyFont="1" applyFill="1" applyAlignment="1" applyProtection="1">
      <alignment horizontal="left" indent="4"/>
      <protection hidden="1"/>
    </xf>
    <xf numFmtId="0" fontId="95" fillId="34" borderId="0" xfId="55" applyFont="1" applyFill="1" applyAlignment="1" applyProtection="1">
      <alignment horizontal="left" vertical="top"/>
      <protection hidden="1"/>
    </xf>
    <xf numFmtId="0" fontId="9" fillId="0" borderId="0" xfId="55" applyFont="1">
      <alignment/>
      <protection/>
    </xf>
    <xf numFmtId="0" fontId="3" fillId="0" borderId="0" xfId="58" applyFont="1" applyProtection="1">
      <alignment/>
      <protection hidden="1"/>
    </xf>
    <xf numFmtId="0" fontId="96" fillId="8" borderId="0" xfId="0" applyFont="1" applyFill="1" applyAlignment="1">
      <alignment/>
    </xf>
    <xf numFmtId="0" fontId="4" fillId="0" borderId="0" xfId="58" applyFont="1" quotePrefix="1">
      <alignment/>
      <protection/>
    </xf>
    <xf numFmtId="0" fontId="10" fillId="0" borderId="0" xfId="58" applyFont="1" quotePrefix="1">
      <alignment/>
      <protection/>
    </xf>
    <xf numFmtId="0" fontId="3" fillId="0" borderId="0" xfId="58" applyFont="1" applyProtection="1" quotePrefix="1">
      <alignment/>
      <protection hidden="1"/>
    </xf>
    <xf numFmtId="0" fontId="4" fillId="0" borderId="0" xfId="58" applyFont="1" applyFill="1">
      <alignment/>
      <protection/>
    </xf>
    <xf numFmtId="0" fontId="3" fillId="0" borderId="0" xfId="58" applyFont="1" applyFill="1" applyProtection="1">
      <alignment/>
      <protection hidden="1"/>
    </xf>
    <xf numFmtId="0" fontId="3" fillId="0" borderId="0" xfId="58" applyFont="1" applyFill="1">
      <alignment/>
      <protection/>
    </xf>
    <xf numFmtId="0" fontId="3" fillId="0" borderId="0" xfId="58" applyFont="1" applyAlignment="1">
      <alignment horizontal="left" indent="5"/>
      <protection/>
    </xf>
    <xf numFmtId="0" fontId="3" fillId="0" borderId="0" xfId="58" applyFont="1" applyFill="1" applyAlignment="1">
      <alignment horizontal="left" indent="5"/>
      <protection/>
    </xf>
    <xf numFmtId="0" fontId="4" fillId="0" borderId="0" xfId="58" applyFont="1" applyFill="1" applyAlignment="1">
      <alignment horizontal="left" indent="5"/>
      <protection/>
    </xf>
    <xf numFmtId="0" fontId="3" fillId="0" borderId="0" xfId="58" applyFont="1" applyAlignment="1">
      <alignment horizontal="center"/>
      <protection/>
    </xf>
    <xf numFmtId="0" fontId="3" fillId="0" borderId="0" xfId="58" applyFont="1" applyAlignment="1" applyProtection="1">
      <alignment horizontal="left" indent="5"/>
      <protection hidden="1"/>
    </xf>
    <xf numFmtId="0" fontId="4" fillId="0" borderId="0" xfId="58" applyFont="1" applyAlignment="1">
      <alignment horizontal="left" indent="5"/>
      <protection/>
    </xf>
    <xf numFmtId="0" fontId="5" fillId="0" borderId="0" xfId="58" applyFont="1" applyAlignment="1">
      <alignment horizontal="left" vertical="top"/>
      <protection/>
    </xf>
    <xf numFmtId="0" fontId="11" fillId="0" borderId="0" xfId="58" applyFont="1">
      <alignment/>
      <protection/>
    </xf>
    <xf numFmtId="0" fontId="96" fillId="35" borderId="0" xfId="0" applyFont="1" applyFill="1" applyAlignment="1">
      <alignment/>
    </xf>
    <xf numFmtId="0" fontId="12" fillId="0" borderId="0" xfId="58" applyFont="1">
      <alignment/>
      <protection/>
    </xf>
    <xf numFmtId="0" fontId="11" fillId="0" borderId="0" xfId="58" applyFont="1" applyProtection="1">
      <alignment/>
      <protection hidden="1"/>
    </xf>
    <xf numFmtId="0" fontId="13" fillId="0" borderId="0" xfId="58" applyFont="1">
      <alignment/>
      <protection/>
    </xf>
    <xf numFmtId="0" fontId="14" fillId="0" borderId="0" xfId="0" applyFont="1" applyFill="1" applyBorder="1" applyAlignment="1">
      <alignment horizontal="left" vertical="center"/>
    </xf>
    <xf numFmtId="0" fontId="15" fillId="0" borderId="0" xfId="0" applyFont="1" applyFill="1" applyBorder="1" applyAlignment="1">
      <alignment/>
    </xf>
    <xf numFmtId="0" fontId="0" fillId="0" borderId="0" xfId="0" applyFill="1" applyAlignment="1">
      <alignment/>
    </xf>
    <xf numFmtId="0" fontId="9" fillId="0" borderId="0" xfId="0" applyFont="1" applyFill="1" applyBorder="1" applyAlignment="1">
      <alignment horizontal="left" vertical="center"/>
    </xf>
    <xf numFmtId="0" fontId="97" fillId="33" borderId="0" xfId="0" applyFont="1" applyFill="1" applyBorder="1" applyAlignment="1">
      <alignment horizontal="left" vertical="center"/>
    </xf>
    <xf numFmtId="0" fontId="98" fillId="33" borderId="0" xfId="0" applyFont="1" applyFill="1" applyBorder="1" applyAlignment="1">
      <alignment/>
    </xf>
    <xf numFmtId="0" fontId="99" fillId="0" borderId="0" xfId="0" applyFont="1" applyFill="1" applyBorder="1" applyAlignment="1">
      <alignment horizontal="lef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00" fillId="0" borderId="0" xfId="0" applyFont="1" applyFill="1" applyBorder="1" applyAlignment="1">
      <alignment horizontal="right" vertical="center"/>
    </xf>
    <xf numFmtId="0" fontId="100" fillId="0" borderId="10" xfId="0" applyFont="1" applyFill="1" applyBorder="1" applyAlignment="1">
      <alignment horizontal="right" vertical="center"/>
    </xf>
    <xf numFmtId="3" fontId="16" fillId="0" borderId="0" xfId="0" applyNumberFormat="1" applyFont="1" applyFill="1" applyBorder="1" applyAlignment="1">
      <alignment vertical="center"/>
    </xf>
    <xf numFmtId="3" fontId="16" fillId="0" borderId="10" xfId="0" applyNumberFormat="1" applyFont="1" applyFill="1" applyBorder="1" applyAlignment="1">
      <alignment vertical="center"/>
    </xf>
    <xf numFmtId="3" fontId="15" fillId="0" borderId="0" xfId="0" applyNumberFormat="1" applyFont="1" applyFill="1" applyBorder="1" applyAlignment="1">
      <alignment vertical="center"/>
    </xf>
    <xf numFmtId="3" fontId="15" fillId="0" borderId="0" xfId="0" applyNumberFormat="1" applyFont="1" applyFill="1" applyBorder="1" applyAlignment="1">
      <alignment horizontal="right"/>
    </xf>
    <xf numFmtId="3" fontId="15" fillId="0" borderId="10" xfId="0" applyNumberFormat="1" applyFont="1" applyFill="1" applyBorder="1" applyAlignment="1">
      <alignment horizontal="right"/>
    </xf>
    <xf numFmtId="3" fontId="15" fillId="0" borderId="0" xfId="0" applyNumberFormat="1" applyFont="1" applyFill="1" applyBorder="1" applyAlignment="1">
      <alignment horizontal="left" vertical="center" indent="1"/>
    </xf>
    <xf numFmtId="3" fontId="101" fillId="34" borderId="0" xfId="0" applyNumberFormat="1" applyFont="1" applyFill="1" applyBorder="1" applyAlignment="1">
      <alignment vertical="center"/>
    </xf>
    <xf numFmtId="3" fontId="101" fillId="0" borderId="0" xfId="0" applyNumberFormat="1" applyFont="1" applyFill="1" applyBorder="1" applyAlignment="1">
      <alignment vertical="center"/>
    </xf>
    <xf numFmtId="3" fontId="76" fillId="0" borderId="0" xfId="0" applyNumberFormat="1" applyFont="1" applyFill="1" applyAlignment="1">
      <alignment/>
    </xf>
    <xf numFmtId="3" fontId="16" fillId="0" borderId="0" xfId="0" applyNumberFormat="1" applyFont="1" applyFill="1" applyBorder="1" applyAlignment="1">
      <alignment horizontal="right" vertical="center"/>
    </xf>
    <xf numFmtId="3" fontId="101" fillId="34" borderId="0" xfId="0" applyNumberFormat="1" applyFont="1" applyFill="1" applyBorder="1" applyAlignment="1">
      <alignment horizontal="right" vertical="center"/>
    </xf>
    <xf numFmtId="0" fontId="16" fillId="0" borderId="0" xfId="0" applyFont="1" applyFill="1" applyBorder="1" applyAlignment="1">
      <alignment/>
    </xf>
    <xf numFmtId="164" fontId="100" fillId="0" borderId="0" xfId="0" applyNumberFormat="1" applyFont="1" applyFill="1" applyBorder="1" applyAlignment="1">
      <alignment horizontal="right" vertical="center"/>
    </xf>
    <xf numFmtId="3" fontId="0" fillId="0" borderId="0" xfId="0" applyNumberFormat="1" applyFill="1" applyAlignment="1">
      <alignment/>
    </xf>
    <xf numFmtId="3" fontId="18" fillId="0" borderId="0" xfId="0" applyNumberFormat="1" applyFont="1" applyFill="1" applyBorder="1" applyAlignment="1">
      <alignment vertical="center"/>
    </xf>
    <xf numFmtId="3" fontId="18" fillId="0" borderId="0" xfId="0" applyNumberFormat="1" applyFont="1" applyFill="1" applyBorder="1" applyAlignment="1">
      <alignment horizontal="right"/>
    </xf>
    <xf numFmtId="3" fontId="15" fillId="35" borderId="0" xfId="0" applyNumberFormat="1" applyFont="1" applyFill="1" applyBorder="1" applyAlignment="1">
      <alignment horizontal="right"/>
    </xf>
    <xf numFmtId="3" fontId="15" fillId="0" borderId="0" xfId="0" applyNumberFormat="1" applyFont="1" applyFill="1" applyBorder="1" applyAlignment="1">
      <alignment/>
    </xf>
    <xf numFmtId="3" fontId="15" fillId="0" borderId="0" xfId="0" applyNumberFormat="1" applyFont="1" applyFill="1" applyAlignment="1">
      <alignment vertical="center"/>
    </xf>
    <xf numFmtId="3" fontId="18" fillId="0" borderId="0" xfId="0" applyNumberFormat="1" applyFont="1" applyFill="1" applyBorder="1" applyAlignment="1">
      <alignment/>
    </xf>
    <xf numFmtId="3" fontId="16" fillId="0" borderId="0" xfId="0" applyNumberFormat="1" applyFont="1" applyFill="1" applyBorder="1" applyAlignment="1">
      <alignment/>
    </xf>
    <xf numFmtId="3" fontId="102" fillId="0" borderId="0" xfId="0" applyNumberFormat="1" applyFont="1" applyFill="1" applyBorder="1" applyAlignment="1">
      <alignment/>
    </xf>
    <xf numFmtId="3" fontId="17" fillId="0" borderId="0" xfId="0" applyNumberFormat="1" applyFont="1" applyFill="1" applyBorder="1" applyAlignment="1">
      <alignment vertical="center"/>
    </xf>
    <xf numFmtId="3" fontId="103" fillId="0" borderId="0" xfId="0" applyNumberFormat="1" applyFont="1" applyFill="1" applyBorder="1" applyAlignment="1">
      <alignment vertical="center" wrapText="1"/>
    </xf>
    <xf numFmtId="3" fontId="103" fillId="0" borderId="0" xfId="0" applyNumberFormat="1" applyFont="1" applyFill="1" applyBorder="1" applyAlignment="1">
      <alignment horizontal="right" vertical="center" wrapText="1"/>
    </xf>
    <xf numFmtId="3" fontId="15" fillId="0" borderId="10" xfId="0" applyNumberFormat="1" applyFont="1" applyFill="1" applyBorder="1" applyAlignment="1">
      <alignment/>
    </xf>
    <xf numFmtId="0" fontId="97" fillId="0" borderId="0" xfId="0" applyFont="1" applyFill="1" applyBorder="1" applyAlignment="1">
      <alignment horizontal="left" vertical="center"/>
    </xf>
    <xf numFmtId="0" fontId="98" fillId="0" borderId="0" xfId="0" applyFont="1" applyFill="1" applyBorder="1" applyAlignment="1">
      <alignment/>
    </xf>
    <xf numFmtId="164" fontId="100" fillId="0" borderId="10" xfId="0" applyNumberFormat="1" applyFont="1" applyFill="1" applyBorder="1" applyAlignment="1">
      <alignment horizontal="right" vertical="center"/>
    </xf>
    <xf numFmtId="0" fontId="98" fillId="33" borderId="0" xfId="0" applyFont="1" applyFill="1" applyBorder="1" applyAlignment="1">
      <alignment horizontal="right"/>
    </xf>
    <xf numFmtId="0" fontId="15" fillId="0" borderId="0" xfId="0" applyFont="1" applyFill="1" applyBorder="1" applyAlignment="1">
      <alignment horizontal="right"/>
    </xf>
    <xf numFmtId="3" fontId="101" fillId="34" borderId="10" xfId="0" applyNumberFormat="1" applyFont="1" applyFill="1" applyBorder="1" applyAlignment="1">
      <alignment vertical="center"/>
    </xf>
    <xf numFmtId="0" fontId="98" fillId="0" borderId="0" xfId="0" applyFont="1" applyFill="1" applyBorder="1" applyAlignment="1">
      <alignment horizontal="right"/>
    </xf>
    <xf numFmtId="0" fontId="17" fillId="0" borderId="0" xfId="0" applyNumberFormat="1" applyFont="1" applyFill="1" applyBorder="1" applyAlignment="1">
      <alignment vertical="center"/>
    </xf>
    <xf numFmtId="0" fontId="19" fillId="0" borderId="0" xfId="0" applyFont="1" applyFill="1" applyBorder="1" applyAlignment="1">
      <alignment/>
    </xf>
    <xf numFmtId="0" fontId="0" fillId="0" borderId="0" xfId="0" applyFill="1" applyBorder="1" applyAlignment="1">
      <alignment/>
    </xf>
    <xf numFmtId="0" fontId="20" fillId="0" borderId="0" xfId="0" applyFont="1" applyFill="1" applyBorder="1" applyAlignment="1">
      <alignment/>
    </xf>
    <xf numFmtId="164" fontId="100" fillId="0" borderId="0" xfId="0" applyNumberFormat="1" applyFont="1" applyFill="1" applyBorder="1" applyAlignment="1">
      <alignment vertical="center"/>
    </xf>
    <xf numFmtId="3" fontId="15" fillId="0" borderId="0" xfId="0" applyNumberFormat="1" applyFont="1" applyFill="1" applyBorder="1" applyAlignment="1">
      <alignment/>
    </xf>
    <xf numFmtId="0" fontId="98" fillId="0" borderId="0" xfId="0" applyFont="1" applyFill="1" applyBorder="1" applyAlignment="1">
      <alignment/>
    </xf>
    <xf numFmtId="0" fontId="15" fillId="0" borderId="0" xfId="0" applyFont="1" applyFill="1" applyBorder="1" applyAlignment="1">
      <alignment/>
    </xf>
    <xf numFmtId="3" fontId="101" fillId="34" borderId="10" xfId="0" applyNumberFormat="1" applyFont="1" applyFill="1" applyBorder="1" applyAlignment="1">
      <alignment horizontal="right" vertical="center"/>
    </xf>
    <xf numFmtId="0" fontId="98" fillId="33" borderId="0" xfId="0" applyFont="1" applyFill="1" applyBorder="1" applyAlignment="1">
      <alignment/>
    </xf>
    <xf numFmtId="0" fontId="0" fillId="0" borderId="0" xfId="0" applyFill="1" applyAlignment="1">
      <alignment horizontal="right"/>
    </xf>
    <xf numFmtId="0" fontId="14" fillId="0" borderId="0" xfId="0" applyFont="1" applyFill="1" applyBorder="1" applyAlignment="1" quotePrefix="1">
      <alignment horizontal="left" vertical="center"/>
    </xf>
    <xf numFmtId="0" fontId="99" fillId="0" borderId="0" xfId="0" applyFont="1" applyFill="1" applyBorder="1" applyAlignment="1" quotePrefix="1">
      <alignment horizontal="left" vertical="center"/>
    </xf>
    <xf numFmtId="0" fontId="100" fillId="0" borderId="0" xfId="0" applyFont="1" applyFill="1" applyBorder="1" applyAlignment="1" quotePrefix="1">
      <alignment horizontal="right" vertical="center"/>
    </xf>
    <xf numFmtId="0" fontId="100" fillId="0" borderId="10" xfId="0" applyFont="1" applyFill="1" applyBorder="1" applyAlignment="1" quotePrefix="1">
      <alignment horizontal="right" vertical="center"/>
    </xf>
    <xf numFmtId="0" fontId="0" fillId="0" borderId="0" xfId="0" applyFill="1" applyAlignment="1" quotePrefix="1">
      <alignment/>
    </xf>
    <xf numFmtId="3" fontId="15" fillId="0" borderId="0" xfId="0" applyNumberFormat="1" applyFont="1" applyFill="1" applyBorder="1" applyAlignment="1" quotePrefix="1">
      <alignment vertical="center"/>
    </xf>
    <xf numFmtId="3" fontId="15" fillId="0" borderId="0" xfId="0" applyNumberFormat="1" applyFont="1" applyFill="1" applyBorder="1" applyAlignment="1" quotePrefix="1">
      <alignment horizontal="left" vertical="center" indent="1"/>
    </xf>
    <xf numFmtId="3" fontId="16" fillId="0" borderId="0" xfId="0" applyNumberFormat="1" applyFont="1" applyFill="1" applyBorder="1" applyAlignment="1" quotePrefix="1">
      <alignment vertical="center"/>
    </xf>
    <xf numFmtId="3" fontId="101" fillId="34" borderId="0" xfId="0" applyNumberFormat="1" applyFont="1" applyFill="1" applyBorder="1" applyAlignment="1" quotePrefix="1">
      <alignment vertical="center"/>
    </xf>
    <xf numFmtId="3" fontId="17" fillId="0" borderId="0" xfId="0" applyNumberFormat="1" applyFont="1" applyFill="1" applyBorder="1" applyAlignment="1" quotePrefix="1">
      <alignment vertical="center"/>
    </xf>
    <xf numFmtId="0" fontId="97" fillId="33" borderId="0" xfId="0" applyFont="1" applyFill="1" applyBorder="1" applyAlignment="1" quotePrefix="1">
      <alignment horizontal="left" vertical="center"/>
    </xf>
    <xf numFmtId="0" fontId="0" fillId="0" borderId="0" xfId="0" applyFill="1" applyBorder="1" applyAlignment="1">
      <alignment horizontal="right"/>
    </xf>
    <xf numFmtId="0" fontId="97" fillId="33" borderId="0" xfId="0" applyFont="1" applyFill="1" applyAlignment="1">
      <alignment horizontal="left" vertical="center"/>
    </xf>
    <xf numFmtId="0" fontId="98" fillId="33" borderId="0" xfId="59" applyFont="1" applyFill="1">
      <alignment/>
      <protection/>
    </xf>
    <xf numFmtId="0" fontId="20" fillId="0" borderId="0" xfId="59" applyFont="1">
      <alignment/>
      <protection/>
    </xf>
    <xf numFmtId="0" fontId="99" fillId="0" borderId="0" xfId="0" applyFont="1" applyFill="1" applyAlignment="1">
      <alignment horizontal="left"/>
    </xf>
    <xf numFmtId="0" fontId="15" fillId="0" borderId="0" xfId="59" applyFont="1" applyFill="1">
      <alignment/>
      <protection/>
    </xf>
    <xf numFmtId="164" fontId="16" fillId="0" borderId="0" xfId="60" applyNumberFormat="1" applyFont="1" applyFill="1" applyAlignment="1">
      <alignment horizontal="right" vertical="center"/>
      <protection/>
    </xf>
    <xf numFmtId="164" fontId="100" fillId="0" borderId="11" xfId="0" applyNumberFormat="1" applyFont="1" applyFill="1" applyBorder="1" applyAlignment="1">
      <alignment horizontal="right"/>
    </xf>
    <xf numFmtId="49" fontId="15" fillId="0" borderId="0" xfId="59" applyNumberFormat="1" applyFont="1" applyFill="1" applyBorder="1" applyAlignment="1">
      <alignment horizontal="right"/>
      <protection/>
    </xf>
    <xf numFmtId="49" fontId="15" fillId="0" borderId="12" xfId="59" applyNumberFormat="1" applyFont="1" applyFill="1" applyBorder="1" applyAlignment="1">
      <alignment horizontal="right"/>
      <protection/>
    </xf>
    <xf numFmtId="3" fontId="16" fillId="0" borderId="0" xfId="0" applyNumberFormat="1" applyFont="1" applyFill="1" applyAlignment="1">
      <alignment vertical="center"/>
    </xf>
    <xf numFmtId="165" fontId="16" fillId="0" borderId="0" xfId="0" applyNumberFormat="1" applyFont="1" applyFill="1" applyBorder="1" applyAlignment="1">
      <alignment vertical="center"/>
    </xf>
    <xf numFmtId="165" fontId="16" fillId="0" borderId="10" xfId="0" applyNumberFormat="1" applyFont="1" applyFill="1" applyBorder="1" applyAlignment="1">
      <alignment vertical="center"/>
    </xf>
    <xf numFmtId="165" fontId="16" fillId="0" borderId="0" xfId="0" applyNumberFormat="1" applyFont="1" applyFill="1" applyBorder="1" applyAlignment="1">
      <alignment horizontal="right" vertical="center"/>
    </xf>
    <xf numFmtId="3" fontId="0" fillId="0" borderId="0" xfId="0" applyNumberFormat="1" applyAlignment="1">
      <alignment/>
    </xf>
    <xf numFmtId="165" fontId="15" fillId="0" borderId="0" xfId="59" applyNumberFormat="1" applyFont="1" applyFill="1" applyBorder="1" applyAlignment="1">
      <alignment horizontal="right"/>
      <protection/>
    </xf>
    <xf numFmtId="165" fontId="15" fillId="0" borderId="10" xfId="59" applyNumberFormat="1" applyFont="1" applyFill="1" applyBorder="1" applyAlignment="1">
      <alignment horizontal="right"/>
      <protection/>
    </xf>
    <xf numFmtId="165" fontId="20" fillId="0" borderId="0" xfId="59" applyNumberFormat="1" applyFont="1">
      <alignment/>
      <protection/>
    </xf>
    <xf numFmtId="165" fontId="15" fillId="0" borderId="0" xfId="0" applyNumberFormat="1" applyFont="1" applyFill="1" applyBorder="1" applyAlignment="1">
      <alignment vertical="center"/>
    </xf>
    <xf numFmtId="165" fontId="15" fillId="0" borderId="10" xfId="0" applyNumberFormat="1" applyFont="1" applyFill="1" applyBorder="1" applyAlignment="1">
      <alignment vertical="center"/>
    </xf>
    <xf numFmtId="165" fontId="15" fillId="0" borderId="0" xfId="0" applyNumberFormat="1" applyFont="1" applyFill="1" applyBorder="1" applyAlignment="1">
      <alignment horizontal="right" vertical="center"/>
    </xf>
    <xf numFmtId="3" fontId="104" fillId="0" borderId="0" xfId="0" applyNumberFormat="1" applyFont="1" applyAlignment="1">
      <alignment/>
    </xf>
    <xf numFmtId="165" fontId="15" fillId="0" borderId="0" xfId="65" applyNumberFormat="1" applyFont="1" applyFill="1" applyBorder="1" applyAlignment="1">
      <alignment horizontal="right"/>
    </xf>
    <xf numFmtId="0" fontId="21" fillId="0" borderId="0" xfId="0" applyFont="1" applyFill="1" applyAlignment="1">
      <alignment horizontal="left"/>
    </xf>
    <xf numFmtId="0" fontId="20" fillId="0" borderId="0" xfId="59" applyFont="1" applyFill="1">
      <alignment/>
      <protection/>
    </xf>
    <xf numFmtId="0" fontId="105" fillId="33" borderId="0" xfId="60" applyFont="1" applyFill="1" applyAlignment="1">
      <alignment horizontal="left" vertical="center"/>
      <protection/>
    </xf>
    <xf numFmtId="0" fontId="6" fillId="0" borderId="0" xfId="59" applyFont="1">
      <alignment/>
      <protection/>
    </xf>
    <xf numFmtId="164" fontId="100" fillId="0" borderId="11" xfId="0" applyNumberFormat="1" applyFont="1" applyFill="1" applyBorder="1" applyAlignment="1">
      <alignment horizontal="right" vertical="center"/>
    </xf>
    <xf numFmtId="0" fontId="15" fillId="0" borderId="12" xfId="59" applyFont="1" applyFill="1" applyBorder="1">
      <alignment/>
      <protection/>
    </xf>
    <xf numFmtId="166" fontId="0" fillId="0" borderId="0" xfId="0" applyNumberFormat="1" applyAlignment="1">
      <alignment/>
    </xf>
    <xf numFmtId="167" fontId="0" fillId="0" borderId="0" xfId="0" applyNumberFormat="1" applyAlignment="1">
      <alignment/>
    </xf>
    <xf numFmtId="0" fontId="22" fillId="0" borderId="0" xfId="59" applyFont="1">
      <alignment/>
      <protection/>
    </xf>
    <xf numFmtId="167" fontId="6" fillId="0" borderId="0" xfId="59" applyNumberFormat="1" applyFont="1">
      <alignment/>
      <protection/>
    </xf>
    <xf numFmtId="165" fontId="15" fillId="0" borderId="0" xfId="0" applyNumberFormat="1" applyFont="1" applyFill="1" applyBorder="1" applyAlignment="1">
      <alignment/>
    </xf>
    <xf numFmtId="165" fontId="15" fillId="0" borderId="10" xfId="0" applyNumberFormat="1" applyFont="1" applyFill="1" applyBorder="1" applyAlignment="1">
      <alignment/>
    </xf>
    <xf numFmtId="0" fontId="17" fillId="0" borderId="0" xfId="0" applyFont="1" applyFill="1" applyAlignment="1">
      <alignment horizontal="left"/>
    </xf>
    <xf numFmtId="167" fontId="15" fillId="0" borderId="0" xfId="59" applyNumberFormat="1" applyFont="1" applyFill="1" applyBorder="1">
      <alignment/>
      <protection/>
    </xf>
    <xf numFmtId="0" fontId="98" fillId="33" borderId="0" xfId="59" applyFont="1" applyFill="1" applyBorder="1">
      <alignment/>
      <protection/>
    </xf>
    <xf numFmtId="167" fontId="98" fillId="33" borderId="0" xfId="59" applyNumberFormat="1" applyFont="1" applyFill="1" applyBorder="1">
      <alignment/>
      <protection/>
    </xf>
    <xf numFmtId="0" fontId="22" fillId="0" borderId="0" xfId="59" applyFont="1" applyFill="1">
      <alignment/>
      <protection/>
    </xf>
    <xf numFmtId="2" fontId="15" fillId="0" borderId="0" xfId="59" applyNumberFormat="1" applyFont="1" applyFill="1" applyBorder="1">
      <alignment/>
      <protection/>
    </xf>
    <xf numFmtId="1" fontId="16" fillId="0" borderId="0" xfId="0" applyNumberFormat="1" applyFont="1" applyFill="1" applyBorder="1" applyAlignment="1">
      <alignment vertical="center"/>
    </xf>
    <xf numFmtId="1" fontId="16" fillId="0" borderId="10" xfId="0" applyNumberFormat="1" applyFont="1" applyFill="1" applyBorder="1" applyAlignment="1">
      <alignment vertical="center"/>
    </xf>
    <xf numFmtId="168" fontId="0" fillId="0" borderId="0" xfId="0" applyNumberFormat="1" applyAlignment="1">
      <alignment/>
    </xf>
    <xf numFmtId="1" fontId="15" fillId="0" borderId="0" xfId="59" applyNumberFormat="1" applyFont="1" applyFill="1" applyBorder="1" applyAlignment="1">
      <alignment horizontal="right"/>
      <protection/>
    </xf>
    <xf numFmtId="1" fontId="15" fillId="0" borderId="10" xfId="59" applyNumberFormat="1" applyFont="1" applyFill="1" applyBorder="1" applyAlignment="1">
      <alignment horizontal="right"/>
      <protection/>
    </xf>
    <xf numFmtId="1" fontId="15" fillId="0" borderId="0" xfId="0" applyNumberFormat="1" applyFont="1" applyFill="1" applyBorder="1" applyAlignment="1">
      <alignment vertical="center"/>
    </xf>
    <xf numFmtId="1" fontId="15" fillId="0" borderId="10" xfId="0" applyNumberFormat="1" applyFont="1" applyFill="1" applyBorder="1" applyAlignment="1">
      <alignment vertical="center"/>
    </xf>
    <xf numFmtId="9" fontId="0" fillId="0" borderId="0" xfId="0" applyNumberFormat="1" applyAlignment="1">
      <alignment/>
    </xf>
    <xf numFmtId="1" fontId="15" fillId="0" borderId="0" xfId="0" applyNumberFormat="1" applyFont="1" applyFill="1" applyBorder="1" applyAlignment="1">
      <alignment/>
    </xf>
    <xf numFmtId="1" fontId="15" fillId="0" borderId="10" xfId="0" applyNumberFormat="1" applyFont="1" applyFill="1" applyBorder="1" applyAlignment="1">
      <alignment/>
    </xf>
    <xf numFmtId="0" fontId="15" fillId="0" borderId="0" xfId="59" applyFont="1" applyFill="1" applyBorder="1">
      <alignment/>
      <protection/>
    </xf>
    <xf numFmtId="2" fontId="16" fillId="0" borderId="0" xfId="0" applyNumberFormat="1" applyFont="1" applyFill="1" applyBorder="1" applyAlignment="1">
      <alignment vertical="center"/>
    </xf>
    <xf numFmtId="2" fontId="16" fillId="0" borderId="10" xfId="0" applyNumberFormat="1" applyFont="1" applyFill="1" applyBorder="1" applyAlignment="1">
      <alignment vertical="center"/>
    </xf>
    <xf numFmtId="2" fontId="15" fillId="0" borderId="0" xfId="59" applyNumberFormat="1" applyFont="1" applyFill="1" applyBorder="1" applyAlignment="1">
      <alignment horizontal="right"/>
      <protection/>
    </xf>
    <xf numFmtId="2" fontId="15" fillId="0" borderId="10" xfId="59" applyNumberFormat="1" applyFont="1" applyFill="1" applyBorder="1" applyAlignment="1">
      <alignment horizontal="right"/>
      <protection/>
    </xf>
    <xf numFmtId="2" fontId="15" fillId="0" borderId="0" xfId="0" applyNumberFormat="1" applyFont="1" applyFill="1" applyBorder="1" applyAlignment="1">
      <alignment vertical="center"/>
    </xf>
    <xf numFmtId="2" fontId="15" fillId="0" borderId="10" xfId="0" applyNumberFormat="1" applyFont="1" applyFill="1" applyBorder="1" applyAlignment="1">
      <alignment vertical="center"/>
    </xf>
    <xf numFmtId="2" fontId="15" fillId="0" borderId="0" xfId="0" applyNumberFormat="1" applyFont="1" applyFill="1" applyBorder="1" applyAlignment="1">
      <alignment/>
    </xf>
    <xf numFmtId="2" fontId="15" fillId="0" borderId="10" xfId="0" applyNumberFormat="1" applyFont="1" applyFill="1" applyBorder="1" applyAlignment="1">
      <alignment/>
    </xf>
    <xf numFmtId="0" fontId="6" fillId="0" borderId="0" xfId="59" applyFont="1" applyFill="1">
      <alignment/>
      <protection/>
    </xf>
    <xf numFmtId="0" fontId="23" fillId="0" borderId="0" xfId="59" applyFont="1">
      <alignment/>
      <protection/>
    </xf>
    <xf numFmtId="3" fontId="98" fillId="33" borderId="0" xfId="0" applyNumberFormat="1" applyFont="1" applyFill="1" applyBorder="1" applyAlignment="1">
      <alignment/>
    </xf>
    <xf numFmtId="0" fontId="98" fillId="33" borderId="0" xfId="0" applyFont="1" applyFill="1" applyAlignment="1">
      <alignment/>
    </xf>
    <xf numFmtId="0" fontId="16" fillId="0" borderId="0" xfId="59" applyFont="1" applyFill="1" applyBorder="1" applyAlignment="1">
      <alignment horizontal="center" vertical="center"/>
      <protection/>
    </xf>
    <xf numFmtId="3" fontId="15" fillId="0" borderId="0" xfId="0" applyNumberFormat="1" applyFont="1" applyFill="1" applyAlignment="1">
      <alignment horizontal="left" vertical="center" indent="1"/>
    </xf>
    <xf numFmtId="0" fontId="15" fillId="0" borderId="0" xfId="0" applyFont="1" applyFill="1" applyAlignment="1">
      <alignment/>
    </xf>
    <xf numFmtId="3" fontId="102" fillId="0" borderId="0" xfId="0" applyNumberFormat="1" applyFont="1" applyFill="1" applyAlignment="1">
      <alignment/>
    </xf>
    <xf numFmtId="3" fontId="20" fillId="0" borderId="0" xfId="59" applyNumberFormat="1" applyFont="1" applyFill="1">
      <alignment/>
      <protection/>
    </xf>
    <xf numFmtId="0" fontId="0" fillId="36" borderId="0" xfId="0" applyFill="1" applyAlignment="1">
      <alignment/>
    </xf>
    <xf numFmtId="0" fontId="99" fillId="0" borderId="0" xfId="0" applyFont="1" applyFill="1" applyAlignment="1">
      <alignment horizontal="left" vertical="center"/>
    </xf>
    <xf numFmtId="0" fontId="15" fillId="0" borderId="0" xfId="59" applyFont="1">
      <alignment/>
      <protection/>
    </xf>
    <xf numFmtId="0" fontId="9" fillId="0" borderId="0" xfId="60" applyFont="1" applyFill="1" applyAlignment="1">
      <alignment horizontal="left" vertical="center"/>
      <protection/>
    </xf>
    <xf numFmtId="0" fontId="106" fillId="0" borderId="0" xfId="59" applyFont="1" applyFill="1">
      <alignment/>
      <protection/>
    </xf>
    <xf numFmtId="3" fontId="106" fillId="0" borderId="0" xfId="0" applyNumberFormat="1" applyFont="1" applyFill="1" applyAlignment="1">
      <alignment/>
    </xf>
    <xf numFmtId="164" fontId="100" fillId="0" borderId="0" xfId="0" applyNumberFormat="1" applyFont="1" applyFill="1" applyBorder="1" applyAlignment="1">
      <alignment horizontal="center" vertical="center"/>
    </xf>
    <xf numFmtId="1" fontId="100" fillId="0" borderId="0" xfId="0" applyNumberFormat="1" applyFont="1" applyFill="1" applyBorder="1" applyAlignment="1">
      <alignment vertical="center"/>
    </xf>
    <xf numFmtId="164" fontId="100" fillId="0" borderId="11" xfId="0" applyNumberFormat="1" applyFont="1" applyFill="1" applyBorder="1" applyAlignment="1">
      <alignment horizontal="center" vertical="center"/>
    </xf>
    <xf numFmtId="0" fontId="106" fillId="0" borderId="11" xfId="59" applyFont="1" applyFill="1" applyBorder="1">
      <alignment/>
      <protection/>
    </xf>
    <xf numFmtId="3" fontId="106" fillId="0" borderId="11" xfId="0" applyNumberFormat="1" applyFont="1" applyFill="1" applyBorder="1" applyAlignment="1">
      <alignment/>
    </xf>
    <xf numFmtId="164" fontId="100" fillId="0" borderId="11" xfId="0" applyNumberFormat="1" applyFont="1" applyFill="1" applyBorder="1" applyAlignment="1" quotePrefix="1">
      <alignment horizontal="center" vertical="center"/>
    </xf>
    <xf numFmtId="168" fontId="15" fillId="0" borderId="0" xfId="0" applyNumberFormat="1" applyFont="1" applyFill="1" applyBorder="1" applyAlignment="1">
      <alignment/>
    </xf>
    <xf numFmtId="167" fontId="15" fillId="0" borderId="0" xfId="63" applyNumberFormat="1" applyFont="1" applyFill="1" applyBorder="1" applyAlignment="1">
      <alignment/>
    </xf>
    <xf numFmtId="9" fontId="15" fillId="0" borderId="0" xfId="63" applyFont="1" applyFill="1" applyBorder="1" applyAlignment="1">
      <alignment/>
    </xf>
    <xf numFmtId="165" fontId="15" fillId="0" borderId="0" xfId="65" applyNumberFormat="1" applyFont="1" applyFill="1" applyAlignment="1">
      <alignment horizontal="right"/>
    </xf>
    <xf numFmtId="9" fontId="15" fillId="0" borderId="0" xfId="63" applyNumberFormat="1" applyFont="1" applyFill="1" applyAlignment="1">
      <alignment horizontal="right"/>
    </xf>
    <xf numFmtId="0" fontId="107" fillId="33" borderId="0" xfId="60" applyFont="1" applyFill="1" applyBorder="1" applyAlignment="1">
      <alignment horizontal="left" vertical="center"/>
      <protection/>
    </xf>
    <xf numFmtId="0" fontId="6" fillId="0" borderId="0" xfId="54">
      <alignment/>
      <protection/>
    </xf>
    <xf numFmtId="0" fontId="99" fillId="0" borderId="0" xfId="54" applyFont="1" applyFill="1" applyBorder="1" applyAlignment="1">
      <alignment horizontal="left" vertical="center"/>
      <protection/>
    </xf>
    <xf numFmtId="0" fontId="9" fillId="0" borderId="0" xfId="60" applyFont="1" applyFill="1" applyBorder="1" applyAlignment="1">
      <alignment horizontal="left" vertical="center"/>
      <protection/>
    </xf>
    <xf numFmtId="0" fontId="15" fillId="0" borderId="0" xfId="54" applyFont="1" applyFill="1" applyBorder="1">
      <alignment/>
      <protection/>
    </xf>
    <xf numFmtId="0" fontId="100" fillId="0" borderId="11" xfId="54" applyFont="1" applyFill="1" applyBorder="1" applyAlignment="1">
      <alignment horizontal="right" vertical="center"/>
      <protection/>
    </xf>
    <xf numFmtId="0" fontId="15" fillId="0" borderId="0" xfId="57" applyFont="1" applyFill="1" applyBorder="1" applyAlignment="1">
      <alignment vertical="center"/>
      <protection/>
    </xf>
    <xf numFmtId="10" fontId="15" fillId="0" borderId="0" xfId="66" applyNumberFormat="1" applyFont="1" applyFill="1" applyBorder="1" applyAlignment="1">
      <alignment vertical="center"/>
    </xf>
    <xf numFmtId="10" fontId="6" fillId="0" borderId="0" xfId="54" applyNumberFormat="1">
      <alignment/>
      <protection/>
    </xf>
    <xf numFmtId="3" fontId="16" fillId="0" borderId="0" xfId="54" applyNumberFormat="1" applyFont="1" applyFill="1" applyBorder="1" applyAlignment="1">
      <alignment vertical="center"/>
      <protection/>
    </xf>
    <xf numFmtId="10" fontId="16" fillId="0" borderId="0" xfId="54" applyNumberFormat="1" applyFont="1" applyFill="1" applyBorder="1" applyAlignment="1">
      <alignment vertical="center"/>
      <protection/>
    </xf>
    <xf numFmtId="10" fontId="15" fillId="0" borderId="0" xfId="59" applyNumberFormat="1" applyFont="1" applyFill="1" applyBorder="1" applyAlignment="1">
      <alignment horizontal="right"/>
      <protection/>
    </xf>
    <xf numFmtId="10" fontId="16" fillId="0" borderId="0" xfId="59" applyNumberFormat="1" applyFont="1" applyFill="1" applyBorder="1" applyAlignment="1">
      <alignment horizontal="right"/>
      <protection/>
    </xf>
    <xf numFmtId="10" fontId="15" fillId="0" borderId="0" xfId="54" applyNumberFormat="1" applyFont="1" applyFill="1" applyBorder="1" applyAlignment="1">
      <alignment vertical="center"/>
      <protection/>
    </xf>
    <xf numFmtId="10" fontId="16" fillId="0" borderId="0" xfId="66" applyNumberFormat="1" applyFont="1" applyFill="1" applyBorder="1" applyAlignment="1">
      <alignment vertical="center"/>
    </xf>
    <xf numFmtId="3" fontId="21" fillId="0" borderId="0" xfId="54" applyNumberFormat="1" applyFont="1" applyFill="1" applyBorder="1" applyAlignment="1">
      <alignment vertical="center"/>
      <protection/>
    </xf>
    <xf numFmtId="0" fontId="15" fillId="0" borderId="0" xfId="0" applyFont="1" applyAlignment="1">
      <alignment/>
    </xf>
    <xf numFmtId="0" fontId="24" fillId="0" borderId="0" xfId="0" applyNumberFormat="1" applyFont="1" applyFill="1" applyBorder="1" applyAlignment="1">
      <alignment horizontal="left" vertical="center"/>
    </xf>
    <xf numFmtId="0" fontId="15" fillId="0" borderId="0" xfId="0" applyFont="1" applyFill="1" applyAlignment="1">
      <alignment horizontal="right" vertical="center"/>
    </xf>
    <xf numFmtId="169" fontId="100" fillId="0" borderId="11" xfId="0" applyNumberFormat="1" applyFont="1" applyFill="1" applyBorder="1" applyAlignment="1">
      <alignment horizontal="right" vertical="center"/>
    </xf>
    <xf numFmtId="0" fontId="108" fillId="0" borderId="0" xfId="0" applyFont="1" applyAlignment="1">
      <alignment horizontal="center"/>
    </xf>
    <xf numFmtId="3" fontId="16" fillId="0" borderId="0" xfId="0" applyNumberFormat="1" applyFont="1" applyFill="1" applyBorder="1" applyAlignment="1">
      <alignment horizontal="right"/>
    </xf>
    <xf numFmtId="170" fontId="108" fillId="0" borderId="0" xfId="49" applyNumberFormat="1" applyFont="1" applyAlignment="1">
      <alignment/>
    </xf>
    <xf numFmtId="43" fontId="0" fillId="0" borderId="0" xfId="49" applyFont="1" applyAlignment="1">
      <alignment/>
    </xf>
    <xf numFmtId="3" fontId="15" fillId="0" borderId="0" xfId="0" applyNumberFormat="1" applyFont="1" applyFill="1" applyAlignment="1">
      <alignment horizontal="left" vertical="center" indent="2"/>
    </xf>
    <xf numFmtId="166" fontId="102" fillId="0" borderId="0" xfId="0" applyNumberFormat="1" applyFont="1" applyFill="1" applyBorder="1" applyAlignment="1">
      <alignment/>
    </xf>
    <xf numFmtId="0" fontId="6" fillId="0" borderId="0" xfId="0" applyFont="1" applyFill="1" applyAlignment="1">
      <alignment/>
    </xf>
    <xf numFmtId="0" fontId="97" fillId="33" borderId="0" xfId="57" applyFont="1" applyFill="1" applyAlignment="1">
      <alignment horizontal="left" vertical="center"/>
      <protection/>
    </xf>
    <xf numFmtId="0" fontId="109" fillId="33" borderId="0" xfId="57" applyFont="1" applyFill="1">
      <alignment/>
      <protection/>
    </xf>
    <xf numFmtId="0" fontId="0" fillId="0" borderId="0" xfId="57" applyAlignment="1">
      <alignment horizontal="right"/>
      <protection/>
    </xf>
    <xf numFmtId="0" fontId="0" fillId="0" borderId="0" xfId="57">
      <alignment/>
      <protection/>
    </xf>
    <xf numFmtId="0" fontId="25" fillId="0" borderId="0" xfId="57" applyFont="1" applyFill="1">
      <alignment/>
      <protection/>
    </xf>
    <xf numFmtId="0" fontId="99" fillId="36" borderId="0" xfId="0" applyFont="1" applyFill="1" applyBorder="1" applyAlignment="1">
      <alignment horizontal="left" vertical="center"/>
    </xf>
    <xf numFmtId="0" fontId="99" fillId="0" borderId="0" xfId="57" applyFont="1" applyFill="1" applyAlignment="1">
      <alignment horizontal="left" vertical="center"/>
      <protection/>
    </xf>
    <xf numFmtId="0" fontId="15" fillId="0" borderId="0" xfId="57" applyFont="1" applyFill="1" applyAlignment="1">
      <alignment vertical="center"/>
      <protection/>
    </xf>
    <xf numFmtId="164" fontId="15" fillId="0" borderId="0" xfId="57" applyNumberFormat="1" applyFont="1" applyFill="1" applyBorder="1" applyAlignment="1">
      <alignment horizontal="right" vertical="center"/>
      <protection/>
    </xf>
    <xf numFmtId="3" fontId="15" fillId="0" borderId="0" xfId="57" applyNumberFormat="1" applyFont="1" applyFill="1" applyAlignment="1">
      <alignment vertical="center"/>
      <protection/>
    </xf>
    <xf numFmtId="3" fontId="15" fillId="0" borderId="0" xfId="57" applyNumberFormat="1" applyFont="1" applyFill="1" applyBorder="1" applyAlignment="1">
      <alignment horizontal="right"/>
      <protection/>
    </xf>
    <xf numFmtId="3" fontId="16" fillId="0" borderId="0" xfId="57" applyNumberFormat="1" applyFont="1" applyFill="1" applyAlignment="1">
      <alignment vertical="center"/>
      <protection/>
    </xf>
    <xf numFmtId="3" fontId="16" fillId="0" borderId="0" xfId="57" applyNumberFormat="1" applyFont="1" applyFill="1" applyBorder="1" applyAlignment="1">
      <alignment horizontal="right"/>
      <protection/>
    </xf>
    <xf numFmtId="166" fontId="110" fillId="0" borderId="0" xfId="57" applyNumberFormat="1" applyFont="1" applyFill="1">
      <alignment/>
      <protection/>
    </xf>
    <xf numFmtId="166" fontId="25" fillId="0" borderId="0" xfId="57" applyNumberFormat="1" applyFont="1" applyFill="1">
      <alignment/>
      <protection/>
    </xf>
    <xf numFmtId="3" fontId="25" fillId="0" borderId="0" xfId="57" applyNumberFormat="1" applyFont="1" applyFill="1">
      <alignment/>
      <protection/>
    </xf>
    <xf numFmtId="3" fontId="16" fillId="0" borderId="0" xfId="57" applyNumberFormat="1" applyFont="1" applyFill="1" applyBorder="1" applyAlignment="1">
      <alignment vertical="center"/>
      <protection/>
    </xf>
    <xf numFmtId="166" fontId="25" fillId="0" borderId="0" xfId="57" applyNumberFormat="1" applyFont="1" applyFill="1" applyBorder="1">
      <alignment/>
      <protection/>
    </xf>
    <xf numFmtId="3" fontId="25" fillId="0" borderId="0" xfId="57" applyNumberFormat="1" applyFont="1" applyFill="1" applyBorder="1">
      <alignment/>
      <protection/>
    </xf>
    <xf numFmtId="0" fontId="0" fillId="0" borderId="0" xfId="57" applyFill="1" applyBorder="1">
      <alignment/>
      <protection/>
    </xf>
    <xf numFmtId="3" fontId="17" fillId="0" borderId="0" xfId="57" applyNumberFormat="1" applyFont="1" applyFill="1" applyAlignment="1">
      <alignment vertical="center"/>
      <protection/>
    </xf>
    <xf numFmtId="0" fontId="0" fillId="0" borderId="0" xfId="57" applyFill="1">
      <alignment/>
      <protection/>
    </xf>
    <xf numFmtId="0" fontId="17" fillId="0" borderId="0" xfId="57" applyFont="1" applyFill="1" applyAlignment="1">
      <alignment horizontal="left"/>
      <protection/>
    </xf>
    <xf numFmtId="0" fontId="111" fillId="0" borderId="0" xfId="57" applyFont="1">
      <alignment/>
      <protection/>
    </xf>
    <xf numFmtId="10" fontId="25" fillId="0" borderId="0" xfId="63" applyNumberFormat="1" applyFont="1" applyFill="1" applyAlignment="1">
      <alignment/>
    </xf>
    <xf numFmtId="0" fontId="25" fillId="0" borderId="0" xfId="57" applyFont="1" applyFill="1" applyAlignment="1">
      <alignment wrapText="1"/>
      <protection/>
    </xf>
    <xf numFmtId="0" fontId="27" fillId="0" borderId="0" xfId="61" applyFont="1" applyFill="1" applyProtection="1">
      <alignment/>
      <protection hidden="1" locked="0"/>
    </xf>
    <xf numFmtId="0" fontId="27" fillId="0" borderId="0" xfId="61" applyFont="1" applyFill="1" applyBorder="1" applyAlignment="1" applyProtection="1">
      <alignment horizontal="left"/>
      <protection hidden="1" locked="0"/>
    </xf>
    <xf numFmtId="0" fontId="27" fillId="0" borderId="11" xfId="61" applyFont="1" applyFill="1" applyBorder="1" applyAlignment="1" applyProtection="1">
      <alignment horizontal="left"/>
      <protection hidden="1" locked="0"/>
    </xf>
    <xf numFmtId="0" fontId="112" fillId="0" borderId="0" xfId="0" applyFont="1" applyAlignment="1">
      <alignment/>
    </xf>
    <xf numFmtId="0" fontId="113" fillId="0" borderId="0" xfId="61" applyFont="1" applyFill="1" applyBorder="1" applyAlignment="1" applyProtection="1">
      <alignment horizontal="left"/>
      <protection hidden="1" locked="0"/>
    </xf>
    <xf numFmtId="0" fontId="113" fillId="0" borderId="0" xfId="0" applyFont="1" applyAlignment="1">
      <alignment/>
    </xf>
    <xf numFmtId="3" fontId="17" fillId="0" borderId="0" xfId="0" applyNumberFormat="1" applyFont="1" applyFill="1" applyAlignment="1">
      <alignment vertical="center"/>
    </xf>
    <xf numFmtId="3" fontId="6" fillId="0" borderId="0" xfId="56" applyFill="1" quotePrefix="1">
      <alignment/>
      <protection/>
    </xf>
    <xf numFmtId="0" fontId="0" fillId="0" borderId="0" xfId="0" applyAlignment="1" quotePrefix="1">
      <alignment/>
    </xf>
    <xf numFmtId="0" fontId="114" fillId="0" borderId="11" xfId="0" applyFont="1" applyFill="1" applyBorder="1" applyAlignment="1">
      <alignment vertical="center"/>
    </xf>
    <xf numFmtId="164" fontId="100" fillId="0" borderId="0" xfId="0" applyNumberFormat="1" applyFont="1" applyFill="1" applyBorder="1" applyAlignment="1">
      <alignment horizontal="left" vertical="center"/>
    </xf>
    <xf numFmtId="0" fontId="96" fillId="37" borderId="0" xfId="0" applyFont="1" applyFill="1" applyAlignment="1">
      <alignment/>
    </xf>
    <xf numFmtId="3" fontId="16" fillId="0" borderId="0" xfId="0" applyNumberFormat="1" applyFont="1" applyFill="1" applyBorder="1" applyAlignment="1" quotePrefix="1">
      <alignment horizontal="right" vertical="center"/>
    </xf>
    <xf numFmtId="165" fontId="15" fillId="0" borderId="0" xfId="0" applyNumberFormat="1" applyFont="1" applyFill="1" applyBorder="1" applyAlignment="1">
      <alignment horizontal="right"/>
    </xf>
    <xf numFmtId="1" fontId="16" fillId="0" borderId="0" xfId="0" applyNumberFormat="1" applyFont="1" applyFill="1" applyBorder="1" applyAlignment="1">
      <alignment horizontal="right" vertical="center"/>
    </xf>
    <xf numFmtId="1" fontId="15" fillId="0" borderId="0" xfId="0" applyNumberFormat="1" applyFont="1" applyFill="1" applyBorder="1" applyAlignment="1">
      <alignment horizontal="right" vertical="center"/>
    </xf>
    <xf numFmtId="1" fontId="15" fillId="0" borderId="0" xfId="0" applyNumberFormat="1" applyFont="1" applyFill="1" applyBorder="1" applyAlignment="1">
      <alignment horizontal="right"/>
    </xf>
    <xf numFmtId="2" fontId="16" fillId="0" borderId="0" xfId="0" applyNumberFormat="1" applyFont="1" applyFill="1" applyBorder="1" applyAlignment="1">
      <alignment horizontal="right" vertical="center"/>
    </xf>
    <xf numFmtId="2" fontId="15" fillId="0" borderId="0" xfId="0" applyNumberFormat="1" applyFont="1" applyFill="1" applyBorder="1" applyAlignment="1">
      <alignment horizontal="right" vertical="center"/>
    </xf>
    <xf numFmtId="2" fontId="15" fillId="0" borderId="0" xfId="0" applyNumberFormat="1" applyFont="1" applyFill="1" applyBorder="1" applyAlignment="1">
      <alignment horizontal="right"/>
    </xf>
    <xf numFmtId="0" fontId="15" fillId="0" borderId="0" xfId="59" applyFont="1" applyFill="1" applyAlignment="1">
      <alignment horizontal="right"/>
      <protection/>
    </xf>
    <xf numFmtId="0" fontId="97" fillId="33" borderId="0" xfId="0" applyFont="1" applyFill="1" applyAlignment="1" quotePrefix="1">
      <alignment horizontal="left" vertical="center"/>
    </xf>
    <xf numFmtId="3" fontId="16" fillId="0" borderId="0" xfId="0" applyNumberFormat="1" applyFont="1" applyFill="1" applyAlignment="1" quotePrefix="1">
      <alignment vertical="center"/>
    </xf>
    <xf numFmtId="3" fontId="15" fillId="0" borderId="0" xfId="0" applyNumberFormat="1" applyFont="1" applyFill="1" applyBorder="1" applyAlignment="1" quotePrefix="1">
      <alignment horizontal="right"/>
    </xf>
    <xf numFmtId="3" fontId="15" fillId="0" borderId="0" xfId="0" applyNumberFormat="1" applyFont="1" applyFill="1" applyAlignment="1" quotePrefix="1">
      <alignment horizontal="left" vertical="center" indent="1"/>
    </xf>
    <xf numFmtId="3" fontId="17" fillId="0" borderId="0" xfId="0" applyNumberFormat="1" applyFont="1" applyFill="1" applyAlignment="1" quotePrefix="1">
      <alignment vertical="center"/>
    </xf>
    <xf numFmtId="0" fontId="98" fillId="33" borderId="0" xfId="54" applyFont="1" applyFill="1" applyBorder="1">
      <alignment/>
      <protection/>
    </xf>
    <xf numFmtId="3" fontId="17" fillId="0" borderId="0" xfId="54" applyNumberFormat="1" applyFont="1" applyFill="1" applyBorder="1" applyAlignment="1">
      <alignment vertical="center"/>
      <protection/>
    </xf>
    <xf numFmtId="3" fontId="16" fillId="0" borderId="0" xfId="57" applyNumberFormat="1" applyFont="1" applyFill="1" applyAlignment="1">
      <alignment horizontal="right" vertical="center"/>
      <protection/>
    </xf>
    <xf numFmtId="3" fontId="25" fillId="0" borderId="0" xfId="57" applyNumberFormat="1" applyFont="1" applyFill="1" applyAlignment="1">
      <alignment horizontal="right"/>
      <protection/>
    </xf>
    <xf numFmtId="0" fontId="97" fillId="33" borderId="0" xfId="57" applyFont="1" applyFill="1" applyAlignment="1" quotePrefix="1">
      <alignment horizontal="left" vertical="center"/>
      <protection/>
    </xf>
    <xf numFmtId="3" fontId="16" fillId="0" borderId="0" xfId="57" applyNumberFormat="1" applyFont="1" applyFill="1" applyAlignment="1" quotePrefix="1">
      <alignment vertical="center"/>
      <protection/>
    </xf>
    <xf numFmtId="3" fontId="15" fillId="0" borderId="0" xfId="57" applyNumberFormat="1" applyFont="1" applyFill="1" applyAlignment="1" quotePrefix="1">
      <alignment vertical="center"/>
      <protection/>
    </xf>
    <xf numFmtId="3" fontId="15" fillId="0" borderId="0" xfId="57" applyNumberFormat="1" applyFont="1" applyFill="1" applyAlignment="1" quotePrefix="1">
      <alignment horizontal="left" vertical="center" indent="2"/>
      <protection/>
    </xf>
    <xf numFmtId="3" fontId="15" fillId="0" borderId="0" xfId="57" applyNumberFormat="1" applyFont="1" applyFill="1" applyAlignment="1">
      <alignment horizontal="left" vertical="center" indent="2"/>
      <protection/>
    </xf>
    <xf numFmtId="3" fontId="15" fillId="0" borderId="0" xfId="57" applyNumberFormat="1" applyFont="1" applyFill="1" applyBorder="1" applyAlignment="1" quotePrefix="1">
      <alignment horizontal="right"/>
      <protection/>
    </xf>
    <xf numFmtId="166" fontId="102" fillId="0" borderId="0" xfId="57" applyNumberFormat="1" applyFont="1" applyFill="1" applyBorder="1" applyAlignment="1">
      <alignment horizontal="right"/>
      <protection/>
    </xf>
    <xf numFmtId="0" fontId="29" fillId="0" borderId="0" xfId="0" applyFont="1" applyFill="1" applyAlignment="1">
      <alignment/>
    </xf>
    <xf numFmtId="2" fontId="0" fillId="0" borderId="0" xfId="0" applyNumberFormat="1" applyFill="1" applyAlignment="1">
      <alignment/>
    </xf>
    <xf numFmtId="3" fontId="0" fillId="0" borderId="0" xfId="57" applyNumberFormat="1">
      <alignment/>
      <protection/>
    </xf>
    <xf numFmtId="3" fontId="17" fillId="0" borderId="0" xfId="0" applyNumberFormat="1" applyFont="1" applyFill="1" applyBorder="1" applyAlignment="1">
      <alignment horizontal="left" vertical="top" wrapText="1"/>
    </xf>
    <xf numFmtId="3" fontId="101" fillId="0" borderId="0" xfId="0" applyNumberFormat="1" applyFont="1" applyFill="1" applyBorder="1" applyAlignment="1">
      <alignment horizontal="right" vertical="center"/>
    </xf>
    <xf numFmtId="166" fontId="70" fillId="0" borderId="0" xfId="0" applyNumberFormat="1" applyFont="1" applyFill="1" applyAlignment="1">
      <alignment/>
    </xf>
    <xf numFmtId="165" fontId="15" fillId="0" borderId="0" xfId="59" applyNumberFormat="1" applyFont="1" applyFill="1">
      <alignment/>
      <protection/>
    </xf>
    <xf numFmtId="165" fontId="20" fillId="0" borderId="0" xfId="59" applyNumberFormat="1" applyFont="1" applyFill="1">
      <alignment/>
      <protection/>
    </xf>
    <xf numFmtId="168" fontId="15" fillId="0" borderId="0" xfId="0" applyNumberFormat="1" applyFont="1" applyFill="1" applyBorder="1" applyAlignment="1">
      <alignment horizontal="right"/>
    </xf>
    <xf numFmtId="3" fontId="101" fillId="36" borderId="0" xfId="0" applyNumberFormat="1" applyFont="1" applyFill="1" applyBorder="1" applyAlignment="1">
      <alignment vertical="center"/>
    </xf>
    <xf numFmtId="3" fontId="17" fillId="36" borderId="0" xfId="0" applyNumberFormat="1" applyFont="1" applyFill="1" applyBorder="1" applyAlignment="1">
      <alignment vertical="top"/>
    </xf>
    <xf numFmtId="3" fontId="103" fillId="36" borderId="0" xfId="0" applyNumberFormat="1" applyFont="1" applyFill="1" applyBorder="1" applyAlignment="1">
      <alignment vertical="center" wrapText="1"/>
    </xf>
    <xf numFmtId="3" fontId="17" fillId="36" borderId="0" xfId="0" applyNumberFormat="1" applyFont="1" applyFill="1" applyBorder="1" applyAlignment="1">
      <alignment vertical="center"/>
    </xf>
    <xf numFmtId="3" fontId="16" fillId="0" borderId="10" xfId="0" applyNumberFormat="1" applyFont="1" applyFill="1" applyBorder="1" applyAlignment="1">
      <alignment horizontal="right" vertical="center"/>
    </xf>
    <xf numFmtId="49" fontId="17" fillId="0" borderId="0" xfId="0" applyNumberFormat="1" applyFont="1" applyFill="1" applyAlignment="1">
      <alignment vertical="top"/>
    </xf>
    <xf numFmtId="4" fontId="15" fillId="0" borderId="0" xfId="0" applyNumberFormat="1" applyFont="1" applyFill="1" applyBorder="1" applyAlignment="1">
      <alignment/>
    </xf>
    <xf numFmtId="3" fontId="101" fillId="0" borderId="0" xfId="0" applyNumberFormat="1" applyFont="1" applyFill="1" applyBorder="1" applyAlignment="1" quotePrefix="1">
      <alignment vertical="center"/>
    </xf>
    <xf numFmtId="172" fontId="15" fillId="0" borderId="0" xfId="63" applyNumberFormat="1" applyFont="1" applyFill="1" applyBorder="1" applyAlignment="1">
      <alignment/>
    </xf>
    <xf numFmtId="10" fontId="15" fillId="0" borderId="0" xfId="54" applyNumberFormat="1" applyFont="1" applyFill="1" applyBorder="1">
      <alignment/>
      <protection/>
    </xf>
    <xf numFmtId="10" fontId="0" fillId="0" borderId="0" xfId="63" applyNumberFormat="1" applyFont="1" applyFill="1" applyAlignment="1">
      <alignment/>
    </xf>
    <xf numFmtId="3" fontId="115" fillId="0" borderId="0" xfId="0" applyNumberFormat="1" applyFont="1" applyFill="1" applyAlignment="1">
      <alignment vertical="top"/>
    </xf>
    <xf numFmtId="3" fontId="15" fillId="0" borderId="13" xfId="0" applyNumberFormat="1" applyFont="1" applyFill="1" applyBorder="1" applyAlignment="1">
      <alignment horizontal="right"/>
    </xf>
    <xf numFmtId="10" fontId="0" fillId="0" borderId="0" xfId="64" applyNumberFormat="1" applyFont="1" applyAlignment="1">
      <alignment/>
    </xf>
    <xf numFmtId="0" fontId="0" fillId="0" borderId="0" xfId="57" applyFont="1" applyAlignment="1">
      <alignment horizontal="right"/>
      <protection/>
    </xf>
    <xf numFmtId="0" fontId="116" fillId="2" borderId="0" xfId="0" applyFont="1" applyFill="1" applyAlignment="1">
      <alignment/>
    </xf>
    <xf numFmtId="3" fontId="3" fillId="0" borderId="0" xfId="58" applyNumberFormat="1" applyFont="1">
      <alignment/>
      <protection/>
    </xf>
    <xf numFmtId="1" fontId="102" fillId="0" borderId="0" xfId="0" applyNumberFormat="1" applyFont="1" applyFill="1" applyBorder="1" applyAlignment="1">
      <alignment/>
    </xf>
    <xf numFmtId="167" fontId="0" fillId="0" borderId="0" xfId="63" applyNumberFormat="1" applyFont="1" applyAlignment="1">
      <alignment/>
    </xf>
    <xf numFmtId="10" fontId="0" fillId="0" borderId="0" xfId="64" applyNumberFormat="1" applyFont="1" applyAlignment="1">
      <alignment/>
    </xf>
    <xf numFmtId="0" fontId="0" fillId="0" borderId="0" xfId="57" applyFont="1" applyAlignment="1">
      <alignment horizontal="right"/>
      <protection/>
    </xf>
    <xf numFmtId="0" fontId="0" fillId="0" borderId="0" xfId="57" applyFont="1">
      <alignment/>
      <protection/>
    </xf>
    <xf numFmtId="3" fontId="101" fillId="36" borderId="0" xfId="0" applyNumberFormat="1" applyFont="1" applyFill="1" applyBorder="1" applyAlignment="1">
      <alignment horizontal="right" vertical="center"/>
    </xf>
    <xf numFmtId="0" fontId="0" fillId="36" borderId="0" xfId="0" applyFill="1" applyBorder="1" applyAlignment="1">
      <alignment/>
    </xf>
    <xf numFmtId="3" fontId="18" fillId="0" borderId="0" xfId="0" applyNumberFormat="1" applyFont="1" applyFill="1" applyAlignment="1">
      <alignment vertical="center"/>
    </xf>
    <xf numFmtId="0" fontId="117" fillId="0" borderId="0" xfId="0" applyFont="1" applyAlignment="1">
      <alignment/>
    </xf>
    <xf numFmtId="3" fontId="17" fillId="0" borderId="0" xfId="0" applyNumberFormat="1" applyFont="1" applyFill="1" applyBorder="1" applyAlignment="1">
      <alignment horizontal="left" vertical="top" wrapText="1"/>
    </xf>
    <xf numFmtId="0" fontId="100" fillId="0" borderId="0" xfId="0" applyFont="1" applyFill="1" applyBorder="1" applyAlignment="1">
      <alignment horizontal="center" wrapText="1"/>
    </xf>
    <xf numFmtId="0" fontId="100" fillId="0" borderId="10" xfId="0" applyFont="1" applyFill="1" applyBorder="1" applyAlignment="1">
      <alignment horizontal="center" wrapText="1"/>
    </xf>
    <xf numFmtId="0" fontId="100" fillId="0" borderId="13" xfId="0" applyFont="1" applyFill="1" applyBorder="1" applyAlignment="1">
      <alignment horizontal="center" wrapText="1"/>
    </xf>
    <xf numFmtId="3" fontId="17" fillId="0" borderId="0" xfId="0" applyNumberFormat="1" applyFont="1" applyFill="1" applyBorder="1" applyAlignment="1" quotePrefix="1">
      <alignment horizontal="left" wrapText="1"/>
    </xf>
    <xf numFmtId="0" fontId="114" fillId="0" borderId="11" xfId="0" applyFont="1" applyFill="1" applyBorder="1" applyAlignment="1">
      <alignment horizontal="center" vertical="center"/>
    </xf>
    <xf numFmtId="0" fontId="100" fillId="0" borderId="0" xfId="54" applyFont="1" applyFill="1" applyBorder="1" applyAlignment="1">
      <alignment horizontal="center" wrapText="1"/>
      <protection/>
    </xf>
    <xf numFmtId="0" fontId="118" fillId="0" borderId="0" xfId="54" applyFont="1" applyFill="1" applyBorder="1" applyAlignment="1">
      <alignment horizontal="center"/>
      <protection/>
    </xf>
    <xf numFmtId="0" fontId="100" fillId="0" borderId="0" xfId="0" applyFont="1" applyFill="1" applyBorder="1" applyAlignment="1">
      <alignment horizontal="center" vertical="center"/>
    </xf>
    <xf numFmtId="0" fontId="100" fillId="0" borderId="0" xfId="57" applyFont="1" applyFill="1" applyAlignment="1">
      <alignment horizontal="center" vertical="center" wrapText="1"/>
      <protection/>
    </xf>
    <xf numFmtId="0" fontId="100" fillId="0" borderId="0" xfId="57" applyFont="1" applyFill="1" applyAlignment="1" quotePrefix="1">
      <alignment horizontal="center" vertical="center" wrapText="1"/>
      <protection/>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93" xfId="54"/>
    <cellStyle name="Normal 2" xfId="55"/>
    <cellStyle name="Normal 2 3" xfId="56"/>
    <cellStyle name="Normal 29" xfId="57"/>
    <cellStyle name="Normal_08 pagweb-4T08 1 2" xfId="58"/>
    <cellStyle name="Normal_ANEXO" xfId="59"/>
    <cellStyle name="Normal_Anexo analistas 1T06 vínculos" xfId="60"/>
    <cellStyle name="Normal_Series web Sabadell 1T10-desprotegido" xfId="61"/>
    <cellStyle name="Notas" xfId="62"/>
    <cellStyle name="Percent" xfId="63"/>
    <cellStyle name="Porcentaje 16" xfId="64"/>
    <cellStyle name="Porcentaje 2" xfId="65"/>
    <cellStyle name="Porcentaje 4" xfId="66"/>
    <cellStyle name="Salida" xfId="67"/>
    <cellStyle name="Texto de advertencia" xfId="68"/>
    <cellStyle name="Texto explicativo" xfId="69"/>
    <cellStyle name="Título" xfId="70"/>
    <cellStyle name="Título 2" xfId="71"/>
    <cellStyle name="Título 3" xfId="72"/>
    <cellStyle name="Total" xfId="73"/>
  </cellStyles>
  <dxfs count="144">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INDICE!C15" /></Relationships>
</file>

<file path=xl/drawings/_rels/drawing11.xml.rels><?xml version="1.0" encoding="utf-8" standalone="yes"?><Relationships xmlns="http://schemas.openxmlformats.org/package/2006/relationships"><Relationship Id="rId1" Type="http://schemas.openxmlformats.org/officeDocument/2006/relationships/hyperlink" Target="#INDICE!C16" /></Relationships>
</file>

<file path=xl/drawings/_rels/drawing12.xml.rels><?xml version="1.0" encoding="utf-8" standalone="yes"?><Relationships xmlns="http://schemas.openxmlformats.org/package/2006/relationships"><Relationship Id="rId1" Type="http://schemas.openxmlformats.org/officeDocument/2006/relationships/hyperlink" Target="#INDICE!C17" /></Relationships>
</file>

<file path=xl/drawings/_rels/drawing13.xml.rels><?xml version="1.0" encoding="utf-8" standalone="yes"?><Relationships xmlns="http://schemas.openxmlformats.org/package/2006/relationships"><Relationship Id="rId1" Type="http://schemas.openxmlformats.org/officeDocument/2006/relationships/hyperlink" Target="#INDICE!C18" /></Relationships>
</file>

<file path=xl/drawings/_rels/drawing14.xml.rels><?xml version="1.0" encoding="utf-8" standalone="yes"?><Relationships xmlns="http://schemas.openxmlformats.org/package/2006/relationships"><Relationship Id="rId1" Type="http://schemas.openxmlformats.org/officeDocument/2006/relationships/hyperlink" Target="#INDICE!C19" /></Relationships>
</file>

<file path=xl/drawings/_rels/drawing15.xml.rels><?xml version="1.0" encoding="utf-8" standalone="yes"?><Relationships xmlns="http://schemas.openxmlformats.org/package/2006/relationships"><Relationship Id="rId1" Type="http://schemas.openxmlformats.org/officeDocument/2006/relationships/hyperlink" Target="#INDICE!C22" /></Relationships>
</file>

<file path=xl/drawings/_rels/drawing16.xml.rels><?xml version="1.0" encoding="utf-8" standalone="yes"?><Relationships xmlns="http://schemas.openxmlformats.org/package/2006/relationships"><Relationship Id="rId1" Type="http://schemas.openxmlformats.org/officeDocument/2006/relationships/hyperlink" Target="#INDICE!C23" /></Relationships>
</file>

<file path=xl/drawings/_rels/drawing17.xml.rels><?xml version="1.0" encoding="utf-8" standalone="yes"?><Relationships xmlns="http://schemas.openxmlformats.org/package/2006/relationships"><Relationship Id="rId1" Type="http://schemas.openxmlformats.org/officeDocument/2006/relationships/hyperlink" Target="#INDICE!C24" /></Relationships>
</file>

<file path=xl/drawings/_rels/drawing18.xml.rels><?xml version="1.0" encoding="utf-8" standalone="yes"?><Relationships xmlns="http://schemas.openxmlformats.org/package/2006/relationships"><Relationship Id="rId1" Type="http://schemas.openxmlformats.org/officeDocument/2006/relationships/hyperlink" Target="#INDICE!C25" /></Relationships>
</file>

<file path=xl/drawings/_rels/drawing19.xml.rels><?xml version="1.0" encoding="utf-8" standalone="yes"?><Relationships xmlns="http://schemas.openxmlformats.org/package/2006/relationships"><Relationship Id="rId1" Type="http://schemas.openxmlformats.org/officeDocument/2006/relationships/hyperlink" Target="#INDICE!C27" /></Relationships>
</file>

<file path=xl/drawings/_rels/drawing2.xml.rels><?xml version="1.0" encoding="utf-8" standalone="yes"?><Relationships xmlns="http://schemas.openxmlformats.org/package/2006/relationships"><Relationship Id="rId1" Type="http://schemas.openxmlformats.org/officeDocument/2006/relationships/hyperlink" Target="#INDICE!C5" /></Relationships>
</file>

<file path=xl/drawings/_rels/drawing20.xml.rels><?xml version="1.0" encoding="utf-8" standalone="yes"?><Relationships xmlns="http://schemas.openxmlformats.org/package/2006/relationships"><Relationship Id="rId1" Type="http://schemas.openxmlformats.org/officeDocument/2006/relationships/hyperlink" Target="#INDICE!C28" /></Relationships>
</file>

<file path=xl/drawings/_rels/drawing21.xml.rels><?xml version="1.0" encoding="utf-8" standalone="yes"?><Relationships xmlns="http://schemas.openxmlformats.org/package/2006/relationships"><Relationship Id="rId1" Type="http://schemas.openxmlformats.org/officeDocument/2006/relationships/hyperlink" Target="#INDICE!C29" /></Relationships>
</file>

<file path=xl/drawings/_rels/drawing22.xml.rels><?xml version="1.0" encoding="utf-8" standalone="yes"?><Relationships xmlns="http://schemas.openxmlformats.org/package/2006/relationships"><Relationship Id="rId1" Type="http://schemas.openxmlformats.org/officeDocument/2006/relationships/hyperlink" Target="#INDICE!C30" /></Relationships>
</file>

<file path=xl/drawings/_rels/drawing23.xml.rels><?xml version="1.0" encoding="utf-8" standalone="yes"?><Relationships xmlns="http://schemas.openxmlformats.org/package/2006/relationships"><Relationship Id="rId1" Type="http://schemas.openxmlformats.org/officeDocument/2006/relationships/hyperlink" Target="#INDICE!C31" /></Relationships>
</file>

<file path=xl/drawings/_rels/drawing24.xml.rels><?xml version="1.0" encoding="utf-8" standalone="yes"?><Relationships xmlns="http://schemas.openxmlformats.org/package/2006/relationships"><Relationship Id="rId1" Type="http://schemas.openxmlformats.org/officeDocument/2006/relationships/hyperlink" Target="#INDICE!C32" /></Relationships>
</file>

<file path=xl/drawings/_rels/drawing25.xml.rels><?xml version="1.0" encoding="utf-8" standalone="yes"?><Relationships xmlns="http://schemas.openxmlformats.org/package/2006/relationships"><Relationship Id="rId1" Type="http://schemas.openxmlformats.org/officeDocument/2006/relationships/hyperlink" Target="#INDICE!C33" /></Relationships>
</file>

<file path=xl/drawings/_rels/drawing26.xml.rels><?xml version="1.0" encoding="utf-8" standalone="yes"?><Relationships xmlns="http://schemas.openxmlformats.org/package/2006/relationships"><Relationship Id="rId1" Type="http://schemas.openxmlformats.org/officeDocument/2006/relationships/hyperlink" Target="#INDICE!C34" /></Relationships>
</file>

<file path=xl/drawings/_rels/drawing27.xml.rels><?xml version="1.0" encoding="utf-8" standalone="yes"?><Relationships xmlns="http://schemas.openxmlformats.org/package/2006/relationships"><Relationship Id="rId1" Type="http://schemas.openxmlformats.org/officeDocument/2006/relationships/hyperlink" Target="#INDICE!C36" /></Relationships>
</file>

<file path=xl/drawings/_rels/drawing3.xml.rels><?xml version="1.0" encoding="utf-8" standalone="yes"?><Relationships xmlns="http://schemas.openxmlformats.org/package/2006/relationships"><Relationship Id="rId1" Type="http://schemas.openxmlformats.org/officeDocument/2006/relationships/hyperlink" Target="#INDICE!C7" /></Relationships>
</file>

<file path=xl/drawings/_rels/drawing4.xml.rels><?xml version="1.0" encoding="utf-8" standalone="yes"?><Relationships xmlns="http://schemas.openxmlformats.org/package/2006/relationships"><Relationship Id="rId1" Type="http://schemas.openxmlformats.org/officeDocument/2006/relationships/hyperlink" Target="#INDICE!C9" /></Relationships>
</file>

<file path=xl/drawings/_rels/drawing5.xml.rels><?xml version="1.0" encoding="utf-8" standalone="yes"?><Relationships xmlns="http://schemas.openxmlformats.org/package/2006/relationships"><Relationship Id="rId1" Type="http://schemas.openxmlformats.org/officeDocument/2006/relationships/hyperlink" Target="#INDICE!C10" /></Relationships>
</file>

<file path=xl/drawings/_rels/drawing6.xml.rels><?xml version="1.0" encoding="utf-8" standalone="yes"?><Relationships xmlns="http://schemas.openxmlformats.org/package/2006/relationships"><Relationship Id="rId1" Type="http://schemas.openxmlformats.org/officeDocument/2006/relationships/hyperlink" Target="#INDICE!C11" /></Relationships>
</file>

<file path=xl/drawings/_rels/drawing7.xml.rels><?xml version="1.0" encoding="utf-8" standalone="yes"?><Relationships xmlns="http://schemas.openxmlformats.org/package/2006/relationships"><Relationship Id="rId1" Type="http://schemas.openxmlformats.org/officeDocument/2006/relationships/hyperlink" Target="#INDICE!C12" /></Relationships>
</file>

<file path=xl/drawings/_rels/drawing8.xml.rels><?xml version="1.0" encoding="utf-8" standalone="yes"?><Relationships xmlns="http://schemas.openxmlformats.org/package/2006/relationships"><Relationship Id="rId1" Type="http://schemas.openxmlformats.org/officeDocument/2006/relationships/hyperlink" Target="#INDICE!C13" /></Relationships>
</file>

<file path=xl/drawings/_rels/drawing9.xml.rels><?xml version="1.0" encoding="utf-8" standalone="yes"?><Relationships xmlns="http://schemas.openxmlformats.org/package/2006/relationships"><Relationship Id="rId1" Type="http://schemas.openxmlformats.org/officeDocument/2006/relationships/hyperlink" Target="#INDICE!C14"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304800</xdr:colOff>
      <xdr:row>6</xdr:row>
      <xdr:rowOff>266700</xdr:rowOff>
    </xdr:to>
    <xdr:sp fLocksText="0">
      <xdr:nvSpPr>
        <xdr:cNvPr id="1" name="7 CuadroTexto"/>
        <xdr:cNvSpPr txBox="1">
          <a:spLocks noChangeArrowheads="1"/>
        </xdr:cNvSpPr>
      </xdr:nvSpPr>
      <xdr:spPr>
        <a:xfrm>
          <a:off x="9525" y="1476375"/>
          <a:ext cx="285750" cy="2667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104775</xdr:colOff>
      <xdr:row>0</xdr:row>
      <xdr:rowOff>180975</xdr:rowOff>
    </xdr:from>
    <xdr:to>
      <xdr:col>1</xdr:col>
      <xdr:colOff>295275</xdr:colOff>
      <xdr:row>3</xdr:row>
      <xdr:rowOff>238125</xdr:rowOff>
    </xdr:to>
    <xdr:pic>
      <xdr:nvPicPr>
        <xdr:cNvPr id="2" name="4 Imagen"/>
        <xdr:cNvPicPr preferRelativeResize="1">
          <a:picLocks noChangeAspect="1"/>
        </xdr:cNvPicPr>
      </xdr:nvPicPr>
      <xdr:blipFill>
        <a:blip r:embed="rId1"/>
        <a:stretch>
          <a:fillRect/>
        </a:stretch>
      </xdr:blipFill>
      <xdr:spPr>
        <a:xfrm>
          <a:off x="104775" y="180975"/>
          <a:ext cx="2886075" cy="942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1</xdr:row>
      <xdr:rowOff>209550</xdr:rowOff>
    </xdr:from>
    <xdr:to>
      <xdr:col>10</xdr:col>
      <xdr:colOff>666750</xdr:colOff>
      <xdr:row>5</xdr:row>
      <xdr:rowOff>171450</xdr:rowOff>
    </xdr:to>
    <xdr:sp>
      <xdr:nvSpPr>
        <xdr:cNvPr id="1" name="2 Rectángulo redondeado">
          <a:hlinkClick r:id="rId1"/>
        </xdr:cNvPr>
        <xdr:cNvSpPr>
          <a:spLocks/>
        </xdr:cNvSpPr>
      </xdr:nvSpPr>
      <xdr:spPr>
        <a:xfrm>
          <a:off x="10639425" y="419100"/>
          <a:ext cx="1219200" cy="7810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381000</xdr:colOff>
      <xdr:row>1</xdr:row>
      <xdr:rowOff>114300</xdr:rowOff>
    </xdr:from>
    <xdr:to>
      <xdr:col>11</xdr:col>
      <xdr:colOff>66675</xdr:colOff>
      <xdr:row>5</xdr:row>
      <xdr:rowOff>85725</xdr:rowOff>
    </xdr:to>
    <xdr:sp>
      <xdr:nvSpPr>
        <xdr:cNvPr id="1" name="2 Rectángulo redondeado">
          <a:hlinkClick r:id="rId1"/>
        </xdr:cNvPr>
        <xdr:cNvSpPr>
          <a:spLocks/>
        </xdr:cNvSpPr>
      </xdr:nvSpPr>
      <xdr:spPr>
        <a:xfrm>
          <a:off x="10610850" y="323850"/>
          <a:ext cx="1209675" cy="7905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171450</xdr:colOff>
      <xdr:row>1</xdr:row>
      <xdr:rowOff>114300</xdr:rowOff>
    </xdr:from>
    <xdr:to>
      <xdr:col>10</xdr:col>
      <xdr:colOff>638175</xdr:colOff>
      <xdr:row>5</xdr:row>
      <xdr:rowOff>85725</xdr:rowOff>
    </xdr:to>
    <xdr:sp>
      <xdr:nvSpPr>
        <xdr:cNvPr id="1" name="2 Rectángulo redondeado">
          <a:hlinkClick r:id="rId1"/>
        </xdr:cNvPr>
        <xdr:cNvSpPr>
          <a:spLocks/>
        </xdr:cNvSpPr>
      </xdr:nvSpPr>
      <xdr:spPr>
        <a:xfrm>
          <a:off x="10401300" y="323850"/>
          <a:ext cx="1228725" cy="7905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1</xdr:row>
      <xdr:rowOff>238125</xdr:rowOff>
    </xdr:from>
    <xdr:to>
      <xdr:col>10</xdr:col>
      <xdr:colOff>600075</xdr:colOff>
      <xdr:row>6</xdr:row>
      <xdr:rowOff>19050</xdr:rowOff>
    </xdr:to>
    <xdr:sp>
      <xdr:nvSpPr>
        <xdr:cNvPr id="1" name="2 Rectángulo redondeado">
          <a:hlinkClick r:id="rId1"/>
        </xdr:cNvPr>
        <xdr:cNvSpPr>
          <a:spLocks/>
        </xdr:cNvSpPr>
      </xdr:nvSpPr>
      <xdr:spPr>
        <a:xfrm>
          <a:off x="10382250" y="447675"/>
          <a:ext cx="1209675" cy="7810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2</xdr:row>
      <xdr:rowOff>57150</xdr:rowOff>
    </xdr:from>
    <xdr:to>
      <xdr:col>10</xdr:col>
      <xdr:colOff>542925</xdr:colOff>
      <xdr:row>6</xdr:row>
      <xdr:rowOff>66675</xdr:rowOff>
    </xdr:to>
    <xdr:sp>
      <xdr:nvSpPr>
        <xdr:cNvPr id="1" name="2 Rectángulo redondeado">
          <a:hlinkClick r:id="rId1"/>
        </xdr:cNvPr>
        <xdr:cNvSpPr>
          <a:spLocks/>
        </xdr:cNvSpPr>
      </xdr:nvSpPr>
      <xdr:spPr>
        <a:xfrm>
          <a:off x="12573000" y="514350"/>
          <a:ext cx="1209675" cy="7620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285750</xdr:colOff>
      <xdr:row>1</xdr:row>
      <xdr:rowOff>133350</xdr:rowOff>
    </xdr:from>
    <xdr:to>
      <xdr:col>10</xdr:col>
      <xdr:colOff>752475</xdr:colOff>
      <xdr:row>5</xdr:row>
      <xdr:rowOff>104775</xdr:rowOff>
    </xdr:to>
    <xdr:sp>
      <xdr:nvSpPr>
        <xdr:cNvPr id="1" name="2 Rectángulo redondeado">
          <a:hlinkClick r:id="rId1"/>
        </xdr:cNvPr>
        <xdr:cNvSpPr>
          <a:spLocks/>
        </xdr:cNvSpPr>
      </xdr:nvSpPr>
      <xdr:spPr>
        <a:xfrm>
          <a:off x="10515600" y="342900"/>
          <a:ext cx="1228725" cy="7905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2</xdr:row>
      <xdr:rowOff>57150</xdr:rowOff>
    </xdr:from>
    <xdr:to>
      <xdr:col>10</xdr:col>
      <xdr:colOff>542925</xdr:colOff>
      <xdr:row>6</xdr:row>
      <xdr:rowOff>66675</xdr:rowOff>
    </xdr:to>
    <xdr:sp>
      <xdr:nvSpPr>
        <xdr:cNvPr id="1" name="2 Rectángulo redondeado">
          <a:hlinkClick r:id="rId1"/>
        </xdr:cNvPr>
        <xdr:cNvSpPr>
          <a:spLocks/>
        </xdr:cNvSpPr>
      </xdr:nvSpPr>
      <xdr:spPr>
        <a:xfrm>
          <a:off x="10325100" y="933450"/>
          <a:ext cx="1209675" cy="8286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2</xdr:row>
      <xdr:rowOff>57150</xdr:rowOff>
    </xdr:from>
    <xdr:to>
      <xdr:col>10</xdr:col>
      <xdr:colOff>542925</xdr:colOff>
      <xdr:row>6</xdr:row>
      <xdr:rowOff>66675</xdr:rowOff>
    </xdr:to>
    <xdr:sp>
      <xdr:nvSpPr>
        <xdr:cNvPr id="1" name="2 Rectángulo redondeado">
          <a:hlinkClick r:id="rId1"/>
        </xdr:cNvPr>
        <xdr:cNvSpPr>
          <a:spLocks/>
        </xdr:cNvSpPr>
      </xdr:nvSpPr>
      <xdr:spPr>
        <a:xfrm>
          <a:off x="12573000" y="762000"/>
          <a:ext cx="1209675" cy="8286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2</xdr:row>
      <xdr:rowOff>57150</xdr:rowOff>
    </xdr:from>
    <xdr:to>
      <xdr:col>10</xdr:col>
      <xdr:colOff>542925</xdr:colOff>
      <xdr:row>6</xdr:row>
      <xdr:rowOff>66675</xdr:rowOff>
    </xdr:to>
    <xdr:sp>
      <xdr:nvSpPr>
        <xdr:cNvPr id="1" name="2 Rectángulo redondeado">
          <a:hlinkClick r:id="rId1"/>
        </xdr:cNvPr>
        <xdr:cNvSpPr>
          <a:spLocks/>
        </xdr:cNvSpPr>
      </xdr:nvSpPr>
      <xdr:spPr>
        <a:xfrm>
          <a:off x="10325100" y="457200"/>
          <a:ext cx="1209675" cy="8286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514350</xdr:colOff>
      <xdr:row>0</xdr:row>
      <xdr:rowOff>133350</xdr:rowOff>
    </xdr:from>
    <xdr:to>
      <xdr:col>10</xdr:col>
      <xdr:colOff>628650</xdr:colOff>
      <xdr:row>4</xdr:row>
      <xdr:rowOff>47625</xdr:rowOff>
    </xdr:to>
    <xdr:sp>
      <xdr:nvSpPr>
        <xdr:cNvPr id="1" name="2 Rectángulo redondeado">
          <a:hlinkClick r:id="rId1"/>
        </xdr:cNvPr>
        <xdr:cNvSpPr>
          <a:spLocks/>
        </xdr:cNvSpPr>
      </xdr:nvSpPr>
      <xdr:spPr>
        <a:xfrm>
          <a:off x="8562975" y="133350"/>
          <a:ext cx="952500" cy="6667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1</xdr:row>
      <xdr:rowOff>38100</xdr:rowOff>
    </xdr:from>
    <xdr:to>
      <xdr:col>10</xdr:col>
      <xdr:colOff>581025</xdr:colOff>
      <xdr:row>5</xdr:row>
      <xdr:rowOff>9525</xdr:rowOff>
    </xdr:to>
    <xdr:sp>
      <xdr:nvSpPr>
        <xdr:cNvPr id="1" name="2 Rectángulo redondeado">
          <a:hlinkClick r:id="rId1"/>
        </xdr:cNvPr>
        <xdr:cNvSpPr>
          <a:spLocks/>
        </xdr:cNvSpPr>
      </xdr:nvSpPr>
      <xdr:spPr>
        <a:xfrm>
          <a:off x="12544425" y="247650"/>
          <a:ext cx="1247775" cy="7905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428625</xdr:colOff>
      <xdr:row>0</xdr:row>
      <xdr:rowOff>133350</xdr:rowOff>
    </xdr:from>
    <xdr:to>
      <xdr:col>11</xdr:col>
      <xdr:colOff>361950</xdr:colOff>
      <xdr:row>4</xdr:row>
      <xdr:rowOff>38100</xdr:rowOff>
    </xdr:to>
    <xdr:sp>
      <xdr:nvSpPr>
        <xdr:cNvPr id="1" name="2 Rectángulo redondeado">
          <a:hlinkClick r:id="rId1"/>
        </xdr:cNvPr>
        <xdr:cNvSpPr>
          <a:spLocks/>
        </xdr:cNvSpPr>
      </xdr:nvSpPr>
      <xdr:spPr>
        <a:xfrm>
          <a:off x="9267825" y="133350"/>
          <a:ext cx="1209675" cy="6953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438150</xdr:colOff>
      <xdr:row>1</xdr:row>
      <xdr:rowOff>95250</xdr:rowOff>
    </xdr:from>
    <xdr:to>
      <xdr:col>10</xdr:col>
      <xdr:colOff>638175</xdr:colOff>
      <xdr:row>3</xdr:row>
      <xdr:rowOff>133350</xdr:rowOff>
    </xdr:to>
    <xdr:sp>
      <xdr:nvSpPr>
        <xdr:cNvPr id="1" name="2 Rectángulo redondeado">
          <a:hlinkClick r:id="rId1"/>
        </xdr:cNvPr>
        <xdr:cNvSpPr>
          <a:spLocks/>
        </xdr:cNvSpPr>
      </xdr:nvSpPr>
      <xdr:spPr>
        <a:xfrm>
          <a:off x="8124825" y="304800"/>
          <a:ext cx="962025" cy="6477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457200</xdr:colOff>
      <xdr:row>0</xdr:row>
      <xdr:rowOff>180975</xdr:rowOff>
    </xdr:from>
    <xdr:to>
      <xdr:col>11</xdr:col>
      <xdr:colOff>9525</xdr:colOff>
      <xdr:row>3</xdr:row>
      <xdr:rowOff>0</xdr:rowOff>
    </xdr:to>
    <xdr:sp>
      <xdr:nvSpPr>
        <xdr:cNvPr id="1" name="2 Rectángulo redondeado">
          <a:hlinkClick r:id="rId1"/>
        </xdr:cNvPr>
        <xdr:cNvSpPr>
          <a:spLocks/>
        </xdr:cNvSpPr>
      </xdr:nvSpPr>
      <xdr:spPr>
        <a:xfrm>
          <a:off x="8705850" y="180975"/>
          <a:ext cx="1076325" cy="457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342900</xdr:colOff>
      <xdr:row>1</xdr:row>
      <xdr:rowOff>104775</xdr:rowOff>
    </xdr:from>
    <xdr:to>
      <xdr:col>10</xdr:col>
      <xdr:colOff>447675</xdr:colOff>
      <xdr:row>4</xdr:row>
      <xdr:rowOff>0</xdr:rowOff>
    </xdr:to>
    <xdr:sp>
      <xdr:nvSpPr>
        <xdr:cNvPr id="1" name="2 Rectángulo redondeado">
          <a:hlinkClick r:id="rId1"/>
        </xdr:cNvPr>
        <xdr:cNvSpPr>
          <a:spLocks/>
        </xdr:cNvSpPr>
      </xdr:nvSpPr>
      <xdr:spPr>
        <a:xfrm>
          <a:off x="8105775" y="352425"/>
          <a:ext cx="828675" cy="5048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276225</xdr:colOff>
      <xdr:row>1</xdr:row>
      <xdr:rowOff>38100</xdr:rowOff>
    </xdr:from>
    <xdr:to>
      <xdr:col>10</xdr:col>
      <xdr:colOff>476250</xdr:colOff>
      <xdr:row>4</xdr:row>
      <xdr:rowOff>66675</xdr:rowOff>
    </xdr:to>
    <xdr:sp>
      <xdr:nvSpPr>
        <xdr:cNvPr id="1" name="2 Rectángulo redondeado">
          <a:hlinkClick r:id="rId1"/>
        </xdr:cNvPr>
        <xdr:cNvSpPr>
          <a:spLocks/>
        </xdr:cNvSpPr>
      </xdr:nvSpPr>
      <xdr:spPr>
        <a:xfrm>
          <a:off x="9972675" y="247650"/>
          <a:ext cx="962025" cy="6000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228600</xdr:colOff>
      <xdr:row>1</xdr:row>
      <xdr:rowOff>133350</xdr:rowOff>
    </xdr:from>
    <xdr:to>
      <xdr:col>11</xdr:col>
      <xdr:colOff>57150</xdr:colOff>
      <xdr:row>4</xdr:row>
      <xdr:rowOff>66675</xdr:rowOff>
    </xdr:to>
    <xdr:sp>
      <xdr:nvSpPr>
        <xdr:cNvPr id="1" name="2 Rectángulo redondeado">
          <a:hlinkClick r:id="rId1"/>
        </xdr:cNvPr>
        <xdr:cNvSpPr>
          <a:spLocks/>
        </xdr:cNvSpPr>
      </xdr:nvSpPr>
      <xdr:spPr>
        <a:xfrm>
          <a:off x="9315450" y="342900"/>
          <a:ext cx="904875" cy="4953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161925</xdr:colOff>
      <xdr:row>1</xdr:row>
      <xdr:rowOff>38100</xdr:rowOff>
    </xdr:from>
    <xdr:to>
      <xdr:col>11</xdr:col>
      <xdr:colOff>1114425</xdr:colOff>
      <xdr:row>4</xdr:row>
      <xdr:rowOff>161925</xdr:rowOff>
    </xdr:to>
    <xdr:sp>
      <xdr:nvSpPr>
        <xdr:cNvPr id="1" name="1 Rectángulo redondeado">
          <a:hlinkClick r:id="rId1"/>
        </xdr:cNvPr>
        <xdr:cNvSpPr>
          <a:spLocks/>
        </xdr:cNvSpPr>
      </xdr:nvSpPr>
      <xdr:spPr>
        <a:xfrm>
          <a:off x="9077325" y="247650"/>
          <a:ext cx="1333500" cy="6858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457200</xdr:colOff>
      <xdr:row>1</xdr:row>
      <xdr:rowOff>47625</xdr:rowOff>
    </xdr:from>
    <xdr:to>
      <xdr:col>10</xdr:col>
      <xdr:colOff>647700</xdr:colOff>
      <xdr:row>3</xdr:row>
      <xdr:rowOff>180975</xdr:rowOff>
    </xdr:to>
    <xdr:sp>
      <xdr:nvSpPr>
        <xdr:cNvPr id="1" name="1 Rectángulo redondeado">
          <a:hlinkClick r:id="rId1"/>
        </xdr:cNvPr>
        <xdr:cNvSpPr>
          <a:spLocks/>
        </xdr:cNvSpPr>
      </xdr:nvSpPr>
      <xdr:spPr>
        <a:xfrm>
          <a:off x="8801100" y="257175"/>
          <a:ext cx="952500" cy="4953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2</xdr:row>
      <xdr:rowOff>104775</xdr:rowOff>
    </xdr:from>
    <xdr:to>
      <xdr:col>10</xdr:col>
      <xdr:colOff>552450</xdr:colOff>
      <xdr:row>6</xdr:row>
      <xdr:rowOff>152400</xdr:rowOff>
    </xdr:to>
    <xdr:sp>
      <xdr:nvSpPr>
        <xdr:cNvPr id="1" name="2 Rectángulo redondeado">
          <a:hlinkClick r:id="rId1"/>
        </xdr:cNvPr>
        <xdr:cNvSpPr>
          <a:spLocks/>
        </xdr:cNvSpPr>
      </xdr:nvSpPr>
      <xdr:spPr>
        <a:xfrm>
          <a:off x="11896725" y="561975"/>
          <a:ext cx="1209675" cy="8001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514350</xdr:colOff>
      <xdr:row>2</xdr:row>
      <xdr:rowOff>114300</xdr:rowOff>
    </xdr:from>
    <xdr:to>
      <xdr:col>11</xdr:col>
      <xdr:colOff>200025</xdr:colOff>
      <xdr:row>6</xdr:row>
      <xdr:rowOff>133350</xdr:rowOff>
    </xdr:to>
    <xdr:sp>
      <xdr:nvSpPr>
        <xdr:cNvPr id="1" name="2 Rectángulo redondeado">
          <a:hlinkClick r:id="rId1"/>
        </xdr:cNvPr>
        <xdr:cNvSpPr>
          <a:spLocks/>
        </xdr:cNvSpPr>
      </xdr:nvSpPr>
      <xdr:spPr>
        <a:xfrm>
          <a:off x="10744200" y="571500"/>
          <a:ext cx="1209675" cy="7715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276225</xdr:colOff>
      <xdr:row>2</xdr:row>
      <xdr:rowOff>133350</xdr:rowOff>
    </xdr:from>
    <xdr:to>
      <xdr:col>10</xdr:col>
      <xdr:colOff>733425</xdr:colOff>
      <xdr:row>6</xdr:row>
      <xdr:rowOff>133350</xdr:rowOff>
    </xdr:to>
    <xdr:sp>
      <xdr:nvSpPr>
        <xdr:cNvPr id="1" name="2 Rectángulo redondeado">
          <a:hlinkClick r:id="rId1"/>
        </xdr:cNvPr>
        <xdr:cNvSpPr>
          <a:spLocks/>
        </xdr:cNvSpPr>
      </xdr:nvSpPr>
      <xdr:spPr>
        <a:xfrm>
          <a:off x="10506075" y="590550"/>
          <a:ext cx="1219200" cy="7524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171450</xdr:colOff>
      <xdr:row>2</xdr:row>
      <xdr:rowOff>152400</xdr:rowOff>
    </xdr:from>
    <xdr:to>
      <xdr:col>10</xdr:col>
      <xdr:colOff>619125</xdr:colOff>
      <xdr:row>6</xdr:row>
      <xdr:rowOff>152400</xdr:rowOff>
    </xdr:to>
    <xdr:sp>
      <xdr:nvSpPr>
        <xdr:cNvPr id="1" name="2 Rectángulo redondeado">
          <a:hlinkClick r:id="rId1"/>
        </xdr:cNvPr>
        <xdr:cNvSpPr>
          <a:spLocks/>
        </xdr:cNvSpPr>
      </xdr:nvSpPr>
      <xdr:spPr>
        <a:xfrm>
          <a:off x="10401300" y="609600"/>
          <a:ext cx="1209675" cy="7524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342900</xdr:colOff>
      <xdr:row>2</xdr:row>
      <xdr:rowOff>76200</xdr:rowOff>
    </xdr:from>
    <xdr:to>
      <xdr:col>11</xdr:col>
      <xdr:colOff>28575</xdr:colOff>
      <xdr:row>6</xdr:row>
      <xdr:rowOff>104775</xdr:rowOff>
    </xdr:to>
    <xdr:sp>
      <xdr:nvSpPr>
        <xdr:cNvPr id="1" name="2 Rectángulo redondeado">
          <a:hlinkClick r:id="rId1"/>
        </xdr:cNvPr>
        <xdr:cNvSpPr>
          <a:spLocks/>
        </xdr:cNvSpPr>
      </xdr:nvSpPr>
      <xdr:spPr>
        <a:xfrm>
          <a:off x="10572750" y="533400"/>
          <a:ext cx="1209675" cy="7810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2</xdr:row>
      <xdr:rowOff>19050</xdr:rowOff>
    </xdr:from>
    <xdr:to>
      <xdr:col>11</xdr:col>
      <xdr:colOff>47625</xdr:colOff>
      <xdr:row>6</xdr:row>
      <xdr:rowOff>38100</xdr:rowOff>
    </xdr:to>
    <xdr:sp>
      <xdr:nvSpPr>
        <xdr:cNvPr id="1" name="2 Rectángulo redondeado">
          <a:hlinkClick r:id="rId1"/>
        </xdr:cNvPr>
        <xdr:cNvSpPr>
          <a:spLocks/>
        </xdr:cNvSpPr>
      </xdr:nvSpPr>
      <xdr:spPr>
        <a:xfrm>
          <a:off x="10591800" y="476250"/>
          <a:ext cx="1209675" cy="7715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2</xdr:row>
      <xdr:rowOff>38100</xdr:rowOff>
    </xdr:from>
    <xdr:to>
      <xdr:col>10</xdr:col>
      <xdr:colOff>714375</xdr:colOff>
      <xdr:row>6</xdr:row>
      <xdr:rowOff>47625</xdr:rowOff>
    </xdr:to>
    <xdr:sp>
      <xdr:nvSpPr>
        <xdr:cNvPr id="1" name="2 Rectángulo redondeado">
          <a:hlinkClick r:id="rId1"/>
        </xdr:cNvPr>
        <xdr:cNvSpPr>
          <a:spLocks/>
        </xdr:cNvSpPr>
      </xdr:nvSpPr>
      <xdr:spPr>
        <a:xfrm>
          <a:off x="10487025" y="495300"/>
          <a:ext cx="1219200" cy="7620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theme/theme1.xml><?xml version="1.0" encoding="utf-8"?>
<a:theme xmlns:a="http://schemas.openxmlformats.org/drawingml/2006/main" name="Office Theme">
  <a:themeElements>
    <a:clrScheme name="bbva">
      <a:dk1>
        <a:srgbClr val="004481"/>
      </a:dk1>
      <a:lt1>
        <a:sysClr val="window" lastClr="FFFFFF"/>
      </a:lt1>
      <a:dk2>
        <a:srgbClr val="0A5FB4"/>
      </a:dk2>
      <a:lt2>
        <a:srgbClr val="121212"/>
      </a:lt2>
      <a:accent1>
        <a:srgbClr val="2A86CA"/>
      </a:accent1>
      <a:accent2>
        <a:srgbClr val="5BBEFF"/>
      </a:accent2>
      <a:accent3>
        <a:srgbClr val="2DCCCD"/>
      </a:accent3>
      <a:accent4>
        <a:srgbClr val="072146"/>
      </a:accent4>
      <a:accent5>
        <a:srgbClr val="D8BE75"/>
      </a:accent5>
      <a:accent6>
        <a:srgbClr val="F7893B"/>
      </a:accent6>
      <a:hlink>
        <a:srgbClr val="004481"/>
      </a:hlink>
      <a:folHlink>
        <a:srgbClr val="07214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I1000"/>
  <sheetViews>
    <sheetView showGridLines="0" zoomScale="80" zoomScaleNormal="80" zoomScalePageLayoutView="0" workbookViewId="0" topLeftCell="A1">
      <selection activeCell="F23" sqref="F23"/>
    </sheetView>
  </sheetViews>
  <sheetFormatPr defaultColWidth="11.421875" defaultRowHeight="15"/>
  <cols>
    <col min="2" max="2" width="6.421875" style="0" customWidth="1"/>
    <col min="3" max="3" width="107.421875" style="0" customWidth="1"/>
    <col min="4" max="4" width="54.421875" style="0" customWidth="1"/>
  </cols>
  <sheetData>
    <row r="1" spans="1:4" ht="14.25">
      <c r="A1" s="235"/>
      <c r="B1" s="235"/>
      <c r="C1" s="236"/>
      <c r="D1" s="236"/>
    </row>
    <row r="2" spans="1:4" ht="14.25">
      <c r="A2" s="235"/>
      <c r="B2" s="235" t="s">
        <v>13</v>
      </c>
      <c r="C2" s="236" t="s">
        <v>14</v>
      </c>
      <c r="D2" s="236" t="s">
        <v>15</v>
      </c>
    </row>
    <row r="3" spans="1:9" ht="19.5">
      <c r="A3" s="235"/>
      <c r="B3" s="235">
        <v>1</v>
      </c>
      <c r="C3" s="237">
        <v>7</v>
      </c>
      <c r="D3" s="237">
        <v>8</v>
      </c>
      <c r="I3" s="238" t="s">
        <v>0</v>
      </c>
    </row>
    <row r="4" spans="2:9" ht="19.5">
      <c r="B4">
        <v>2</v>
      </c>
      <c r="C4" s="239" t="s">
        <v>424</v>
      </c>
      <c r="D4" s="239" t="s">
        <v>425</v>
      </c>
      <c r="I4" s="238" t="s">
        <v>16</v>
      </c>
    </row>
    <row r="5" spans="2:9" ht="19.5">
      <c r="B5">
        <v>3</v>
      </c>
      <c r="C5" s="239" t="s">
        <v>17</v>
      </c>
      <c r="D5" s="239" t="s">
        <v>18</v>
      </c>
      <c r="I5" s="238" t="s">
        <v>19</v>
      </c>
    </row>
    <row r="6" spans="2:4" ht="15">
      <c r="B6">
        <v>4</v>
      </c>
      <c r="C6" s="239" t="s">
        <v>20</v>
      </c>
      <c r="D6" s="239" t="s">
        <v>21</v>
      </c>
    </row>
    <row r="7" spans="2:4" ht="15">
      <c r="B7">
        <v>5</v>
      </c>
      <c r="C7" s="239" t="s">
        <v>22</v>
      </c>
      <c r="D7" s="239" t="s">
        <v>23</v>
      </c>
    </row>
    <row r="8" spans="2:4" ht="15">
      <c r="B8">
        <v>6</v>
      </c>
      <c r="C8" s="239" t="s">
        <v>24</v>
      </c>
      <c r="D8" s="239" t="s">
        <v>25</v>
      </c>
    </row>
    <row r="9" spans="2:4" ht="15">
      <c r="B9">
        <v>7</v>
      </c>
      <c r="C9" s="239" t="s">
        <v>26</v>
      </c>
      <c r="D9" s="239" t="s">
        <v>27</v>
      </c>
    </row>
    <row r="10" spans="2:4" ht="15">
      <c r="B10">
        <v>8</v>
      </c>
      <c r="C10" s="239" t="s">
        <v>28</v>
      </c>
      <c r="D10" s="239" t="s">
        <v>29</v>
      </c>
    </row>
    <row r="11" spans="2:4" ht="15">
      <c r="B11">
        <v>9</v>
      </c>
      <c r="C11" s="239" t="s">
        <v>30</v>
      </c>
      <c r="D11" s="239" t="s">
        <v>30</v>
      </c>
    </row>
    <row r="12" spans="2:4" ht="15">
      <c r="B12">
        <v>10</v>
      </c>
      <c r="C12" s="240" t="s">
        <v>31</v>
      </c>
      <c r="D12" s="240" t="s">
        <v>32</v>
      </c>
    </row>
    <row r="13" spans="2:4" ht="15">
      <c r="B13">
        <v>11</v>
      </c>
      <c r="C13" s="240" t="s">
        <v>33</v>
      </c>
      <c r="D13" s="240" t="s">
        <v>34</v>
      </c>
    </row>
    <row r="14" spans="2:4" ht="15">
      <c r="B14">
        <v>12</v>
      </c>
      <c r="C14" s="240" t="s">
        <v>35</v>
      </c>
      <c r="D14" s="240" t="s">
        <v>36</v>
      </c>
    </row>
    <row r="15" spans="2:4" ht="15">
      <c r="B15">
        <v>13</v>
      </c>
      <c r="C15" s="240" t="s">
        <v>37</v>
      </c>
      <c r="D15" s="240" t="s">
        <v>38</v>
      </c>
    </row>
    <row r="16" spans="2:4" ht="15">
      <c r="B16">
        <v>14</v>
      </c>
      <c r="C16" s="240" t="s">
        <v>8</v>
      </c>
      <c r="D16" s="240" t="s">
        <v>8</v>
      </c>
    </row>
    <row r="17" spans="2:4" ht="15">
      <c r="B17">
        <v>15</v>
      </c>
      <c r="C17" s="240" t="s">
        <v>9</v>
      </c>
      <c r="D17" s="240" t="s">
        <v>9</v>
      </c>
    </row>
    <row r="18" spans="2:4" ht="15">
      <c r="B18">
        <v>16</v>
      </c>
      <c r="C18" s="240" t="s">
        <v>10</v>
      </c>
      <c r="D18" s="240" t="s">
        <v>10</v>
      </c>
    </row>
    <row r="19" spans="2:4" ht="15">
      <c r="B19">
        <v>17</v>
      </c>
      <c r="C19" s="240" t="s">
        <v>11</v>
      </c>
      <c r="D19" s="240" t="s">
        <v>39</v>
      </c>
    </row>
    <row r="20" spans="2:4" ht="15">
      <c r="B20">
        <v>18</v>
      </c>
      <c r="C20" s="240" t="s">
        <v>40</v>
      </c>
      <c r="D20" s="240" t="s">
        <v>41</v>
      </c>
    </row>
    <row r="21" spans="2:4" ht="15">
      <c r="B21">
        <v>19</v>
      </c>
      <c r="C21" s="240" t="s">
        <v>42</v>
      </c>
      <c r="D21" s="240" t="s">
        <v>43</v>
      </c>
    </row>
    <row r="22" spans="2:4" ht="15">
      <c r="B22">
        <v>20</v>
      </c>
      <c r="C22" s="240" t="s">
        <v>44</v>
      </c>
      <c r="D22" s="240" t="s">
        <v>45</v>
      </c>
    </row>
    <row r="23" spans="2:4" ht="15">
      <c r="B23">
        <v>21</v>
      </c>
      <c r="C23" s="240" t="s">
        <v>46</v>
      </c>
      <c r="D23" s="240" t="s">
        <v>46</v>
      </c>
    </row>
    <row r="24" spans="2:4" ht="15">
      <c r="B24">
        <v>22</v>
      </c>
      <c r="C24" s="240" t="s">
        <v>47</v>
      </c>
      <c r="D24" s="240" t="s">
        <v>48</v>
      </c>
    </row>
    <row r="25" spans="2:4" ht="15">
      <c r="B25">
        <v>23</v>
      </c>
      <c r="C25" s="240" t="s">
        <v>49</v>
      </c>
      <c r="D25" s="240" t="s">
        <v>50</v>
      </c>
    </row>
    <row r="26" spans="2:4" ht="15">
      <c r="B26">
        <v>24</v>
      </c>
      <c r="C26" s="240" t="s">
        <v>51</v>
      </c>
      <c r="D26" s="240" t="s">
        <v>52</v>
      </c>
    </row>
    <row r="27" spans="2:4" ht="15">
      <c r="B27">
        <v>25</v>
      </c>
      <c r="C27" s="240" t="s">
        <v>53</v>
      </c>
      <c r="D27" s="240" t="s">
        <v>54</v>
      </c>
    </row>
    <row r="28" spans="2:4" ht="15">
      <c r="B28">
        <v>26</v>
      </c>
      <c r="C28" s="240" t="s">
        <v>55</v>
      </c>
      <c r="D28" s="240" t="s">
        <v>56</v>
      </c>
    </row>
    <row r="29" spans="2:4" ht="15">
      <c r="B29">
        <v>27</v>
      </c>
      <c r="C29" s="240" t="s">
        <v>57</v>
      </c>
      <c r="D29" s="240" t="s">
        <v>58</v>
      </c>
    </row>
    <row r="30" spans="2:4" ht="15">
      <c r="B30">
        <v>28</v>
      </c>
      <c r="C30" s="240" t="s">
        <v>59</v>
      </c>
      <c r="D30" s="240" t="s">
        <v>60</v>
      </c>
    </row>
    <row r="31" spans="2:4" ht="15">
      <c r="B31">
        <v>29</v>
      </c>
      <c r="C31" s="240" t="s">
        <v>61</v>
      </c>
      <c r="D31" s="240" t="s">
        <v>62</v>
      </c>
    </row>
    <row r="32" spans="2:4" ht="15">
      <c r="B32">
        <v>30</v>
      </c>
      <c r="C32" s="240" t="s">
        <v>63</v>
      </c>
      <c r="D32" s="240" t="s">
        <v>64</v>
      </c>
    </row>
    <row r="33" spans="2:4" ht="15">
      <c r="B33">
        <v>31</v>
      </c>
      <c r="C33" s="240" t="s">
        <v>65</v>
      </c>
      <c r="D33" t="s">
        <v>66</v>
      </c>
    </row>
    <row r="34" spans="2:4" ht="15">
      <c r="B34">
        <v>32</v>
      </c>
      <c r="C34" s="240" t="s">
        <v>67</v>
      </c>
      <c r="D34" t="s">
        <v>68</v>
      </c>
    </row>
    <row r="35" spans="2:4" ht="15">
      <c r="B35">
        <v>33</v>
      </c>
      <c r="C35" s="240" t="s">
        <v>69</v>
      </c>
      <c r="D35" t="s">
        <v>70</v>
      </c>
    </row>
    <row r="36" spans="2:4" ht="15">
      <c r="B36">
        <v>34</v>
      </c>
      <c r="C36" s="240" t="s">
        <v>71</v>
      </c>
      <c r="D36" t="s">
        <v>72</v>
      </c>
    </row>
    <row r="37" spans="2:4" ht="15">
      <c r="B37">
        <v>35</v>
      </c>
      <c r="C37" s="240" t="s">
        <v>73</v>
      </c>
      <c r="D37" t="s">
        <v>74</v>
      </c>
    </row>
    <row r="38" spans="2:4" ht="15">
      <c r="B38">
        <v>36</v>
      </c>
      <c r="C38" s="240" t="s">
        <v>75</v>
      </c>
      <c r="D38" t="s">
        <v>76</v>
      </c>
    </row>
    <row r="39" spans="2:4" ht="15">
      <c r="B39">
        <v>37</v>
      </c>
      <c r="C39" s="240" t="s">
        <v>77</v>
      </c>
      <c r="D39" t="s">
        <v>78</v>
      </c>
    </row>
    <row r="40" spans="2:4" ht="15">
      <c r="B40">
        <v>38</v>
      </c>
      <c r="C40" s="240" t="s">
        <v>79</v>
      </c>
      <c r="D40" t="s">
        <v>80</v>
      </c>
    </row>
    <row r="41" spans="2:4" ht="15">
      <c r="B41">
        <v>39</v>
      </c>
      <c r="C41" s="240" t="s">
        <v>81</v>
      </c>
      <c r="D41" t="s">
        <v>82</v>
      </c>
    </row>
    <row r="42" spans="2:4" ht="15">
      <c r="B42">
        <v>40</v>
      </c>
      <c r="C42" s="240" t="s">
        <v>83</v>
      </c>
      <c r="D42" t="s">
        <v>84</v>
      </c>
    </row>
    <row r="43" spans="2:4" ht="15">
      <c r="B43">
        <v>41</v>
      </c>
      <c r="C43" s="240" t="s">
        <v>85</v>
      </c>
      <c r="D43" t="s">
        <v>86</v>
      </c>
    </row>
    <row r="44" spans="2:4" ht="15">
      <c r="B44">
        <v>42</v>
      </c>
      <c r="C44" s="240" t="s">
        <v>87</v>
      </c>
      <c r="D44" t="s">
        <v>88</v>
      </c>
    </row>
    <row r="45" spans="2:4" ht="15">
      <c r="B45">
        <v>43</v>
      </c>
      <c r="C45" s="240" t="s">
        <v>89</v>
      </c>
      <c r="D45" t="s">
        <v>90</v>
      </c>
    </row>
    <row r="46" spans="2:4" ht="15">
      <c r="B46">
        <v>44</v>
      </c>
      <c r="C46" s="240" t="s">
        <v>91</v>
      </c>
      <c r="D46" t="s">
        <v>92</v>
      </c>
    </row>
    <row r="47" spans="2:4" ht="15">
      <c r="B47">
        <v>45</v>
      </c>
      <c r="C47" s="240" t="s">
        <v>93</v>
      </c>
      <c r="D47" t="s">
        <v>94</v>
      </c>
    </row>
    <row r="48" spans="2:4" ht="15">
      <c r="B48">
        <v>46</v>
      </c>
      <c r="C48" s="240" t="s">
        <v>95</v>
      </c>
      <c r="D48" t="s">
        <v>96</v>
      </c>
    </row>
    <row r="49" spans="2:4" ht="15">
      <c r="B49">
        <v>47</v>
      </c>
      <c r="C49" s="240" t="s">
        <v>97</v>
      </c>
      <c r="D49" t="s">
        <v>98</v>
      </c>
    </row>
    <row r="50" spans="2:4" ht="15">
      <c r="B50">
        <v>48</v>
      </c>
      <c r="C50" s="240" t="s">
        <v>99</v>
      </c>
      <c r="D50" t="s">
        <v>100</v>
      </c>
    </row>
    <row r="51" spans="2:4" ht="15">
      <c r="B51">
        <v>49</v>
      </c>
      <c r="C51" s="240" t="s">
        <v>101</v>
      </c>
      <c r="D51" t="s">
        <v>102</v>
      </c>
    </row>
    <row r="52" spans="2:4" ht="15">
      <c r="B52">
        <v>50</v>
      </c>
      <c r="C52" s="240" t="s">
        <v>103</v>
      </c>
      <c r="D52" t="s">
        <v>104</v>
      </c>
    </row>
    <row r="53" spans="2:4" ht="15">
      <c r="B53">
        <v>51</v>
      </c>
      <c r="C53" s="240" t="s">
        <v>105</v>
      </c>
      <c r="D53" t="s">
        <v>106</v>
      </c>
    </row>
    <row r="54" spans="2:4" ht="15">
      <c r="B54">
        <v>52</v>
      </c>
      <c r="C54" s="240" t="s">
        <v>107</v>
      </c>
      <c r="D54" t="s">
        <v>108</v>
      </c>
    </row>
    <row r="55" spans="2:4" ht="15">
      <c r="B55">
        <v>53</v>
      </c>
      <c r="C55" s="240" t="s">
        <v>109</v>
      </c>
      <c r="D55" t="s">
        <v>110</v>
      </c>
    </row>
    <row r="56" spans="2:4" ht="15">
      <c r="B56">
        <v>54</v>
      </c>
      <c r="C56" s="240" t="s">
        <v>111</v>
      </c>
      <c r="D56" t="s">
        <v>112</v>
      </c>
    </row>
    <row r="57" spans="2:4" ht="15">
      <c r="B57">
        <v>55</v>
      </c>
      <c r="C57" s="240" t="s">
        <v>113</v>
      </c>
      <c r="D57" t="s">
        <v>114</v>
      </c>
    </row>
    <row r="58" spans="2:4" ht="15">
      <c r="B58">
        <v>56</v>
      </c>
      <c r="C58" s="240" t="s">
        <v>115</v>
      </c>
      <c r="D58" t="s">
        <v>116</v>
      </c>
    </row>
    <row r="59" spans="2:4" ht="15">
      <c r="B59">
        <v>57</v>
      </c>
      <c r="C59" s="240" t="s">
        <v>117</v>
      </c>
      <c r="D59" t="s">
        <v>118</v>
      </c>
    </row>
    <row r="60" spans="2:4" ht="15">
      <c r="B60">
        <v>58</v>
      </c>
      <c r="C60" s="240" t="s">
        <v>119</v>
      </c>
      <c r="D60" t="s">
        <v>120</v>
      </c>
    </row>
    <row r="61" spans="2:4" ht="15">
      <c r="B61">
        <v>59</v>
      </c>
      <c r="C61" s="240" t="s">
        <v>121</v>
      </c>
      <c r="D61" t="s">
        <v>122</v>
      </c>
    </row>
    <row r="62" spans="2:4" ht="15">
      <c r="B62">
        <v>60</v>
      </c>
      <c r="C62" s="240" t="s">
        <v>123</v>
      </c>
      <c r="D62" t="s">
        <v>124</v>
      </c>
    </row>
    <row r="63" spans="2:4" ht="15">
      <c r="B63">
        <v>61</v>
      </c>
      <c r="C63" s="240" t="s">
        <v>125</v>
      </c>
      <c r="D63" t="s">
        <v>126</v>
      </c>
    </row>
    <row r="64" spans="2:4" ht="15">
      <c r="B64">
        <v>62</v>
      </c>
      <c r="C64" s="240" t="s">
        <v>127</v>
      </c>
      <c r="D64" t="s">
        <v>128</v>
      </c>
    </row>
    <row r="65" spans="2:4" ht="15">
      <c r="B65">
        <v>63</v>
      </c>
      <c r="C65" s="240" t="s">
        <v>129</v>
      </c>
      <c r="D65" t="s">
        <v>130</v>
      </c>
    </row>
    <row r="66" spans="2:4" ht="15">
      <c r="B66">
        <v>64</v>
      </c>
      <c r="C66" s="240" t="s">
        <v>131</v>
      </c>
      <c r="D66" t="s">
        <v>132</v>
      </c>
    </row>
    <row r="67" spans="2:4" ht="15">
      <c r="B67">
        <v>65</v>
      </c>
      <c r="C67" s="240" t="s">
        <v>133</v>
      </c>
      <c r="D67" t="s">
        <v>134</v>
      </c>
    </row>
    <row r="68" spans="2:4" ht="15">
      <c r="B68">
        <v>66</v>
      </c>
      <c r="C68" s="240" t="s">
        <v>135</v>
      </c>
      <c r="D68" s="59" t="s">
        <v>136</v>
      </c>
    </row>
    <row r="69" spans="2:4" ht="15">
      <c r="B69">
        <v>67</v>
      </c>
      <c r="C69" s="240" t="s">
        <v>137</v>
      </c>
      <c r="D69" s="59" t="s">
        <v>138</v>
      </c>
    </row>
    <row r="70" spans="2:4" ht="15">
      <c r="B70">
        <v>68</v>
      </c>
      <c r="C70" s="240" t="s">
        <v>139</v>
      </c>
      <c r="D70" s="59" t="s">
        <v>140</v>
      </c>
    </row>
    <row r="71" spans="2:4" ht="15">
      <c r="B71">
        <v>69</v>
      </c>
      <c r="C71" s="240" t="s">
        <v>141</v>
      </c>
      <c r="D71" s="59" t="s">
        <v>142</v>
      </c>
    </row>
    <row r="72" spans="2:4" ht="15">
      <c r="B72">
        <v>70</v>
      </c>
      <c r="C72" s="240" t="s">
        <v>143</v>
      </c>
      <c r="D72" s="59" t="s">
        <v>144</v>
      </c>
    </row>
    <row r="73" spans="2:4" ht="15">
      <c r="B73">
        <v>71</v>
      </c>
      <c r="C73" s="240" t="s">
        <v>145</v>
      </c>
      <c r="D73" s="241" t="s">
        <v>146</v>
      </c>
    </row>
    <row r="74" spans="2:4" ht="15">
      <c r="B74">
        <v>72</v>
      </c>
      <c r="C74" s="240" t="s">
        <v>147</v>
      </c>
      <c r="D74" s="241"/>
    </row>
    <row r="75" spans="2:4" ht="15">
      <c r="B75">
        <v>73</v>
      </c>
      <c r="C75" s="240" t="s">
        <v>148</v>
      </c>
      <c r="D75" s="166" t="s">
        <v>149</v>
      </c>
    </row>
    <row r="76" spans="2:4" ht="15">
      <c r="B76">
        <v>74</v>
      </c>
      <c r="C76" s="240" t="s">
        <v>150</v>
      </c>
      <c r="D76" s="166" t="s">
        <v>151</v>
      </c>
    </row>
    <row r="77" spans="2:4" ht="15">
      <c r="B77">
        <v>75</v>
      </c>
      <c r="C77" s="240" t="s">
        <v>152</v>
      </c>
      <c r="D77" s="166" t="s">
        <v>153</v>
      </c>
    </row>
    <row r="78" spans="2:4" ht="15">
      <c r="B78">
        <v>76</v>
      </c>
      <c r="C78" s="240" t="s">
        <v>154</v>
      </c>
      <c r="D78" s="166" t="s">
        <v>155</v>
      </c>
    </row>
    <row r="79" spans="2:4" ht="15">
      <c r="B79">
        <v>77</v>
      </c>
      <c r="C79" s="240" t="s">
        <v>156</v>
      </c>
      <c r="D79" s="166" t="s">
        <v>157</v>
      </c>
    </row>
    <row r="80" spans="2:4" ht="15">
      <c r="B80">
        <v>78</v>
      </c>
      <c r="C80" s="240" t="s">
        <v>158</v>
      </c>
      <c r="D80" s="166" t="s">
        <v>159</v>
      </c>
    </row>
    <row r="81" spans="2:4" ht="15">
      <c r="B81">
        <v>79</v>
      </c>
      <c r="C81" s="240" t="s">
        <v>160</v>
      </c>
      <c r="D81" s="166" t="s">
        <v>161</v>
      </c>
    </row>
    <row r="82" spans="2:4" ht="15">
      <c r="B82">
        <v>80</v>
      </c>
      <c r="C82" s="240" t="s">
        <v>162</v>
      </c>
      <c r="D82" s="166" t="s">
        <v>162</v>
      </c>
    </row>
    <row r="83" spans="2:4" ht="15">
      <c r="B83">
        <v>81</v>
      </c>
      <c r="C83" s="240" t="s">
        <v>163</v>
      </c>
      <c r="D83" s="166" t="s">
        <v>164</v>
      </c>
    </row>
    <row r="84" spans="2:4" ht="14.25">
      <c r="B84">
        <v>82</v>
      </c>
      <c r="C84" t="s">
        <v>165</v>
      </c>
      <c r="D84" t="s">
        <v>166</v>
      </c>
    </row>
    <row r="85" spans="2:4" ht="14.25">
      <c r="B85">
        <v>83</v>
      </c>
      <c r="C85" t="s">
        <v>167</v>
      </c>
      <c r="D85" t="s">
        <v>168</v>
      </c>
    </row>
    <row r="86" spans="2:4" ht="15">
      <c r="B86">
        <v>84</v>
      </c>
      <c r="C86" s="240" t="s">
        <v>169</v>
      </c>
      <c r="D86" t="s">
        <v>170</v>
      </c>
    </row>
    <row r="87" spans="2:4" ht="14.25">
      <c r="B87">
        <v>85</v>
      </c>
      <c r="C87" t="s">
        <v>171</v>
      </c>
      <c r="D87" t="s">
        <v>172</v>
      </c>
    </row>
    <row r="88" spans="2:4" ht="14.25">
      <c r="B88">
        <v>86</v>
      </c>
      <c r="C88" t="s">
        <v>173</v>
      </c>
      <c r="D88" t="s">
        <v>174</v>
      </c>
    </row>
    <row r="89" spans="2:4" ht="14.25">
      <c r="B89">
        <v>87</v>
      </c>
      <c r="C89" t="s">
        <v>417</v>
      </c>
      <c r="D89" t="s">
        <v>418</v>
      </c>
    </row>
    <row r="90" spans="2:4" ht="14.25">
      <c r="B90">
        <v>88</v>
      </c>
      <c r="C90" t="s">
        <v>59</v>
      </c>
      <c r="D90" t="s">
        <v>60</v>
      </c>
    </row>
    <row r="91" spans="2:4" ht="14.25">
      <c r="B91">
        <v>89</v>
      </c>
      <c r="C91" s="242" t="s">
        <v>175</v>
      </c>
      <c r="D91" t="s">
        <v>176</v>
      </c>
    </row>
    <row r="92" spans="2:4" ht="14.25">
      <c r="B92">
        <v>90</v>
      </c>
      <c r="C92" t="s">
        <v>177</v>
      </c>
      <c r="D92" t="s">
        <v>177</v>
      </c>
    </row>
    <row r="93" spans="2:4" ht="14.25">
      <c r="B93">
        <v>91</v>
      </c>
      <c r="C93" t="s">
        <v>178</v>
      </c>
      <c r="D93" t="s">
        <v>179</v>
      </c>
    </row>
    <row r="94" spans="2:4" ht="14.25">
      <c r="B94">
        <v>92</v>
      </c>
      <c r="C94" t="s">
        <v>1</v>
      </c>
      <c r="D94" t="s">
        <v>180</v>
      </c>
    </row>
    <row r="95" spans="2:4" ht="14.25">
      <c r="B95">
        <v>93</v>
      </c>
      <c r="C95" t="s">
        <v>2</v>
      </c>
      <c r="D95" t="s">
        <v>181</v>
      </c>
    </row>
    <row r="96" spans="2:4" ht="14.25">
      <c r="B96">
        <v>94</v>
      </c>
      <c r="C96" t="s">
        <v>3</v>
      </c>
      <c r="D96" t="s">
        <v>182</v>
      </c>
    </row>
    <row r="97" spans="2:4" ht="14.25">
      <c r="B97">
        <v>95</v>
      </c>
      <c r="C97" t="s">
        <v>4</v>
      </c>
      <c r="D97" t="s">
        <v>183</v>
      </c>
    </row>
    <row r="98" spans="2:4" ht="14.25">
      <c r="B98">
        <v>96</v>
      </c>
      <c r="C98" s="243" t="s">
        <v>184</v>
      </c>
      <c r="D98" s="243" t="s">
        <v>185</v>
      </c>
    </row>
    <row r="99" spans="2:4" ht="14.25">
      <c r="B99">
        <v>97</v>
      </c>
      <c r="C99" s="243" t="s">
        <v>186</v>
      </c>
      <c r="D99" s="243" t="s">
        <v>187</v>
      </c>
    </row>
    <row r="100" spans="2:4" ht="14.25">
      <c r="B100">
        <v>98</v>
      </c>
      <c r="C100" s="243" t="s">
        <v>188</v>
      </c>
      <c r="D100" s="243" t="s">
        <v>189</v>
      </c>
    </row>
    <row r="101" spans="2:4" ht="14.25">
      <c r="B101">
        <v>99</v>
      </c>
      <c r="C101" s="243" t="s">
        <v>190</v>
      </c>
      <c r="D101" t="s">
        <v>191</v>
      </c>
    </row>
    <row r="102" spans="2:4" ht="14.25">
      <c r="B102">
        <v>100</v>
      </c>
      <c r="C102" s="243" t="s">
        <v>360</v>
      </c>
      <c r="D102" t="s">
        <v>361</v>
      </c>
    </row>
    <row r="103" spans="2:4" ht="14.25">
      <c r="B103">
        <v>101</v>
      </c>
      <c r="C103" t="s">
        <v>192</v>
      </c>
      <c r="D103" t="s">
        <v>193</v>
      </c>
    </row>
    <row r="104" spans="2:4" ht="15" customHeight="1">
      <c r="B104">
        <v>102</v>
      </c>
      <c r="C104" t="s">
        <v>194</v>
      </c>
      <c r="D104" t="s">
        <v>195</v>
      </c>
    </row>
    <row r="105" spans="2:4" ht="14.25">
      <c r="B105">
        <v>103</v>
      </c>
      <c r="C105" t="s">
        <v>196</v>
      </c>
      <c r="D105" t="s">
        <v>197</v>
      </c>
    </row>
    <row r="106" spans="2:4" ht="14.25">
      <c r="B106">
        <v>104</v>
      </c>
      <c r="C106" t="s">
        <v>198</v>
      </c>
      <c r="D106" t="s">
        <v>199</v>
      </c>
    </row>
    <row r="107" spans="2:4" ht="14.25">
      <c r="B107">
        <v>105</v>
      </c>
      <c r="C107" s="218" t="s">
        <v>200</v>
      </c>
      <c r="D107" t="s">
        <v>201</v>
      </c>
    </row>
    <row r="108" spans="2:4" ht="14.25">
      <c r="B108">
        <v>106</v>
      </c>
      <c r="C108" s="218" t="s">
        <v>202</v>
      </c>
      <c r="D108" t="s">
        <v>203</v>
      </c>
    </row>
    <row r="109" spans="2:4" ht="14.25">
      <c r="B109">
        <v>107</v>
      </c>
      <c r="C109" t="s">
        <v>204</v>
      </c>
      <c r="D109" t="s">
        <v>205</v>
      </c>
    </row>
    <row r="110" spans="2:4" ht="14.25">
      <c r="B110">
        <v>108</v>
      </c>
      <c r="C110" s="218" t="s">
        <v>206</v>
      </c>
      <c r="D110" t="s">
        <v>207</v>
      </c>
    </row>
    <row r="111" spans="2:4" ht="14.25">
      <c r="B111">
        <v>109</v>
      </c>
      <c r="C111" s="218" t="s">
        <v>208</v>
      </c>
      <c r="D111" t="s">
        <v>209</v>
      </c>
    </row>
    <row r="112" spans="2:4" ht="14.25">
      <c r="B112">
        <v>110</v>
      </c>
      <c r="C112" s="218" t="s">
        <v>210</v>
      </c>
      <c r="D112" t="s">
        <v>211</v>
      </c>
    </row>
    <row r="113" spans="2:4" ht="14.25">
      <c r="B113">
        <v>111</v>
      </c>
      <c r="C113" s="218" t="s">
        <v>12</v>
      </c>
      <c r="D113" t="s">
        <v>212</v>
      </c>
    </row>
    <row r="114" spans="2:4" ht="14.25">
      <c r="B114">
        <v>112</v>
      </c>
      <c r="C114" s="220" t="s">
        <v>213</v>
      </c>
      <c r="D114" t="s">
        <v>214</v>
      </c>
    </row>
    <row r="115" spans="2:4" ht="14.25">
      <c r="B115">
        <v>113</v>
      </c>
      <c r="C115" s="220" t="s">
        <v>61</v>
      </c>
      <c r="D115" t="s">
        <v>62</v>
      </c>
    </row>
    <row r="116" spans="2:4" ht="14.25">
      <c r="B116">
        <v>114</v>
      </c>
      <c r="C116" s="218" t="s">
        <v>215</v>
      </c>
      <c r="D116" t="s">
        <v>216</v>
      </c>
    </row>
    <row r="117" spans="2:4" ht="14.25">
      <c r="B117">
        <v>115</v>
      </c>
      <c r="C117" s="218" t="s">
        <v>217</v>
      </c>
      <c r="D117" t="s">
        <v>218</v>
      </c>
    </row>
    <row r="118" spans="2:4" ht="14.25">
      <c r="B118">
        <v>116</v>
      </c>
      <c r="C118" s="218" t="s">
        <v>219</v>
      </c>
      <c r="D118" t="s">
        <v>220</v>
      </c>
    </row>
    <row r="119" spans="2:4" ht="15">
      <c r="B119">
        <v>117</v>
      </c>
      <c r="C119" s="240"/>
      <c r="D119" s="59"/>
    </row>
    <row r="120" spans="2:4" ht="14.25">
      <c r="B120">
        <v>118</v>
      </c>
      <c r="C120" s="213" t="s">
        <v>221</v>
      </c>
      <c r="D120" t="s">
        <v>222</v>
      </c>
    </row>
    <row r="121" spans="2:3" ht="14.25">
      <c r="B121">
        <v>119</v>
      </c>
      <c r="C121" s="231" t="s">
        <v>223</v>
      </c>
    </row>
    <row r="122" spans="2:4" ht="16.5">
      <c r="B122">
        <v>120</v>
      </c>
      <c r="C122" s="209" t="s">
        <v>63</v>
      </c>
      <c r="D122" t="s">
        <v>64</v>
      </c>
    </row>
    <row r="123" spans="2:4" ht="14.25">
      <c r="B123">
        <v>121</v>
      </c>
      <c r="C123" t="s">
        <v>224</v>
      </c>
      <c r="D123" t="s">
        <v>225</v>
      </c>
    </row>
    <row r="124" spans="2:4" ht="14.25">
      <c r="B124">
        <v>122</v>
      </c>
      <c r="C124" t="s">
        <v>226</v>
      </c>
      <c r="D124" t="s">
        <v>225</v>
      </c>
    </row>
    <row r="125" spans="2:4" ht="14.25">
      <c r="B125">
        <v>123</v>
      </c>
      <c r="C125" t="s">
        <v>227</v>
      </c>
      <c r="D125" t="s">
        <v>228</v>
      </c>
    </row>
    <row r="126" spans="2:4" ht="14.25">
      <c r="B126">
        <v>124</v>
      </c>
      <c r="C126" t="s">
        <v>229</v>
      </c>
      <c r="D126" t="s">
        <v>230</v>
      </c>
    </row>
    <row r="127" spans="2:4" ht="14.25">
      <c r="B127">
        <v>125</v>
      </c>
      <c r="C127" t="s">
        <v>231</v>
      </c>
      <c r="D127" t="s">
        <v>232</v>
      </c>
    </row>
    <row r="128" spans="2:4" ht="14.25">
      <c r="B128">
        <v>126</v>
      </c>
      <c r="C128" t="s">
        <v>233</v>
      </c>
      <c r="D128" t="s">
        <v>233</v>
      </c>
    </row>
    <row r="129" spans="2:4" ht="14.25">
      <c r="B129">
        <v>127</v>
      </c>
      <c r="C129" t="s">
        <v>234</v>
      </c>
      <c r="D129" t="s">
        <v>234</v>
      </c>
    </row>
    <row r="130" spans="2:4" ht="14.25">
      <c r="B130">
        <v>128</v>
      </c>
      <c r="C130" t="s">
        <v>235</v>
      </c>
      <c r="D130" t="s">
        <v>235</v>
      </c>
    </row>
    <row r="131" spans="2:4" ht="14.25">
      <c r="B131">
        <v>129</v>
      </c>
      <c r="C131" t="s">
        <v>236</v>
      </c>
      <c r="D131" t="s">
        <v>236</v>
      </c>
    </row>
    <row r="132" spans="2:4" ht="14.25">
      <c r="B132">
        <v>130</v>
      </c>
      <c r="C132" t="s">
        <v>237</v>
      </c>
      <c r="D132" t="s">
        <v>237</v>
      </c>
    </row>
    <row r="133" spans="2:4" ht="14.25">
      <c r="B133">
        <v>131</v>
      </c>
      <c r="C133" s="43" t="s">
        <v>238</v>
      </c>
      <c r="D133" t="s">
        <v>239</v>
      </c>
    </row>
    <row r="134" spans="2:4" ht="14.25">
      <c r="B134">
        <v>132</v>
      </c>
      <c r="C134" s="43" t="s">
        <v>240</v>
      </c>
      <c r="D134" t="s">
        <v>241</v>
      </c>
    </row>
    <row r="135" spans="2:4" ht="14.25">
      <c r="B135">
        <v>133</v>
      </c>
      <c r="C135" s="43" t="s">
        <v>242</v>
      </c>
      <c r="D135" t="s">
        <v>243</v>
      </c>
    </row>
    <row r="136" spans="2:4" ht="14.25">
      <c r="B136">
        <v>134</v>
      </c>
      <c r="C136" s="43" t="s">
        <v>244</v>
      </c>
      <c r="D136" t="s">
        <v>245</v>
      </c>
    </row>
    <row r="137" spans="2:4" ht="14.25">
      <c r="B137">
        <v>135</v>
      </c>
      <c r="C137" s="43" t="s">
        <v>111</v>
      </c>
      <c r="D137" t="s">
        <v>112</v>
      </c>
    </row>
    <row r="138" spans="2:4" ht="14.25">
      <c r="B138">
        <v>136</v>
      </c>
      <c r="C138" s="43" t="s">
        <v>246</v>
      </c>
      <c r="D138" t="s">
        <v>247</v>
      </c>
    </row>
    <row r="139" spans="2:4" ht="14.25">
      <c r="B139">
        <v>137</v>
      </c>
      <c r="C139" s="43" t="s">
        <v>248</v>
      </c>
      <c r="D139" t="s">
        <v>249</v>
      </c>
    </row>
    <row r="140" spans="2:4" ht="14.25">
      <c r="B140">
        <v>138</v>
      </c>
      <c r="C140" s="43" t="s">
        <v>250</v>
      </c>
      <c r="D140" t="s">
        <v>251</v>
      </c>
    </row>
    <row r="141" spans="2:4" ht="14.25">
      <c r="B141">
        <v>139</v>
      </c>
      <c r="C141" s="43" t="s">
        <v>252</v>
      </c>
      <c r="D141" t="s">
        <v>253</v>
      </c>
    </row>
    <row r="142" spans="2:4" ht="14.25">
      <c r="B142">
        <v>140</v>
      </c>
      <c r="C142" s="43" t="s">
        <v>254</v>
      </c>
      <c r="D142" t="s">
        <v>255</v>
      </c>
    </row>
    <row r="143" spans="2:4" ht="14.25">
      <c r="B143">
        <v>141</v>
      </c>
      <c r="C143" s="43" t="s">
        <v>256</v>
      </c>
      <c r="D143" s="59" t="s">
        <v>257</v>
      </c>
    </row>
    <row r="144" spans="2:4" ht="14.25">
      <c r="B144">
        <v>142</v>
      </c>
      <c r="C144" s="59" t="s">
        <v>258</v>
      </c>
      <c r="D144" s="59" t="s">
        <v>259</v>
      </c>
    </row>
    <row r="145" spans="2:4" ht="14.25">
      <c r="B145">
        <v>143</v>
      </c>
      <c r="C145" s="59" t="s">
        <v>260</v>
      </c>
      <c r="D145" t="s">
        <v>261</v>
      </c>
    </row>
    <row r="146" spans="2:4" ht="14.25">
      <c r="B146">
        <v>144</v>
      </c>
      <c r="C146" s="43" t="s">
        <v>262</v>
      </c>
      <c r="D146" t="s">
        <v>263</v>
      </c>
    </row>
    <row r="147" spans="2:4" ht="14.25">
      <c r="B147">
        <v>145</v>
      </c>
      <c r="C147" s="43" t="s">
        <v>264</v>
      </c>
      <c r="D147" t="s">
        <v>265</v>
      </c>
    </row>
    <row r="148" spans="2:4" ht="14.25">
      <c r="B148">
        <v>146</v>
      </c>
      <c r="C148" s="106" t="s">
        <v>266</v>
      </c>
      <c r="D148" t="s">
        <v>267</v>
      </c>
    </row>
    <row r="149" spans="2:4" ht="14.25">
      <c r="B149">
        <v>147</v>
      </c>
      <c r="C149" s="59" t="s">
        <v>268</v>
      </c>
      <c r="D149" t="s">
        <v>102</v>
      </c>
    </row>
    <row r="150" spans="2:4" ht="14.25">
      <c r="B150">
        <v>148</v>
      </c>
      <c r="C150" s="59" t="s">
        <v>269</v>
      </c>
      <c r="D150" t="s">
        <v>270</v>
      </c>
    </row>
    <row r="151" spans="2:4" ht="14.25">
      <c r="B151">
        <v>149</v>
      </c>
      <c r="C151" s="59" t="s">
        <v>271</v>
      </c>
      <c r="D151" t="s">
        <v>272</v>
      </c>
    </row>
    <row r="152" spans="2:4" ht="14.25">
      <c r="B152">
        <v>150</v>
      </c>
      <c r="C152" s="106" t="s">
        <v>273</v>
      </c>
      <c r="D152" t="s">
        <v>274</v>
      </c>
    </row>
    <row r="153" spans="2:4" ht="14.25">
      <c r="B153">
        <v>151</v>
      </c>
      <c r="C153" s="47" t="s">
        <v>275</v>
      </c>
      <c r="D153" t="s">
        <v>276</v>
      </c>
    </row>
    <row r="154" spans="2:4" ht="14.25">
      <c r="B154">
        <v>152</v>
      </c>
      <c r="C154" s="59" t="s">
        <v>277</v>
      </c>
      <c r="D154" t="s">
        <v>278</v>
      </c>
    </row>
    <row r="155" spans="2:4" ht="14.25">
      <c r="B155">
        <v>153</v>
      </c>
      <c r="C155" s="59" t="s">
        <v>279</v>
      </c>
      <c r="D155" t="s">
        <v>280</v>
      </c>
    </row>
    <row r="156" spans="2:4" ht="14.25">
      <c r="B156">
        <v>154</v>
      </c>
      <c r="C156" s="59" t="s">
        <v>281</v>
      </c>
      <c r="D156" t="s">
        <v>282</v>
      </c>
    </row>
    <row r="157" spans="2:4" ht="14.25">
      <c r="B157">
        <v>155</v>
      </c>
      <c r="C157" s="59" t="s">
        <v>283</v>
      </c>
      <c r="D157" t="s">
        <v>284</v>
      </c>
    </row>
    <row r="158" spans="2:4" ht="14.25">
      <c r="B158">
        <v>156</v>
      </c>
      <c r="C158" s="59" t="s">
        <v>285</v>
      </c>
      <c r="D158" t="s">
        <v>286</v>
      </c>
    </row>
    <row r="159" spans="2:4" ht="14.25">
      <c r="B159">
        <v>157</v>
      </c>
      <c r="C159" s="59" t="s">
        <v>287</v>
      </c>
      <c r="D159" t="s">
        <v>288</v>
      </c>
    </row>
    <row r="160" spans="2:4" ht="14.25">
      <c r="B160">
        <v>158</v>
      </c>
      <c r="C160" s="59" t="s">
        <v>289</v>
      </c>
      <c r="D160" t="s">
        <v>290</v>
      </c>
    </row>
    <row r="161" spans="2:4" ht="14.25">
      <c r="B161">
        <v>159</v>
      </c>
      <c r="C161" s="119" t="s">
        <v>291</v>
      </c>
      <c r="D161" t="s">
        <v>292</v>
      </c>
    </row>
    <row r="162" spans="2:4" ht="14.25">
      <c r="B162">
        <v>160</v>
      </c>
      <c r="C162" s="119" t="s">
        <v>293</v>
      </c>
      <c r="D162" t="s">
        <v>294</v>
      </c>
    </row>
    <row r="163" spans="2:4" ht="14.25">
      <c r="B163">
        <v>161</v>
      </c>
      <c r="C163" s="59" t="s">
        <v>55</v>
      </c>
      <c r="D163" t="s">
        <v>56</v>
      </c>
    </row>
    <row r="164" spans="2:4" ht="14.25">
      <c r="B164">
        <v>162</v>
      </c>
      <c r="C164" s="59" t="s">
        <v>295</v>
      </c>
      <c r="D164" t="s">
        <v>296</v>
      </c>
    </row>
    <row r="165" spans="2:5" ht="15">
      <c r="B165">
        <v>163</v>
      </c>
      <c r="C165" s="59" t="s">
        <v>297</v>
      </c>
      <c r="D165" t="s">
        <v>298</v>
      </c>
      <c r="E165" s="244"/>
    </row>
    <row r="166" spans="2:4" ht="14.25">
      <c r="B166">
        <v>164</v>
      </c>
      <c r="C166" t="s">
        <v>299</v>
      </c>
      <c r="D166" t="s">
        <v>300</v>
      </c>
    </row>
    <row r="167" spans="2:4" ht="14.25">
      <c r="B167">
        <v>165</v>
      </c>
      <c r="C167" s="245" t="s">
        <v>301</v>
      </c>
      <c r="D167" t="s">
        <v>302</v>
      </c>
    </row>
    <row r="168" spans="2:4" ht="14.25">
      <c r="B168">
        <v>166</v>
      </c>
      <c r="C168" s="166" t="s">
        <v>295</v>
      </c>
      <c r="D168" t="s">
        <v>296</v>
      </c>
    </row>
    <row r="169" spans="2:4" ht="14.25">
      <c r="B169">
        <v>167</v>
      </c>
      <c r="C169" t="s">
        <v>1</v>
      </c>
      <c r="D169" t="s">
        <v>180</v>
      </c>
    </row>
    <row r="170" spans="2:4" ht="14.25">
      <c r="B170">
        <v>168</v>
      </c>
      <c r="C170" t="s">
        <v>2</v>
      </c>
      <c r="D170" t="s">
        <v>181</v>
      </c>
    </row>
    <row r="171" spans="2:4" ht="14.25">
      <c r="B171">
        <v>169</v>
      </c>
      <c r="C171" t="s">
        <v>3</v>
      </c>
      <c r="D171" t="s">
        <v>182</v>
      </c>
    </row>
    <row r="172" spans="2:4" ht="14.25">
      <c r="B172">
        <v>170</v>
      </c>
      <c r="C172" t="s">
        <v>4</v>
      </c>
      <c r="D172" t="s">
        <v>183</v>
      </c>
    </row>
    <row r="173" spans="2:4" ht="14.25">
      <c r="B173">
        <v>171</v>
      </c>
      <c r="C173" t="s">
        <v>303</v>
      </c>
      <c r="D173" t="s">
        <v>304</v>
      </c>
    </row>
    <row r="174" spans="2:4" ht="14.25">
      <c r="B174">
        <v>172</v>
      </c>
      <c r="C174" t="s">
        <v>169</v>
      </c>
      <c r="D174" t="s">
        <v>170</v>
      </c>
    </row>
    <row r="175" spans="2:4" ht="14.25">
      <c r="B175">
        <v>173</v>
      </c>
      <c r="C175" t="s">
        <v>421</v>
      </c>
      <c r="D175" s="188" t="s">
        <v>423</v>
      </c>
    </row>
    <row r="176" spans="2:4" ht="14.25">
      <c r="B176">
        <v>174</v>
      </c>
      <c r="C176" t="s">
        <v>422</v>
      </c>
      <c r="D176" s="188" t="s">
        <v>420</v>
      </c>
    </row>
    <row r="177" spans="2:4" ht="14.25">
      <c r="B177">
        <v>175</v>
      </c>
      <c r="C177" s="191" t="s">
        <v>28</v>
      </c>
      <c r="D177" t="s">
        <v>29</v>
      </c>
    </row>
    <row r="178" spans="2:4" ht="14.25">
      <c r="B178">
        <v>176</v>
      </c>
      <c r="C178" s="191" t="s">
        <v>305</v>
      </c>
      <c r="D178" s="41" t="s">
        <v>306</v>
      </c>
    </row>
    <row r="179" spans="2:4" ht="14.25">
      <c r="B179">
        <v>177</v>
      </c>
      <c r="C179" s="191" t="s">
        <v>307</v>
      </c>
      <c r="D179" t="s">
        <v>308</v>
      </c>
    </row>
    <row r="180" spans="2:4" ht="14.25">
      <c r="B180">
        <v>178</v>
      </c>
      <c r="C180" s="191" t="s">
        <v>309</v>
      </c>
      <c r="D180" t="s">
        <v>310</v>
      </c>
    </row>
    <row r="181" spans="2:4" ht="14.25">
      <c r="B181">
        <v>179</v>
      </c>
      <c r="C181" s="191" t="s">
        <v>311</v>
      </c>
      <c r="D181" t="s">
        <v>312</v>
      </c>
    </row>
    <row r="182" spans="2:4" ht="14.25">
      <c r="B182">
        <v>180</v>
      </c>
      <c r="C182" s="191" t="s">
        <v>313</v>
      </c>
      <c r="D182" t="s">
        <v>314</v>
      </c>
    </row>
    <row r="183" spans="2:4" ht="14.25">
      <c r="B183">
        <v>181</v>
      </c>
      <c r="C183" s="191" t="s">
        <v>8</v>
      </c>
      <c r="D183" t="s">
        <v>8</v>
      </c>
    </row>
    <row r="184" spans="2:4" ht="14.25">
      <c r="B184">
        <v>182</v>
      </c>
      <c r="C184" s="191" t="s">
        <v>10</v>
      </c>
      <c r="D184" t="s">
        <v>10</v>
      </c>
    </row>
    <row r="185" spans="2:4" ht="14.25">
      <c r="B185">
        <v>183</v>
      </c>
      <c r="C185" s="191" t="s">
        <v>11</v>
      </c>
      <c r="D185" t="s">
        <v>39</v>
      </c>
    </row>
    <row r="186" spans="2:4" ht="14.25">
      <c r="B186">
        <v>184</v>
      </c>
      <c r="C186" t="s">
        <v>315</v>
      </c>
      <c r="D186" t="s">
        <v>316</v>
      </c>
    </row>
    <row r="187" spans="2:4" ht="14.25">
      <c r="B187">
        <v>185</v>
      </c>
      <c r="C187" t="s">
        <v>317</v>
      </c>
      <c r="D187" t="s">
        <v>318</v>
      </c>
    </row>
    <row r="188" spans="2:4" ht="14.25">
      <c r="B188">
        <v>186</v>
      </c>
      <c r="C188" t="s">
        <v>319</v>
      </c>
      <c r="D188" t="s">
        <v>320</v>
      </c>
    </row>
    <row r="189" spans="2:4" ht="14.25">
      <c r="B189">
        <v>187</v>
      </c>
      <c r="C189" t="s">
        <v>321</v>
      </c>
      <c r="D189" t="s">
        <v>272</v>
      </c>
    </row>
    <row r="190" spans="2:3" ht="14.25">
      <c r="B190">
        <v>188</v>
      </c>
      <c r="C190" s="218" t="s">
        <v>322</v>
      </c>
    </row>
    <row r="191" spans="2:3" ht="14.25">
      <c r="B191">
        <v>189</v>
      </c>
      <c r="C191" s="218" t="s">
        <v>323</v>
      </c>
    </row>
    <row r="192" spans="2:3" ht="14.25">
      <c r="B192">
        <v>190</v>
      </c>
      <c r="C192" s="218" t="s">
        <v>324</v>
      </c>
    </row>
    <row r="193" spans="2:4" ht="14.25">
      <c r="B193">
        <v>191</v>
      </c>
      <c r="C193" s="218" t="s">
        <v>206</v>
      </c>
      <c r="D193" t="s">
        <v>207</v>
      </c>
    </row>
    <row r="194" spans="2:3" ht="14.25">
      <c r="B194">
        <v>192</v>
      </c>
      <c r="C194" s="218" t="s">
        <v>208</v>
      </c>
    </row>
    <row r="195" spans="2:3" ht="14.25">
      <c r="B195">
        <v>193</v>
      </c>
      <c r="C195" s="218" t="s">
        <v>12</v>
      </c>
    </row>
    <row r="196" spans="2:3" ht="14.25">
      <c r="B196">
        <v>194</v>
      </c>
      <c r="C196" s="220" t="s">
        <v>213</v>
      </c>
    </row>
    <row r="197" spans="2:3" ht="14.25">
      <c r="B197">
        <v>195</v>
      </c>
      <c r="C197" s="218" t="s">
        <v>325</v>
      </c>
    </row>
    <row r="198" spans="2:3" ht="14.25">
      <c r="B198">
        <v>196</v>
      </c>
      <c r="C198" s="218" t="s">
        <v>326</v>
      </c>
    </row>
    <row r="199" spans="2:3" ht="14.25">
      <c r="B199">
        <v>197</v>
      </c>
      <c r="C199" s="218" t="s">
        <v>210</v>
      </c>
    </row>
    <row r="200" spans="2:3" ht="14.25">
      <c r="B200">
        <v>198</v>
      </c>
      <c r="C200" s="218" t="s">
        <v>202</v>
      </c>
    </row>
    <row r="201" spans="2:3" ht="14.25">
      <c r="B201">
        <v>199</v>
      </c>
      <c r="C201" s="218" t="s">
        <v>327</v>
      </c>
    </row>
    <row r="202" spans="2:3" ht="14.25">
      <c r="B202">
        <v>200</v>
      </c>
      <c r="C202" s="218" t="s">
        <v>200</v>
      </c>
    </row>
    <row r="203" spans="2:3" ht="14.25">
      <c r="B203">
        <v>201</v>
      </c>
      <c r="C203" s="218" t="s">
        <v>328</v>
      </c>
    </row>
    <row r="204" spans="2:3" ht="14.25">
      <c r="B204">
        <v>202</v>
      </c>
      <c r="C204" s="220" t="s">
        <v>329</v>
      </c>
    </row>
    <row r="205" spans="2:4" ht="14.25">
      <c r="B205">
        <v>203</v>
      </c>
      <c r="C205" s="218" t="s">
        <v>330</v>
      </c>
      <c r="D205" t="s">
        <v>331</v>
      </c>
    </row>
    <row r="206" spans="2:4" ht="14.25">
      <c r="B206">
        <v>204</v>
      </c>
      <c r="C206" s="218" t="s">
        <v>332</v>
      </c>
      <c r="D206" t="s">
        <v>332</v>
      </c>
    </row>
    <row r="207" spans="2:4" ht="14.25">
      <c r="B207">
        <v>205</v>
      </c>
      <c r="C207" s="218" t="s">
        <v>333</v>
      </c>
      <c r="D207" s="218" t="s">
        <v>334</v>
      </c>
    </row>
    <row r="208" spans="2:4" ht="14.25">
      <c r="B208">
        <v>206</v>
      </c>
      <c r="C208" t="s">
        <v>335</v>
      </c>
      <c r="D208" t="s">
        <v>336</v>
      </c>
    </row>
    <row r="209" spans="2:4" ht="14.25">
      <c r="B209">
        <v>207</v>
      </c>
      <c r="C209" t="s">
        <v>337</v>
      </c>
      <c r="D209" t="s">
        <v>338</v>
      </c>
    </row>
    <row r="210" spans="2:4" ht="14.25">
      <c r="B210">
        <v>208</v>
      </c>
      <c r="C210" s="218" t="s">
        <v>339</v>
      </c>
      <c r="D210" t="s">
        <v>340</v>
      </c>
    </row>
    <row r="211" spans="2:4" ht="14.25">
      <c r="B211">
        <v>209</v>
      </c>
      <c r="C211" s="218" t="s">
        <v>200</v>
      </c>
      <c r="D211" t="s">
        <v>201</v>
      </c>
    </row>
    <row r="212" spans="2:4" ht="14.25">
      <c r="B212">
        <v>210</v>
      </c>
      <c r="C212" s="218" t="s">
        <v>341</v>
      </c>
      <c r="D212" t="s">
        <v>342</v>
      </c>
    </row>
    <row r="213" spans="2:4" ht="14.25">
      <c r="B213">
        <v>211</v>
      </c>
      <c r="C213" s="218" t="s">
        <v>343</v>
      </c>
      <c r="D213" t="s">
        <v>367</v>
      </c>
    </row>
    <row r="214" spans="2:4" ht="14.25">
      <c r="B214">
        <v>212</v>
      </c>
      <c r="C214" s="218" t="s">
        <v>344</v>
      </c>
      <c r="D214" t="s">
        <v>345</v>
      </c>
    </row>
    <row r="215" spans="2:4" ht="14.25">
      <c r="B215">
        <v>213</v>
      </c>
      <c r="C215" s="218" t="s">
        <v>346</v>
      </c>
      <c r="D215" t="s">
        <v>347</v>
      </c>
    </row>
    <row r="216" spans="2:4" ht="14.25">
      <c r="B216">
        <v>214</v>
      </c>
      <c r="C216" s="218" t="s">
        <v>206</v>
      </c>
      <c r="D216" t="s">
        <v>207</v>
      </c>
    </row>
    <row r="217" spans="2:4" ht="14.25">
      <c r="B217">
        <v>215</v>
      </c>
      <c r="C217" s="218" t="s">
        <v>12</v>
      </c>
      <c r="D217" t="s">
        <v>348</v>
      </c>
    </row>
    <row r="218" spans="2:4" ht="14.25">
      <c r="B218">
        <v>216</v>
      </c>
      <c r="C218" s="218" t="s">
        <v>328</v>
      </c>
      <c r="D218" t="s">
        <v>349</v>
      </c>
    </row>
    <row r="219" spans="2:4" ht="14.25">
      <c r="B219">
        <v>217</v>
      </c>
      <c r="C219" s="218" t="s">
        <v>350</v>
      </c>
      <c r="D219" t="s">
        <v>331</v>
      </c>
    </row>
    <row r="220" spans="2:8" ht="15" customHeight="1">
      <c r="B220">
        <v>218</v>
      </c>
      <c r="C220" s="218" t="s">
        <v>351</v>
      </c>
      <c r="D220" s="218" t="s">
        <v>352</v>
      </c>
      <c r="E220" s="218"/>
      <c r="F220" s="218"/>
      <c r="G220" s="218"/>
      <c r="H220" s="218"/>
    </row>
    <row r="221" spans="2:4" ht="15" customHeight="1">
      <c r="B221">
        <v>219</v>
      </c>
      <c r="C221" t="s">
        <v>399</v>
      </c>
      <c r="D221" t="s">
        <v>353</v>
      </c>
    </row>
    <row r="222" spans="2:4" ht="14.25">
      <c r="B222">
        <v>220</v>
      </c>
      <c r="C222" t="s">
        <v>354</v>
      </c>
      <c r="D222" t="s">
        <v>355</v>
      </c>
    </row>
    <row r="223" spans="2:4" ht="14.25">
      <c r="B223">
        <v>221</v>
      </c>
      <c r="C223" t="s">
        <v>356</v>
      </c>
      <c r="D223" t="s">
        <v>357</v>
      </c>
    </row>
    <row r="224" spans="2:4" ht="14.25">
      <c r="B224">
        <v>222</v>
      </c>
      <c r="C224" t="s">
        <v>364</v>
      </c>
      <c r="D224" t="s">
        <v>364</v>
      </c>
    </row>
    <row r="225" spans="2:4" ht="14.25">
      <c r="B225">
        <v>223</v>
      </c>
      <c r="C225" t="s">
        <v>362</v>
      </c>
      <c r="D225" t="s">
        <v>363</v>
      </c>
    </row>
    <row r="226" spans="2:4" ht="14.25">
      <c r="B226">
        <v>224</v>
      </c>
      <c r="C226" t="s">
        <v>365</v>
      </c>
      <c r="D226" t="s">
        <v>366</v>
      </c>
    </row>
    <row r="227" spans="2:4" ht="14.25">
      <c r="B227">
        <v>225</v>
      </c>
      <c r="C227" t="s">
        <v>358</v>
      </c>
      <c r="D227" t="s">
        <v>359</v>
      </c>
    </row>
    <row r="228" spans="2:4" ht="14.25">
      <c r="B228">
        <v>226</v>
      </c>
      <c r="C228" t="s">
        <v>368</v>
      </c>
      <c r="D228" t="s">
        <v>369</v>
      </c>
    </row>
    <row r="229" spans="2:4" ht="14.25">
      <c r="B229">
        <v>227</v>
      </c>
      <c r="C229" s="243" t="s">
        <v>360</v>
      </c>
      <c r="D229" t="s">
        <v>361</v>
      </c>
    </row>
    <row r="230" spans="2:4" ht="14.25">
      <c r="B230">
        <v>228</v>
      </c>
      <c r="C230" t="s">
        <v>398</v>
      </c>
      <c r="D230" t="s">
        <v>370</v>
      </c>
    </row>
    <row r="231" spans="2:4" ht="14.25">
      <c r="B231">
        <v>229</v>
      </c>
      <c r="C231" t="s">
        <v>371</v>
      </c>
      <c r="D231" t="s">
        <v>372</v>
      </c>
    </row>
    <row r="232" spans="2:4" ht="14.25">
      <c r="B232">
        <v>230</v>
      </c>
      <c r="C232" s="220" t="s">
        <v>17</v>
      </c>
      <c r="D232" t="s">
        <v>18</v>
      </c>
    </row>
    <row r="233" spans="2:4" ht="14.25">
      <c r="B233">
        <v>231</v>
      </c>
      <c r="C233" s="218" t="s">
        <v>373</v>
      </c>
      <c r="D233" t="s">
        <v>374</v>
      </c>
    </row>
    <row r="234" spans="2:4" ht="14.25">
      <c r="B234">
        <v>232</v>
      </c>
      <c r="C234" s="218" t="s">
        <v>26</v>
      </c>
      <c r="D234" t="s">
        <v>27</v>
      </c>
    </row>
    <row r="235" spans="2:4" ht="14.25">
      <c r="B235">
        <v>233</v>
      </c>
      <c r="C235" s="218" t="s">
        <v>375</v>
      </c>
      <c r="D235" t="s">
        <v>376</v>
      </c>
    </row>
    <row r="236" spans="2:4" ht="14.25">
      <c r="B236">
        <v>234</v>
      </c>
      <c r="C236" s="218" t="s">
        <v>377</v>
      </c>
      <c r="D236" t="s">
        <v>378</v>
      </c>
    </row>
    <row r="237" spans="2:4" ht="14.25">
      <c r="B237">
        <v>235</v>
      </c>
      <c r="C237" s="218" t="s">
        <v>32</v>
      </c>
      <c r="D237" t="s">
        <v>32</v>
      </c>
    </row>
    <row r="238" spans="2:4" ht="14.25">
      <c r="B238">
        <v>236</v>
      </c>
      <c r="C238" s="218" t="s">
        <v>379</v>
      </c>
      <c r="D238" t="s">
        <v>380</v>
      </c>
    </row>
    <row r="239" spans="2:4" ht="14.25">
      <c r="B239">
        <v>237</v>
      </c>
      <c r="C239" s="218" t="s">
        <v>34</v>
      </c>
      <c r="D239" t="s">
        <v>34</v>
      </c>
    </row>
    <row r="240" spans="2:4" ht="14.25">
      <c r="B240">
        <v>238</v>
      </c>
      <c r="C240" s="218" t="s">
        <v>381</v>
      </c>
      <c r="D240" t="s">
        <v>38</v>
      </c>
    </row>
    <row r="241" spans="2:4" ht="14.25">
      <c r="B241">
        <v>239</v>
      </c>
      <c r="C241" s="218" t="s">
        <v>382</v>
      </c>
      <c r="D241" t="s">
        <v>383</v>
      </c>
    </row>
    <row r="242" spans="2:4" ht="14.25">
      <c r="B242">
        <v>240</v>
      </c>
      <c r="C242" s="218" t="s">
        <v>384</v>
      </c>
      <c r="D242" t="s">
        <v>385</v>
      </c>
    </row>
    <row r="243" spans="2:4" ht="14.25">
      <c r="B243">
        <v>241</v>
      </c>
      <c r="C243" s="218" t="s">
        <v>386</v>
      </c>
      <c r="D243" t="s">
        <v>387</v>
      </c>
    </row>
    <row r="244" spans="2:4" ht="14.25">
      <c r="B244">
        <v>242</v>
      </c>
      <c r="C244" s="218" t="s">
        <v>388</v>
      </c>
      <c r="D244" t="s">
        <v>389</v>
      </c>
    </row>
    <row r="245" spans="2:4" ht="14.25">
      <c r="B245">
        <v>243</v>
      </c>
      <c r="C245" t="s">
        <v>390</v>
      </c>
      <c r="D245" t="s">
        <v>391</v>
      </c>
    </row>
    <row r="246" spans="2:4" ht="14.25">
      <c r="B246">
        <v>244</v>
      </c>
      <c r="C246" t="s">
        <v>392</v>
      </c>
      <c r="D246" t="s">
        <v>393</v>
      </c>
    </row>
    <row r="247" spans="2:4" ht="15">
      <c r="B247">
        <v>245</v>
      </c>
      <c r="C247" s="240" t="s">
        <v>394</v>
      </c>
      <c r="D247" s="240" t="s">
        <v>395</v>
      </c>
    </row>
    <row r="248" spans="2:4" ht="14.25">
      <c r="B248">
        <v>246</v>
      </c>
      <c r="C248" s="218" t="s">
        <v>396</v>
      </c>
      <c r="D248" t="s">
        <v>396</v>
      </c>
    </row>
    <row r="249" spans="2:4" ht="14.25">
      <c r="B249">
        <v>247</v>
      </c>
      <c r="C249" t="s">
        <v>400</v>
      </c>
      <c r="D249" t="s">
        <v>401</v>
      </c>
    </row>
    <row r="250" spans="2:4" ht="14.25">
      <c r="B250">
        <v>248</v>
      </c>
      <c r="C250" t="s">
        <v>402</v>
      </c>
      <c r="D250" t="s">
        <v>403</v>
      </c>
    </row>
    <row r="251" spans="2:4" ht="14.25">
      <c r="B251">
        <v>249</v>
      </c>
      <c r="C251" t="s">
        <v>404</v>
      </c>
      <c r="D251" t="s">
        <v>405</v>
      </c>
    </row>
    <row r="252" spans="2:4" ht="14.25">
      <c r="B252">
        <v>250</v>
      </c>
      <c r="C252" t="s">
        <v>406</v>
      </c>
      <c r="D252" t="s">
        <v>407</v>
      </c>
    </row>
    <row r="253" spans="2:4" ht="14.25">
      <c r="B253">
        <v>251</v>
      </c>
      <c r="C253" t="s">
        <v>408</v>
      </c>
      <c r="D253" t="s">
        <v>409</v>
      </c>
    </row>
    <row r="254" spans="2:4" ht="14.25">
      <c r="B254">
        <v>252</v>
      </c>
      <c r="C254" t="s">
        <v>410</v>
      </c>
      <c r="D254" t="s">
        <v>411</v>
      </c>
    </row>
    <row r="255" spans="2:4" ht="14.25">
      <c r="B255">
        <v>253</v>
      </c>
      <c r="C255" t="s">
        <v>412</v>
      </c>
      <c r="D255" t="s">
        <v>413</v>
      </c>
    </row>
    <row r="256" spans="2:4" ht="14.25">
      <c r="B256">
        <v>254</v>
      </c>
      <c r="C256" t="s">
        <v>414</v>
      </c>
      <c r="D256" t="s">
        <v>415</v>
      </c>
    </row>
    <row r="257" spans="2:4" ht="14.25">
      <c r="B257">
        <v>255</v>
      </c>
      <c r="C257" t="s">
        <v>431</v>
      </c>
      <c r="D257" t="s">
        <v>416</v>
      </c>
    </row>
    <row r="258" spans="2:4" ht="14.25">
      <c r="B258">
        <v>256</v>
      </c>
      <c r="C258" t="s">
        <v>454</v>
      </c>
      <c r="D258" t="s">
        <v>455</v>
      </c>
    </row>
    <row r="259" spans="2:4" ht="14.25">
      <c r="B259">
        <v>257</v>
      </c>
      <c r="C259" t="s">
        <v>429</v>
      </c>
      <c r="D259" t="s">
        <v>432</v>
      </c>
    </row>
    <row r="260" spans="2:4" ht="14.25">
      <c r="B260">
        <v>258</v>
      </c>
      <c r="C260" t="s">
        <v>426</v>
      </c>
      <c r="D260" t="s">
        <v>427</v>
      </c>
    </row>
    <row r="261" spans="2:4" ht="14.25">
      <c r="B261">
        <v>259</v>
      </c>
      <c r="C261" t="s">
        <v>433</v>
      </c>
      <c r="D261" t="s">
        <v>434</v>
      </c>
    </row>
    <row r="262" spans="2:4" ht="14.25">
      <c r="B262">
        <v>260</v>
      </c>
      <c r="C262" t="s">
        <v>435</v>
      </c>
      <c r="D262" t="s">
        <v>436</v>
      </c>
    </row>
    <row r="263" spans="2:4" ht="14.25">
      <c r="B263">
        <v>261</v>
      </c>
      <c r="C263" t="s">
        <v>437</v>
      </c>
      <c r="D263" t="s">
        <v>438</v>
      </c>
    </row>
    <row r="264" spans="2:4" ht="14.25">
      <c r="B264">
        <v>262</v>
      </c>
      <c r="C264" t="s">
        <v>439</v>
      </c>
      <c r="D264" t="s">
        <v>440</v>
      </c>
    </row>
    <row r="265" spans="2:4" ht="14.25">
      <c r="B265">
        <v>263</v>
      </c>
      <c r="C265" t="s">
        <v>441</v>
      </c>
      <c r="D265" t="s">
        <v>442</v>
      </c>
    </row>
    <row r="266" spans="2:4" ht="14.25">
      <c r="B266">
        <v>264</v>
      </c>
      <c r="C266" t="s">
        <v>456</v>
      </c>
      <c r="D266" t="s">
        <v>457</v>
      </c>
    </row>
    <row r="267" spans="2:4" ht="14.25">
      <c r="B267">
        <v>265</v>
      </c>
      <c r="C267" t="s">
        <v>443</v>
      </c>
      <c r="D267" t="s">
        <v>444</v>
      </c>
    </row>
    <row r="268" spans="2:4" ht="14.25">
      <c r="B268">
        <v>266</v>
      </c>
      <c r="C268" t="s">
        <v>453</v>
      </c>
      <c r="D268" t="s">
        <v>452</v>
      </c>
    </row>
    <row r="269" spans="2:4" ht="14.25">
      <c r="B269">
        <v>267</v>
      </c>
      <c r="C269" t="s">
        <v>445</v>
      </c>
      <c r="D269" t="s">
        <v>446</v>
      </c>
    </row>
    <row r="270" spans="2:4" ht="14.25">
      <c r="B270">
        <v>268</v>
      </c>
      <c r="C270" t="s">
        <v>458</v>
      </c>
      <c r="D270" t="s">
        <v>447</v>
      </c>
    </row>
    <row r="271" spans="2:4" ht="14.25">
      <c r="B271">
        <v>269</v>
      </c>
      <c r="C271" t="s">
        <v>449</v>
      </c>
      <c r="D271" t="s">
        <v>448</v>
      </c>
    </row>
    <row r="272" spans="2:4" ht="14.25">
      <c r="B272">
        <v>270</v>
      </c>
      <c r="C272" t="s">
        <v>451</v>
      </c>
      <c r="D272" t="s">
        <v>450</v>
      </c>
    </row>
    <row r="1000" ht="14.25">
      <c r="A1000" t="s">
        <v>397</v>
      </c>
    </row>
  </sheetData>
  <sheetProtection/>
  <printOptions/>
  <pageMargins left="0.7" right="0.7" top="0.75" bottom="0.75" header="0.3" footer="0.3"/>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dimension ref="A1:O1000"/>
  <sheetViews>
    <sheetView showGridLines="0" zoomScalePageLayoutView="0" workbookViewId="0" topLeftCell="A1">
      <selection activeCell="L30" sqref="L30"/>
    </sheetView>
  </sheetViews>
  <sheetFormatPr defaultColWidth="11.421875" defaultRowHeight="15"/>
  <cols>
    <col min="1" max="1" width="62.00390625" style="31" customWidth="1"/>
    <col min="2" max="16384" width="11.421875" style="31" customWidth="1"/>
  </cols>
  <sheetData>
    <row r="1" spans="1:9" ht="16.5">
      <c r="A1" s="29" t="str">
        <f>HLOOKUP(INDICE!$F$2,Nombres!$C$3:$D$636,14,FALSE)</f>
        <v>Argentina</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8">
        <f>+España!B6</f>
        <v>2019</v>
      </c>
      <c r="C6" s="308"/>
      <c r="D6" s="308"/>
      <c r="E6" s="309"/>
      <c r="F6" s="310">
        <f>+España!F6</f>
        <v>2020</v>
      </c>
      <c r="G6" s="308"/>
      <c r="H6" s="308"/>
      <c r="I6" s="308"/>
    </row>
    <row r="7" spans="1:9" ht="14.2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4.25">
      <c r="A8" s="41" t="str">
        <f>HLOOKUP(INDICE!$F$2,Nombres!$C$3:$D$636,33,FALSE)</f>
        <v>Margen de intereses</v>
      </c>
      <c r="B8" s="41">
        <v>218.80300000000005</v>
      </c>
      <c r="C8" s="41">
        <v>307.63999999999993</v>
      </c>
      <c r="D8" s="41">
        <v>215.182</v>
      </c>
      <c r="E8" s="42">
        <v>298.85300000000007</v>
      </c>
      <c r="F8" s="50">
        <v>241.80299999999994</v>
      </c>
      <c r="G8" s="50">
        <v>199.958</v>
      </c>
      <c r="H8" s="50">
        <v>170.69600000000008</v>
      </c>
      <c r="I8" s="50">
        <v>166.394</v>
      </c>
    </row>
    <row r="9" spans="1:9" ht="14.25">
      <c r="A9" s="43" t="str">
        <f>HLOOKUP(INDICE!$F$2,Nombres!$C$3:$D$636,34,FALSE)</f>
        <v>Comisiones netas</v>
      </c>
      <c r="B9" s="44">
        <v>31.99135007999999</v>
      </c>
      <c r="C9" s="44">
        <v>53.868073810000006</v>
      </c>
      <c r="D9" s="44">
        <v>17.358043630000004</v>
      </c>
      <c r="E9" s="45">
        <v>30.810872999999987</v>
      </c>
      <c r="F9" s="44">
        <v>26.540583739999988</v>
      </c>
      <c r="G9" s="44">
        <v>39.096000010000004</v>
      </c>
      <c r="H9" s="44">
        <v>35.084584650000004</v>
      </c>
      <c r="I9" s="44">
        <v>20.09528638</v>
      </c>
    </row>
    <row r="10" spans="1:9" ht="14.25">
      <c r="A10" s="43" t="str">
        <f>HLOOKUP(INDICE!$F$2,Nombres!$C$3:$D$636,35,FALSE)</f>
        <v>Resultados de operaciones financieras</v>
      </c>
      <c r="B10" s="44">
        <v>136.71650434999998</v>
      </c>
      <c r="C10" s="44">
        <v>41.24706275000001</v>
      </c>
      <c r="D10" s="44">
        <v>36.24441836000001</v>
      </c>
      <c r="E10" s="45">
        <v>83.88556699999998</v>
      </c>
      <c r="F10" s="44">
        <v>25.751163390000002</v>
      </c>
      <c r="G10" s="44">
        <v>22.934604999999998</v>
      </c>
      <c r="H10" s="44">
        <v>20.087802110000002</v>
      </c>
      <c r="I10" s="44">
        <v>73.11913341</v>
      </c>
    </row>
    <row r="11" spans="1:9" ht="14.25">
      <c r="A11" s="43" t="str">
        <f>HLOOKUP(INDICE!$F$2,Nombres!$C$3:$D$636,36,FALSE)</f>
        <v>Otros ingresos y cargas de explotación</v>
      </c>
      <c r="B11" s="44">
        <v>-108.839</v>
      </c>
      <c r="C11" s="44">
        <v>-106.079</v>
      </c>
      <c r="D11" s="44">
        <v>-85.68499999999997</v>
      </c>
      <c r="E11" s="45">
        <v>-141.24200000000002</v>
      </c>
      <c r="F11" s="44">
        <v>-84.321</v>
      </c>
      <c r="G11" s="44">
        <v>-65.797</v>
      </c>
      <c r="H11" s="44">
        <v>-67.18100000000001</v>
      </c>
      <c r="I11" s="44">
        <v>-84.75499999999997</v>
      </c>
    </row>
    <row r="12" spans="1:9" ht="14.25">
      <c r="A12" s="41" t="str">
        <f>HLOOKUP(INDICE!$F$2,Nombres!$C$3:$D$636,37,FALSE)</f>
        <v>Margen bruto</v>
      </c>
      <c r="B12" s="41">
        <f>+SUM(B8:B11)</f>
        <v>278.67185443</v>
      </c>
      <c r="C12" s="41">
        <f aca="true" t="shared" si="0" ref="C12:I12">+SUM(C8:C11)</f>
        <v>296.6761365599999</v>
      </c>
      <c r="D12" s="41">
        <f t="shared" si="0"/>
        <v>183.09946199000004</v>
      </c>
      <c r="E12" s="42">
        <f t="shared" si="0"/>
        <v>272.30744000000004</v>
      </c>
      <c r="F12" s="50">
        <f t="shared" si="0"/>
        <v>209.77374712999992</v>
      </c>
      <c r="G12" s="50">
        <f t="shared" si="0"/>
        <v>196.19160501000002</v>
      </c>
      <c r="H12" s="50">
        <f t="shared" si="0"/>
        <v>158.6873867600001</v>
      </c>
      <c r="I12" s="50">
        <f t="shared" si="0"/>
        <v>174.85341979000006</v>
      </c>
    </row>
    <row r="13" spans="1:9" ht="14.25">
      <c r="A13" s="43" t="str">
        <f>HLOOKUP(INDICE!$F$2,Nombres!$C$3:$D$636,38,FALSE)</f>
        <v>Gastos de explotación</v>
      </c>
      <c r="B13" s="44">
        <v>-104.91064276</v>
      </c>
      <c r="C13" s="44">
        <v>-135.33064227</v>
      </c>
      <c r="D13" s="44">
        <v>-96.90064227</v>
      </c>
      <c r="E13" s="45">
        <v>-145.91062627</v>
      </c>
      <c r="F13" s="44">
        <v>-117.91999933</v>
      </c>
      <c r="G13" s="44">
        <v>-98.427</v>
      </c>
      <c r="H13" s="44">
        <v>-93.79025886999997</v>
      </c>
      <c r="I13" s="44">
        <v>-85.97375296000001</v>
      </c>
    </row>
    <row r="14" spans="1:9" ht="14.25">
      <c r="A14" s="43" t="str">
        <f>HLOOKUP(INDICE!$F$2,Nombres!$C$3:$D$636,39,FALSE)</f>
        <v>  Gastos de administración</v>
      </c>
      <c r="B14" s="44">
        <v>-94.68664276000001</v>
      </c>
      <c r="C14" s="44">
        <v>-122.40764227</v>
      </c>
      <c r="D14" s="44">
        <v>-89.45064227</v>
      </c>
      <c r="E14" s="45">
        <v>-128.76862626999997</v>
      </c>
      <c r="F14" s="44">
        <v>-105.94299932999999</v>
      </c>
      <c r="G14" s="44">
        <v>-88.497</v>
      </c>
      <c r="H14" s="44">
        <v>-85.48925886999999</v>
      </c>
      <c r="I14" s="44">
        <v>-77.74175296000001</v>
      </c>
    </row>
    <row r="15" spans="1:9" ht="14.25">
      <c r="A15" s="46" t="str">
        <f>HLOOKUP(INDICE!$F$2,Nombres!$C$3:$D$636,40,FALSE)</f>
        <v>  Gastos de personal</v>
      </c>
      <c r="B15" s="44">
        <v>-59.402</v>
      </c>
      <c r="C15" s="44">
        <v>-76.21700000000001</v>
      </c>
      <c r="D15" s="44">
        <v>-47.13999999999999</v>
      </c>
      <c r="E15" s="45">
        <v>-71.88399999999999</v>
      </c>
      <c r="F15" s="44">
        <v>-64.475</v>
      </c>
      <c r="G15" s="44">
        <v>-48.109</v>
      </c>
      <c r="H15" s="44">
        <v>-47.056</v>
      </c>
      <c r="I15" s="44">
        <v>-40.538</v>
      </c>
    </row>
    <row r="16" spans="1:9" ht="14.25">
      <c r="A16" s="46" t="str">
        <f>HLOOKUP(INDICE!$F$2,Nombres!$C$3:$D$636,41,FALSE)</f>
        <v>  Otros gastos de administración</v>
      </c>
      <c r="B16" s="44">
        <v>-35.28464276</v>
      </c>
      <c r="C16" s="44">
        <v>-46.19064227</v>
      </c>
      <c r="D16" s="44">
        <v>-42.31064227</v>
      </c>
      <c r="E16" s="45">
        <v>-56.88462627</v>
      </c>
      <c r="F16" s="44">
        <v>-41.46799932999999</v>
      </c>
      <c r="G16" s="44">
        <v>-40.388000000000005</v>
      </c>
      <c r="H16" s="44">
        <v>-38.43325886999999</v>
      </c>
      <c r="I16" s="44">
        <v>-37.20375296000001</v>
      </c>
    </row>
    <row r="17" spans="1:9" ht="14.25">
      <c r="A17" s="43" t="str">
        <f>HLOOKUP(INDICE!$F$2,Nombres!$C$3:$D$636,42,FALSE)</f>
        <v>  Amortización</v>
      </c>
      <c r="B17" s="44">
        <v>-10.224</v>
      </c>
      <c r="C17" s="44">
        <v>-12.923</v>
      </c>
      <c r="D17" s="44">
        <v>-7.45</v>
      </c>
      <c r="E17" s="45">
        <v>-17.142</v>
      </c>
      <c r="F17" s="44">
        <v>-11.977</v>
      </c>
      <c r="G17" s="44">
        <v>-9.93</v>
      </c>
      <c r="H17" s="44">
        <v>-8.300999999999998</v>
      </c>
      <c r="I17" s="44">
        <v>-8.232000000000003</v>
      </c>
    </row>
    <row r="18" spans="1:9" ht="14.25">
      <c r="A18" s="41" t="str">
        <f>HLOOKUP(INDICE!$F$2,Nombres!$C$3:$D$636,43,FALSE)</f>
        <v>Margen neto</v>
      </c>
      <c r="B18" s="41">
        <f>+B12+B13</f>
        <v>173.76121167</v>
      </c>
      <c r="C18" s="41">
        <f aca="true" t="shared" si="1" ref="C18:I18">+C12+C13</f>
        <v>161.34549428999992</v>
      </c>
      <c r="D18" s="41">
        <f t="shared" si="1"/>
        <v>86.19881972000003</v>
      </c>
      <c r="E18" s="42">
        <f t="shared" si="1"/>
        <v>126.39681373000005</v>
      </c>
      <c r="F18" s="50">
        <f t="shared" si="1"/>
        <v>91.85374779999992</v>
      </c>
      <c r="G18" s="50">
        <f t="shared" si="1"/>
        <v>97.76460501000001</v>
      </c>
      <c r="H18" s="50">
        <f t="shared" si="1"/>
        <v>64.89712789000012</v>
      </c>
      <c r="I18" s="50">
        <f t="shared" si="1"/>
        <v>88.87966683000005</v>
      </c>
    </row>
    <row r="19" spans="1:9" ht="14.25">
      <c r="A19" s="43" t="str">
        <f>HLOOKUP(INDICE!$F$2,Nombres!$C$3:$D$636,44,FALSE)</f>
        <v>Deterioro de activos financieros no valorados a valor razonable con cambios en resultados</v>
      </c>
      <c r="B19" s="44">
        <v>-23.132999999999996</v>
      </c>
      <c r="C19" s="44">
        <v>-41.50199999999999</v>
      </c>
      <c r="D19" s="44">
        <v>-103.51800000000001</v>
      </c>
      <c r="E19" s="45">
        <v>-69.67899999999997</v>
      </c>
      <c r="F19" s="44">
        <v>-63.730999999999995</v>
      </c>
      <c r="G19" s="44">
        <v>-24.230000000000004</v>
      </c>
      <c r="H19" s="44">
        <v>35.42999999999999</v>
      </c>
      <c r="I19" s="44">
        <v>-52.36900000000003</v>
      </c>
    </row>
    <row r="20" spans="1:9" ht="14.25">
      <c r="A20" s="43" t="str">
        <f>HLOOKUP(INDICE!$F$2,Nombres!$C$3:$D$636,45,FALSE)</f>
        <v>Provisiones o reversión de provisiones y otros resultados</v>
      </c>
      <c r="B20" s="44">
        <v>-5.202999999999992</v>
      </c>
      <c r="C20" s="44">
        <v>-10.908999999999986</v>
      </c>
      <c r="D20" s="44">
        <v>-14.277000000000013</v>
      </c>
      <c r="E20" s="45">
        <v>-49.57500000000001</v>
      </c>
      <c r="F20" s="44">
        <v>-10.753</v>
      </c>
      <c r="G20" s="44">
        <v>5.590000000000004</v>
      </c>
      <c r="H20" s="44">
        <v>-6.144</v>
      </c>
      <c r="I20" s="44">
        <v>-18.327999999999996</v>
      </c>
    </row>
    <row r="21" spans="1:9" ht="14.25">
      <c r="A21" s="41" t="str">
        <f>HLOOKUP(INDICE!$F$2,Nombres!$C$3:$D$636,46,FALSE)</f>
        <v>Resultado antes de impuestos</v>
      </c>
      <c r="B21" s="41">
        <f>+B18+B19+B20</f>
        <v>145.42521166999998</v>
      </c>
      <c r="C21" s="41">
        <f aca="true" t="shared" si="2" ref="C21:I21">+C18+C19+C20</f>
        <v>108.93449428999995</v>
      </c>
      <c r="D21" s="41">
        <f t="shared" si="2"/>
        <v>-31.59618028</v>
      </c>
      <c r="E21" s="42">
        <f t="shared" si="2"/>
        <v>7.142813730000064</v>
      </c>
      <c r="F21" s="50">
        <f t="shared" si="2"/>
        <v>17.369747799999928</v>
      </c>
      <c r="G21" s="50">
        <f t="shared" si="2"/>
        <v>79.12460501000001</v>
      </c>
      <c r="H21" s="50">
        <f t="shared" si="2"/>
        <v>94.18312789000011</v>
      </c>
      <c r="I21" s="50">
        <f t="shared" si="2"/>
        <v>18.182666830000024</v>
      </c>
    </row>
    <row r="22" spans="1:9" ht="14.25">
      <c r="A22" s="43" t="str">
        <f>HLOOKUP(INDICE!$F$2,Nombres!$C$3:$D$636,47,FALSE)</f>
        <v>Impuesto sobre beneficios</v>
      </c>
      <c r="B22" s="44">
        <v>-53.987151989999994</v>
      </c>
      <c r="C22" s="44">
        <v>-41.19070916</v>
      </c>
      <c r="D22" s="44">
        <v>47.65246832</v>
      </c>
      <c r="E22" s="45">
        <v>10.287332990000012</v>
      </c>
      <c r="F22" s="44">
        <v>-6.914934339999994</v>
      </c>
      <c r="G22" s="44">
        <v>-28.53657149999999</v>
      </c>
      <c r="H22" s="44">
        <v>-34.22763836</v>
      </c>
      <c r="I22" s="44">
        <v>-12.646800050000007</v>
      </c>
    </row>
    <row r="23" spans="1:9" ht="14.25">
      <c r="A23" s="41" t="str">
        <f>HLOOKUP(INDICE!$F$2,Nombres!$C$3:$D$636,48,FALSE)</f>
        <v>Resultado del ejercicio</v>
      </c>
      <c r="B23" s="41">
        <f>+B21+B22</f>
        <v>91.43805967999998</v>
      </c>
      <c r="C23" s="41">
        <f aca="true" t="shared" si="3" ref="C23:I23">+C21+C22</f>
        <v>67.74378512999995</v>
      </c>
      <c r="D23" s="41">
        <f t="shared" si="3"/>
        <v>16.05628804</v>
      </c>
      <c r="E23" s="42">
        <f t="shared" si="3"/>
        <v>17.430146720000074</v>
      </c>
      <c r="F23" s="50">
        <f t="shared" si="3"/>
        <v>10.454813459999933</v>
      </c>
      <c r="G23" s="50">
        <f t="shared" si="3"/>
        <v>50.58803351000002</v>
      </c>
      <c r="H23" s="50">
        <f t="shared" si="3"/>
        <v>59.95548953000011</v>
      </c>
      <c r="I23" s="50">
        <f t="shared" si="3"/>
        <v>5.535866780000017</v>
      </c>
    </row>
    <row r="24" spans="1:9" ht="14.25">
      <c r="A24" s="43" t="str">
        <f>HLOOKUP(INDICE!$F$2,Nombres!$C$3:$D$636,49,FALSE)</f>
        <v>Minoritarios</v>
      </c>
      <c r="B24" s="44">
        <v>-31.903411449999997</v>
      </c>
      <c r="C24" s="44">
        <v>-17.315130720000003</v>
      </c>
      <c r="D24" s="44">
        <v>-8.739709660000003</v>
      </c>
      <c r="E24" s="45">
        <v>-2.0607148499999983</v>
      </c>
      <c r="F24" s="44">
        <v>-2.6900366600000076</v>
      </c>
      <c r="G24" s="44">
        <v>-15.640754219999994</v>
      </c>
      <c r="H24" s="44">
        <v>-18.49806356</v>
      </c>
      <c r="I24" s="44">
        <v>-0.8040582000000036</v>
      </c>
    </row>
    <row r="25" spans="1:9" ht="14.25">
      <c r="A25" s="47" t="str">
        <f>HLOOKUP(INDICE!$F$2,Nombres!$C$3:$D$636,50,FALSE)</f>
        <v>Resultado atribuido</v>
      </c>
      <c r="B25" s="47">
        <f>+B23+B24</f>
        <v>59.53464822999999</v>
      </c>
      <c r="C25" s="47">
        <f aca="true" t="shared" si="4" ref="C25:I25">+C23+C24</f>
        <v>50.42865440999995</v>
      </c>
      <c r="D25" s="47">
        <f t="shared" si="4"/>
        <v>7.316578379999996</v>
      </c>
      <c r="E25" s="47">
        <f t="shared" si="4"/>
        <v>15.369431870000076</v>
      </c>
      <c r="F25" s="51">
        <f t="shared" si="4"/>
        <v>7.764776799999925</v>
      </c>
      <c r="G25" s="51">
        <f t="shared" si="4"/>
        <v>34.947279290000026</v>
      </c>
      <c r="H25" s="51">
        <f t="shared" si="4"/>
        <v>41.45742597000011</v>
      </c>
      <c r="I25" s="51">
        <f t="shared" si="4"/>
        <v>4.731808580000013</v>
      </c>
    </row>
    <row r="26" spans="1:9" ht="14.25">
      <c r="A26" s="63"/>
      <c r="B26" s="64">
        <v>0</v>
      </c>
      <c r="C26" s="64">
        <v>0</v>
      </c>
      <c r="D26" s="64">
        <v>-1.4210854715202004E-14</v>
      </c>
      <c r="E26" s="64">
        <v>-1.5987211554602254E-14</v>
      </c>
      <c r="F26" s="64">
        <v>-6.394884621840902E-14</v>
      </c>
      <c r="G26" s="64">
        <v>0</v>
      </c>
      <c r="H26" s="64">
        <v>5.684341886080802E-14</v>
      </c>
      <c r="I26" s="64">
        <v>1.7763568394002505E-14</v>
      </c>
    </row>
    <row r="27" spans="1:9" ht="14.25">
      <c r="A27" s="41"/>
      <c r="B27" s="41"/>
      <c r="C27" s="41"/>
      <c r="D27" s="41"/>
      <c r="E27" s="41"/>
      <c r="F27" s="41"/>
      <c r="G27" s="41"/>
      <c r="H27" s="41"/>
      <c r="I27" s="41"/>
    </row>
    <row r="28" spans="1:9" ht="16.5">
      <c r="A28" s="33" t="str">
        <f>HLOOKUP(INDICE!$F$2,Nombres!$C$3:$D$636,51,FALSE)</f>
        <v>Balances</v>
      </c>
      <c r="B28" s="34"/>
      <c r="C28" s="34"/>
      <c r="D28" s="34"/>
      <c r="E28" s="34"/>
      <c r="F28" s="34"/>
      <c r="G28" s="34"/>
      <c r="H28" s="34"/>
      <c r="I28" s="34"/>
    </row>
    <row r="29" spans="1:9" ht="14.25">
      <c r="A29" s="35" t="str">
        <f>HLOOKUP(INDICE!$F$2,Nombres!$C$3:$D$636,32,FALSE)</f>
        <v>(Millones de euros)</v>
      </c>
      <c r="B29" s="30"/>
      <c r="C29" s="52"/>
      <c r="D29" s="52"/>
      <c r="E29" s="52"/>
      <c r="F29" s="30"/>
      <c r="G29" s="58"/>
      <c r="H29" s="58"/>
      <c r="I29" s="58"/>
    </row>
    <row r="30" spans="1:9" ht="14.25">
      <c r="A30" s="30"/>
      <c r="B30" s="53">
        <f>+España!B30</f>
        <v>43555</v>
      </c>
      <c r="C30" s="53">
        <f>+España!C30</f>
        <v>43646</v>
      </c>
      <c r="D30" s="53">
        <f>+España!D30</f>
        <v>43738</v>
      </c>
      <c r="E30" s="69">
        <f>+España!E30</f>
        <v>43830</v>
      </c>
      <c r="F30" s="78">
        <f>+España!F30</f>
        <v>43921</v>
      </c>
      <c r="G30" s="78">
        <f>+España!G30</f>
        <v>44012</v>
      </c>
      <c r="H30" s="78">
        <f>+España!H30</f>
        <v>44104</v>
      </c>
      <c r="I30" s="78">
        <f>+España!I30</f>
        <v>44196</v>
      </c>
    </row>
    <row r="31" spans="1:9" ht="14.25">
      <c r="A31" s="43" t="str">
        <f>HLOOKUP(INDICE!$F$2,Nombres!$C$3:$D$636,52,FALSE)</f>
        <v>Efectivo, saldos en efectivo en bancos centrales y otros depósitos a la vista</v>
      </c>
      <c r="B31" s="44">
        <v>2123.2569999999996</v>
      </c>
      <c r="C31" s="44">
        <v>1865.655</v>
      </c>
      <c r="D31" s="44">
        <v>1510.362</v>
      </c>
      <c r="E31" s="45">
        <v>2323.167</v>
      </c>
      <c r="F31" s="44">
        <v>2075.984</v>
      </c>
      <c r="G31" s="44">
        <v>1429.8010000000002</v>
      </c>
      <c r="H31" s="44">
        <v>1496.7959999999998</v>
      </c>
      <c r="I31" s="44">
        <v>1474.656</v>
      </c>
    </row>
    <row r="32" spans="1:9" ht="14.25">
      <c r="A32" s="43" t="str">
        <f>HLOOKUP(INDICE!$F$2,Nombres!$C$3:$D$636,53,FALSE)</f>
        <v>Activos financieros a valor razonable</v>
      </c>
      <c r="B32" s="58">
        <v>991.193</v>
      </c>
      <c r="C32" s="58">
        <v>1717.322</v>
      </c>
      <c r="D32" s="58">
        <v>1226.1090000000002</v>
      </c>
      <c r="E32" s="66">
        <v>877.162</v>
      </c>
      <c r="F32" s="44">
        <v>1172.92</v>
      </c>
      <c r="G32" s="44">
        <v>1286.2289999999998</v>
      </c>
      <c r="H32" s="44">
        <v>1421.06</v>
      </c>
      <c r="I32" s="44">
        <v>1389.639</v>
      </c>
    </row>
    <row r="33" spans="1:9" ht="14.25">
      <c r="A33" s="43" t="str">
        <f>HLOOKUP(INDICE!$F$2,Nombres!$C$3:$D$636,54,FALSE)</f>
        <v>Activos financieros a coste amortizado</v>
      </c>
      <c r="B33" s="44">
        <v>4387.527</v>
      </c>
      <c r="C33" s="44">
        <v>4120.665</v>
      </c>
      <c r="D33" s="44">
        <v>3516.2899999999995</v>
      </c>
      <c r="E33" s="45">
        <v>3045.659</v>
      </c>
      <c r="F33" s="44">
        <v>3307.5209999999993</v>
      </c>
      <c r="G33" s="44">
        <v>3680.711999999999</v>
      </c>
      <c r="H33" s="44">
        <v>3188.999</v>
      </c>
      <c r="I33" s="44">
        <v>3360.505</v>
      </c>
    </row>
    <row r="34" spans="1:9" ht="14.25">
      <c r="A34" s="43" t="str">
        <f>HLOOKUP(INDICE!$F$2,Nombres!$C$3:$D$636,55,FALSE)</f>
        <v>    de los que préstamos y anticipos a la clientela</v>
      </c>
      <c r="B34" s="44">
        <v>3981.712</v>
      </c>
      <c r="C34" s="44">
        <v>3831.908</v>
      </c>
      <c r="D34" s="44">
        <v>3280.766</v>
      </c>
      <c r="E34" s="45">
        <v>2877.765000000001</v>
      </c>
      <c r="F34" s="44">
        <v>3089.0679999999993</v>
      </c>
      <c r="G34" s="44">
        <v>3103.6030000000005</v>
      </c>
      <c r="H34" s="44">
        <v>2833.8469999999993</v>
      </c>
      <c r="I34" s="44">
        <v>2742.2390000000005</v>
      </c>
    </row>
    <row r="35" spans="1:9" ht="14.25">
      <c r="A35" s="43" t="str">
        <f>HLOOKUP(INDICE!$F$2,Nombres!$C$3:$D$636,56,FALSE)</f>
        <v>Activos tangibles</v>
      </c>
      <c r="B35" s="44">
        <v>406.925</v>
      </c>
      <c r="C35" s="44">
        <v>442.015</v>
      </c>
      <c r="D35" s="44">
        <v>395.43100000000004</v>
      </c>
      <c r="E35" s="45">
        <v>405.624</v>
      </c>
      <c r="F35" s="44">
        <v>399.99144176000004</v>
      </c>
      <c r="G35" s="44">
        <v>365.42600000000004</v>
      </c>
      <c r="H35" s="44">
        <v>336.80591768</v>
      </c>
      <c r="I35" s="44">
        <v>340.0514728400001</v>
      </c>
    </row>
    <row r="36" spans="1:9" ht="14.25">
      <c r="A36" s="43" t="str">
        <f>HLOOKUP(INDICE!$F$2,Nombres!$C$3:$D$636,57,FALSE)</f>
        <v>Otros activos</v>
      </c>
      <c r="B36" s="58">
        <f>+B37-B35-B33-B32-B31</f>
        <v>162.85299999999916</v>
      </c>
      <c r="C36" s="58">
        <f aca="true" t="shared" si="5" ref="C36:I36">+C37-C35-C33-C32-C31</f>
        <v>192.2769999999989</v>
      </c>
      <c r="D36" s="58">
        <f t="shared" si="5"/>
        <v>185.45700000000102</v>
      </c>
      <c r="E36" s="66">
        <f t="shared" si="5"/>
        <v>251.7103810399999</v>
      </c>
      <c r="F36" s="44">
        <f t="shared" si="5"/>
        <v>292.6261178900004</v>
      </c>
      <c r="G36" s="44">
        <f t="shared" si="5"/>
        <v>255.6750000200011</v>
      </c>
      <c r="H36" s="44">
        <f t="shared" si="5"/>
        <v>248.7959577700003</v>
      </c>
      <c r="I36" s="44">
        <f t="shared" si="5"/>
        <v>297.40743339000096</v>
      </c>
    </row>
    <row r="37" spans="1:9" ht="14.25">
      <c r="A37" s="47" t="str">
        <f>HLOOKUP(INDICE!$F$2,Nombres!$C$3:$D$636,58,FALSE)</f>
        <v>Total activo / pasivo</v>
      </c>
      <c r="B37" s="47">
        <v>8071.754999999999</v>
      </c>
      <c r="C37" s="47">
        <v>8337.934</v>
      </c>
      <c r="D37" s="47">
        <v>6833.649</v>
      </c>
      <c r="E37" s="47">
        <v>6903.3223810399995</v>
      </c>
      <c r="F37" s="51">
        <v>7249.04255965</v>
      </c>
      <c r="G37" s="51">
        <v>7017.8430000200005</v>
      </c>
      <c r="H37" s="51">
        <v>6692.45687545</v>
      </c>
      <c r="I37" s="51">
        <v>6862.258906230001</v>
      </c>
    </row>
    <row r="38" spans="1:9" ht="14.25">
      <c r="A38" s="43" t="str">
        <f>HLOOKUP(INDICE!$F$2,Nombres!$C$3:$D$636,59,FALSE)</f>
        <v>Pasivos financieros mantenidos para negociar y designados a valor razonable con cambios en resultados</v>
      </c>
      <c r="B38" s="58">
        <v>62.144999999999996</v>
      </c>
      <c r="C38" s="58">
        <v>70.654</v>
      </c>
      <c r="D38" s="58">
        <v>65.14699999999999</v>
      </c>
      <c r="E38" s="66">
        <v>46.093</v>
      </c>
      <c r="F38" s="44">
        <v>4.695</v>
      </c>
      <c r="G38" s="44">
        <v>2.9130000000000003</v>
      </c>
      <c r="H38" s="44">
        <v>0.403</v>
      </c>
      <c r="I38" s="44">
        <v>1.827</v>
      </c>
    </row>
    <row r="39" spans="1:9" ht="14.25">
      <c r="A39" s="43" t="str">
        <f>HLOOKUP(INDICE!$F$2,Nombres!$C$3:$D$636,60,FALSE)</f>
        <v>Depósitos de bancos centrales y entidades de crédito</v>
      </c>
      <c r="B39" s="58">
        <v>162.027</v>
      </c>
      <c r="C39" s="58">
        <v>105.42399999999999</v>
      </c>
      <c r="D39" s="58">
        <v>200.54</v>
      </c>
      <c r="E39" s="66">
        <v>117.57600000000002</v>
      </c>
      <c r="F39" s="44">
        <v>109.653</v>
      </c>
      <c r="G39" s="44">
        <v>83.065</v>
      </c>
      <c r="H39" s="44">
        <v>51.71700000000002</v>
      </c>
      <c r="I39" s="44">
        <v>115.65699999999998</v>
      </c>
    </row>
    <row r="40" spans="1:9" ht="15.75" customHeight="1">
      <c r="A40" s="43" t="str">
        <f>HLOOKUP(INDICE!$F$2,Nombres!$C$3:$D$636,61,FALSE)</f>
        <v>Depósitos de la clientela</v>
      </c>
      <c r="B40" s="58">
        <v>5681.7</v>
      </c>
      <c r="C40" s="58">
        <v>5841.286</v>
      </c>
      <c r="D40" s="58">
        <v>4403.508</v>
      </c>
      <c r="E40" s="66">
        <v>4365.661</v>
      </c>
      <c r="F40" s="44">
        <v>4638.339</v>
      </c>
      <c r="G40" s="44">
        <v>4730.674000000001</v>
      </c>
      <c r="H40" s="44">
        <v>4477.334000000001</v>
      </c>
      <c r="I40" s="44">
        <v>4622.5419999999995</v>
      </c>
    </row>
    <row r="41" spans="1:9" ht="14.25">
      <c r="A41" s="43" t="str">
        <f>HLOOKUP(INDICE!$F$2,Nombres!$C$3:$D$636,62,FALSE)</f>
        <v>Valores representativos de deuda emitidos</v>
      </c>
      <c r="B41" s="44">
        <v>83.658</v>
      </c>
      <c r="C41" s="44">
        <v>85.98800000000001</v>
      </c>
      <c r="D41" s="44">
        <v>137.787</v>
      </c>
      <c r="E41" s="45">
        <v>105.92699999999999</v>
      </c>
      <c r="F41" s="44">
        <v>103.155</v>
      </c>
      <c r="G41" s="44">
        <v>51.92</v>
      </c>
      <c r="H41" s="44">
        <v>45.02</v>
      </c>
      <c r="I41" s="44">
        <v>11.319</v>
      </c>
    </row>
    <row r="42" spans="1:9" ht="14.25">
      <c r="A42" s="43" t="str">
        <f>HLOOKUP(INDICE!$F$2,Nombres!$C$3:$D$636,63,FALSE)</f>
        <v>Otros pasivos</v>
      </c>
      <c r="B42" s="58">
        <f>+B37-B38-B39-B40-B41-B43</f>
        <v>1656.840729999999</v>
      </c>
      <c r="C42" s="58">
        <f aca="true" t="shared" si="6" ref="C42:I42">+C37-C38-C39-C40-C41-C43</f>
        <v>1739.5436699999989</v>
      </c>
      <c r="D42" s="58">
        <f t="shared" si="6"/>
        <v>1641.1631808400007</v>
      </c>
      <c r="E42" s="66">
        <f t="shared" si="6"/>
        <v>1827.7547079199994</v>
      </c>
      <c r="F42" s="44">
        <f t="shared" si="6"/>
        <v>1902.50869965</v>
      </c>
      <c r="G42" s="44">
        <f t="shared" si="6"/>
        <v>1677.2117500200004</v>
      </c>
      <c r="H42" s="44">
        <f t="shared" si="6"/>
        <v>1680.8769652899991</v>
      </c>
      <c r="I42" s="44">
        <f t="shared" si="6"/>
        <v>1698.1266111700015</v>
      </c>
    </row>
    <row r="43" spans="1:9" ht="14.25">
      <c r="A43" s="43" t="str">
        <f>HLOOKUP(INDICE!$F$2,Nombres!$C$3:$D$636,64,FALSE)</f>
        <v>Dotación de capital económico</v>
      </c>
      <c r="B43" s="44">
        <v>425.3842700000001</v>
      </c>
      <c r="C43" s="44">
        <v>495.0383300000001</v>
      </c>
      <c r="D43" s="44">
        <v>385.50381916</v>
      </c>
      <c r="E43" s="45">
        <v>440.31067312</v>
      </c>
      <c r="F43" s="44">
        <v>490.69185999999996</v>
      </c>
      <c r="G43" s="44">
        <v>472.05924999999996</v>
      </c>
      <c r="H43" s="44">
        <v>437.10591015999995</v>
      </c>
      <c r="I43" s="44">
        <v>412.78729505999996</v>
      </c>
    </row>
    <row r="44" spans="1:9" ht="14.25">
      <c r="A44" s="63"/>
      <c r="B44" s="58"/>
      <c r="C44" s="58"/>
      <c r="D44" s="58"/>
      <c r="E44" s="58"/>
      <c r="F44" s="44"/>
      <c r="G44" s="44"/>
      <c r="H44" s="44"/>
      <c r="I44" s="44"/>
    </row>
    <row r="45" spans="1:9" ht="14.25">
      <c r="A45" s="43"/>
      <c r="B45" s="58"/>
      <c r="C45" s="58"/>
      <c r="D45" s="58"/>
      <c r="E45" s="58"/>
      <c r="F45" s="44"/>
      <c r="G45" s="44"/>
      <c r="H45" s="44"/>
      <c r="I45" s="44"/>
    </row>
    <row r="46" spans="1:9" ht="16.5">
      <c r="A46" s="33" t="str">
        <f>HLOOKUP(INDICE!$F$2,Nombres!$C$3:$D$636,65,FALSE)</f>
        <v>Indicadores relevantes y de gestión</v>
      </c>
      <c r="B46" s="34"/>
      <c r="C46" s="34"/>
      <c r="D46" s="34"/>
      <c r="E46" s="34"/>
      <c r="F46" s="70"/>
      <c r="G46" s="70"/>
      <c r="H46" s="70"/>
      <c r="I46" s="70"/>
    </row>
    <row r="47" spans="1:9" ht="14.25">
      <c r="A47" s="35" t="str">
        <f>HLOOKUP(INDICE!$F$2,Nombres!$C$3:$D$636,32,FALSE)</f>
        <v>(Millones de euros)</v>
      </c>
      <c r="B47" s="30"/>
      <c r="C47" s="30"/>
      <c r="D47" s="30"/>
      <c r="E47" s="30"/>
      <c r="F47" s="71"/>
      <c r="G47" s="44"/>
      <c r="H47" s="44"/>
      <c r="I47" s="44"/>
    </row>
    <row r="48" spans="1:9" ht="14.25">
      <c r="A48" s="30"/>
      <c r="B48" s="53">
        <f aca="true" t="shared" si="7" ref="B48:I48">+B$30</f>
        <v>43555</v>
      </c>
      <c r="C48" s="53">
        <f t="shared" si="7"/>
        <v>43646</v>
      </c>
      <c r="D48" s="53">
        <f t="shared" si="7"/>
        <v>43738</v>
      </c>
      <c r="E48" s="69">
        <f t="shared" si="7"/>
        <v>43830</v>
      </c>
      <c r="F48" s="53">
        <f t="shared" si="7"/>
        <v>43921</v>
      </c>
      <c r="G48" s="53">
        <f t="shared" si="7"/>
        <v>44012</v>
      </c>
      <c r="H48" s="53">
        <f t="shared" si="7"/>
        <v>44104</v>
      </c>
      <c r="I48" s="53">
        <f t="shared" si="7"/>
        <v>44196</v>
      </c>
    </row>
    <row r="49" spans="1:9" ht="14.25">
      <c r="A49" s="43" t="str">
        <f>HLOOKUP(INDICE!$F$2,Nombres!$C$3:$D$636,66,FALSE)</f>
        <v>Préstamos y anticipos a la clientela bruto (*)</v>
      </c>
      <c r="B49" s="44">
        <v>3805.0707322599997</v>
      </c>
      <c r="C49" s="44">
        <v>3832.6923465</v>
      </c>
      <c r="D49" s="44">
        <v>3450.6767045300007</v>
      </c>
      <c r="E49" s="45">
        <v>3044.82152225</v>
      </c>
      <c r="F49" s="44">
        <v>3256.68866218</v>
      </c>
      <c r="G49" s="44">
        <v>3239.52912875</v>
      </c>
      <c r="H49" s="44">
        <v>2953.827407529999</v>
      </c>
      <c r="I49" s="44">
        <v>2864.2089997900002</v>
      </c>
    </row>
    <row r="50" spans="1:9" ht="14.25">
      <c r="A50" s="43" t="str">
        <f>HLOOKUP(INDICE!$F$2,Nombres!$C$3:$D$636,67,FALSE)</f>
        <v>Depósitos de clientes en gestión (**)</v>
      </c>
      <c r="B50" s="44">
        <v>5683.25962831</v>
      </c>
      <c r="C50" s="44">
        <v>5840.041223629999</v>
      </c>
      <c r="D50" s="44">
        <v>4391.866179029999</v>
      </c>
      <c r="E50" s="45">
        <v>4365.70994146</v>
      </c>
      <c r="F50" s="44">
        <v>4638.36020785</v>
      </c>
      <c r="G50" s="44">
        <v>4730.67369239</v>
      </c>
      <c r="H50" s="44">
        <v>4477.33311385</v>
      </c>
      <c r="I50" s="44">
        <v>4622.2055273000005</v>
      </c>
    </row>
    <row r="51" spans="1:9" ht="14.25">
      <c r="A51" s="43" t="str">
        <f>HLOOKUP(INDICE!$F$2,Nombres!$C$3:$D$636,68,FALSE)</f>
        <v>Fondos de inversión</v>
      </c>
      <c r="B51" s="44">
        <v>1032.52086625</v>
      </c>
      <c r="C51" s="44">
        <v>1043.01949552</v>
      </c>
      <c r="D51" s="44">
        <v>657.6726349099999</v>
      </c>
      <c r="E51" s="45">
        <v>644.38993326</v>
      </c>
      <c r="F51" s="44">
        <v>945.89799169</v>
      </c>
      <c r="G51" s="44">
        <v>1455.18131032</v>
      </c>
      <c r="H51" s="44">
        <v>1125.3281869900002</v>
      </c>
      <c r="I51" s="44">
        <v>969.3644559700001</v>
      </c>
    </row>
    <row r="52" spans="1:9" ht="14.25">
      <c r="A52" s="43" t="str">
        <f>HLOOKUP(INDICE!$F$2,Nombres!$C$3:$D$636,69,FALSE)</f>
        <v>Fondos de pensiones</v>
      </c>
      <c r="B52" s="44">
        <v>0</v>
      </c>
      <c r="C52" s="44">
        <v>0</v>
      </c>
      <c r="D52" s="44">
        <v>0</v>
      </c>
      <c r="E52" s="45">
        <v>0</v>
      </c>
      <c r="F52" s="44">
        <v>0</v>
      </c>
      <c r="G52" s="44">
        <v>0</v>
      </c>
      <c r="H52" s="44">
        <v>0</v>
      </c>
      <c r="I52" s="44">
        <v>0</v>
      </c>
    </row>
    <row r="53" spans="1:9" ht="14.25">
      <c r="A53" s="43" t="str">
        <f>HLOOKUP(INDICE!$F$2,Nombres!$C$3:$D$636,70,FALSE)</f>
        <v>Otros recursos fuera de balance</v>
      </c>
      <c r="B53" s="44">
        <v>0</v>
      </c>
      <c r="C53" s="44">
        <v>0</v>
      </c>
      <c r="D53" s="44">
        <v>0</v>
      </c>
      <c r="E53" s="45">
        <v>0</v>
      </c>
      <c r="F53" s="44">
        <v>0</v>
      </c>
      <c r="G53" s="44">
        <v>0</v>
      </c>
      <c r="H53" s="44">
        <v>0</v>
      </c>
      <c r="I53" s="44">
        <v>0</v>
      </c>
    </row>
    <row r="54" spans="1:9" ht="14.25">
      <c r="A54" s="63" t="str">
        <f>HLOOKUP(INDICE!$F$2,Nombres!$C$3:$D$636,71,FALSE)</f>
        <v>(*) No incluye las adquisiciones temporales de activos.</v>
      </c>
      <c r="B54" s="58"/>
      <c r="C54" s="58"/>
      <c r="D54" s="58"/>
      <c r="E54" s="58"/>
      <c r="F54" s="58"/>
      <c r="G54" s="58"/>
      <c r="H54" s="58"/>
      <c r="I54" s="58"/>
    </row>
    <row r="55" spans="1:9" ht="14.25">
      <c r="A55" s="63" t="str">
        <f>HLOOKUP(INDICE!$F$2,Nombres!$C$3:$D$636,72,FALSE)</f>
        <v>(**) No incluye las cesiones temporales de activos.</v>
      </c>
      <c r="B55" s="30"/>
      <c r="C55" s="30"/>
      <c r="D55" s="30"/>
      <c r="E55" s="30"/>
      <c r="F55" s="30"/>
      <c r="G55" s="30"/>
      <c r="H55" s="30"/>
      <c r="I55" s="30"/>
    </row>
    <row r="56" spans="1:9" ht="14.25">
      <c r="A56" s="63"/>
      <c r="B56" s="30"/>
      <c r="C56" s="30"/>
      <c r="D56" s="30"/>
      <c r="E56" s="30"/>
      <c r="F56" s="30"/>
      <c r="G56" s="30"/>
      <c r="H56" s="30"/>
      <c r="I56" s="30"/>
    </row>
    <row r="57" spans="1:9" ht="16.5">
      <c r="A57" s="33" t="str">
        <f>HLOOKUP(INDICE!$F$2,Nombres!$C$3:$D$636,31,FALSE)</f>
        <v>Cuenta de resultados  </v>
      </c>
      <c r="B57" s="34"/>
      <c r="C57" s="34"/>
      <c r="D57" s="34"/>
      <c r="E57" s="34"/>
      <c r="F57" s="34"/>
      <c r="G57" s="34"/>
      <c r="H57" s="34"/>
      <c r="I57" s="34"/>
    </row>
    <row r="58" spans="1:9" ht="14.25">
      <c r="A58" s="35" t="str">
        <f>HLOOKUP(INDICE!$F$2,Nombres!$C$3:$D$636,73,FALSE)</f>
        <v>(Millones de euros constantes)</v>
      </c>
      <c r="B58" s="30"/>
      <c r="C58" s="36"/>
      <c r="D58" s="36"/>
      <c r="E58" s="36"/>
      <c r="F58" s="30"/>
      <c r="G58" s="30"/>
      <c r="H58" s="30"/>
      <c r="I58" s="30"/>
    </row>
    <row r="59" spans="1:9" ht="14.25">
      <c r="A59" s="37"/>
      <c r="B59" s="30"/>
      <c r="C59" s="36"/>
      <c r="D59" s="36"/>
      <c r="E59" s="36"/>
      <c r="F59" s="30"/>
      <c r="G59" s="30"/>
      <c r="H59" s="30"/>
      <c r="I59" s="30"/>
    </row>
    <row r="60" spans="1:9" ht="14.25">
      <c r="A60" s="38"/>
      <c r="B60" s="308">
        <f>+B$6</f>
        <v>2019</v>
      </c>
      <c r="C60" s="308"/>
      <c r="D60" s="308"/>
      <c r="E60" s="309"/>
      <c r="F60" s="310">
        <f>+F$6</f>
        <v>2020</v>
      </c>
      <c r="G60" s="308"/>
      <c r="H60" s="308"/>
      <c r="I60" s="308"/>
    </row>
    <row r="61" spans="1:9" ht="14.25">
      <c r="A61" s="38"/>
      <c r="B61" s="39" t="str">
        <f>+B$7</f>
        <v>1er Trim.</v>
      </c>
      <c r="C61" s="39" t="str">
        <f aca="true" t="shared" si="8" ref="C61:I61">+C$7</f>
        <v>2º Trim.</v>
      </c>
      <c r="D61" s="39" t="str">
        <f t="shared" si="8"/>
        <v>3er Trim.</v>
      </c>
      <c r="E61" s="40" t="str">
        <f t="shared" si="8"/>
        <v>4º Trim.</v>
      </c>
      <c r="F61" s="39" t="str">
        <f t="shared" si="8"/>
        <v>1er Trim.</v>
      </c>
      <c r="G61" s="39" t="str">
        <f t="shared" si="8"/>
        <v>2º Trim.</v>
      </c>
      <c r="H61" s="39" t="str">
        <f t="shared" si="8"/>
        <v>3er Trim.</v>
      </c>
      <c r="I61" s="39" t="str">
        <f t="shared" si="8"/>
        <v>4º Trim.</v>
      </c>
    </row>
    <row r="62" spans="1:9" ht="14.25">
      <c r="A62" s="41" t="str">
        <f>HLOOKUP(INDICE!$F$2,Nombres!$C$3:$D$636,33,FALSE)</f>
        <v>Margen de intereses</v>
      </c>
      <c r="B62" s="41">
        <v>107.39325443195813</v>
      </c>
      <c r="C62" s="41">
        <v>159.5793769633425</v>
      </c>
      <c r="D62" s="41">
        <v>216.0341292817711</v>
      </c>
      <c r="E62" s="42">
        <v>255.28505523314055</v>
      </c>
      <c r="F62" s="50">
        <v>167.33258241537303</v>
      </c>
      <c r="G62" s="50">
        <v>175.49318473035567</v>
      </c>
      <c r="H62" s="50">
        <v>192.91390714818093</v>
      </c>
      <c r="I62" s="50">
        <v>243.1113257060905</v>
      </c>
    </row>
    <row r="63" spans="1:9" ht="14.25">
      <c r="A63" s="43" t="str">
        <f>HLOOKUP(INDICE!$F$2,Nombres!$C$3:$D$636,34,FALSE)</f>
        <v>Comisiones netas</v>
      </c>
      <c r="B63" s="44">
        <v>15.66389253181512</v>
      </c>
      <c r="C63" s="44">
        <v>27.425302447137746</v>
      </c>
      <c r="D63" s="44">
        <v>23.947012198623383</v>
      </c>
      <c r="E63" s="45">
        <v>27.851970971830717</v>
      </c>
      <c r="F63" s="44">
        <v>18.323914523590553</v>
      </c>
      <c r="G63" s="44">
        <v>32.30001339816164</v>
      </c>
      <c r="H63" s="44">
        <v>37.1395265578877</v>
      </c>
      <c r="I63" s="44">
        <v>33.05300030036011</v>
      </c>
    </row>
    <row r="64" spans="1:9" ht="14.25">
      <c r="A64" s="43" t="str">
        <f>HLOOKUP(INDICE!$F$2,Nombres!$C$3:$D$636,35,FALSE)</f>
        <v>Resultados de operaciones financieras</v>
      </c>
      <c r="B64" s="44">
        <v>66.67456851081282</v>
      </c>
      <c r="C64" s="44">
        <v>26.131621112119543</v>
      </c>
      <c r="D64" s="44">
        <v>49.8507971797638</v>
      </c>
      <c r="E64" s="45">
        <v>71.3564648032936</v>
      </c>
      <c r="F64" s="44">
        <v>17.808359256181618</v>
      </c>
      <c r="G64" s="44">
        <v>19.97312999017606</v>
      </c>
      <c r="H64" s="44">
        <v>22.271463307143733</v>
      </c>
      <c r="I64" s="44">
        <v>81.83975135649861</v>
      </c>
    </row>
    <row r="65" spans="1:9" ht="14.25">
      <c r="A65" s="43" t="str">
        <f>HLOOKUP(INDICE!$F$2,Nombres!$C$3:$D$636,36,FALSE)</f>
        <v>Otros ingresos y cargas de explotación</v>
      </c>
      <c r="B65" s="44">
        <v>-94.95046194320139</v>
      </c>
      <c r="C65" s="44">
        <v>-101.26854535160052</v>
      </c>
      <c r="D65" s="44">
        <v>-83.40188735274141</v>
      </c>
      <c r="E65" s="45">
        <v>-136.1770011278183</v>
      </c>
      <c r="F65" s="44">
        <v>-77.74877714279366</v>
      </c>
      <c r="G65" s="44">
        <v>-63.83415256810163</v>
      </c>
      <c r="H65" s="44">
        <v>-69.29106316535875</v>
      </c>
      <c r="I65" s="44">
        <v>-91.18000712374595</v>
      </c>
    </row>
    <row r="66" spans="1:9" ht="14.25">
      <c r="A66" s="41" t="str">
        <f>HLOOKUP(INDICE!$F$2,Nombres!$C$3:$D$636,37,FALSE)</f>
        <v>Margen bruto</v>
      </c>
      <c r="B66" s="41">
        <f>+SUM(B62:B65)</f>
        <v>94.78125353138466</v>
      </c>
      <c r="C66" s="41">
        <f aca="true" t="shared" si="9" ref="C66:I66">+SUM(C62:C65)</f>
        <v>111.86775517099926</v>
      </c>
      <c r="D66" s="41">
        <f t="shared" si="9"/>
        <v>206.43005130741687</v>
      </c>
      <c r="E66" s="42">
        <f t="shared" si="9"/>
        <v>218.31648988044657</v>
      </c>
      <c r="F66" s="50">
        <f t="shared" si="9"/>
        <v>125.71607905235156</v>
      </c>
      <c r="G66" s="50">
        <f t="shared" si="9"/>
        <v>163.93217555059175</v>
      </c>
      <c r="H66" s="50">
        <f t="shared" si="9"/>
        <v>183.0338338478536</v>
      </c>
      <c r="I66" s="50">
        <f t="shared" si="9"/>
        <v>266.82407023920325</v>
      </c>
    </row>
    <row r="67" spans="1:9" ht="14.25">
      <c r="A67" s="43" t="str">
        <f>HLOOKUP(INDICE!$F$2,Nombres!$C$3:$D$636,38,FALSE)</f>
        <v>Gastos de explotación</v>
      </c>
      <c r="B67" s="44">
        <v>-53.46986058490653</v>
      </c>
      <c r="C67" s="44">
        <v>-73.29602500439333</v>
      </c>
      <c r="D67" s="44">
        <v>-98.38368759236553</v>
      </c>
      <c r="E67" s="45">
        <v>-124.29327258703623</v>
      </c>
      <c r="F67" s="44">
        <v>-83.45430569523457</v>
      </c>
      <c r="G67" s="44">
        <v>-87.01244690677802</v>
      </c>
      <c r="H67" s="44">
        <v>-102.85668159894553</v>
      </c>
      <c r="I67" s="44">
        <v>-122.78757695904187</v>
      </c>
    </row>
    <row r="68" spans="1:9" ht="14.25">
      <c r="A68" s="43" t="str">
        <f>HLOOKUP(INDICE!$F$2,Nombres!$C$3:$D$636,39,FALSE)</f>
        <v>  Gastos de administración</v>
      </c>
      <c r="B68" s="44">
        <v>-46.953528695385316</v>
      </c>
      <c r="C68" s="44">
        <v>-64.5199066982235</v>
      </c>
      <c r="D68" s="44">
        <v>-90.24210534180263</v>
      </c>
      <c r="E68" s="45">
        <v>-109.97564355387814</v>
      </c>
      <c r="F68" s="44">
        <v>-73.3993399857375</v>
      </c>
      <c r="G68" s="44">
        <v>-77.71811650217737</v>
      </c>
      <c r="H68" s="44">
        <v>-93.98984085313118</v>
      </c>
      <c r="I68" s="44">
        <v>-112.56371381895399</v>
      </c>
    </row>
    <row r="69" spans="1:9" ht="14.25">
      <c r="A69" s="46" t="str">
        <f>HLOOKUP(INDICE!$F$2,Nombres!$C$3:$D$636,40,FALSE)</f>
        <v>  Gastos de personal</v>
      </c>
      <c r="B69" s="44">
        <v>-29.34070135334472</v>
      </c>
      <c r="C69" s="44">
        <v>-40.05990568706577</v>
      </c>
      <c r="D69" s="44">
        <v>-50.78893612132524</v>
      </c>
      <c r="E69" s="45">
        <v>-62.003337769194054</v>
      </c>
      <c r="F69" s="44">
        <v>-44.635209615083916</v>
      </c>
      <c r="G69" s="44">
        <v>-42.831579940009284</v>
      </c>
      <c r="H69" s="44">
        <v>-52.28600508299659</v>
      </c>
      <c r="I69" s="44">
        <v>-60.425205361910216</v>
      </c>
    </row>
    <row r="70" spans="1:9" ht="14.25">
      <c r="A70" s="46" t="str">
        <f>HLOOKUP(INDICE!$F$2,Nombres!$C$3:$D$636,41,FALSE)</f>
        <v>  Otros gastos de administración</v>
      </c>
      <c r="B70" s="44">
        <v>-17.61282734204059</v>
      </c>
      <c r="C70" s="44">
        <v>-24.46000101115771</v>
      </c>
      <c r="D70" s="44">
        <v>-39.45316922047738</v>
      </c>
      <c r="E70" s="45">
        <v>-47.972305784684096</v>
      </c>
      <c r="F70" s="44">
        <v>-28.76413037065356</v>
      </c>
      <c r="G70" s="44">
        <v>-34.886536562168075</v>
      </c>
      <c r="H70" s="44">
        <v>-41.70383577013461</v>
      </c>
      <c r="I70" s="44">
        <v>-52.138508457043756</v>
      </c>
    </row>
    <row r="71" spans="1:9" ht="14.25">
      <c r="A71" s="43" t="str">
        <f>HLOOKUP(INDICE!$F$2,Nombres!$C$3:$D$636,42,FALSE)</f>
        <v>  Amortización</v>
      </c>
      <c r="B71" s="44">
        <v>-6.516331889521218</v>
      </c>
      <c r="C71" s="44">
        <v>-8.776118306169835</v>
      </c>
      <c r="D71" s="44">
        <v>-8.141582250562916</v>
      </c>
      <c r="E71" s="45">
        <v>-14.31762903315808</v>
      </c>
      <c r="F71" s="44">
        <v>-10.0549657094971</v>
      </c>
      <c r="G71" s="44">
        <v>-9.294330404600672</v>
      </c>
      <c r="H71" s="44">
        <v>-8.866840745814338</v>
      </c>
      <c r="I71" s="44">
        <v>-10.223863140087893</v>
      </c>
    </row>
    <row r="72" spans="1:9" ht="14.25">
      <c r="A72" s="41" t="str">
        <f>HLOOKUP(INDICE!$F$2,Nombres!$C$3:$D$636,43,FALSE)</f>
        <v>Margen neto</v>
      </c>
      <c r="B72" s="41">
        <f>+B66+B67</f>
        <v>41.311392946478136</v>
      </c>
      <c r="C72" s="41">
        <f aca="true" t="shared" si="10" ref="C72:I72">+C66+C67</f>
        <v>38.57173016660593</v>
      </c>
      <c r="D72" s="41">
        <f t="shared" si="10"/>
        <v>108.04636371505134</v>
      </c>
      <c r="E72" s="42">
        <f t="shared" si="10"/>
        <v>94.02321729341034</v>
      </c>
      <c r="F72" s="50">
        <f t="shared" si="10"/>
        <v>42.261773357116994</v>
      </c>
      <c r="G72" s="50">
        <f t="shared" si="10"/>
        <v>76.91972864381373</v>
      </c>
      <c r="H72" s="50">
        <f t="shared" si="10"/>
        <v>80.17715224890807</v>
      </c>
      <c r="I72" s="50">
        <f t="shared" si="10"/>
        <v>144.03649328016138</v>
      </c>
    </row>
    <row r="73" spans="1:9" ht="14.25">
      <c r="A73" s="43" t="str">
        <f>HLOOKUP(INDICE!$F$2,Nombres!$C$3:$D$636,44,FALSE)</f>
        <v>Deterioro de activos financieros no valorados a valor razonable con cambios en resultados</v>
      </c>
      <c r="B73" s="44">
        <v>-11.36481505046091</v>
      </c>
      <c r="C73" s="44">
        <v>-21.203496621507902</v>
      </c>
      <c r="D73" s="44">
        <v>-73.04955547086065</v>
      </c>
      <c r="E73" s="45">
        <v>-56.20513701171008</v>
      </c>
      <c r="F73" s="44">
        <v>-43.73496451355032</v>
      </c>
      <c r="G73" s="44">
        <v>-24.917208334855665</v>
      </c>
      <c r="H73" s="44">
        <v>21.94775963075817</v>
      </c>
      <c r="I73" s="44">
        <v>-58.19558678235221</v>
      </c>
    </row>
    <row r="74" spans="1:9" ht="14.25">
      <c r="A74" s="43" t="str">
        <f>HLOOKUP(INDICE!$F$2,Nombres!$C$3:$D$636,45,FALSE)</f>
        <v>Provisiones o reversión de provisiones y otros resultados</v>
      </c>
      <c r="B74" s="44">
        <v>-2.4956788929469687</v>
      </c>
      <c r="C74" s="44">
        <v>-5.439680000493368</v>
      </c>
      <c r="D74" s="44">
        <v>-11.2682863695213</v>
      </c>
      <c r="E74" s="45">
        <v>-34.67962796363714</v>
      </c>
      <c r="F74" s="44">
        <v>-7.384077823351064</v>
      </c>
      <c r="G74" s="44">
        <v>3.3266398185129273</v>
      </c>
      <c r="H74" s="44">
        <v>-5.848383194288076</v>
      </c>
      <c r="I74" s="44">
        <v>-19.729178800873786</v>
      </c>
    </row>
    <row r="75" spans="1:9" ht="14.25">
      <c r="A75" s="41" t="str">
        <f>HLOOKUP(INDICE!$F$2,Nombres!$C$3:$D$636,46,FALSE)</f>
        <v>Resultado antes de impuestos</v>
      </c>
      <c r="B75" s="41">
        <f>+B72+B73+B74</f>
        <v>27.450899003070255</v>
      </c>
      <c r="C75" s="41">
        <f aca="true" t="shared" si="11" ref="C75:I75">+C72+C73+C74</f>
        <v>11.92855354460466</v>
      </c>
      <c r="D75" s="41">
        <f t="shared" si="11"/>
        <v>23.72852187466939</v>
      </c>
      <c r="E75" s="42">
        <f t="shared" si="11"/>
        <v>3.1384523180631234</v>
      </c>
      <c r="F75" s="50">
        <f t="shared" si="11"/>
        <v>-8.857268979784386</v>
      </c>
      <c r="G75" s="50">
        <f t="shared" si="11"/>
        <v>55.32916012747099</v>
      </c>
      <c r="H75" s="50">
        <f t="shared" si="11"/>
        <v>96.27652868537817</v>
      </c>
      <c r="I75" s="50">
        <f t="shared" si="11"/>
        <v>66.11172769693539</v>
      </c>
    </row>
    <row r="76" spans="1:9" ht="14.25">
      <c r="A76" s="43" t="str">
        <f>HLOOKUP(INDICE!$F$2,Nombres!$C$3:$D$636,47,FALSE)</f>
        <v>Impuesto sobre beneficios</v>
      </c>
      <c r="B76" s="44">
        <v>-21.434173826218405</v>
      </c>
      <c r="C76" s="44">
        <v>-15.579555167688216</v>
      </c>
      <c r="D76" s="44">
        <v>37.80404580094514</v>
      </c>
      <c r="E76" s="45">
        <v>7.606831354817809</v>
      </c>
      <c r="F76" s="44">
        <v>0.007731089256549417</v>
      </c>
      <c r="G76" s="44">
        <v>-20.52451994728743</v>
      </c>
      <c r="H76" s="44">
        <v>-34.701901195452486</v>
      </c>
      <c r="I76" s="44">
        <v>-27.10725419651664</v>
      </c>
    </row>
    <row r="77" spans="1:9" ht="14.25">
      <c r="A77" s="41" t="str">
        <f>HLOOKUP(INDICE!$F$2,Nombres!$C$3:$D$636,48,FALSE)</f>
        <v>Resultado del ejercicio</v>
      </c>
      <c r="B77" s="41">
        <f>+B75+B76</f>
        <v>6.01672517685185</v>
      </c>
      <c r="C77" s="41">
        <f aca="true" t="shared" si="12" ref="C77:I77">+C75+C76</f>
        <v>-3.6510016230835554</v>
      </c>
      <c r="D77" s="41">
        <f t="shared" si="12"/>
        <v>61.53256767561453</v>
      </c>
      <c r="E77" s="42">
        <f t="shared" si="12"/>
        <v>10.745283672880932</v>
      </c>
      <c r="F77" s="50">
        <f t="shared" si="12"/>
        <v>-8.849537890527838</v>
      </c>
      <c r="G77" s="50">
        <f t="shared" si="12"/>
        <v>34.80464018018356</v>
      </c>
      <c r="H77" s="50">
        <f t="shared" si="12"/>
        <v>61.57462748992568</v>
      </c>
      <c r="I77" s="50">
        <f t="shared" si="12"/>
        <v>39.004473500418754</v>
      </c>
    </row>
    <row r="78" spans="1:9" ht="14.25">
      <c r="A78" s="43" t="str">
        <f>HLOOKUP(INDICE!$F$2,Nombres!$C$3:$D$636,49,FALSE)</f>
        <v>Minoritarios</v>
      </c>
      <c r="B78" s="44">
        <v>-3.5313483162347827</v>
      </c>
      <c r="C78" s="44">
        <v>3.4761590616098186</v>
      </c>
      <c r="D78" s="44">
        <v>-21.599391079590248</v>
      </c>
      <c r="E78" s="45">
        <v>-0.6807462347837614</v>
      </c>
      <c r="F78" s="44">
        <v>3.4762155468010976</v>
      </c>
      <c r="G78" s="44">
        <v>-10.482267923952334</v>
      </c>
      <c r="H78" s="44">
        <v>-19.050293466599452</v>
      </c>
      <c r="I78" s="44">
        <v>-11.576566796249324</v>
      </c>
    </row>
    <row r="79" spans="1:9" ht="14.25">
      <c r="A79" s="47" t="str">
        <f>HLOOKUP(INDICE!$F$2,Nombres!$C$3:$D$636,50,FALSE)</f>
        <v>Resultado atribuido</v>
      </c>
      <c r="B79" s="47">
        <f>+B77+B78</f>
        <v>2.485376860617067</v>
      </c>
      <c r="C79" s="47">
        <f aca="true" t="shared" si="13" ref="C79:I79">+C77+C78</f>
        <v>-0.17484256147373678</v>
      </c>
      <c r="D79" s="47">
        <f t="shared" si="13"/>
        <v>39.93317659602428</v>
      </c>
      <c r="E79" s="47">
        <f t="shared" si="13"/>
        <v>10.06453743809717</v>
      </c>
      <c r="F79" s="51">
        <f t="shared" si="13"/>
        <v>-5.37332234372674</v>
      </c>
      <c r="G79" s="51">
        <f t="shared" si="13"/>
        <v>24.322372256231226</v>
      </c>
      <c r="H79" s="51">
        <f t="shared" si="13"/>
        <v>42.52433402332623</v>
      </c>
      <c r="I79" s="51">
        <f t="shared" si="13"/>
        <v>27.42790670416943</v>
      </c>
    </row>
    <row r="80" spans="1:9" ht="14.25">
      <c r="A80" s="63"/>
      <c r="B80" s="64">
        <v>-3.108624468950438E-14</v>
      </c>
      <c r="C80" s="64">
        <v>7.105427357601002E-15</v>
      </c>
      <c r="D80" s="64">
        <v>0</v>
      </c>
      <c r="E80" s="64">
        <v>0</v>
      </c>
      <c r="F80" s="64">
        <v>3.6415315207705135E-14</v>
      </c>
      <c r="G80" s="64">
        <v>9.237055564881302E-14</v>
      </c>
      <c r="H80" s="64">
        <v>0</v>
      </c>
      <c r="I80" s="64">
        <v>0</v>
      </c>
    </row>
    <row r="81" spans="1:9" ht="14.25">
      <c r="A81" s="41"/>
      <c r="B81" s="41"/>
      <c r="C81" s="41"/>
      <c r="D81" s="41"/>
      <c r="E81" s="41"/>
      <c r="F81" s="50"/>
      <c r="G81" s="50"/>
      <c r="H81" s="50"/>
      <c r="I81" s="50"/>
    </row>
    <row r="82" spans="1:9" ht="16.5">
      <c r="A82" s="33" t="str">
        <f>HLOOKUP(INDICE!$F$2,Nombres!$C$3:$D$636,51,FALSE)</f>
        <v>Balances</v>
      </c>
      <c r="B82" s="34"/>
      <c r="C82" s="34"/>
      <c r="D82" s="34"/>
      <c r="E82" s="34"/>
      <c r="F82" s="70"/>
      <c r="G82" s="70"/>
      <c r="H82" s="70"/>
      <c r="I82" s="70"/>
    </row>
    <row r="83" spans="1:9" ht="14.25">
      <c r="A83" s="35" t="str">
        <f>HLOOKUP(INDICE!$F$2,Nombres!$C$3:$D$636,73,FALSE)</f>
        <v>(Millones de euros constantes)</v>
      </c>
      <c r="B83" s="30"/>
      <c r="C83" s="52"/>
      <c r="D83" s="52"/>
      <c r="E83" s="52"/>
      <c r="F83" s="71"/>
      <c r="G83" s="44"/>
      <c r="H83" s="44"/>
      <c r="I83" s="44"/>
    </row>
    <row r="84" spans="1:9" ht="14.25">
      <c r="A84" s="30"/>
      <c r="B84" s="53">
        <f aca="true" t="shared" si="14" ref="B84:I84">+B$30</f>
        <v>43555</v>
      </c>
      <c r="C84" s="53">
        <f t="shared" si="14"/>
        <v>43646</v>
      </c>
      <c r="D84" s="53">
        <f t="shared" si="14"/>
        <v>43738</v>
      </c>
      <c r="E84" s="69">
        <f t="shared" si="14"/>
        <v>43830</v>
      </c>
      <c r="F84" s="53">
        <f t="shared" si="14"/>
        <v>43921</v>
      </c>
      <c r="G84" s="53">
        <f t="shared" si="14"/>
        <v>44012</v>
      </c>
      <c r="H84" s="53">
        <f t="shared" si="14"/>
        <v>44104</v>
      </c>
      <c r="I84" s="53">
        <f t="shared" si="14"/>
        <v>44196</v>
      </c>
    </row>
    <row r="85" spans="1:9" ht="14.25">
      <c r="A85" s="43" t="str">
        <f>HLOOKUP(INDICE!$F$2,Nombres!$C$3:$D$636,52,FALSE)</f>
        <v>Efectivo, saldos en efectivo en bancos centrales y otros depósitos a la vista</v>
      </c>
      <c r="B85" s="44">
        <v>1007.0574382300861</v>
      </c>
      <c r="C85" s="44">
        <v>880.9438763719807</v>
      </c>
      <c r="D85" s="44">
        <v>912.952160833883</v>
      </c>
      <c r="E85" s="45">
        <v>1513.8998642530967</v>
      </c>
      <c r="F85" s="44">
        <v>1420.1146385036454</v>
      </c>
      <c r="G85" s="44">
        <v>1091.56500538597</v>
      </c>
      <c r="H85" s="44">
        <v>1291.8357846441365</v>
      </c>
      <c r="I85" s="44">
        <v>1474.656</v>
      </c>
    </row>
    <row r="86" spans="1:9" ht="14.25">
      <c r="A86" s="43" t="str">
        <f>HLOOKUP(INDICE!$F$2,Nombres!$C$3:$D$636,53,FALSE)</f>
        <v>Activos financieros a valor razonable</v>
      </c>
      <c r="B86" s="58">
        <v>470.12127282358836</v>
      </c>
      <c r="C86" s="58">
        <v>810.902497867442</v>
      </c>
      <c r="D86" s="58">
        <v>741.1328283999937</v>
      </c>
      <c r="E86" s="66">
        <v>571.6056713649836</v>
      </c>
      <c r="F86" s="44">
        <v>802.3572733670856</v>
      </c>
      <c r="G86" s="44">
        <v>981.9566256511155</v>
      </c>
      <c r="H86" s="44">
        <v>1226.4705144364343</v>
      </c>
      <c r="I86" s="44">
        <v>1389.639</v>
      </c>
    </row>
    <row r="87" spans="1:9" ht="14.25">
      <c r="A87" s="43" t="str">
        <f>HLOOKUP(INDICE!$F$2,Nombres!$C$3:$D$636,54,FALSE)</f>
        <v>Activos financieros a coste amortizado</v>
      </c>
      <c r="B87" s="44">
        <v>2080.997119418579</v>
      </c>
      <c r="C87" s="44">
        <v>1945.7373406821453</v>
      </c>
      <c r="D87" s="44">
        <v>2125.453734679881</v>
      </c>
      <c r="E87" s="45">
        <v>1984.714291594716</v>
      </c>
      <c r="F87" s="44">
        <v>2262.56993756128</v>
      </c>
      <c r="G87" s="44">
        <v>2809.996925519148</v>
      </c>
      <c r="H87" s="44">
        <v>2752.3209745311765</v>
      </c>
      <c r="I87" s="44">
        <v>3360.505</v>
      </c>
    </row>
    <row r="88" spans="1:9" ht="14.25">
      <c r="A88" s="43" t="str">
        <f>HLOOKUP(INDICE!$F$2,Nombres!$C$3:$D$636,55,FALSE)</f>
        <v>    de los que préstamos y anticipos a la clientela</v>
      </c>
      <c r="B88" s="44">
        <v>1888.5197065122086</v>
      </c>
      <c r="C88" s="44">
        <v>1809.3891354086386</v>
      </c>
      <c r="D88" s="44">
        <v>1983.0890931381582</v>
      </c>
      <c r="E88" s="45">
        <v>1875.3055819285973</v>
      </c>
      <c r="F88" s="44">
        <v>2113.1331870251306</v>
      </c>
      <c r="G88" s="44">
        <v>2369.409746818552</v>
      </c>
      <c r="H88" s="44">
        <v>2445.800872534689</v>
      </c>
      <c r="I88" s="44">
        <v>2742.2390000000005</v>
      </c>
    </row>
    <row r="89" spans="1:9" ht="14.25">
      <c r="A89" s="43" t="str">
        <f>HLOOKUP(INDICE!$F$2,Nombres!$C$3:$D$636,56,FALSE)</f>
        <v>Activos tangibles</v>
      </c>
      <c r="B89" s="44">
        <v>325.81370989417826</v>
      </c>
      <c r="C89" s="44">
        <v>357.30913193977943</v>
      </c>
      <c r="D89" s="44">
        <v>342.3836145297025</v>
      </c>
      <c r="E89" s="45">
        <v>360.8356233210444</v>
      </c>
      <c r="F89" s="44">
        <v>361.29840436015377</v>
      </c>
      <c r="G89" s="44">
        <v>339.6493036766874</v>
      </c>
      <c r="H89" s="44">
        <v>323.1656743006101</v>
      </c>
      <c r="I89" s="44">
        <v>340.0514728400001</v>
      </c>
    </row>
    <row r="90" spans="1:9" ht="14.25">
      <c r="A90" s="43" t="str">
        <f>HLOOKUP(INDICE!$F$2,Nombres!$C$3:$D$636,57,FALSE)</f>
        <v>Otros activos</v>
      </c>
      <c r="B90" s="58">
        <f>+B91-B89-B87-B86-B85</f>
        <v>66.9724126387132</v>
      </c>
      <c r="C90" s="58">
        <f aca="true" t="shared" si="15" ref="C90:I90">+C91-C89-C87-C86-C85</f>
        <v>80.76969623034006</v>
      </c>
      <c r="D90" s="58">
        <f t="shared" si="15"/>
        <v>106.47626253393832</v>
      </c>
      <c r="E90" s="66">
        <f t="shared" si="15"/>
        <v>159.84664458151815</v>
      </c>
      <c r="F90" s="44">
        <f t="shared" si="15"/>
        <v>196.69073914115165</v>
      </c>
      <c r="G90" s="44">
        <f t="shared" si="15"/>
        <v>192.91880105053292</v>
      </c>
      <c r="H90" s="44">
        <f t="shared" si="15"/>
        <v>213.62931294732857</v>
      </c>
      <c r="I90" s="44">
        <f t="shared" si="15"/>
        <v>297.40743339000096</v>
      </c>
    </row>
    <row r="91" spans="1:9" ht="14.25">
      <c r="A91" s="47" t="str">
        <f>HLOOKUP(INDICE!$F$2,Nombres!$C$3:$D$636,58,FALSE)</f>
        <v>Total activo / pasivo</v>
      </c>
      <c r="B91" s="47">
        <v>3950.961953005145</v>
      </c>
      <c r="C91" s="47">
        <v>4075.6625430916874</v>
      </c>
      <c r="D91" s="47">
        <v>4228.398600977399</v>
      </c>
      <c r="E91" s="47">
        <v>4590.902095115359</v>
      </c>
      <c r="F91" s="51">
        <v>5043.030992933316</v>
      </c>
      <c r="G91" s="51">
        <v>5416.086661283454</v>
      </c>
      <c r="H91" s="51">
        <v>5807.422260859686</v>
      </c>
      <c r="I91" s="51">
        <v>6862.258906230001</v>
      </c>
    </row>
    <row r="92" spans="1:9" ht="14.25">
      <c r="A92" s="43" t="str">
        <f>HLOOKUP(INDICE!$F$2,Nombres!$C$3:$D$636,59,FALSE)</f>
        <v>Pasivos financieros mantenidos para negociar y designados a valor razonable con cambios en resultados</v>
      </c>
      <c r="B92" s="58">
        <v>29.47527524873753</v>
      </c>
      <c r="C92" s="58">
        <v>33.36212142179873</v>
      </c>
      <c r="D92" s="58">
        <v>39.378701544295325</v>
      </c>
      <c r="E92" s="66">
        <v>30.036663934628027</v>
      </c>
      <c r="F92" s="44">
        <v>3.211700199892974</v>
      </c>
      <c r="G92" s="44">
        <v>2.223896095113467</v>
      </c>
      <c r="H92" s="44">
        <v>0.34781614943625394</v>
      </c>
      <c r="I92" s="44">
        <v>1.827</v>
      </c>
    </row>
    <row r="93" spans="1:9" ht="14.25">
      <c r="A93" s="43" t="str">
        <f>HLOOKUP(INDICE!$F$2,Nombres!$C$3:$D$636,60,FALSE)</f>
        <v>Depósitos de bancos centrales y entidades de crédito</v>
      </c>
      <c r="B93" s="58">
        <v>76.84914993526743</v>
      </c>
      <c r="C93" s="58">
        <v>49.780172230471166</v>
      </c>
      <c r="D93" s="58">
        <v>121.2182419404268</v>
      </c>
      <c r="E93" s="66">
        <v>76.61880977106773</v>
      </c>
      <c r="F93" s="44">
        <v>75.01013035545564</v>
      </c>
      <c r="G93" s="44">
        <v>63.41501172008243</v>
      </c>
      <c r="H93" s="44">
        <v>44.63525508782815</v>
      </c>
      <c r="I93" s="44">
        <v>115.65699999999998</v>
      </c>
    </row>
    <row r="94" spans="1:9" ht="14.25">
      <c r="A94" s="43" t="str">
        <f>HLOOKUP(INDICE!$F$2,Nombres!$C$3:$D$636,61,FALSE)</f>
        <v>Depósitos de la clientela</v>
      </c>
      <c r="B94" s="58">
        <v>2694.821327230703</v>
      </c>
      <c r="C94" s="58">
        <v>2758.197593787373</v>
      </c>
      <c r="D94" s="58">
        <v>2661.740790518624</v>
      </c>
      <c r="E94" s="66">
        <v>2844.8981908209953</v>
      </c>
      <c r="F94" s="44">
        <v>3172.940211601997</v>
      </c>
      <c r="G94" s="44">
        <v>3611.578247804602</v>
      </c>
      <c r="H94" s="44">
        <v>3864.240872506254</v>
      </c>
      <c r="I94" s="44">
        <v>4622.5419999999995</v>
      </c>
    </row>
    <row r="95" spans="1:9" ht="14.25">
      <c r="A95" s="43" t="str">
        <f>HLOOKUP(INDICE!$F$2,Nombres!$C$3:$D$636,62,FALSE)</f>
        <v>Valores representativos de deuda emitidos</v>
      </c>
      <c r="B95" s="44">
        <v>39.67885713667848</v>
      </c>
      <c r="C95" s="44">
        <v>40.60268487017904</v>
      </c>
      <c r="D95" s="44">
        <v>83.2866156489757</v>
      </c>
      <c r="E95" s="45">
        <v>69.02769836207978</v>
      </c>
      <c r="F95" s="44">
        <v>70.56505519061974</v>
      </c>
      <c r="G95" s="44">
        <v>39.63772236810546</v>
      </c>
      <c r="H95" s="44">
        <v>38.85529292213437</v>
      </c>
      <c r="I95" s="44">
        <v>11.319</v>
      </c>
    </row>
    <row r="96" spans="1:9" ht="14.25">
      <c r="A96" s="43" t="str">
        <f>HLOOKUP(INDICE!$F$2,Nombres!$C$3:$D$636,63,FALSE)</f>
        <v>Otros pasivos</v>
      </c>
      <c r="B96" s="58">
        <f>+B91-B92-B93-B94-B95-B97</f>
        <v>908.3782567254088</v>
      </c>
      <c r="C96" s="58">
        <f aca="true" t="shared" si="16" ref="C96:I96">+C91-C92-C93-C94-C95-C97</f>
        <v>959.9677575468827</v>
      </c>
      <c r="D96" s="58">
        <f t="shared" si="16"/>
        <v>1089.7529327856569</v>
      </c>
      <c r="E96" s="66">
        <f t="shared" si="16"/>
        <v>1283.3907490331467</v>
      </c>
      <c r="F96" s="44">
        <f t="shared" si="16"/>
        <v>1385.567219173513</v>
      </c>
      <c r="G96" s="44">
        <f t="shared" si="16"/>
        <v>1338.796853090213</v>
      </c>
      <c r="H96" s="44">
        <f t="shared" si="16"/>
        <v>1482.0671066135556</v>
      </c>
      <c r="I96" s="44">
        <f t="shared" si="16"/>
        <v>1698.1266111700015</v>
      </c>
    </row>
    <row r="97" spans="1:9" ht="14.25">
      <c r="A97" s="43" t="str">
        <f>HLOOKUP(INDICE!$F$2,Nombres!$C$3:$D$636,64,FALSE)</f>
        <v>Dotación de capital económico</v>
      </c>
      <c r="B97" s="44">
        <v>201.75908672834956</v>
      </c>
      <c r="C97" s="44">
        <v>233.75221323498278</v>
      </c>
      <c r="D97" s="44">
        <v>233.02131853942063</v>
      </c>
      <c r="E97" s="45">
        <v>286.92998319344144</v>
      </c>
      <c r="F97" s="44">
        <v>335.73667641183783</v>
      </c>
      <c r="G97" s="44">
        <v>360.4349302053377</v>
      </c>
      <c r="H97" s="44">
        <v>377.27591758047754</v>
      </c>
      <c r="I97" s="44">
        <v>412.78729505999996</v>
      </c>
    </row>
    <row r="98" spans="1:9" ht="14.25">
      <c r="A98" s="63"/>
      <c r="B98" s="58"/>
      <c r="C98" s="58"/>
      <c r="D98" s="58"/>
      <c r="E98" s="58"/>
      <c r="F98" s="44"/>
      <c r="G98" s="44"/>
      <c r="H98" s="44"/>
      <c r="I98" s="44"/>
    </row>
    <row r="99" spans="1:9" ht="14.25">
      <c r="A99" s="43"/>
      <c r="B99" s="58"/>
      <c r="C99" s="58"/>
      <c r="D99" s="58"/>
      <c r="E99" s="58"/>
      <c r="F99" s="44"/>
      <c r="G99" s="44"/>
      <c r="H99" s="44"/>
      <c r="I99" s="44"/>
    </row>
    <row r="100" spans="1:9" ht="16.5">
      <c r="A100" s="33" t="str">
        <f>HLOOKUP(INDICE!$F$2,Nombres!$C$3:$D$636,65,FALSE)</f>
        <v>Indicadores relevantes y de gestión</v>
      </c>
      <c r="B100" s="34"/>
      <c r="C100" s="34"/>
      <c r="D100" s="34"/>
      <c r="E100" s="34"/>
      <c r="F100" s="70"/>
      <c r="G100" s="70"/>
      <c r="H100" s="70"/>
      <c r="I100" s="70"/>
    </row>
    <row r="101" spans="1:9" ht="14.25">
      <c r="A101" s="35" t="str">
        <f>HLOOKUP(INDICE!$F$2,Nombres!$C$3:$D$636,73,FALSE)</f>
        <v>(Millones de euros constantes)</v>
      </c>
      <c r="B101" s="30"/>
      <c r="C101" s="30"/>
      <c r="D101" s="30"/>
      <c r="E101" s="30"/>
      <c r="F101" s="71"/>
      <c r="G101" s="44"/>
      <c r="H101" s="44"/>
      <c r="I101" s="44"/>
    </row>
    <row r="102" spans="1:9" ht="14.25">
      <c r="A102" s="30"/>
      <c r="B102" s="53">
        <f aca="true" t="shared" si="17" ref="B102:I102">+B$30</f>
        <v>43555</v>
      </c>
      <c r="C102" s="53">
        <f t="shared" si="17"/>
        <v>43646</v>
      </c>
      <c r="D102" s="53">
        <f t="shared" si="17"/>
        <v>43738</v>
      </c>
      <c r="E102" s="69">
        <f t="shared" si="17"/>
        <v>43830</v>
      </c>
      <c r="F102" s="53">
        <f t="shared" si="17"/>
        <v>43921</v>
      </c>
      <c r="G102" s="53">
        <f t="shared" si="17"/>
        <v>44012</v>
      </c>
      <c r="H102" s="53">
        <f t="shared" si="17"/>
        <v>44104</v>
      </c>
      <c r="I102" s="53">
        <f t="shared" si="17"/>
        <v>44196</v>
      </c>
    </row>
    <row r="103" spans="1:9" ht="14.25">
      <c r="A103" s="43" t="str">
        <f>HLOOKUP(INDICE!$F$2,Nombres!$C$3:$D$636,66,FALSE)</f>
        <v>Préstamos y anticipos a la clientela bruto (*)</v>
      </c>
      <c r="B103" s="44">
        <v>1804.7390324930204</v>
      </c>
      <c r="C103" s="44">
        <v>1809.759496084181</v>
      </c>
      <c r="D103" s="44">
        <v>2085.793176562841</v>
      </c>
      <c r="E103" s="45">
        <v>1984.1685463030349</v>
      </c>
      <c r="F103" s="44">
        <v>2227.7971517172923</v>
      </c>
      <c r="G103" s="44">
        <v>2473.1809747454367</v>
      </c>
      <c r="H103" s="44">
        <v>2549.3520471125485</v>
      </c>
      <c r="I103" s="44">
        <v>2864.2089997900002</v>
      </c>
    </row>
    <row r="104" spans="1:9" ht="14.25">
      <c r="A104" s="43" t="str">
        <f>HLOOKUP(INDICE!$F$2,Nombres!$C$3:$D$636,67,FALSE)</f>
        <v>Depósitos de clientes en gestión (**)</v>
      </c>
      <c r="B104" s="44">
        <v>2695.561056472363</v>
      </c>
      <c r="C104" s="44">
        <v>2757.6098226718104</v>
      </c>
      <c r="D104" s="44">
        <v>2654.703785078469</v>
      </c>
      <c r="E104" s="45">
        <v>2844.930083693806</v>
      </c>
      <c r="F104" s="44">
        <v>3172.954719217777</v>
      </c>
      <c r="G104" s="44">
        <v>3611.5780129633117</v>
      </c>
      <c r="H104" s="44">
        <v>3864.2401076991055</v>
      </c>
      <c r="I104" s="44">
        <v>4622.2055273000005</v>
      </c>
    </row>
    <row r="105" spans="1:9" ht="14.25">
      <c r="A105" s="43" t="str">
        <f>HLOOKUP(INDICE!$F$2,Nombres!$C$3:$D$636,68,FALSE)</f>
        <v>Fondos de inversión</v>
      </c>
      <c r="B105" s="44">
        <v>489.7230144465952</v>
      </c>
      <c r="C105" s="44">
        <v>492.50351083932264</v>
      </c>
      <c r="D105" s="44">
        <v>397.53625499211313</v>
      </c>
      <c r="E105" s="45">
        <v>419.9189436180765</v>
      </c>
      <c r="F105" s="44">
        <v>647.0587367389</v>
      </c>
      <c r="G105" s="44">
        <v>1110.94130920108</v>
      </c>
      <c r="H105" s="44">
        <v>971.2340368509739</v>
      </c>
      <c r="I105" s="44">
        <v>969.3644559700001</v>
      </c>
    </row>
    <row r="106" spans="1:9" ht="14.25">
      <c r="A106" s="43" t="str">
        <f>HLOOKUP(INDICE!$F$2,Nombres!$C$3:$D$636,69,FALSE)</f>
        <v>Fondos de pensiones</v>
      </c>
      <c r="B106" s="44">
        <v>0</v>
      </c>
      <c r="C106" s="44">
        <v>0</v>
      </c>
      <c r="D106" s="44">
        <v>0</v>
      </c>
      <c r="E106" s="45">
        <v>0</v>
      </c>
      <c r="F106" s="44">
        <v>0</v>
      </c>
      <c r="G106" s="44">
        <v>0</v>
      </c>
      <c r="H106" s="44">
        <v>0</v>
      </c>
      <c r="I106" s="44">
        <v>0</v>
      </c>
    </row>
    <row r="107" spans="1:9" ht="14.25">
      <c r="A107" s="43" t="str">
        <f>HLOOKUP(INDICE!$F$2,Nombres!$C$3:$D$636,70,FALSE)</f>
        <v>Otros recursos fuera de balance</v>
      </c>
      <c r="B107" s="44">
        <v>0</v>
      </c>
      <c r="C107" s="44">
        <v>0</v>
      </c>
      <c r="D107" s="44">
        <v>0</v>
      </c>
      <c r="E107" s="45">
        <v>0</v>
      </c>
      <c r="F107" s="44">
        <v>0</v>
      </c>
      <c r="G107" s="44">
        <v>0</v>
      </c>
      <c r="H107" s="44">
        <v>0</v>
      </c>
      <c r="I107" s="44">
        <v>0</v>
      </c>
    </row>
    <row r="108" spans="1:9" ht="14.25">
      <c r="A108" s="63" t="str">
        <f>HLOOKUP(INDICE!$F$2,Nombres!$C$3:$D$636,71,FALSE)</f>
        <v>(*) No incluye las adquisiciones temporales de activos.</v>
      </c>
      <c r="B108" s="58"/>
      <c r="C108" s="58"/>
      <c r="D108" s="58"/>
      <c r="E108" s="58"/>
      <c r="F108" s="58"/>
      <c r="G108" s="58"/>
      <c r="H108" s="58"/>
      <c r="I108" s="58"/>
    </row>
    <row r="109" spans="1:9" ht="14.25">
      <c r="A109" s="63" t="str">
        <f>HLOOKUP(INDICE!$F$2,Nombres!$C$3:$D$636,72,FALSE)</f>
        <v>(**) No incluye las cesiones temporales de activos.</v>
      </c>
      <c r="B109" s="30"/>
      <c r="C109" s="30"/>
      <c r="D109" s="30"/>
      <c r="E109" s="30"/>
      <c r="F109" s="30"/>
      <c r="G109" s="30"/>
      <c r="H109" s="30"/>
      <c r="I109" s="30"/>
    </row>
    <row r="110" spans="1:9" ht="14.25">
      <c r="A110" s="63"/>
      <c r="B110" s="58"/>
      <c r="C110" s="44"/>
      <c r="D110" s="44"/>
      <c r="E110" s="44"/>
      <c r="F110" s="44"/>
      <c r="G110" s="30"/>
      <c r="H110" s="30"/>
      <c r="I110" s="30"/>
    </row>
    <row r="111" spans="1:9" ht="16.5">
      <c r="A111" s="33" t="str">
        <f>HLOOKUP(INDICE!$F$2,Nombres!$C$3:$D$636,31,FALSE)</f>
        <v>Cuenta de resultados  </v>
      </c>
      <c r="B111" s="34"/>
      <c r="C111" s="34"/>
      <c r="D111" s="34"/>
      <c r="E111" s="34"/>
      <c r="F111" s="34"/>
      <c r="G111" s="34"/>
      <c r="H111" s="34"/>
      <c r="I111" s="34"/>
    </row>
    <row r="112" spans="1:9" ht="14.25">
      <c r="A112" s="35" t="str">
        <f>HLOOKUP(INDICE!$F$2,Nombres!$C$3:$D$636,78,FALSE)</f>
        <v>(Millones de pesos argentinos)</v>
      </c>
      <c r="B112" s="30"/>
      <c r="C112" s="36"/>
      <c r="D112" s="36"/>
      <c r="E112" s="36"/>
      <c r="F112" s="30"/>
      <c r="G112" s="30"/>
      <c r="H112" s="30"/>
      <c r="I112" s="30"/>
    </row>
    <row r="113" spans="1:9" ht="14.25">
      <c r="A113" s="37"/>
      <c r="B113" s="30"/>
      <c r="C113" s="36"/>
      <c r="D113" s="36"/>
      <c r="E113" s="36"/>
      <c r="F113" s="30"/>
      <c r="G113" s="30"/>
      <c r="H113" s="30"/>
      <c r="I113" s="30"/>
    </row>
    <row r="114" spans="1:9" ht="14.25">
      <c r="A114" s="38"/>
      <c r="B114" s="308">
        <f>+B$6</f>
        <v>2019</v>
      </c>
      <c r="C114" s="308"/>
      <c r="D114" s="308"/>
      <c r="E114" s="309"/>
      <c r="F114" s="310">
        <f>+F$6</f>
        <v>2020</v>
      </c>
      <c r="G114" s="308"/>
      <c r="H114" s="308"/>
      <c r="I114" s="308"/>
    </row>
    <row r="115" spans="1:9" ht="14.25">
      <c r="A115" s="38"/>
      <c r="B115" s="39" t="str">
        <f>+B$7</f>
        <v>1er Trim.</v>
      </c>
      <c r="C115" s="39" t="str">
        <f aca="true" t="shared" si="18" ref="C115:I115">+C$7</f>
        <v>2º Trim.</v>
      </c>
      <c r="D115" s="39" t="str">
        <f t="shared" si="18"/>
        <v>3er Trim.</v>
      </c>
      <c r="E115" s="40" t="str">
        <f t="shared" si="18"/>
        <v>4º Trim.</v>
      </c>
      <c r="F115" s="39" t="str">
        <f t="shared" si="18"/>
        <v>1er Trim.</v>
      </c>
      <c r="G115" s="39" t="str">
        <f t="shared" si="18"/>
        <v>2º Trim.</v>
      </c>
      <c r="H115" s="39" t="str">
        <f t="shared" si="18"/>
        <v>3er Trim.</v>
      </c>
      <c r="I115" s="39" t="str">
        <f t="shared" si="18"/>
        <v>4º Trim.</v>
      </c>
    </row>
    <row r="116" spans="1:9" ht="14.25">
      <c r="A116" s="41" t="str">
        <f>HLOOKUP(INDICE!$F$2,Nombres!$C$3:$D$636,33,FALSE)</f>
        <v>Margen de intereses</v>
      </c>
      <c r="B116" s="41">
        <v>10715.519182118196</v>
      </c>
      <c r="C116" s="41">
        <v>14951.564631993064</v>
      </c>
      <c r="D116" s="41">
        <v>20619.97659392892</v>
      </c>
      <c r="E116" s="42">
        <v>23722.587040582195</v>
      </c>
      <c r="F116" s="50">
        <v>17079.272024805472</v>
      </c>
      <c r="G116" s="50">
        <v>17744.005887890522</v>
      </c>
      <c r="H116" s="50">
        <v>19756.098347982188</v>
      </c>
      <c r="I116" s="50">
        <v>25840.3611361698</v>
      </c>
    </row>
    <row r="117" spans="1:9" ht="14.25">
      <c r="A117" s="43" t="str">
        <f>HLOOKUP(INDICE!$F$2,Nombres!$C$3:$D$636,34,FALSE)</f>
        <v>Comisiones netas</v>
      </c>
      <c r="B117" s="44">
        <v>1566.72406431401</v>
      </c>
      <c r="C117" s="44">
        <v>2619.4101025681334</v>
      </c>
      <c r="D117" s="44">
        <v>2255.9803172077486</v>
      </c>
      <c r="E117" s="45">
        <v>2576.1221993662766</v>
      </c>
      <c r="F117" s="44">
        <v>1874.6411309726877</v>
      </c>
      <c r="G117" s="44">
        <v>3299.3805621287747</v>
      </c>
      <c r="H117" s="44">
        <v>3801.789747569029</v>
      </c>
      <c r="I117" s="44">
        <v>3499.0105299320453</v>
      </c>
    </row>
    <row r="118" spans="1:9" ht="14.25">
      <c r="A118" s="43" t="str">
        <f>HLOOKUP(INDICE!$F$2,Nombres!$C$3:$D$636,35,FALSE)</f>
        <v>Resultados de operaciones financieras</v>
      </c>
      <c r="B118" s="44">
        <v>6695.467269071129</v>
      </c>
      <c r="C118" s="44">
        <v>1981.2665703263228</v>
      </c>
      <c r="D118" s="44">
        <v>4692.634726753385</v>
      </c>
      <c r="E118" s="45">
        <v>6688.167022715069</v>
      </c>
      <c r="F118" s="44">
        <v>1818.8820010215834</v>
      </c>
      <c r="G118" s="44">
        <v>2018.935377692518</v>
      </c>
      <c r="H118" s="44">
        <v>2290.9697542760955</v>
      </c>
      <c r="I118" s="44">
        <v>8522.248799390842</v>
      </c>
    </row>
    <row r="119" spans="1:9" ht="14.25">
      <c r="A119" s="43" t="str">
        <f>HLOOKUP(INDICE!$F$2,Nombres!$C$3:$D$636,36,FALSE)</f>
        <v>Otros ingresos y cargas de explotación</v>
      </c>
      <c r="B119" s="44">
        <v>-5330.212073246537</v>
      </c>
      <c r="C119" s="44">
        <v>-5148.260086438677</v>
      </c>
      <c r="D119" s="44">
        <v>-8283.070695313068</v>
      </c>
      <c r="E119" s="45">
        <v>-10968.458814365751</v>
      </c>
      <c r="F119" s="44">
        <v>-5955.845446101257</v>
      </c>
      <c r="G119" s="44">
        <v>-5877.704445577949</v>
      </c>
      <c r="H119" s="44">
        <v>-7531.146539366741</v>
      </c>
      <c r="I119" s="44">
        <v>-11823.686661057056</v>
      </c>
    </row>
    <row r="120" spans="1:9" ht="14.25">
      <c r="A120" s="41" t="str">
        <f>HLOOKUP(INDICE!$F$2,Nombres!$C$3:$D$636,37,FALSE)</f>
        <v>Margen bruto</v>
      </c>
      <c r="B120" s="41">
        <f>+SUM(B116:B119)</f>
        <v>13647.498442256798</v>
      </c>
      <c r="C120" s="41">
        <f aca="true" t="shared" si="19" ref="C120:I120">+SUM(C116:C119)</f>
        <v>14403.981218448844</v>
      </c>
      <c r="D120" s="41">
        <f t="shared" si="19"/>
        <v>19285.520942576986</v>
      </c>
      <c r="E120" s="42">
        <f t="shared" si="19"/>
        <v>22018.41744829779</v>
      </c>
      <c r="F120" s="50">
        <f t="shared" si="19"/>
        <v>14816.949710698484</v>
      </c>
      <c r="G120" s="50">
        <f t="shared" si="19"/>
        <v>17184.617382133867</v>
      </c>
      <c r="H120" s="50">
        <f t="shared" si="19"/>
        <v>18317.71131046057</v>
      </c>
      <c r="I120" s="50">
        <f t="shared" si="19"/>
        <v>26037.933804435626</v>
      </c>
    </row>
    <row r="121" spans="1:9" ht="14.25">
      <c r="A121" s="43" t="str">
        <f>HLOOKUP(INDICE!$F$2,Nombres!$C$3:$D$636,38,FALSE)</f>
        <v>Gastos de explotación</v>
      </c>
      <c r="B121" s="44">
        <v>-5137.827200281208</v>
      </c>
      <c r="C121" s="44">
        <v>-6575.298814263202</v>
      </c>
      <c r="D121" s="44">
        <v>-9328.921860079816</v>
      </c>
      <c r="E121" s="45">
        <v>-11460.64701617834</v>
      </c>
      <c r="F121" s="44">
        <v>-8329.043666629235</v>
      </c>
      <c r="G121" s="44">
        <v>-8725.22704365629</v>
      </c>
      <c r="H121" s="44">
        <v>-10583.748134715668</v>
      </c>
      <c r="I121" s="44">
        <v>-13262.157822278059</v>
      </c>
    </row>
    <row r="122" spans="1:9" ht="14.25">
      <c r="A122" s="43" t="str">
        <f>HLOOKUP(INDICE!$F$2,Nombres!$C$3:$D$636,39,FALSE)</f>
        <v>  Gastos de administración</v>
      </c>
      <c r="B122" s="44">
        <v>-4637.123516520125</v>
      </c>
      <c r="C122" s="44">
        <v>-5947.454888795492</v>
      </c>
      <c r="D122" s="44">
        <v>-8547.818112754008</v>
      </c>
      <c r="E122" s="45">
        <v>-10158.129965952805</v>
      </c>
      <c r="F122" s="44">
        <v>-7483.072189678596</v>
      </c>
      <c r="G122" s="44">
        <v>-7844.306492488938</v>
      </c>
      <c r="H122" s="44">
        <v>-9618.640890913235</v>
      </c>
      <c r="I122" s="44">
        <v>-11985.060687395595</v>
      </c>
    </row>
    <row r="123" spans="1:9" ht="14.25">
      <c r="A123" s="46" t="str">
        <f>HLOOKUP(INDICE!$F$2,Nombres!$C$3:$D$636,40,FALSE)</f>
        <v>  Gastos de personal</v>
      </c>
      <c r="B123" s="44">
        <v>-2909.115827736297</v>
      </c>
      <c r="C123" s="44">
        <v>-3703.0800601109245</v>
      </c>
      <c r="D123" s="44">
        <v>-4794.346331081503</v>
      </c>
      <c r="E123" s="45">
        <v>-5727.377628737007</v>
      </c>
      <c r="F123" s="44">
        <v>-4554.062868530717</v>
      </c>
      <c r="G123" s="44">
        <v>-4320.744822784194</v>
      </c>
      <c r="H123" s="44">
        <v>-5351.581469482768</v>
      </c>
      <c r="I123" s="44">
        <v>-6442.855909987664</v>
      </c>
    </row>
    <row r="124" spans="1:9" ht="14.25">
      <c r="A124" s="46" t="str">
        <f>HLOOKUP(INDICE!$F$2,Nombres!$C$3:$D$636,41,FALSE)</f>
        <v>  Otros gastos de administración</v>
      </c>
      <c r="B124" s="44">
        <v>-1728.0076887838275</v>
      </c>
      <c r="C124" s="44">
        <v>-2244.3748286845675</v>
      </c>
      <c r="D124" s="44">
        <v>-3753.4717816725047</v>
      </c>
      <c r="E124" s="45">
        <v>-4430.752337215797</v>
      </c>
      <c r="F124" s="44">
        <v>-2929.0093211478807</v>
      </c>
      <c r="G124" s="44">
        <v>-3523.5616697047453</v>
      </c>
      <c r="H124" s="44">
        <v>-4267.059421430467</v>
      </c>
      <c r="I124" s="44">
        <v>-5542.204777407933</v>
      </c>
    </row>
    <row r="125" spans="1:9" ht="14.25">
      <c r="A125" s="43" t="str">
        <f>HLOOKUP(INDICE!$F$2,Nombres!$C$3:$D$636,42,FALSE)</f>
        <v>  Amortización</v>
      </c>
      <c r="B125" s="44">
        <v>-500.70368376108377</v>
      </c>
      <c r="C125" s="44">
        <v>-627.8439254677089</v>
      </c>
      <c r="D125" s="44">
        <v>-781.1037473258077</v>
      </c>
      <c r="E125" s="45">
        <v>-1302.5170502255369</v>
      </c>
      <c r="F125" s="44">
        <v>-845.9714769506381</v>
      </c>
      <c r="G125" s="44">
        <v>-880.9205511673514</v>
      </c>
      <c r="H125" s="44">
        <v>-965.107243802433</v>
      </c>
      <c r="I125" s="44">
        <v>-1277.0971348824653</v>
      </c>
    </row>
    <row r="126" spans="1:9" ht="14.25">
      <c r="A126" s="41" t="str">
        <f>HLOOKUP(INDICE!$F$2,Nombres!$C$3:$D$636,43,FALSE)</f>
        <v>Margen neto</v>
      </c>
      <c r="B126" s="41">
        <f>+B120+B121</f>
        <v>8509.67124197559</v>
      </c>
      <c r="C126" s="41">
        <f aca="true" t="shared" si="20" ref="C126:I126">+C120+C121</f>
        <v>7828.682404185642</v>
      </c>
      <c r="D126" s="41">
        <f t="shared" si="20"/>
        <v>9956.59908249717</v>
      </c>
      <c r="E126" s="42">
        <f t="shared" si="20"/>
        <v>10557.77043211945</v>
      </c>
      <c r="F126" s="50">
        <f t="shared" si="20"/>
        <v>6487.906044069248</v>
      </c>
      <c r="G126" s="50">
        <f t="shared" si="20"/>
        <v>8459.390338477577</v>
      </c>
      <c r="H126" s="50">
        <f t="shared" si="20"/>
        <v>7733.963175744902</v>
      </c>
      <c r="I126" s="50">
        <f t="shared" si="20"/>
        <v>12775.775982157567</v>
      </c>
    </row>
    <row r="127" spans="1:9" ht="14.25">
      <c r="A127" s="43" t="str">
        <f>HLOOKUP(INDICE!$F$2,Nombres!$C$3:$D$636,44,FALSE)</f>
        <v>Deterioro de activos financieros no valorados a valor razonable con cambios en resultados</v>
      </c>
      <c r="B127" s="44">
        <v>-1132.9008525474524</v>
      </c>
      <c r="C127" s="44">
        <v>-2018.422201088138</v>
      </c>
      <c r="D127" s="44">
        <v>-7343.614507521573</v>
      </c>
      <c r="E127" s="45">
        <v>-5507.836617634467</v>
      </c>
      <c r="F127" s="44">
        <v>-4501.511914297497</v>
      </c>
      <c r="G127" s="44">
        <v>-2432.306029067025</v>
      </c>
      <c r="H127" s="44">
        <v>2252.4946596896057</v>
      </c>
      <c r="I127" s="44">
        <v>-6150.055828542127</v>
      </c>
    </row>
    <row r="128" spans="1:9" ht="14.25">
      <c r="A128" s="43" t="str">
        <f>HLOOKUP(INDICE!$F$2,Nombres!$C$3:$D$636,45,FALSE)</f>
        <v>Provisiones o reversión de provisiones y otros resultados</v>
      </c>
      <c r="B128" s="44">
        <v>-254.80841809555153</v>
      </c>
      <c r="C128" s="44">
        <v>-530.743017507088</v>
      </c>
      <c r="D128" s="44">
        <v>-1111.1180115437394</v>
      </c>
      <c r="E128" s="45">
        <v>-3483.791695310876</v>
      </c>
      <c r="F128" s="44">
        <v>-759.5166812766311</v>
      </c>
      <c r="G128" s="44">
        <v>352.5260599604685</v>
      </c>
      <c r="H128" s="44">
        <v>-600.6376813720062</v>
      </c>
      <c r="I128" s="44">
        <v>-2052.3137372598944</v>
      </c>
    </row>
    <row r="129" spans="1:9" ht="14.25">
      <c r="A129" s="41" t="str">
        <f>HLOOKUP(INDICE!$F$2,Nombres!$C$3:$D$636,46,FALSE)</f>
        <v>Resultado antes de impuestos</v>
      </c>
      <c r="B129" s="41">
        <f>+B126+B127+B128</f>
        <v>7121.961971332586</v>
      </c>
      <c r="C129" s="41">
        <f aca="true" t="shared" si="21" ref="C129:I129">+C126+C127+C128</f>
        <v>5279.5171855904155</v>
      </c>
      <c r="D129" s="41">
        <f t="shared" si="21"/>
        <v>1501.8665634318584</v>
      </c>
      <c r="E129" s="42">
        <f t="shared" si="21"/>
        <v>1566.1421191741074</v>
      </c>
      <c r="F129" s="50">
        <f t="shared" si="21"/>
        <v>1226.87744849512</v>
      </c>
      <c r="G129" s="50">
        <f t="shared" si="21"/>
        <v>6379.610369371019</v>
      </c>
      <c r="H129" s="50">
        <f t="shared" si="21"/>
        <v>9385.820154062501</v>
      </c>
      <c r="I129" s="50">
        <f t="shared" si="21"/>
        <v>4573.406416355547</v>
      </c>
    </row>
    <row r="130" spans="1:9" ht="14.25">
      <c r="A130" s="43" t="str">
        <f>HLOOKUP(INDICE!$F$2,Nombres!$C$3:$D$636,47,FALSE)</f>
        <v>Impuesto sobre beneficios</v>
      </c>
      <c r="B130" s="44">
        <v>-2643.9324997224694</v>
      </c>
      <c r="C130" s="44">
        <v>-1996.5283657176515</v>
      </c>
      <c r="D130" s="44">
        <v>1674.2572870304805</v>
      </c>
      <c r="E130" s="45">
        <v>460.601882776381</v>
      </c>
      <c r="F130" s="44">
        <v>-488.4225779933611</v>
      </c>
      <c r="G130" s="44">
        <v>-2306.1601042485863</v>
      </c>
      <c r="H130" s="44">
        <v>-3414.9050512868575</v>
      </c>
      <c r="I130" s="44">
        <v>-2291.0223993882064</v>
      </c>
    </row>
    <row r="131" spans="1:9" ht="14.25">
      <c r="A131" s="41" t="str">
        <f>HLOOKUP(INDICE!$F$2,Nombres!$C$3:$D$636,48,FALSE)</f>
        <v>Resultado del ejercicio</v>
      </c>
      <c r="B131" s="41">
        <f>+B129+B130</f>
        <v>4478.029471610116</v>
      </c>
      <c r="C131" s="41">
        <f aca="true" t="shared" si="22" ref="C131:I131">+C129+C130</f>
        <v>3282.988819872764</v>
      </c>
      <c r="D131" s="41">
        <f t="shared" si="22"/>
        <v>3176.123850462339</v>
      </c>
      <c r="E131" s="42">
        <f t="shared" si="22"/>
        <v>2026.7440019504884</v>
      </c>
      <c r="F131" s="50">
        <f t="shared" si="22"/>
        <v>738.4548705017589</v>
      </c>
      <c r="G131" s="50">
        <f t="shared" si="22"/>
        <v>4073.450265122433</v>
      </c>
      <c r="H131" s="50">
        <f t="shared" si="22"/>
        <v>5970.915102775643</v>
      </c>
      <c r="I131" s="50">
        <f t="shared" si="22"/>
        <v>2282.3840169673404</v>
      </c>
    </row>
    <row r="132" spans="1:9" ht="14.25">
      <c r="A132" s="43" t="str">
        <f>HLOOKUP(INDICE!$F$2,Nombres!$C$3:$D$636,49,FALSE)</f>
        <v>Minoritarios</v>
      </c>
      <c r="B132" s="44">
        <v>-1562.4174136894112</v>
      </c>
      <c r="C132" s="44">
        <v>-837.2658323329683</v>
      </c>
      <c r="D132" s="44">
        <v>-1217.666632419711</v>
      </c>
      <c r="E132" s="45">
        <v>-421.08889440790017</v>
      </c>
      <c r="F132" s="44">
        <v>-190.0053674803006</v>
      </c>
      <c r="G132" s="44">
        <v>-1254.980100167937</v>
      </c>
      <c r="H132" s="44">
        <v>-1837.0341741070333</v>
      </c>
      <c r="I132" s="44">
        <v>-603.7415012455351</v>
      </c>
    </row>
    <row r="133" spans="1:9" ht="14.25">
      <c r="A133" s="47" t="str">
        <f>HLOOKUP(INDICE!$F$2,Nombres!$C$3:$D$636,50,FALSE)</f>
        <v>Resultado atribuido</v>
      </c>
      <c r="B133" s="47">
        <f>+B131+B132</f>
        <v>2915.612057920705</v>
      </c>
      <c r="C133" s="47">
        <f aca="true" t="shared" si="23" ref="C133:I133">+C131+C132</f>
        <v>2445.7229875397957</v>
      </c>
      <c r="D133" s="47">
        <f t="shared" si="23"/>
        <v>1958.4572180426278</v>
      </c>
      <c r="E133" s="47">
        <f t="shared" si="23"/>
        <v>1605.6551075425882</v>
      </c>
      <c r="F133" s="51">
        <f t="shared" si="23"/>
        <v>548.4495030214583</v>
      </c>
      <c r="G133" s="51">
        <f t="shared" si="23"/>
        <v>2818.470164954496</v>
      </c>
      <c r="H133" s="51">
        <f t="shared" si="23"/>
        <v>4133.88092866861</v>
      </c>
      <c r="I133" s="51">
        <f t="shared" si="23"/>
        <v>1678.6425157218052</v>
      </c>
    </row>
    <row r="134" spans="1:9" ht="14.25">
      <c r="A134" s="63"/>
      <c r="B134" s="64">
        <v>0</v>
      </c>
      <c r="C134" s="64">
        <v>0</v>
      </c>
      <c r="D134" s="64">
        <v>2.5011104298755527E-12</v>
      </c>
      <c r="E134" s="64">
        <v>5.4569682106375694E-12</v>
      </c>
      <c r="F134" s="64">
        <v>-3.524291969370097E-12</v>
      </c>
      <c r="G134" s="64">
        <v>0</v>
      </c>
      <c r="H134" s="64">
        <v>0</v>
      </c>
      <c r="I134" s="64">
        <v>4.092726157978177E-12</v>
      </c>
    </row>
    <row r="135" spans="1:9" ht="14.25">
      <c r="A135" s="41"/>
      <c r="B135" s="41"/>
      <c r="C135" s="41"/>
      <c r="D135" s="41"/>
      <c r="E135" s="41"/>
      <c r="F135" s="50"/>
      <c r="G135" s="50"/>
      <c r="H135" s="50"/>
      <c r="I135" s="50"/>
    </row>
    <row r="136" spans="1:9" ht="16.5">
      <c r="A136" s="33" t="str">
        <f>HLOOKUP(INDICE!$F$2,Nombres!$C$3:$D$636,51,FALSE)</f>
        <v>Balances</v>
      </c>
      <c r="B136" s="34"/>
      <c r="C136" s="34"/>
      <c r="D136" s="34"/>
      <c r="E136" s="34"/>
      <c r="F136" s="70"/>
      <c r="G136" s="70"/>
      <c r="H136" s="70"/>
      <c r="I136" s="70"/>
    </row>
    <row r="137" spans="1:9" ht="14.25">
      <c r="A137" s="35" t="str">
        <f>HLOOKUP(INDICE!$F$2,Nombres!$C$3:$D$636,78,FALSE)</f>
        <v>(Millones de pesos argentinos)</v>
      </c>
      <c r="B137" s="30"/>
      <c r="C137" s="52"/>
      <c r="D137" s="52"/>
      <c r="E137" s="52"/>
      <c r="F137" s="71"/>
      <c r="G137" s="44"/>
      <c r="H137" s="44"/>
      <c r="I137" s="44"/>
    </row>
    <row r="138" spans="1:9" ht="14.25">
      <c r="A138" s="30"/>
      <c r="B138" s="53">
        <f aca="true" t="shared" si="24" ref="B138:I138">+B$30</f>
        <v>43555</v>
      </c>
      <c r="C138" s="53">
        <f t="shared" si="24"/>
        <v>43646</v>
      </c>
      <c r="D138" s="53">
        <f t="shared" si="24"/>
        <v>43738</v>
      </c>
      <c r="E138" s="69">
        <f t="shared" si="24"/>
        <v>43830</v>
      </c>
      <c r="F138" s="53">
        <f t="shared" si="24"/>
        <v>43921</v>
      </c>
      <c r="G138" s="53">
        <f t="shared" si="24"/>
        <v>44012</v>
      </c>
      <c r="H138" s="53">
        <f t="shared" si="24"/>
        <v>44104</v>
      </c>
      <c r="I138" s="53">
        <f t="shared" si="24"/>
        <v>44196</v>
      </c>
    </row>
    <row r="139" spans="1:9" ht="14.25">
      <c r="A139" s="43" t="str">
        <f>HLOOKUP(INDICE!$F$2,Nombres!$C$3:$D$636,52,FALSE)</f>
        <v>Efectivo, saldos en efectivo en bancos centrales y otros depósitos a la vista</v>
      </c>
      <c r="B139" s="44">
        <v>103983.04005003006</v>
      </c>
      <c r="C139" s="44">
        <v>90961.26884243068</v>
      </c>
      <c r="D139" s="44">
        <v>94266.26277702124</v>
      </c>
      <c r="E139" s="45">
        <v>156316.7146583337</v>
      </c>
      <c r="F139" s="44">
        <v>146632.9841033559</v>
      </c>
      <c r="G139" s="44">
        <v>112708.81219222759</v>
      </c>
      <c r="H139" s="44">
        <v>133387.63712306015</v>
      </c>
      <c r="I139" s="44">
        <v>152264.6157874693</v>
      </c>
    </row>
    <row r="140" spans="1:9" ht="14.25">
      <c r="A140" s="43" t="str">
        <f>HLOOKUP(INDICE!$F$2,Nombres!$C$3:$D$636,53,FALSE)</f>
        <v>Activos financieros a valor razonable</v>
      </c>
      <c r="B140" s="58">
        <v>48542.056574550064</v>
      </c>
      <c r="C140" s="58">
        <v>83729.19330263138</v>
      </c>
      <c r="D140" s="58">
        <v>76525.17289714041</v>
      </c>
      <c r="E140" s="66">
        <v>59020.76005002364</v>
      </c>
      <c r="F140" s="44">
        <v>82846.8618806832</v>
      </c>
      <c r="G140" s="44">
        <v>101391.27248980572</v>
      </c>
      <c r="H140" s="44">
        <v>126638.39000778718</v>
      </c>
      <c r="I140" s="44">
        <v>143486.24249878142</v>
      </c>
    </row>
    <row r="141" spans="1:9" ht="14.25">
      <c r="A141" s="43" t="str">
        <f>HLOOKUP(INDICE!$F$2,Nombres!$C$3:$D$636,54,FALSE)</f>
        <v>Activos financieros a coste amortizado</v>
      </c>
      <c r="B141" s="44">
        <v>214871.96121882007</v>
      </c>
      <c r="C141" s="44">
        <v>200905.8035245502</v>
      </c>
      <c r="D141" s="44">
        <v>219462.2991972865</v>
      </c>
      <c r="E141" s="45">
        <v>204930.34243753715</v>
      </c>
      <c r="F141" s="44">
        <v>233620.14072098615</v>
      </c>
      <c r="G141" s="44">
        <v>290144.3470396778</v>
      </c>
      <c r="H141" s="44">
        <v>284189.0554209135</v>
      </c>
      <c r="I141" s="44">
        <v>346986.6888798944</v>
      </c>
    </row>
    <row r="142" spans="1:9" ht="14.25">
      <c r="A142" s="43" t="str">
        <f>HLOOKUP(INDICE!$F$2,Nombres!$C$3:$D$636,55,FALSE)</f>
        <v>    de los que préstamos y anticipos a la clientela</v>
      </c>
      <c r="B142" s="44">
        <v>194997.83510130207</v>
      </c>
      <c r="C142" s="44">
        <v>186827.26107852784</v>
      </c>
      <c r="D142" s="44">
        <v>204762.53366141158</v>
      </c>
      <c r="E142" s="45">
        <v>193633.41953408413</v>
      </c>
      <c r="F142" s="44">
        <v>218190.14931626903</v>
      </c>
      <c r="G142" s="44">
        <v>244651.81353645306</v>
      </c>
      <c r="H142" s="44">
        <v>252539.5279639127</v>
      </c>
      <c r="I142" s="44">
        <v>283148.04790569056</v>
      </c>
    </row>
    <row r="143" spans="1:9" ht="14.25">
      <c r="A143" s="43" t="str">
        <f>HLOOKUP(INDICE!$F$2,Nombres!$C$3:$D$636,56,FALSE)</f>
        <v>Activos tangibles</v>
      </c>
      <c r="B143" s="44">
        <v>19928.48655266814</v>
      </c>
      <c r="C143" s="44">
        <v>21550.739685197426</v>
      </c>
      <c r="D143" s="44">
        <v>24680.04528462732</v>
      </c>
      <c r="E143" s="45">
        <v>27292.83390585865</v>
      </c>
      <c r="F143" s="44">
        <v>28252.596706464254</v>
      </c>
      <c r="G143" s="44">
        <v>28805.918029262084</v>
      </c>
      <c r="H143" s="44">
        <v>30014.608222095132</v>
      </c>
      <c r="I143" s="44">
        <v>35111.78665393536</v>
      </c>
    </row>
    <row r="144" spans="1:9" ht="14.25">
      <c r="A144" s="43" t="str">
        <f>HLOOKUP(INDICE!$F$2,Nombres!$C$3:$D$636,57,FALSE)</f>
        <v>Otros activos</v>
      </c>
      <c r="B144" s="58">
        <f>+B145-B143-B141-B140-B139</f>
        <v>7975.459410362324</v>
      </c>
      <c r="C144" s="58">
        <f aca="true" t="shared" si="25" ref="C144:H144">+C145-C143-C141-C140-C139</f>
        <v>9374.594922006494</v>
      </c>
      <c r="D144" s="58">
        <f t="shared" si="25"/>
        <v>11574.93256307955</v>
      </c>
      <c r="E144" s="66">
        <f t="shared" si="25"/>
        <v>16936.595522220334</v>
      </c>
      <c r="F144" s="44">
        <f t="shared" si="25"/>
        <v>20669.06146328256</v>
      </c>
      <c r="G144" s="44">
        <f t="shared" si="25"/>
        <v>20154.430972913033</v>
      </c>
      <c r="H144" s="44">
        <f t="shared" si="25"/>
        <v>22171.561744358623</v>
      </c>
      <c r="I144" s="44">
        <f>+I145-I143-I141-I140-I139</f>
        <v>30708.604974628513</v>
      </c>
    </row>
    <row r="145" spans="1:9" ht="14.25">
      <c r="A145" s="47" t="str">
        <f>HLOOKUP(INDICE!$F$2,Nombres!$C$3:$D$636,58,FALSE)</f>
        <v>Total activo / pasivo</v>
      </c>
      <c r="B145" s="47">
        <v>395301.0038064307</v>
      </c>
      <c r="C145" s="47">
        <v>406521.60027681617</v>
      </c>
      <c r="D145" s="47">
        <v>426508.712719155</v>
      </c>
      <c r="E145" s="47">
        <v>464497.24657397345</v>
      </c>
      <c r="F145" s="51">
        <v>512021.64487477206</v>
      </c>
      <c r="G145" s="51">
        <v>553204.7807238862</v>
      </c>
      <c r="H145" s="51">
        <v>596401.2525182146</v>
      </c>
      <c r="I145" s="51">
        <v>708557.9387947089</v>
      </c>
    </row>
    <row r="146" spans="1:9" ht="14.25">
      <c r="A146" s="43" t="str">
        <f>HLOOKUP(INDICE!$F$2,Nombres!$C$3:$D$636,59,FALSE)</f>
        <v>Pasivos financieros mantenidos para negociar y designados a valor razonable con cambios en resultados</v>
      </c>
      <c r="B146" s="58">
        <v>3043.4497679315873</v>
      </c>
      <c r="C146" s="58">
        <v>3444.7834614615767</v>
      </c>
      <c r="D146" s="58">
        <v>4066.021404891413</v>
      </c>
      <c r="E146" s="66">
        <v>3101.4155800020294</v>
      </c>
      <c r="F146" s="44">
        <v>331.62194909269823</v>
      </c>
      <c r="G146" s="44">
        <v>229.62689906914247</v>
      </c>
      <c r="H146" s="44">
        <v>35.91352312579219</v>
      </c>
      <c r="I146" s="44">
        <v>188.6456590850384</v>
      </c>
    </row>
    <row r="147" spans="1:9" ht="14.25">
      <c r="A147" s="43" t="str">
        <f>HLOOKUP(INDICE!$F$2,Nombres!$C$3:$D$636,60,FALSE)</f>
        <v>Depósitos de bancos centrales y entidades de crédito</v>
      </c>
      <c r="B147" s="58">
        <v>7935.007410872176</v>
      </c>
      <c r="C147" s="58">
        <v>5140.018281217273</v>
      </c>
      <c r="D147" s="58">
        <v>12516.308234253669</v>
      </c>
      <c r="E147" s="66">
        <v>7911.223791775725</v>
      </c>
      <c r="F147" s="44">
        <v>7745.120678138793</v>
      </c>
      <c r="G147" s="44">
        <v>6547.874483755001</v>
      </c>
      <c r="H147" s="44">
        <v>4608.783313887331</v>
      </c>
      <c r="I147" s="44">
        <v>11942.085929282037</v>
      </c>
    </row>
    <row r="148" spans="1:9" ht="14.25">
      <c r="A148" s="43" t="str">
        <f>HLOOKUP(INDICE!$F$2,Nombres!$C$3:$D$636,61,FALSE)</f>
        <v>Depósitos de la clientela</v>
      </c>
      <c r="B148" s="58">
        <v>278251.96792110224</v>
      </c>
      <c r="C148" s="58">
        <v>284795.84179900715</v>
      </c>
      <c r="D148" s="58">
        <v>274836.25929989986</v>
      </c>
      <c r="E148" s="66">
        <v>293748.0537697099</v>
      </c>
      <c r="F148" s="44">
        <v>327619.8125096223</v>
      </c>
      <c r="G148" s="44">
        <v>372911.0886120894</v>
      </c>
      <c r="H148" s="44">
        <v>398999.59838931914</v>
      </c>
      <c r="I148" s="44">
        <v>477297.4724894754</v>
      </c>
    </row>
    <row r="149" spans="1:9" ht="14.25">
      <c r="A149" s="43" t="str">
        <f>HLOOKUP(INDICE!$F$2,Nombres!$C$3:$D$636,62,FALSE)</f>
        <v>Valores representativos de deuda emitidos</v>
      </c>
      <c r="B149" s="44">
        <v>4097.013769178869</v>
      </c>
      <c r="C149" s="44">
        <v>4192.40298191409</v>
      </c>
      <c r="D149" s="44">
        <v>8599.70361360881</v>
      </c>
      <c r="E149" s="45">
        <v>7127.408676867961</v>
      </c>
      <c r="F149" s="44">
        <v>7286.147424634139</v>
      </c>
      <c r="G149" s="44">
        <v>4092.766426251245</v>
      </c>
      <c r="H149" s="44">
        <v>4011.977198816785</v>
      </c>
      <c r="I149" s="44">
        <v>1168.735749963629</v>
      </c>
    </row>
    <row r="150" spans="1:9" ht="14.25">
      <c r="A150" s="43" t="str">
        <f>HLOOKUP(INDICE!$F$2,Nombres!$C$3:$D$636,63,FALSE)</f>
        <v>Otros pasivos</v>
      </c>
      <c r="B150" s="58">
        <f>+B145-B146-B147-B148-B149-B151</f>
        <v>81141.06581733211</v>
      </c>
      <c r="C150" s="58">
        <f aca="true" t="shared" si="26" ref="C150:I150">+C145-C146-C147-C148-C149-C151</f>
        <v>84812.6258231122</v>
      </c>
      <c r="D150" s="58">
        <f t="shared" si="26"/>
        <v>102429.96027775816</v>
      </c>
      <c r="E150" s="66">
        <f t="shared" si="26"/>
        <v>122982.3818706777</v>
      </c>
      <c r="F150" s="44">
        <f t="shared" si="26"/>
        <v>134379.90269302396</v>
      </c>
      <c r="G150" s="44">
        <f t="shared" si="26"/>
        <v>132211.78621332732</v>
      </c>
      <c r="H150" s="44">
        <f t="shared" si="26"/>
        <v>149792.0937085703</v>
      </c>
      <c r="I150" s="44">
        <f t="shared" si="26"/>
        <v>175338.92379529699</v>
      </c>
    </row>
    <row r="151" spans="1:9" ht="14.25">
      <c r="A151" s="43" t="str">
        <f>HLOOKUP(INDICE!$F$2,Nombres!$C$3:$D$636,64,FALSE)</f>
        <v>Dotación de capital económico</v>
      </c>
      <c r="B151" s="44">
        <v>20832.499120013643</v>
      </c>
      <c r="C151" s="44">
        <v>24135.92793010387</v>
      </c>
      <c r="D151" s="44">
        <v>24060.45988874312</v>
      </c>
      <c r="E151" s="45">
        <v>29626.7628849402</v>
      </c>
      <c r="F151" s="44">
        <v>34659.03962026014</v>
      </c>
      <c r="G151" s="44">
        <v>37211.638089394124</v>
      </c>
      <c r="H151" s="44">
        <v>38952.886384495294</v>
      </c>
      <c r="I151" s="44">
        <v>42622.07517160587</v>
      </c>
    </row>
    <row r="152" spans="1:9" ht="14.25">
      <c r="A152" s="63"/>
      <c r="B152" s="58"/>
      <c r="C152" s="58"/>
      <c r="D152" s="58"/>
      <c r="E152" s="58"/>
      <c r="F152" s="44"/>
      <c r="G152" s="44"/>
      <c r="H152" s="44"/>
      <c r="I152" s="44"/>
    </row>
    <row r="153" spans="1:9" ht="14.25">
      <c r="A153" s="43"/>
      <c r="B153" s="58"/>
      <c r="C153" s="58"/>
      <c r="D153" s="58"/>
      <c r="E153" s="58"/>
      <c r="F153" s="44"/>
      <c r="G153" s="44"/>
      <c r="H153" s="44"/>
      <c r="I153" s="44"/>
    </row>
    <row r="154" spans="1:9" ht="16.5">
      <c r="A154" s="33" t="str">
        <f>HLOOKUP(INDICE!$F$2,Nombres!$C$3:$D$636,65,FALSE)</f>
        <v>Indicadores relevantes y de gestión</v>
      </c>
      <c r="B154" s="34"/>
      <c r="C154" s="34"/>
      <c r="D154" s="34"/>
      <c r="E154" s="34"/>
      <c r="F154" s="70"/>
      <c r="G154" s="70"/>
      <c r="H154" s="70"/>
      <c r="I154" s="70"/>
    </row>
    <row r="155" spans="1:9" ht="14.25">
      <c r="A155" s="35" t="str">
        <f>HLOOKUP(INDICE!$F$2,Nombres!$C$3:$D$636,78,FALSE)</f>
        <v>(Millones de pesos argentinos)</v>
      </c>
      <c r="B155" s="30"/>
      <c r="C155" s="30"/>
      <c r="D155" s="30"/>
      <c r="E155" s="30"/>
      <c r="F155" s="71"/>
      <c r="G155" s="44"/>
      <c r="H155" s="44"/>
      <c r="I155" s="44"/>
    </row>
    <row r="156" spans="1:9" ht="15.75" customHeight="1">
      <c r="A156" s="30"/>
      <c r="B156" s="53">
        <f aca="true" t="shared" si="27" ref="B156:I156">+B$30</f>
        <v>43555</v>
      </c>
      <c r="C156" s="53">
        <f t="shared" si="27"/>
        <v>43646</v>
      </c>
      <c r="D156" s="53">
        <f t="shared" si="27"/>
        <v>43738</v>
      </c>
      <c r="E156" s="69">
        <f t="shared" si="27"/>
        <v>43830</v>
      </c>
      <c r="F156" s="53">
        <f t="shared" si="27"/>
        <v>43921</v>
      </c>
      <c r="G156" s="53">
        <f t="shared" si="27"/>
        <v>44012</v>
      </c>
      <c r="H156" s="53">
        <f t="shared" si="27"/>
        <v>44104</v>
      </c>
      <c r="I156" s="53">
        <f t="shared" si="27"/>
        <v>44196</v>
      </c>
    </row>
    <row r="157" spans="1:9" ht="15.75" customHeight="1">
      <c r="A157" s="43" t="str">
        <f>HLOOKUP(INDICE!$F$2,Nombres!$C$3:$D$636,66,FALSE)</f>
        <v>Préstamos y anticipos a la clientela bruto (*)</v>
      </c>
      <c r="B157" s="44">
        <v>186347.11782218958</v>
      </c>
      <c r="C157" s="44">
        <v>186865.50242156937</v>
      </c>
      <c r="D157" s="44">
        <v>215367.17488110185</v>
      </c>
      <c r="E157" s="45">
        <v>204873.99187363902</v>
      </c>
      <c r="F157" s="44">
        <v>230029.70005116577</v>
      </c>
      <c r="G157" s="44">
        <v>255366.6420456654</v>
      </c>
      <c r="H157" s="44">
        <v>263231.63501222694</v>
      </c>
      <c r="I157" s="44">
        <v>295741.97839227325</v>
      </c>
    </row>
    <row r="158" spans="1:9" ht="15.75" customHeight="1">
      <c r="A158" s="43" t="str">
        <f>HLOOKUP(INDICE!$F$2,Nombres!$C$3:$D$636,67,FALSE)</f>
        <v>Depósitos de clientes en gestión (**)</v>
      </c>
      <c r="B158" s="44">
        <v>278328.3481675924</v>
      </c>
      <c r="C158" s="44">
        <v>284735.1518868635</v>
      </c>
      <c r="D158" s="44">
        <v>274109.65802499943</v>
      </c>
      <c r="E158" s="45">
        <v>293751.34684689186</v>
      </c>
      <c r="F158" s="44">
        <v>327621.310483755</v>
      </c>
      <c r="G158" s="44">
        <v>372911.0643637096</v>
      </c>
      <c r="H158" s="44">
        <v>398999.5194196703</v>
      </c>
      <c r="I158" s="44">
        <v>477262.73022660974</v>
      </c>
    </row>
    <row r="159" spans="1:9" ht="15.75" customHeight="1">
      <c r="A159" s="43" t="str">
        <f>HLOOKUP(INDICE!$F$2,Nombres!$C$3:$D$636,68,FALSE)</f>
        <v>Fondos de inversión</v>
      </c>
      <c r="B159" s="44">
        <v>50566.02125308689</v>
      </c>
      <c r="C159" s="44">
        <v>50853.11954240798</v>
      </c>
      <c r="D159" s="44">
        <v>41047.33926282707</v>
      </c>
      <c r="E159" s="45">
        <v>43358.448758141836</v>
      </c>
      <c r="F159" s="44">
        <v>66811.6156862847</v>
      </c>
      <c r="G159" s="44">
        <v>114709.49944117854</v>
      </c>
      <c r="H159" s="44">
        <v>100284.1187780922</v>
      </c>
      <c r="I159" s="44">
        <v>100091.07645871393</v>
      </c>
    </row>
    <row r="160" spans="1:9" ht="15.75" customHeight="1">
      <c r="A160" s="43" t="str">
        <f>HLOOKUP(INDICE!$F$2,Nombres!$C$3:$D$636,69,FALSE)</f>
        <v>Fondos de pensiones</v>
      </c>
      <c r="B160" s="44">
        <v>0</v>
      </c>
      <c r="C160" s="44">
        <v>0</v>
      </c>
      <c r="D160" s="44">
        <v>0</v>
      </c>
      <c r="E160" s="45">
        <v>0</v>
      </c>
      <c r="F160" s="44">
        <v>0</v>
      </c>
      <c r="G160" s="44">
        <v>0</v>
      </c>
      <c r="H160" s="44">
        <v>0</v>
      </c>
      <c r="I160" s="44">
        <v>0</v>
      </c>
    </row>
    <row r="161" spans="1:9" ht="14.25">
      <c r="A161" s="43" t="str">
        <f>HLOOKUP(INDICE!$F$2,Nombres!$C$3:$D$636,70,FALSE)</f>
        <v>Otros recursos fuera de balance</v>
      </c>
      <c r="B161" s="44">
        <v>0</v>
      </c>
      <c r="C161" s="44">
        <v>0</v>
      </c>
      <c r="D161" s="44">
        <v>0</v>
      </c>
      <c r="E161" s="45">
        <v>0</v>
      </c>
      <c r="F161" s="44">
        <v>0</v>
      </c>
      <c r="G161" s="44">
        <v>0</v>
      </c>
      <c r="H161" s="44">
        <v>0</v>
      </c>
      <c r="I161" s="44">
        <v>0</v>
      </c>
    </row>
    <row r="162" spans="1:9" ht="14.25">
      <c r="A162" s="63" t="str">
        <f>HLOOKUP(INDICE!$F$2,Nombres!$C$3:$D$636,71,FALSE)</f>
        <v>(*) No incluye las adquisiciones temporales de activos.</v>
      </c>
      <c r="B162" s="58"/>
      <c r="C162" s="58"/>
      <c r="D162" s="58"/>
      <c r="E162" s="58"/>
      <c r="F162" s="58"/>
      <c r="G162" s="58"/>
      <c r="H162" s="58"/>
      <c r="I162" s="58"/>
    </row>
    <row r="163" spans="1:9" ht="14.25">
      <c r="A163" s="63" t="str">
        <f>HLOOKUP(INDICE!$F$2,Nombres!$C$3:$D$636,72,FALSE)</f>
        <v>(**) No incluye las cesiones temporales de activos.</v>
      </c>
      <c r="B163" s="30"/>
      <c r="C163" s="30"/>
      <c r="D163" s="30"/>
      <c r="E163" s="30"/>
      <c r="F163" s="30"/>
      <c r="G163" s="30"/>
      <c r="H163" s="30"/>
      <c r="I163" s="30"/>
    </row>
    <row r="164" spans="1:9" ht="14.25">
      <c r="A164" s="30"/>
      <c r="B164" s="30"/>
      <c r="C164" s="30"/>
      <c r="D164" s="30"/>
      <c r="E164" s="30"/>
      <c r="F164" s="30"/>
      <c r="G164" s="30"/>
      <c r="H164" s="30"/>
      <c r="I164" s="30"/>
    </row>
    <row r="165" spans="1:9" ht="14.25">
      <c r="A165" s="30"/>
      <c r="B165" s="30"/>
      <c r="C165" s="30"/>
      <c r="D165" s="30"/>
      <c r="E165" s="30"/>
      <c r="F165" s="30"/>
      <c r="G165" s="30"/>
      <c r="H165" s="30"/>
      <c r="I165" s="30"/>
    </row>
    <row r="166" spans="1:9" ht="14.25">
      <c r="A166" s="75"/>
      <c r="B166" s="76"/>
      <c r="C166" s="77"/>
      <c r="D166" s="77"/>
      <c r="E166" s="77"/>
      <c r="F166" s="76"/>
      <c r="G166" s="76"/>
      <c r="H166" s="76"/>
      <c r="I166" s="76"/>
    </row>
    <row r="167" spans="1:15" ht="14.25">
      <c r="A167" s="75"/>
      <c r="B167" s="76"/>
      <c r="C167" s="77"/>
      <c r="D167" s="77"/>
      <c r="E167" s="77"/>
      <c r="F167" s="76"/>
      <c r="G167" s="76"/>
      <c r="H167" s="76"/>
      <c r="I167" s="76"/>
      <c r="J167" s="76"/>
      <c r="K167" s="76"/>
      <c r="L167" s="76"/>
      <c r="M167" s="76"/>
      <c r="N167" s="76"/>
      <c r="O167" s="76"/>
    </row>
    <row r="168" spans="1:15" ht="14.25">
      <c r="A168" s="76"/>
      <c r="B168" s="76"/>
      <c r="C168" s="76"/>
      <c r="D168" s="76"/>
      <c r="E168" s="76"/>
      <c r="F168" s="76"/>
      <c r="G168" s="76"/>
      <c r="H168" s="76"/>
      <c r="I168" s="76"/>
      <c r="J168" s="76"/>
      <c r="K168" s="76"/>
      <c r="L168" s="76"/>
      <c r="M168" s="76"/>
      <c r="N168" s="76"/>
      <c r="O168" s="76"/>
    </row>
    <row r="169" spans="1:15" ht="14.25">
      <c r="A169" s="76"/>
      <c r="B169" s="76"/>
      <c r="C169" s="76"/>
      <c r="D169" s="76"/>
      <c r="E169" s="76"/>
      <c r="F169" s="76"/>
      <c r="G169" s="76"/>
      <c r="H169" s="76"/>
      <c r="I169" s="76"/>
      <c r="J169" s="76"/>
      <c r="K169" s="76"/>
      <c r="L169" s="76"/>
      <c r="M169" s="76"/>
      <c r="N169" s="76"/>
      <c r="O169" s="76"/>
    </row>
    <row r="170" spans="1:15" ht="14.25">
      <c r="A170" s="76"/>
      <c r="B170" s="76"/>
      <c r="C170" s="76"/>
      <c r="D170" s="76"/>
      <c r="E170" s="76"/>
      <c r="F170" s="76"/>
      <c r="G170" s="76"/>
      <c r="H170" s="76"/>
      <c r="I170" s="76"/>
      <c r="J170" s="76"/>
      <c r="K170" s="76"/>
      <c r="L170" s="76"/>
      <c r="M170" s="76"/>
      <c r="N170" s="76"/>
      <c r="O170" s="76"/>
    </row>
    <row r="171" spans="1:15" ht="14.25">
      <c r="A171" s="76"/>
      <c r="B171" s="76"/>
      <c r="C171" s="76"/>
      <c r="D171" s="76"/>
      <c r="E171" s="76"/>
      <c r="F171" s="76"/>
      <c r="G171" s="76"/>
      <c r="H171" s="76"/>
      <c r="I171" s="76"/>
      <c r="J171" s="76"/>
      <c r="K171" s="76"/>
      <c r="L171" s="76"/>
      <c r="M171" s="76"/>
      <c r="N171" s="76"/>
      <c r="O171" s="76"/>
    </row>
    <row r="172" spans="1:15" ht="14.25">
      <c r="A172" s="76"/>
      <c r="B172" s="76"/>
      <c r="C172" s="76"/>
      <c r="D172" s="76"/>
      <c r="E172" s="76"/>
      <c r="F172" s="76"/>
      <c r="G172" s="76"/>
      <c r="H172" s="76"/>
      <c r="I172" s="76"/>
      <c r="J172" s="76"/>
      <c r="K172" s="76"/>
      <c r="L172" s="76"/>
      <c r="M172" s="76"/>
      <c r="N172" s="76"/>
      <c r="O172" s="76"/>
    </row>
    <row r="173" spans="1:15" ht="14.25">
      <c r="A173" s="76"/>
      <c r="B173" s="76"/>
      <c r="C173" s="76"/>
      <c r="D173" s="76"/>
      <c r="E173" s="76"/>
      <c r="F173" s="76"/>
      <c r="G173" s="76"/>
      <c r="H173" s="76"/>
      <c r="I173" s="76"/>
      <c r="J173" s="76"/>
      <c r="K173" s="76"/>
      <c r="L173" s="76"/>
      <c r="M173" s="76"/>
      <c r="N173" s="76"/>
      <c r="O173" s="76"/>
    </row>
    <row r="174" spans="1:15" ht="14.25">
      <c r="A174" s="76"/>
      <c r="B174" s="76"/>
      <c r="C174" s="76"/>
      <c r="D174" s="76"/>
      <c r="E174" s="76"/>
      <c r="F174" s="76"/>
      <c r="G174" s="76"/>
      <c r="H174" s="76"/>
      <c r="I174" s="76"/>
      <c r="J174" s="76"/>
      <c r="K174" s="76"/>
      <c r="L174" s="76"/>
      <c r="M174" s="76"/>
      <c r="N174" s="76"/>
      <c r="O174" s="76"/>
    </row>
    <row r="1000" ht="14.25">
      <c r="A1000" s="31" t="s">
        <v>397</v>
      </c>
    </row>
  </sheetData>
  <sheetProtection/>
  <mergeCells count="6">
    <mergeCell ref="B6:E6"/>
    <mergeCell ref="B60:E60"/>
    <mergeCell ref="B114:E114"/>
    <mergeCell ref="F6:I6"/>
    <mergeCell ref="F60:I60"/>
    <mergeCell ref="F114:I114"/>
  </mergeCells>
  <conditionalFormatting sqref="B26:I26">
    <cfRule type="cellIs" priority="3" dxfId="143" operator="notBetween">
      <formula>0.5</formula>
      <formula>-0.5</formula>
    </cfRule>
  </conditionalFormatting>
  <conditionalFormatting sqref="B80:I80">
    <cfRule type="cellIs" priority="2" dxfId="143" operator="notBetween">
      <formula>0.5</formula>
      <formula>-0.5</formula>
    </cfRule>
  </conditionalFormatting>
  <conditionalFormatting sqref="B134:I134">
    <cfRule type="cellIs" priority="1" dxfId="143" operator="notBetween">
      <formula>0.5</formula>
      <formula>-0.5</formula>
    </cfRule>
  </conditionalFormatting>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O1000"/>
  <sheetViews>
    <sheetView showGridLines="0" zoomScalePageLayoutView="0" workbookViewId="0" topLeftCell="A1">
      <selection activeCell="O26" sqref="O26"/>
    </sheetView>
  </sheetViews>
  <sheetFormatPr defaultColWidth="11.421875" defaultRowHeight="15"/>
  <cols>
    <col min="1" max="1" width="62.00390625" style="31" customWidth="1"/>
    <col min="2" max="2" width="12.8515625" style="31" customWidth="1"/>
    <col min="3" max="3" width="13.00390625" style="31" customWidth="1"/>
    <col min="4" max="16384" width="11.421875" style="31" customWidth="1"/>
  </cols>
  <sheetData>
    <row r="1" spans="1:9" ht="16.5">
      <c r="A1" s="29" t="str">
        <f>HLOOKUP(INDICE!$F$2,Nombres!$C$3:$D$636,15,FALSE)</f>
        <v>Chile</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8">
        <f>+España!B6</f>
        <v>2019</v>
      </c>
      <c r="C6" s="308"/>
      <c r="D6" s="308"/>
      <c r="E6" s="309"/>
      <c r="F6" s="308">
        <f>+España!F6</f>
        <v>2020</v>
      </c>
      <c r="G6" s="308"/>
      <c r="H6" s="308"/>
      <c r="I6" s="308"/>
    </row>
    <row r="7" spans="1:9" ht="14.2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4.25">
      <c r="A8" s="41" t="str">
        <f>HLOOKUP(INDICE!$F$2,Nombres!$C$3:$D$636,33,FALSE)</f>
        <v>Margen de intereses</v>
      </c>
      <c r="B8" s="50">
        <v>46.31</v>
      </c>
      <c r="C8" s="50">
        <v>46.683</v>
      </c>
      <c r="D8" s="50">
        <v>46.277000000000015</v>
      </c>
      <c r="E8" s="285">
        <v>41.771</v>
      </c>
      <c r="F8" s="50">
        <v>37.97200000000001</v>
      </c>
      <c r="G8" s="50">
        <v>34.04399999999999</v>
      </c>
      <c r="H8" s="50">
        <v>29.413999999999994</v>
      </c>
      <c r="I8" s="50">
        <v>31.984</v>
      </c>
    </row>
    <row r="9" spans="1:9" ht="14.25">
      <c r="A9" s="43" t="str">
        <f>HLOOKUP(INDICE!$F$2,Nombres!$C$3:$D$636,34,FALSE)</f>
        <v>Comisiones netas</v>
      </c>
      <c r="B9" s="44">
        <v>5.179</v>
      </c>
      <c r="C9" s="44">
        <v>4.452999999999999</v>
      </c>
      <c r="D9" s="44">
        <v>4.7310000000000025</v>
      </c>
      <c r="E9" s="45">
        <v>3.2279999999999944</v>
      </c>
      <c r="F9" s="44">
        <v>1.278</v>
      </c>
      <c r="G9" s="44">
        <v>-1.0029999999999992</v>
      </c>
      <c r="H9" s="44">
        <v>-2.5320000000000022</v>
      </c>
      <c r="I9" s="44">
        <v>-0.13199999999999523</v>
      </c>
    </row>
    <row r="10" spans="1:9" ht="14.25">
      <c r="A10" s="43" t="str">
        <f>HLOOKUP(INDICE!$F$2,Nombres!$C$3:$D$636,35,FALSE)</f>
        <v>Resultados de operaciones financieras</v>
      </c>
      <c r="B10" s="44">
        <v>0.374</v>
      </c>
      <c r="C10" s="44">
        <v>0.36499999999999994</v>
      </c>
      <c r="D10" s="44">
        <v>0.343</v>
      </c>
      <c r="E10" s="45">
        <v>0.28800000000000003</v>
      </c>
      <c r="F10" s="44">
        <v>0.34600000000000003</v>
      </c>
      <c r="G10" s="44">
        <v>0.062000000000000006</v>
      </c>
      <c r="H10" s="44">
        <v>-0.006999999999999951</v>
      </c>
      <c r="I10" s="44">
        <v>0.06299999999999996</v>
      </c>
    </row>
    <row r="11" spans="1:9" ht="14.25">
      <c r="A11" s="43" t="str">
        <f>HLOOKUP(INDICE!$F$2,Nombres!$C$3:$D$636,36,FALSE)</f>
        <v>Otros ingresos y cargas de explotación</v>
      </c>
      <c r="B11" s="44">
        <v>0.053000000000000005</v>
      </c>
      <c r="C11" s="44">
        <v>-0.03999999999999999</v>
      </c>
      <c r="D11" s="44">
        <v>-0.03599999999999999</v>
      </c>
      <c r="E11" s="45">
        <v>-0.192</v>
      </c>
      <c r="F11" s="44">
        <v>0.04500000000000001</v>
      </c>
      <c r="G11" s="44">
        <v>-0.093</v>
      </c>
      <c r="H11" s="44">
        <v>-0.026000000000000002</v>
      </c>
      <c r="I11" s="44">
        <v>-0.28600000000000003</v>
      </c>
    </row>
    <row r="12" spans="1:9" ht="14.25">
      <c r="A12" s="41" t="str">
        <f>HLOOKUP(INDICE!$F$2,Nombres!$C$3:$D$636,37,FALSE)</f>
        <v>Margen bruto</v>
      </c>
      <c r="B12" s="50">
        <f aca="true" t="shared" si="0" ref="B12:I12">+SUM(B8:B11)</f>
        <v>51.916000000000004</v>
      </c>
      <c r="C12" s="50">
        <f t="shared" si="0"/>
        <v>51.461</v>
      </c>
      <c r="D12" s="50">
        <f t="shared" si="0"/>
        <v>51.31500000000002</v>
      </c>
      <c r="E12" s="285">
        <f t="shared" si="0"/>
        <v>45.09499999999999</v>
      </c>
      <c r="F12" s="50">
        <f t="shared" si="0"/>
        <v>39.641000000000005</v>
      </c>
      <c r="G12" s="50">
        <f t="shared" si="0"/>
        <v>33.009999999999984</v>
      </c>
      <c r="H12" s="50">
        <f t="shared" si="0"/>
        <v>26.84899999999999</v>
      </c>
      <c r="I12" s="50">
        <f t="shared" si="0"/>
        <v>31.629000000000005</v>
      </c>
    </row>
    <row r="13" spans="1:9" ht="14.25">
      <c r="A13" s="43" t="str">
        <f>HLOOKUP(INDICE!$F$2,Nombres!$C$3:$D$636,38,FALSE)</f>
        <v>Gastos de explotación</v>
      </c>
      <c r="B13" s="44">
        <v>-16.61</v>
      </c>
      <c r="C13" s="44">
        <v>-17.019000000000002</v>
      </c>
      <c r="D13" s="44">
        <v>-17.613</v>
      </c>
      <c r="E13" s="45">
        <v>-14.694</v>
      </c>
      <c r="F13" s="44">
        <v>-13.061000000000002</v>
      </c>
      <c r="G13" s="44">
        <v>-9.141</v>
      </c>
      <c r="H13" s="44">
        <v>-11.742999999999999</v>
      </c>
      <c r="I13" s="44">
        <v>-12.716000000000001</v>
      </c>
    </row>
    <row r="14" spans="1:9" ht="14.25">
      <c r="A14" s="43" t="str">
        <f>HLOOKUP(INDICE!$F$2,Nombres!$C$3:$D$636,39,FALSE)</f>
        <v>  Gastos de administración</v>
      </c>
      <c r="B14" s="44">
        <v>-15.439999999999998</v>
      </c>
      <c r="C14" s="44">
        <v>-15.911999999999999</v>
      </c>
      <c r="D14" s="44">
        <v>-16.583</v>
      </c>
      <c r="E14" s="45">
        <v>-13.777</v>
      </c>
      <c r="F14" s="44">
        <v>-12.239</v>
      </c>
      <c r="G14" s="44">
        <v>-8.343</v>
      </c>
      <c r="H14" s="44">
        <v>-10.924</v>
      </c>
      <c r="I14" s="44">
        <v>-11.802</v>
      </c>
    </row>
    <row r="15" spans="1:9" ht="14.25">
      <c r="A15" s="46" t="str">
        <f>HLOOKUP(INDICE!$F$2,Nombres!$C$3:$D$636,40,FALSE)</f>
        <v>  Gastos de personal</v>
      </c>
      <c r="B15" s="44">
        <v>-6.602</v>
      </c>
      <c r="C15" s="44">
        <v>-6.782</v>
      </c>
      <c r="D15" s="44">
        <v>-7.768999999999998</v>
      </c>
      <c r="E15" s="45">
        <v>-6.751000000000001</v>
      </c>
      <c r="F15" s="44">
        <v>-5.5200000000000005</v>
      </c>
      <c r="G15" s="44">
        <v>-4.043</v>
      </c>
      <c r="H15" s="44">
        <v>-4.703999999999999</v>
      </c>
      <c r="I15" s="44">
        <v>-3.5990000000000006</v>
      </c>
    </row>
    <row r="16" spans="1:9" ht="14.25">
      <c r="A16" s="46" t="str">
        <f>HLOOKUP(INDICE!$F$2,Nombres!$C$3:$D$636,41,FALSE)</f>
        <v>  Otros gastos de administración</v>
      </c>
      <c r="B16" s="44">
        <v>-8.838</v>
      </c>
      <c r="C16" s="44">
        <v>-9.129999999999999</v>
      </c>
      <c r="D16" s="44">
        <v>-8.814</v>
      </c>
      <c r="E16" s="45">
        <v>-7.026000000000001</v>
      </c>
      <c r="F16" s="44">
        <v>-6.719</v>
      </c>
      <c r="G16" s="44">
        <v>-4.3</v>
      </c>
      <c r="H16" s="44">
        <v>-6.220000000000001</v>
      </c>
      <c r="I16" s="44">
        <v>-8.203</v>
      </c>
    </row>
    <row r="17" spans="1:9" ht="14.25">
      <c r="A17" s="43" t="str">
        <f>HLOOKUP(INDICE!$F$2,Nombres!$C$3:$D$636,42,FALSE)</f>
        <v>  Amortización</v>
      </c>
      <c r="B17" s="44">
        <v>-1.17</v>
      </c>
      <c r="C17" s="44">
        <v>-1.107</v>
      </c>
      <c r="D17" s="44">
        <v>-1.03</v>
      </c>
      <c r="E17" s="45">
        <v>-0.9169999999999998</v>
      </c>
      <c r="F17" s="44">
        <v>-0.822</v>
      </c>
      <c r="G17" s="44">
        <v>-0.798</v>
      </c>
      <c r="H17" s="44">
        <v>-0.8190000000000001</v>
      </c>
      <c r="I17" s="44">
        <v>-0.9139999999999999</v>
      </c>
    </row>
    <row r="18" spans="1:9" ht="14.25">
      <c r="A18" s="41" t="str">
        <f>HLOOKUP(INDICE!$F$2,Nombres!$C$3:$D$636,43,FALSE)</f>
        <v>Margen neto</v>
      </c>
      <c r="B18" s="50">
        <f aca="true" t="shared" si="1" ref="B18:I18">+B12+B13</f>
        <v>35.306000000000004</v>
      </c>
      <c r="C18" s="50">
        <f t="shared" si="1"/>
        <v>34.44199999999999</v>
      </c>
      <c r="D18" s="50">
        <f t="shared" si="1"/>
        <v>33.70200000000002</v>
      </c>
      <c r="E18" s="285">
        <f t="shared" si="1"/>
        <v>30.40099999999999</v>
      </c>
      <c r="F18" s="50">
        <f t="shared" si="1"/>
        <v>26.580000000000005</v>
      </c>
      <c r="G18" s="50">
        <f t="shared" si="1"/>
        <v>23.868999999999986</v>
      </c>
      <c r="H18" s="50">
        <f t="shared" si="1"/>
        <v>15.105999999999991</v>
      </c>
      <c r="I18" s="50">
        <f t="shared" si="1"/>
        <v>18.913000000000004</v>
      </c>
    </row>
    <row r="19" spans="1:9" ht="14.25">
      <c r="A19" s="43" t="str">
        <f>HLOOKUP(INDICE!$F$2,Nombres!$C$3:$D$636,44,FALSE)</f>
        <v>Deterioro de activos financieros no valorados a valor razonable con cambios en resultados</v>
      </c>
      <c r="B19" s="44">
        <v>-12.503</v>
      </c>
      <c r="C19" s="44">
        <v>-11.61</v>
      </c>
      <c r="D19" s="44">
        <v>-13.782</v>
      </c>
      <c r="E19" s="45">
        <v>-20.267</v>
      </c>
      <c r="F19" s="44">
        <v>-18.37</v>
      </c>
      <c r="G19" s="44">
        <v>-23.144</v>
      </c>
      <c r="H19" s="44">
        <v>1.0580000000000003</v>
      </c>
      <c r="I19" s="44">
        <v>-8.671000000000003</v>
      </c>
    </row>
    <row r="20" spans="1:9" ht="14.25">
      <c r="A20" s="43" t="str">
        <f>HLOOKUP(INDICE!$F$2,Nombres!$C$3:$D$636,45,FALSE)</f>
        <v>Provisiones o reversión de provisiones y otros resultados</v>
      </c>
      <c r="B20" s="44">
        <v>-0.553</v>
      </c>
      <c r="C20" s="44">
        <v>-0.2849999999999999</v>
      </c>
      <c r="D20" s="44">
        <v>-0.377</v>
      </c>
      <c r="E20" s="45">
        <v>-0.45999999999999996</v>
      </c>
      <c r="F20" s="44">
        <v>-0.256</v>
      </c>
      <c r="G20" s="44">
        <v>-0.2</v>
      </c>
      <c r="H20" s="44">
        <v>-0.13599999999999995</v>
      </c>
      <c r="I20" s="44">
        <v>-0.988</v>
      </c>
    </row>
    <row r="21" spans="1:9" ht="14.25">
      <c r="A21" s="41" t="str">
        <f>HLOOKUP(INDICE!$F$2,Nombres!$C$3:$D$636,46,FALSE)</f>
        <v>Resultado antes de impuestos</v>
      </c>
      <c r="B21" s="50">
        <f aca="true" t="shared" si="2" ref="B21:I21">+B18+B19+B20</f>
        <v>22.250000000000004</v>
      </c>
      <c r="C21" s="50">
        <f t="shared" si="2"/>
        <v>22.546999999999993</v>
      </c>
      <c r="D21" s="50">
        <f t="shared" si="2"/>
        <v>19.54300000000002</v>
      </c>
      <c r="E21" s="285">
        <f t="shared" si="2"/>
        <v>9.673999999999989</v>
      </c>
      <c r="F21" s="50">
        <f t="shared" si="2"/>
        <v>7.954000000000004</v>
      </c>
      <c r="G21" s="50">
        <f t="shared" si="2"/>
        <v>0.5249999999999873</v>
      </c>
      <c r="H21" s="50">
        <f t="shared" si="2"/>
        <v>16.02799999999999</v>
      </c>
      <c r="I21" s="50">
        <f t="shared" si="2"/>
        <v>9.254000000000001</v>
      </c>
    </row>
    <row r="22" spans="1:9" ht="14.25">
      <c r="A22" s="43" t="str">
        <f>HLOOKUP(INDICE!$F$2,Nombres!$C$3:$D$636,47,FALSE)</f>
        <v>Impuesto sobre beneficios</v>
      </c>
      <c r="B22" s="44">
        <v>-5.583</v>
      </c>
      <c r="C22" s="44">
        <v>-5.790000000000001</v>
      </c>
      <c r="D22" s="44">
        <v>-5.564</v>
      </c>
      <c r="E22" s="45">
        <v>-2.3970000000000002</v>
      </c>
      <c r="F22" s="44">
        <v>-1.3370000000000002</v>
      </c>
      <c r="G22" s="44">
        <v>0.052000000000000074</v>
      </c>
      <c r="H22" s="44">
        <v>-4.55</v>
      </c>
      <c r="I22" s="44">
        <v>-1.7940000000000005</v>
      </c>
    </row>
    <row r="23" spans="1:9" ht="14.25">
      <c r="A23" s="41" t="str">
        <f>HLOOKUP(INDICE!$F$2,Nombres!$C$3:$D$636,48,FALSE)</f>
        <v>Resultado del ejercicio</v>
      </c>
      <c r="B23" s="50">
        <f aca="true" t="shared" si="3" ref="B23:I23">+B21+B22</f>
        <v>16.667</v>
      </c>
      <c r="C23" s="50">
        <f t="shared" si="3"/>
        <v>16.75699999999999</v>
      </c>
      <c r="D23" s="50">
        <f t="shared" si="3"/>
        <v>13.97900000000002</v>
      </c>
      <c r="E23" s="285">
        <f t="shared" si="3"/>
        <v>7.276999999999989</v>
      </c>
      <c r="F23" s="50">
        <f t="shared" si="3"/>
        <v>6.617000000000004</v>
      </c>
      <c r="G23" s="50">
        <f t="shared" si="3"/>
        <v>0.5769999999999873</v>
      </c>
      <c r="H23" s="50">
        <f t="shared" si="3"/>
        <v>11.47799999999999</v>
      </c>
      <c r="I23" s="50">
        <f t="shared" si="3"/>
        <v>7.460000000000001</v>
      </c>
    </row>
    <row r="24" spans="1:9" ht="14.25">
      <c r="A24" s="43" t="str">
        <f>HLOOKUP(INDICE!$F$2,Nombres!$C$3:$D$636,49,FALSE)</f>
        <v>Minoritarios</v>
      </c>
      <c r="B24" s="44">
        <v>0</v>
      </c>
      <c r="C24" s="44">
        <v>0</v>
      </c>
      <c r="D24" s="44">
        <v>0</v>
      </c>
      <c r="E24" s="45">
        <v>0</v>
      </c>
      <c r="F24" s="44">
        <v>0</v>
      </c>
      <c r="G24" s="44">
        <v>0</v>
      </c>
      <c r="H24" s="44">
        <v>0</v>
      </c>
      <c r="I24" s="44">
        <v>0</v>
      </c>
    </row>
    <row r="25" spans="1:9" ht="14.25">
      <c r="A25" s="47" t="str">
        <f>HLOOKUP(INDICE!$F$2,Nombres!$C$3:$D$636,50,FALSE)</f>
        <v>Resultado atribuido</v>
      </c>
      <c r="B25" s="51">
        <f aca="true" t="shared" si="4" ref="B25:I25">+B23+B24</f>
        <v>16.667</v>
      </c>
      <c r="C25" s="51">
        <f t="shared" si="4"/>
        <v>16.75699999999999</v>
      </c>
      <c r="D25" s="51">
        <f t="shared" si="4"/>
        <v>13.97900000000002</v>
      </c>
      <c r="E25" s="82">
        <f t="shared" si="4"/>
        <v>7.276999999999989</v>
      </c>
      <c r="F25" s="51">
        <f t="shared" si="4"/>
        <v>6.617000000000004</v>
      </c>
      <c r="G25" s="51">
        <f t="shared" si="4"/>
        <v>0.5769999999999873</v>
      </c>
      <c r="H25" s="51">
        <f t="shared" si="4"/>
        <v>11.47799999999999</v>
      </c>
      <c r="I25" s="51">
        <f t="shared" si="4"/>
        <v>7.460000000000001</v>
      </c>
    </row>
    <row r="26" spans="1:9" ht="14.25">
      <c r="A26" s="281"/>
      <c r="B26" s="303"/>
      <c r="C26" s="303"/>
      <c r="D26" s="303"/>
      <c r="E26" s="303"/>
      <c r="F26" s="303"/>
      <c r="G26" s="303"/>
      <c r="H26" s="303"/>
      <c r="I26" s="303"/>
    </row>
    <row r="27" spans="1:10" s="304" customFormat="1" ht="14.25">
      <c r="A27" s="281"/>
      <c r="B27" s="281"/>
      <c r="C27" s="281"/>
      <c r="D27" s="281"/>
      <c r="E27" s="281"/>
      <c r="F27" s="281"/>
      <c r="G27" s="281"/>
      <c r="H27" s="281"/>
      <c r="I27" s="281"/>
      <c r="J27" s="31"/>
    </row>
    <row r="28" spans="1:10" s="304" customFormat="1" ht="14.25">
      <c r="A28" s="282"/>
      <c r="B28" s="281"/>
      <c r="C28" s="281"/>
      <c r="D28" s="281"/>
      <c r="E28" s="281"/>
      <c r="F28" s="303"/>
      <c r="G28" s="303"/>
      <c r="H28" s="303"/>
      <c r="I28" s="303"/>
      <c r="J28" s="31"/>
    </row>
    <row r="29" spans="1:9" ht="14.25">
      <c r="A29" s="282"/>
      <c r="B29" s="283"/>
      <c r="C29" s="283"/>
      <c r="D29" s="283"/>
      <c r="E29" s="283"/>
      <c r="F29" s="283"/>
      <c r="G29" s="283"/>
      <c r="H29" s="283"/>
      <c r="I29" s="283"/>
    </row>
    <row r="30" spans="1:9" ht="14.25">
      <c r="A30" s="41"/>
      <c r="B30" s="41"/>
      <c r="C30" s="41"/>
      <c r="D30" s="41"/>
      <c r="E30" s="41"/>
      <c r="F30" s="41"/>
      <c r="G30" s="41"/>
      <c r="H30" s="41"/>
      <c r="I30" s="41"/>
    </row>
    <row r="31" spans="1:9" ht="16.5">
      <c r="A31" s="33" t="str">
        <f>HLOOKUP(INDICE!$F$2,Nombres!$C$3:$D$636,51,FALSE)</f>
        <v>Balances</v>
      </c>
      <c r="B31" s="34"/>
      <c r="C31" s="34"/>
      <c r="D31" s="34"/>
      <c r="E31" s="34"/>
      <c r="F31" s="34"/>
      <c r="G31" s="34"/>
      <c r="H31" s="34"/>
      <c r="I31" s="34"/>
    </row>
    <row r="32" spans="1:9" ht="14.25">
      <c r="A32" s="35" t="str">
        <f>HLOOKUP(INDICE!$F$2,Nombres!$C$3:$D$636,32,FALSE)</f>
        <v>(Millones de euros)</v>
      </c>
      <c r="B32" s="30"/>
      <c r="C32" s="52"/>
      <c r="D32" s="52"/>
      <c r="E32" s="52"/>
      <c r="F32" s="30"/>
      <c r="G32" s="58"/>
      <c r="H32" s="58"/>
      <c r="I32" s="58"/>
    </row>
    <row r="33" spans="1:9" ht="14.25">
      <c r="A33" s="30"/>
      <c r="B33" s="53">
        <f>+España!B30</f>
        <v>43555</v>
      </c>
      <c r="C33" s="53">
        <f>+España!C30</f>
        <v>43646</v>
      </c>
      <c r="D33" s="53">
        <f>+España!D30</f>
        <v>43738</v>
      </c>
      <c r="E33" s="69">
        <f>+España!E30</f>
        <v>43830</v>
      </c>
      <c r="F33" s="78">
        <f>+España!F30</f>
        <v>43921</v>
      </c>
      <c r="G33" s="78">
        <f>+España!G30</f>
        <v>44012</v>
      </c>
      <c r="H33" s="78">
        <f>+España!H30</f>
        <v>44104</v>
      </c>
      <c r="I33" s="78">
        <f>+España!I30</f>
        <v>44196</v>
      </c>
    </row>
    <row r="34" spans="1:9" ht="14.25">
      <c r="A34" s="43" t="str">
        <f>HLOOKUP(INDICE!$F$2,Nombres!$C$3:$D$636,52,FALSE)</f>
        <v>Efectivo, saldos en efectivo en bancos centrales y otros depósitos a la vista</v>
      </c>
      <c r="B34" s="44">
        <v>26.067999999999998</v>
      </c>
      <c r="C34" s="44">
        <v>37.254</v>
      </c>
      <c r="D34" s="44">
        <v>24.968</v>
      </c>
      <c r="E34" s="45">
        <v>28.694000000000003</v>
      </c>
      <c r="F34" s="44">
        <v>8.73</v>
      </c>
      <c r="G34" s="44">
        <v>10.648</v>
      </c>
      <c r="H34" s="44">
        <v>24.927</v>
      </c>
      <c r="I34" s="44">
        <v>30.395000000000003</v>
      </c>
    </row>
    <row r="35" spans="1:9" ht="14.25">
      <c r="A35" s="43" t="str">
        <f>HLOOKUP(INDICE!$F$2,Nombres!$C$3:$D$636,53,FALSE)</f>
        <v>Activos financieros a valor razonable</v>
      </c>
      <c r="B35" s="58">
        <v>0</v>
      </c>
      <c r="C35" s="58">
        <v>0</v>
      </c>
      <c r="D35" s="58">
        <v>0</v>
      </c>
      <c r="E35" s="66">
        <v>0</v>
      </c>
      <c r="F35" s="44">
        <v>0</v>
      </c>
      <c r="G35" s="44">
        <v>0</v>
      </c>
      <c r="H35" s="44">
        <v>163.319</v>
      </c>
      <c r="I35" s="44">
        <v>0</v>
      </c>
    </row>
    <row r="36" spans="1:9" ht="14.25">
      <c r="A36" s="43" t="str">
        <f>HLOOKUP(INDICE!$F$2,Nombres!$C$3:$D$636,54,FALSE)</f>
        <v>Activos financieros a coste amortizado</v>
      </c>
      <c r="B36" s="44">
        <v>2203.2079999999996</v>
      </c>
      <c r="C36" s="44">
        <v>2075.379</v>
      </c>
      <c r="D36" s="44">
        <v>2076.5119999999997</v>
      </c>
      <c r="E36" s="45">
        <v>1867.973</v>
      </c>
      <c r="F36" s="44">
        <v>1715.863</v>
      </c>
      <c r="G36" s="44">
        <v>1664.4769999999999</v>
      </c>
      <c r="H36" s="44">
        <v>1604.7350000000001</v>
      </c>
      <c r="I36" s="44">
        <v>1774.347</v>
      </c>
    </row>
    <row r="37" spans="1:9" ht="14.25">
      <c r="A37" s="43" t="str">
        <f>HLOOKUP(INDICE!$F$2,Nombres!$C$3:$D$636,55,FALSE)</f>
        <v>    de los que préstamos y anticipos a la clientela</v>
      </c>
      <c r="B37" s="44">
        <v>2130.033</v>
      </c>
      <c r="C37" s="44">
        <v>2074.513</v>
      </c>
      <c r="D37" s="44">
        <v>2043.33</v>
      </c>
      <c r="E37" s="45">
        <v>1838.739</v>
      </c>
      <c r="F37" s="44">
        <v>1632.586</v>
      </c>
      <c r="G37" s="44">
        <v>1509.729</v>
      </c>
      <c r="H37" s="44">
        <v>1503.2589999999998</v>
      </c>
      <c r="I37" s="44">
        <v>1563.711</v>
      </c>
    </row>
    <row r="38" spans="1:9" ht="14.25">
      <c r="A38" s="43" t="str">
        <f>HLOOKUP(INDICE!$F$2,Nombres!$C$3:$D$636,56,FALSE)</f>
        <v>Activos tangibles</v>
      </c>
      <c r="B38" s="44">
        <v>15.241000000000001</v>
      </c>
      <c r="C38" s="44">
        <v>14.600000000000001</v>
      </c>
      <c r="D38" s="44">
        <v>14.113999999999999</v>
      </c>
      <c r="E38" s="45">
        <v>13.004999999999999</v>
      </c>
      <c r="F38" s="44">
        <v>11.372</v>
      </c>
      <c r="G38" s="44">
        <v>10.92</v>
      </c>
      <c r="H38" s="44">
        <v>10.417</v>
      </c>
      <c r="I38" s="44">
        <v>10.311</v>
      </c>
    </row>
    <row r="39" spans="1:9" ht="14.25">
      <c r="A39" s="43" t="str">
        <f>HLOOKUP(INDICE!$F$2,Nombres!$C$3:$D$636,57,FALSE)</f>
        <v>Otros activos</v>
      </c>
      <c r="B39" s="58">
        <f>+B40-B38-B36-B35-B34</f>
        <v>1168.8700000000006</v>
      </c>
      <c r="C39" s="58">
        <f aca="true" t="shared" si="5" ref="C39:I39">+C40-C38-C36-C35-C34</f>
        <v>1160.2350000000006</v>
      </c>
      <c r="D39" s="58">
        <f t="shared" si="5"/>
        <v>1183.2180028</v>
      </c>
      <c r="E39" s="66">
        <f t="shared" si="5"/>
        <v>193.28400000000005</v>
      </c>
      <c r="F39" s="44">
        <f t="shared" si="5"/>
        <v>188.924</v>
      </c>
      <c r="G39" s="44">
        <f t="shared" si="5"/>
        <v>162.15199999999996</v>
      </c>
      <c r="H39" s="44">
        <f t="shared" si="5"/>
        <v>162.24300944999993</v>
      </c>
      <c r="I39" s="44">
        <f t="shared" si="5"/>
        <v>185.94099999999978</v>
      </c>
    </row>
    <row r="40" spans="1:9" ht="15.75" customHeight="1">
      <c r="A40" s="47" t="str">
        <f>HLOOKUP(INDICE!$F$2,Nombres!$C$3:$D$636,58,FALSE)</f>
        <v>Total activo / pasivo</v>
      </c>
      <c r="B40" s="47">
        <v>3413.387</v>
      </c>
      <c r="C40" s="47">
        <v>3287.4680000000003</v>
      </c>
      <c r="D40" s="47">
        <v>3298.8120028</v>
      </c>
      <c r="E40" s="47">
        <v>2102.956</v>
      </c>
      <c r="F40" s="51">
        <v>1924.8890000000001</v>
      </c>
      <c r="G40" s="51">
        <v>1848.197</v>
      </c>
      <c r="H40" s="51">
        <v>1965.64100945</v>
      </c>
      <c r="I40" s="51">
        <v>2000.9939999999997</v>
      </c>
    </row>
    <row r="41" spans="1:9" ht="14.25">
      <c r="A41" s="43" t="str">
        <f>HLOOKUP(INDICE!$F$2,Nombres!$C$3:$D$636,59,FALSE)</f>
        <v>Pasivos financieros mantenidos para negociar y designados a valor razonable con cambios en resultados</v>
      </c>
      <c r="B41" s="58">
        <v>0</v>
      </c>
      <c r="C41" s="58">
        <v>0</v>
      </c>
      <c r="D41" s="58">
        <v>0</v>
      </c>
      <c r="E41" s="66">
        <v>0</v>
      </c>
      <c r="F41" s="44">
        <v>0</v>
      </c>
      <c r="G41" s="44">
        <v>0</v>
      </c>
      <c r="H41" s="44">
        <v>0</v>
      </c>
      <c r="I41" s="44">
        <v>0</v>
      </c>
    </row>
    <row r="42" spans="1:9" ht="14.25">
      <c r="A42" s="43" t="str">
        <f>HLOOKUP(INDICE!$F$2,Nombres!$C$3:$D$636,60,FALSE)</f>
        <v>Depósitos de bancos centrales y entidades de crédito</v>
      </c>
      <c r="B42" s="58">
        <v>549.569</v>
      </c>
      <c r="C42" s="58">
        <v>512.402</v>
      </c>
      <c r="D42" s="58">
        <v>542.526</v>
      </c>
      <c r="E42" s="66">
        <v>533.471</v>
      </c>
      <c r="F42" s="44">
        <v>579.9309999999999</v>
      </c>
      <c r="G42" s="44">
        <v>587.071</v>
      </c>
      <c r="H42" s="44">
        <v>589.679</v>
      </c>
      <c r="I42" s="44">
        <v>552.606</v>
      </c>
    </row>
    <row r="43" spans="1:9" ht="14.25">
      <c r="A43" s="43" t="str">
        <f>HLOOKUP(INDICE!$F$2,Nombres!$C$3:$D$636,61,FALSE)</f>
        <v>Depósitos de la clientela</v>
      </c>
      <c r="B43" s="58">
        <v>10.806</v>
      </c>
      <c r="C43" s="58">
        <v>7.268</v>
      </c>
      <c r="D43" s="58">
        <v>9.172</v>
      </c>
      <c r="E43" s="66">
        <v>5.854</v>
      </c>
      <c r="F43" s="44">
        <v>4.079000000000001</v>
      </c>
      <c r="G43" s="44">
        <v>3.553</v>
      </c>
      <c r="H43" s="44">
        <v>4.577999999999999</v>
      </c>
      <c r="I43" s="44">
        <v>4.954</v>
      </c>
    </row>
    <row r="44" spans="1:9" ht="14.25">
      <c r="A44" s="43" t="str">
        <f>HLOOKUP(INDICE!$F$2,Nombres!$C$3:$D$636,62,FALSE)</f>
        <v>Valores representativos de deuda emitidos</v>
      </c>
      <c r="B44" s="44">
        <v>1125.34</v>
      </c>
      <c r="C44" s="44">
        <v>1058.501</v>
      </c>
      <c r="D44" s="44">
        <v>1041.367</v>
      </c>
      <c r="E44" s="45">
        <v>986.123</v>
      </c>
      <c r="F44" s="44">
        <v>902.711</v>
      </c>
      <c r="G44" s="44">
        <v>863.894</v>
      </c>
      <c r="H44" s="44">
        <v>856.477</v>
      </c>
      <c r="I44" s="44">
        <v>913.036</v>
      </c>
    </row>
    <row r="45" spans="1:9" ht="14.25">
      <c r="A45" s="43" t="str">
        <f>HLOOKUP(INDICE!$F$2,Nombres!$C$3:$D$636,63,FALSE)</f>
        <v>Otros pasivos</v>
      </c>
      <c r="B45" s="58">
        <f>+B40-B41-B42-B43-B44-B46</f>
        <v>1669.6641300000003</v>
      </c>
      <c r="C45" s="58">
        <f aca="true" t="shared" si="6" ref="C45:I45">+C40-C41-C42-C43-C44-C46</f>
        <v>1654.5344800000003</v>
      </c>
      <c r="D45" s="58">
        <f t="shared" si="6"/>
        <v>1650.51489244</v>
      </c>
      <c r="E45" s="66">
        <f t="shared" si="6"/>
        <v>532.5898313</v>
      </c>
      <c r="F45" s="44">
        <f t="shared" si="6"/>
        <v>391.29335000000015</v>
      </c>
      <c r="G45" s="44">
        <f t="shared" si="6"/>
        <v>348.3115699999996</v>
      </c>
      <c r="H45" s="44">
        <f t="shared" si="6"/>
        <v>470.8192429700001</v>
      </c>
      <c r="I45" s="44">
        <f t="shared" si="6"/>
        <v>487.1651258499998</v>
      </c>
    </row>
    <row r="46" spans="1:9" ht="14.25">
      <c r="A46" s="43" t="str">
        <f>HLOOKUP(INDICE!$F$2,Nombres!$C$3:$D$636,64,FALSE)</f>
        <v>Dotación de capital económico</v>
      </c>
      <c r="B46" s="44">
        <v>58.007870000000004</v>
      </c>
      <c r="C46" s="44">
        <v>54.76252</v>
      </c>
      <c r="D46" s="44">
        <v>55.23211036</v>
      </c>
      <c r="E46" s="45">
        <v>44.9181687</v>
      </c>
      <c r="F46" s="44">
        <v>46.87465</v>
      </c>
      <c r="G46" s="44">
        <v>45.36743</v>
      </c>
      <c r="H46" s="44">
        <v>44.08776648</v>
      </c>
      <c r="I46" s="44">
        <v>43.23287415</v>
      </c>
    </row>
    <row r="47" spans="1:9" ht="14.25">
      <c r="A47" s="63"/>
      <c r="B47" s="58"/>
      <c r="C47" s="58"/>
      <c r="D47" s="58"/>
      <c r="E47" s="58"/>
      <c r="F47" s="44"/>
      <c r="G47" s="44"/>
      <c r="H47" s="44"/>
      <c r="I47" s="44"/>
    </row>
    <row r="48" spans="1:9" ht="14.25">
      <c r="A48" s="43"/>
      <c r="B48" s="58"/>
      <c r="C48" s="58"/>
      <c r="D48" s="58"/>
      <c r="E48" s="58"/>
      <c r="F48" s="44"/>
      <c r="G48" s="44"/>
      <c r="H48" s="44"/>
      <c r="I48" s="44"/>
    </row>
    <row r="49" spans="1:9" ht="16.5">
      <c r="A49" s="33" t="str">
        <f>HLOOKUP(INDICE!$F$2,Nombres!$C$3:$D$636,65,FALSE)</f>
        <v>Indicadores relevantes y de gestión</v>
      </c>
      <c r="B49" s="34"/>
      <c r="C49" s="34"/>
      <c r="D49" s="34"/>
      <c r="E49" s="34"/>
      <c r="F49" s="70"/>
      <c r="G49" s="70"/>
      <c r="H49" s="70"/>
      <c r="I49" s="70"/>
    </row>
    <row r="50" spans="1:9" ht="14.25">
      <c r="A50" s="35" t="str">
        <f>HLOOKUP(INDICE!$F$2,Nombres!$C$3:$D$636,32,FALSE)</f>
        <v>(Millones de euros)</v>
      </c>
      <c r="B50" s="30"/>
      <c r="C50" s="30"/>
      <c r="D50" s="30"/>
      <c r="E50" s="30"/>
      <c r="F50" s="71"/>
      <c r="G50" s="44"/>
      <c r="H50" s="44"/>
      <c r="I50" s="44"/>
    </row>
    <row r="51" spans="1:9" ht="14.25">
      <c r="A51" s="30"/>
      <c r="B51" s="53">
        <f aca="true" t="shared" si="7" ref="B51:I51">+B$33</f>
        <v>43555</v>
      </c>
      <c r="C51" s="53">
        <f t="shared" si="7"/>
        <v>43646</v>
      </c>
      <c r="D51" s="53">
        <f t="shared" si="7"/>
        <v>43738</v>
      </c>
      <c r="E51" s="69">
        <f t="shared" si="7"/>
        <v>43830</v>
      </c>
      <c r="F51" s="53">
        <f t="shared" si="7"/>
        <v>43921</v>
      </c>
      <c r="G51" s="53">
        <f t="shared" si="7"/>
        <v>44012</v>
      </c>
      <c r="H51" s="53">
        <f t="shared" si="7"/>
        <v>44104</v>
      </c>
      <c r="I51" s="53">
        <f t="shared" si="7"/>
        <v>44196</v>
      </c>
    </row>
    <row r="52" spans="1:9" ht="14.25">
      <c r="A52" s="43" t="str">
        <f>HLOOKUP(INDICE!$F$2,Nombres!$C$3:$D$636,66,FALSE)</f>
        <v>Préstamos y anticipos a la clientela bruto (*)</v>
      </c>
      <c r="B52" s="44">
        <v>2185.3759999999997</v>
      </c>
      <c r="C52" s="44">
        <v>2131.284</v>
      </c>
      <c r="D52" s="44">
        <v>2103.848</v>
      </c>
      <c r="E52" s="45">
        <v>1880.0230000000001</v>
      </c>
      <c r="F52" s="293">
        <v>1633.3490000000002</v>
      </c>
      <c r="G52" s="44">
        <v>1526.683</v>
      </c>
      <c r="H52" s="44">
        <v>1524.5109999999997</v>
      </c>
      <c r="I52" s="44">
        <v>1560.565</v>
      </c>
    </row>
    <row r="53" spans="1:9" ht="14.25">
      <c r="A53" s="43" t="str">
        <f>HLOOKUP(INDICE!$F$2,Nombres!$C$3:$D$636,67,FALSE)</f>
        <v>Depósitos de clientes en gestión (**)</v>
      </c>
      <c r="B53" s="44">
        <v>10.806</v>
      </c>
      <c r="C53" s="44">
        <v>7.268</v>
      </c>
      <c r="D53" s="44">
        <v>9.171999999999999</v>
      </c>
      <c r="E53" s="45">
        <v>5.853999999999999</v>
      </c>
      <c r="F53" s="293">
        <v>4.079</v>
      </c>
      <c r="G53" s="44">
        <v>3.553</v>
      </c>
      <c r="H53" s="44">
        <v>4.577999999999999</v>
      </c>
      <c r="I53" s="44">
        <v>4.954</v>
      </c>
    </row>
    <row r="54" spans="1:9" ht="14.25">
      <c r="A54" s="43" t="str">
        <f>HLOOKUP(INDICE!$F$2,Nombres!$C$3:$D$636,68,FALSE)</f>
        <v>Fondos de inversión</v>
      </c>
      <c r="B54" s="44">
        <v>0</v>
      </c>
      <c r="C54" s="44">
        <v>0</v>
      </c>
      <c r="D54" s="44">
        <v>0</v>
      </c>
      <c r="E54" s="45">
        <v>0</v>
      </c>
      <c r="F54" s="293">
        <v>0</v>
      </c>
      <c r="G54" s="44">
        <v>0</v>
      </c>
      <c r="H54" s="44">
        <v>0</v>
      </c>
      <c r="I54" s="44">
        <v>0</v>
      </c>
    </row>
    <row r="55" spans="1:9" ht="14.25">
      <c r="A55" s="43" t="str">
        <f>HLOOKUP(INDICE!$F$2,Nombres!$C$3:$D$636,69,FALSE)</f>
        <v>Fondos de pensiones</v>
      </c>
      <c r="B55" s="44">
        <v>0</v>
      </c>
      <c r="C55" s="44">
        <v>0</v>
      </c>
      <c r="D55" s="44">
        <v>0</v>
      </c>
      <c r="E55" s="45">
        <v>0</v>
      </c>
      <c r="F55" s="293">
        <v>0</v>
      </c>
      <c r="G55" s="44">
        <v>0</v>
      </c>
      <c r="H55" s="44">
        <v>0</v>
      </c>
      <c r="I55" s="44">
        <v>0</v>
      </c>
    </row>
    <row r="56" spans="1:9" ht="14.25">
      <c r="A56" s="43" t="str">
        <f>HLOOKUP(INDICE!$F$2,Nombres!$C$3:$D$636,70,FALSE)</f>
        <v>Otros recursos fuera de balance</v>
      </c>
      <c r="B56" s="44">
        <v>0</v>
      </c>
      <c r="C56" s="44">
        <v>0</v>
      </c>
      <c r="D56" s="44">
        <v>0</v>
      </c>
      <c r="E56" s="45">
        <v>0</v>
      </c>
      <c r="F56" s="293">
        <v>0</v>
      </c>
      <c r="G56" s="44">
        <v>0</v>
      </c>
      <c r="H56" s="44">
        <v>0</v>
      </c>
      <c r="I56" s="44">
        <v>0</v>
      </c>
    </row>
    <row r="57" spans="1:9" ht="14.25">
      <c r="A57" s="63" t="str">
        <f>HLOOKUP(INDICE!$F$2,Nombres!$C$3:$D$636,71,FALSE)</f>
        <v>(*) No incluye las adquisiciones temporales de activos.</v>
      </c>
      <c r="B57" s="58"/>
      <c r="C57" s="58"/>
      <c r="D57" s="58"/>
      <c r="E57" s="58"/>
      <c r="F57" s="58"/>
      <c r="G57" s="58"/>
      <c r="H57" s="58"/>
      <c r="I57" s="58"/>
    </row>
    <row r="58" spans="1:9" ht="14.25">
      <c r="A58" s="63" t="str">
        <f>HLOOKUP(INDICE!$F$2,Nombres!$C$3:$D$636,72,FALSE)</f>
        <v>(**) No incluye las cesiones temporales de activos.</v>
      </c>
      <c r="B58" s="30"/>
      <c r="C58" s="30"/>
      <c r="D58" s="30"/>
      <c r="E58" s="30"/>
      <c r="F58" s="30"/>
      <c r="G58" s="30"/>
      <c r="H58" s="30"/>
      <c r="I58" s="30"/>
    </row>
    <row r="59" spans="1:9" ht="14.25">
      <c r="A59" s="63"/>
      <c r="B59" s="30"/>
      <c r="C59" s="30"/>
      <c r="D59" s="30"/>
      <c r="E59" s="30"/>
      <c r="F59" s="30"/>
      <c r="G59" s="30"/>
      <c r="H59" s="30"/>
      <c r="I59" s="30"/>
    </row>
    <row r="60" spans="1:9" ht="16.5">
      <c r="A60" s="33" t="str">
        <f>HLOOKUP(INDICE!$F$2,Nombres!$C$3:$D$636,31,FALSE)</f>
        <v>Cuenta de resultados  </v>
      </c>
      <c r="B60" s="34"/>
      <c r="C60" s="34"/>
      <c r="D60" s="34"/>
      <c r="E60" s="34"/>
      <c r="F60" s="34"/>
      <c r="G60" s="34"/>
      <c r="H60" s="34"/>
      <c r="I60" s="34"/>
    </row>
    <row r="61" spans="1:9" ht="14.25">
      <c r="A61" s="35" t="str">
        <f>HLOOKUP(INDICE!$F$2,Nombres!$C$3:$D$636,73,FALSE)</f>
        <v>(Millones de euros constantes)</v>
      </c>
      <c r="B61" s="30"/>
      <c r="C61" s="36"/>
      <c r="D61" s="36"/>
      <c r="E61" s="36"/>
      <c r="F61" s="30"/>
      <c r="G61" s="30"/>
      <c r="H61" s="30"/>
      <c r="I61" s="30"/>
    </row>
    <row r="62" spans="1:9" ht="14.25">
      <c r="A62" s="37"/>
      <c r="B62" s="30"/>
      <c r="C62" s="36"/>
      <c r="D62" s="36"/>
      <c r="E62" s="36"/>
      <c r="F62" s="30"/>
      <c r="G62" s="30"/>
      <c r="H62" s="30"/>
      <c r="I62" s="30"/>
    </row>
    <row r="63" spans="1:9" ht="14.25">
      <c r="A63" s="38"/>
      <c r="B63" s="308">
        <f>+B$6</f>
        <v>2019</v>
      </c>
      <c r="C63" s="308"/>
      <c r="D63" s="308"/>
      <c r="E63" s="309"/>
      <c r="F63" s="308">
        <f>+F$6</f>
        <v>2020</v>
      </c>
      <c r="G63" s="308"/>
      <c r="H63" s="308"/>
      <c r="I63" s="308"/>
    </row>
    <row r="64" spans="1:9" ht="14.25">
      <c r="A64" s="38"/>
      <c r="B64" s="39" t="str">
        <f>+B$7</f>
        <v>1er Trim.</v>
      </c>
      <c r="C64" s="39" t="str">
        <f aca="true" t="shared" si="8" ref="C64:I64">+C$7</f>
        <v>2º Trim.</v>
      </c>
      <c r="D64" s="39" t="str">
        <f t="shared" si="8"/>
        <v>3er Trim.</v>
      </c>
      <c r="E64" s="40" t="str">
        <f t="shared" si="8"/>
        <v>4º Trim.</v>
      </c>
      <c r="F64" s="39" t="str">
        <f t="shared" si="8"/>
        <v>1er Trim.</v>
      </c>
      <c r="G64" s="39" t="str">
        <f t="shared" si="8"/>
        <v>2º Trim.</v>
      </c>
      <c r="H64" s="39" t="str">
        <f t="shared" si="8"/>
        <v>3er Trim.</v>
      </c>
      <c r="I64" s="39" t="str">
        <f t="shared" si="8"/>
        <v>4º Trim.</v>
      </c>
    </row>
    <row r="65" spans="1:9" ht="14.25">
      <c r="A65" s="41" t="str">
        <f>HLOOKUP(INDICE!$F$2,Nombres!$C$3:$D$636,33,FALSE)</f>
        <v>Margen de intereses</v>
      </c>
      <c r="B65" s="50">
        <v>38.86905532574071</v>
      </c>
      <c r="C65" s="50">
        <v>39.73060678038697</v>
      </c>
      <c r="D65" s="50">
        <v>40.21774417689832</v>
      </c>
      <c r="E65" s="285">
        <v>38.90594741651541</v>
      </c>
      <c r="F65" s="50">
        <v>37.22664500703635</v>
      </c>
      <c r="G65" s="50">
        <v>34.18099001950029</v>
      </c>
      <c r="H65" s="50">
        <v>29.820828964928523</v>
      </c>
      <c r="I65" s="50">
        <v>32.185536008534825</v>
      </c>
    </row>
    <row r="66" spans="1:9" ht="14.25">
      <c r="A66" s="43" t="str">
        <f>HLOOKUP(INDICE!$F$2,Nombres!$C$3:$D$636,34,FALSE)</f>
        <v>Comisiones netas</v>
      </c>
      <c r="B66" s="44">
        <v>4.346854621723411</v>
      </c>
      <c r="C66" s="44">
        <v>3.7943167073682598</v>
      </c>
      <c r="D66" s="44">
        <v>4.112540212827641</v>
      </c>
      <c r="E66" s="45">
        <v>3.071609876591592</v>
      </c>
      <c r="F66" s="44">
        <v>1.252914050326357</v>
      </c>
      <c r="G66" s="44">
        <v>-0.9802371503000076</v>
      </c>
      <c r="H66" s="44">
        <v>-2.5251923612186693</v>
      </c>
      <c r="I66" s="44">
        <v>-0.1364845388076774</v>
      </c>
    </row>
    <row r="67" spans="1:9" ht="14.25">
      <c r="A67" s="43" t="str">
        <f>HLOOKUP(INDICE!$F$2,Nombres!$C$3:$D$636,35,FALSE)</f>
        <v>Resultados de operaciones financieras</v>
      </c>
      <c r="B67" s="44">
        <v>0.3139068601128704</v>
      </c>
      <c r="C67" s="44">
        <v>0.3107116627482949</v>
      </c>
      <c r="D67" s="44">
        <v>0.2984836068023238</v>
      </c>
      <c r="E67" s="45">
        <v>0.27044515834514826</v>
      </c>
      <c r="F67" s="44">
        <v>0.3392083422636305</v>
      </c>
      <c r="G67" s="44">
        <v>0.06534502213909878</v>
      </c>
      <c r="H67" s="44">
        <v>-0.004350130048223377</v>
      </c>
      <c r="I67" s="44">
        <v>0.06379676564549405</v>
      </c>
    </row>
    <row r="68" spans="1:9" ht="14.25">
      <c r="A68" s="43" t="str">
        <f>HLOOKUP(INDICE!$F$2,Nombres!$C$3:$D$636,36,FALSE)</f>
        <v>Otros ingresos y cargas de explotación</v>
      </c>
      <c r="B68" s="44">
        <v>0.044484127235246335</v>
      </c>
      <c r="C68" s="44">
        <v>-0.03349625064905533</v>
      </c>
      <c r="D68" s="44">
        <v>-0.030610195423769762</v>
      </c>
      <c r="E68" s="45">
        <v>-0.1676861971637767</v>
      </c>
      <c r="F68" s="44">
        <v>0.04411669191289992</v>
      </c>
      <c r="G68" s="44">
        <v>-0.09171120537204455</v>
      </c>
      <c r="H68" s="44">
        <v>-0.026258452481587154</v>
      </c>
      <c r="I68" s="44">
        <v>-0.2861470340592682</v>
      </c>
    </row>
    <row r="69" spans="1:9" ht="14.25">
      <c r="A69" s="41" t="str">
        <f>HLOOKUP(INDICE!$F$2,Nombres!$C$3:$D$636,37,FALSE)</f>
        <v>Margen bruto</v>
      </c>
      <c r="B69" s="50">
        <f>+SUM(B65:B68)</f>
        <v>43.574300934812236</v>
      </c>
      <c r="C69" s="50">
        <f>+SUM(C65:C68)</f>
        <v>43.80213889985447</v>
      </c>
      <c r="D69" s="50">
        <f aca="true" t="shared" si="9" ref="D69:I69">+SUM(D65:D68)</f>
        <v>44.59815780110451</v>
      </c>
      <c r="E69" s="285">
        <f t="shared" si="9"/>
        <v>42.08031625428838</v>
      </c>
      <c r="F69" s="50">
        <f t="shared" si="9"/>
        <v>38.862884091539236</v>
      </c>
      <c r="G69" s="50">
        <f t="shared" si="9"/>
        <v>33.17438668596734</v>
      </c>
      <c r="H69" s="50">
        <f t="shared" si="9"/>
        <v>27.265028021180044</v>
      </c>
      <c r="I69" s="50">
        <f t="shared" si="9"/>
        <v>31.82670120131337</v>
      </c>
    </row>
    <row r="70" spans="1:9" ht="14.25">
      <c r="A70" s="43" t="str">
        <f>HLOOKUP(INDICE!$F$2,Nombres!$C$3:$D$636,38,FALSE)</f>
        <v>Gastos de explotación</v>
      </c>
      <c r="B70" s="44">
        <v>-13.941157610895125</v>
      </c>
      <c r="C70" s="44">
        <v>-14.482788675029273</v>
      </c>
      <c r="D70" s="44">
        <v>-15.292873795606571</v>
      </c>
      <c r="E70" s="45">
        <v>-13.726781365284737</v>
      </c>
      <c r="F70" s="44">
        <v>-12.804624734986353</v>
      </c>
      <c r="G70" s="44">
        <v>-9.209820844595498</v>
      </c>
      <c r="H70" s="44">
        <v>-11.863107513095711</v>
      </c>
      <c r="I70" s="44">
        <v>-12.783446907322437</v>
      </c>
    </row>
    <row r="71" spans="1:9" ht="14.25">
      <c r="A71" s="43" t="str">
        <f>HLOOKUP(INDICE!$F$2,Nombres!$C$3:$D$636,39,FALSE)</f>
        <v>  Gastos de administración</v>
      </c>
      <c r="B71" s="44">
        <v>-12.959149519098176</v>
      </c>
      <c r="C71" s="44">
        <v>-13.540227921691073</v>
      </c>
      <c r="D71" s="44">
        <v>-14.396094449616802</v>
      </c>
      <c r="E71" s="45">
        <v>-12.868170618783022</v>
      </c>
      <c r="F71" s="44">
        <v>-11.99875982937738</v>
      </c>
      <c r="G71" s="44">
        <v>-8.40937092095834</v>
      </c>
      <c r="H71" s="44">
        <v>-11.035268505457454</v>
      </c>
      <c r="I71" s="44">
        <v>-11.864600744206825</v>
      </c>
    </row>
    <row r="72" spans="1:9" ht="14.25">
      <c r="A72" s="46" t="str">
        <f>HLOOKUP(INDICE!$F$2,Nombres!$C$3:$D$636,40,FALSE)</f>
        <v>  Gastos de personal</v>
      </c>
      <c r="B72" s="44">
        <v>-5.541211471832005</v>
      </c>
      <c r="C72" s="44">
        <v>-5.77123008428956</v>
      </c>
      <c r="D72" s="44">
        <v>-6.734119764369917</v>
      </c>
      <c r="E72" s="45">
        <v>-6.263470449284442</v>
      </c>
      <c r="F72" s="44">
        <v>-5.411647541315723</v>
      </c>
      <c r="G72" s="44">
        <v>-4.070567713055111</v>
      </c>
      <c r="H72" s="44">
        <v>-4.7564369763915995</v>
      </c>
      <c r="I72" s="44">
        <v>-3.627347769237567</v>
      </c>
    </row>
    <row r="73" spans="1:9" ht="14.25">
      <c r="A73" s="46" t="str">
        <f>HLOOKUP(INDICE!$F$2,Nombres!$C$3:$D$636,41,FALSE)</f>
        <v>  Otros gastos de administración</v>
      </c>
      <c r="B73" s="44">
        <v>-7.417938047266171</v>
      </c>
      <c r="C73" s="44">
        <v>-7.768997837401512</v>
      </c>
      <c r="D73" s="44">
        <v>-7.661974685246886</v>
      </c>
      <c r="E73" s="45">
        <v>-6.60470016949858</v>
      </c>
      <c r="F73" s="44">
        <v>-6.5871122880616575</v>
      </c>
      <c r="G73" s="44">
        <v>-4.338803207903229</v>
      </c>
      <c r="H73" s="44">
        <v>-6.2788315290658545</v>
      </c>
      <c r="I73" s="44">
        <v>-8.237252974969259</v>
      </c>
    </row>
    <row r="74" spans="1:9" ht="14.25">
      <c r="A74" s="43" t="str">
        <f>HLOOKUP(INDICE!$F$2,Nombres!$C$3:$D$636,42,FALSE)</f>
        <v>  Amortización</v>
      </c>
      <c r="B74" s="44">
        <v>-0.9820080917969474</v>
      </c>
      <c r="C74" s="44">
        <v>-0.9425607533381992</v>
      </c>
      <c r="D74" s="44">
        <v>-0.8967793459897686</v>
      </c>
      <c r="E74" s="45">
        <v>-0.8586107465017154</v>
      </c>
      <c r="F74" s="44">
        <v>-0.8058649056089717</v>
      </c>
      <c r="G74" s="44">
        <v>-0.8004499236371592</v>
      </c>
      <c r="H74" s="44">
        <v>-0.827839007638258</v>
      </c>
      <c r="I74" s="44">
        <v>-0.918846163115611</v>
      </c>
    </row>
    <row r="75" spans="1:9" ht="14.25">
      <c r="A75" s="41" t="str">
        <f>HLOOKUP(INDICE!$F$2,Nombres!$C$3:$D$636,43,FALSE)</f>
        <v>Margen neto</v>
      </c>
      <c r="B75" s="50">
        <f aca="true" t="shared" si="10" ref="B75:I75">+B69+B70</f>
        <v>29.63314332391711</v>
      </c>
      <c r="C75" s="50">
        <f t="shared" si="10"/>
        <v>29.319350224825197</v>
      </c>
      <c r="D75" s="50">
        <f t="shared" si="10"/>
        <v>29.305284005497942</v>
      </c>
      <c r="E75" s="285">
        <f t="shared" si="10"/>
        <v>28.35353488900364</v>
      </c>
      <c r="F75" s="50">
        <f t="shared" si="10"/>
        <v>26.05825935655288</v>
      </c>
      <c r="G75" s="50">
        <f t="shared" si="10"/>
        <v>23.964565841371844</v>
      </c>
      <c r="H75" s="50">
        <f t="shared" si="10"/>
        <v>15.401920508084332</v>
      </c>
      <c r="I75" s="50">
        <f t="shared" si="10"/>
        <v>19.043254293990934</v>
      </c>
    </row>
    <row r="76" spans="1:9" ht="14.25">
      <c r="A76" s="43" t="str">
        <f>HLOOKUP(INDICE!$F$2,Nombres!$C$3:$D$636,44,FALSE)</f>
        <v>Deterioro de activos financieros no valorados a valor razonable con cambios en resultados</v>
      </c>
      <c r="B76" s="44">
        <v>-10.494057411741224</v>
      </c>
      <c r="C76" s="44">
        <v>-9.88676321309136</v>
      </c>
      <c r="D76" s="44">
        <v>-11.949082520821685</v>
      </c>
      <c r="E76" s="45">
        <v>-18.340970843512416</v>
      </c>
      <c r="F76" s="44">
        <v>-18.009414009777146</v>
      </c>
      <c r="G76" s="44">
        <v>-23.15389081820056</v>
      </c>
      <c r="H76" s="44">
        <v>0.7876887455690009</v>
      </c>
      <c r="I76" s="44">
        <v>-8.751383917591298</v>
      </c>
    </row>
    <row r="77" spans="1:9" ht="14.25">
      <c r="A77" s="43" t="str">
        <f>HLOOKUP(INDICE!$F$2,Nombres!$C$3:$D$636,45,FALSE)</f>
        <v>Provisiones o reversión de provisiones y otros resultados</v>
      </c>
      <c r="B77" s="44">
        <v>-0.4641457049262495</v>
      </c>
      <c r="C77" s="44">
        <v>-0.24414972424513953</v>
      </c>
      <c r="D77" s="44">
        <v>-0.3282748920311425</v>
      </c>
      <c r="E77" s="45">
        <v>-0.4226936988080286</v>
      </c>
      <c r="F77" s="44">
        <v>-0.25097495843783063</v>
      </c>
      <c r="G77" s="44">
        <v>-0.20117291942404325</v>
      </c>
      <c r="H77" s="44">
        <v>-0.13867584966398022</v>
      </c>
      <c r="I77" s="44">
        <v>-0.9891762724741459</v>
      </c>
    </row>
    <row r="78" spans="1:9" ht="14.25">
      <c r="A78" s="41" t="str">
        <f>HLOOKUP(INDICE!$F$2,Nombres!$C$3:$D$636,46,FALSE)</f>
        <v>Resultado antes de impuestos</v>
      </c>
      <c r="B78" s="50">
        <f aca="true" t="shared" si="11" ref="B78:I78">+B75+B76+B77</f>
        <v>18.674940207249637</v>
      </c>
      <c r="C78" s="50">
        <f t="shared" si="11"/>
        <v>19.188437287488696</v>
      </c>
      <c r="D78" s="50">
        <f t="shared" si="11"/>
        <v>17.027926592645112</v>
      </c>
      <c r="E78" s="285">
        <f t="shared" si="11"/>
        <v>9.589870346683195</v>
      </c>
      <c r="F78" s="50">
        <f t="shared" si="11"/>
        <v>7.797870388337905</v>
      </c>
      <c r="G78" s="50">
        <f t="shared" si="11"/>
        <v>0.6095021037472419</v>
      </c>
      <c r="H78" s="50">
        <f t="shared" si="11"/>
        <v>16.050933403989355</v>
      </c>
      <c r="I78" s="50">
        <f t="shared" si="11"/>
        <v>9.302694103925491</v>
      </c>
    </row>
    <row r="79" spans="1:9" ht="14.25">
      <c r="A79" s="43" t="str">
        <f>HLOOKUP(INDICE!$F$2,Nombres!$C$3:$D$636,47,FALSE)</f>
        <v>Impuesto sobre beneficios</v>
      </c>
      <c r="B79" s="44">
        <v>-4.685941176497741</v>
      </c>
      <c r="C79" s="44">
        <v>-4.926760393867664</v>
      </c>
      <c r="D79" s="44">
        <v>-4.837003392768158</v>
      </c>
      <c r="E79" s="45">
        <v>-2.3941222385883334</v>
      </c>
      <c r="F79" s="44">
        <v>-1.3107559352788267</v>
      </c>
      <c r="G79" s="44">
        <v>0.03661114788297565</v>
      </c>
      <c r="H79" s="44">
        <v>-4.5492613783361735</v>
      </c>
      <c r="I79" s="44">
        <v>-1.8055938342679758</v>
      </c>
    </row>
    <row r="80" spans="1:9" ht="14.25">
      <c r="A80" s="41" t="str">
        <f>HLOOKUP(INDICE!$F$2,Nombres!$C$3:$D$636,48,FALSE)</f>
        <v>Resultado del ejercicio</v>
      </c>
      <c r="B80" s="50">
        <f aca="true" t="shared" si="12" ref="B80:I80">+B78+B79</f>
        <v>13.988999030751897</v>
      </c>
      <c r="C80" s="50">
        <f t="shared" si="12"/>
        <v>14.261676893621033</v>
      </c>
      <c r="D80" s="50">
        <f t="shared" si="12"/>
        <v>12.190923199876956</v>
      </c>
      <c r="E80" s="285">
        <f t="shared" si="12"/>
        <v>7.195748108094862</v>
      </c>
      <c r="F80" s="50">
        <f t="shared" si="12"/>
        <v>6.487114453059078</v>
      </c>
      <c r="G80" s="50">
        <f t="shared" si="12"/>
        <v>0.6461132516302175</v>
      </c>
      <c r="H80" s="50">
        <f t="shared" si="12"/>
        <v>11.501672025653182</v>
      </c>
      <c r="I80" s="50">
        <f t="shared" si="12"/>
        <v>7.4971002696575155</v>
      </c>
    </row>
    <row r="81" spans="1:9" ht="14.25">
      <c r="A81" s="43" t="str">
        <f>HLOOKUP(INDICE!$F$2,Nombres!$C$3:$D$636,49,FALSE)</f>
        <v>Minoritarios</v>
      </c>
      <c r="B81" s="44">
        <v>0</v>
      </c>
      <c r="C81" s="44">
        <v>0</v>
      </c>
      <c r="D81" s="44">
        <v>0</v>
      </c>
      <c r="E81" s="45">
        <v>0</v>
      </c>
      <c r="F81" s="44">
        <v>0</v>
      </c>
      <c r="G81" s="44">
        <v>0</v>
      </c>
      <c r="H81" s="44">
        <v>0</v>
      </c>
      <c r="I81" s="44">
        <v>0</v>
      </c>
    </row>
    <row r="82" spans="1:9" ht="14.25">
      <c r="A82" s="47" t="str">
        <f>HLOOKUP(INDICE!$F$2,Nombres!$C$3:$D$636,50,FALSE)</f>
        <v>Resultado atribuido</v>
      </c>
      <c r="B82" s="51">
        <f aca="true" t="shared" si="13" ref="B82:I82">+B80+B81</f>
        <v>13.988999030751897</v>
      </c>
      <c r="C82" s="51">
        <f t="shared" si="13"/>
        <v>14.261676893621033</v>
      </c>
      <c r="D82" s="51">
        <f t="shared" si="13"/>
        <v>12.190923199876956</v>
      </c>
      <c r="E82" s="82">
        <f t="shared" si="13"/>
        <v>7.195748108094862</v>
      </c>
      <c r="F82" s="51">
        <f t="shared" si="13"/>
        <v>6.487114453059078</v>
      </c>
      <c r="G82" s="51">
        <f t="shared" si="13"/>
        <v>0.6461132516302175</v>
      </c>
      <c r="H82" s="51">
        <f t="shared" si="13"/>
        <v>11.501672025653182</v>
      </c>
      <c r="I82" s="51">
        <f t="shared" si="13"/>
        <v>7.4971002696575155</v>
      </c>
    </row>
    <row r="83" spans="1:9" ht="14.25">
      <c r="A83" s="281"/>
      <c r="B83" s="303"/>
      <c r="C83" s="303"/>
      <c r="D83" s="303"/>
      <c r="E83" s="303"/>
      <c r="F83" s="303"/>
      <c r="G83" s="303"/>
      <c r="H83" s="303"/>
      <c r="I83" s="303"/>
    </row>
    <row r="84" spans="1:9" ht="14.25">
      <c r="A84" s="281"/>
      <c r="B84" s="281"/>
      <c r="C84" s="281"/>
      <c r="D84" s="281"/>
      <c r="E84" s="281"/>
      <c r="F84" s="281"/>
      <c r="G84" s="281"/>
      <c r="H84" s="281"/>
      <c r="I84" s="281"/>
    </row>
    <row r="85" spans="1:9" ht="14.25">
      <c r="A85" s="282"/>
      <c r="B85" s="281"/>
      <c r="C85" s="281"/>
      <c r="D85" s="281"/>
      <c r="E85" s="281"/>
      <c r="F85" s="303"/>
      <c r="G85" s="303"/>
      <c r="H85" s="303"/>
      <c r="I85" s="303"/>
    </row>
    <row r="86" spans="1:9" ht="14.25">
      <c r="A86" s="282"/>
      <c r="B86" s="283"/>
      <c r="C86" s="283"/>
      <c r="D86" s="283"/>
      <c r="E86" s="283"/>
      <c r="F86" s="283"/>
      <c r="G86" s="283"/>
      <c r="H86" s="283"/>
      <c r="I86" s="283"/>
    </row>
    <row r="87" spans="1:9" ht="14.25">
      <c r="A87" s="41"/>
      <c r="B87" s="41"/>
      <c r="C87" s="41"/>
      <c r="D87" s="41"/>
      <c r="E87" s="41"/>
      <c r="F87" s="50"/>
      <c r="G87" s="50"/>
      <c r="H87" s="50"/>
      <c r="I87" s="50"/>
    </row>
    <row r="88" spans="1:9" ht="16.5">
      <c r="A88" s="33" t="str">
        <f>HLOOKUP(INDICE!$F$2,Nombres!$C$3:$D$636,51,FALSE)</f>
        <v>Balances</v>
      </c>
      <c r="B88" s="34"/>
      <c r="C88" s="34"/>
      <c r="D88" s="34"/>
      <c r="E88" s="34"/>
      <c r="F88" s="70"/>
      <c r="G88" s="70"/>
      <c r="H88" s="70"/>
      <c r="I88" s="70"/>
    </row>
    <row r="89" spans="1:9" ht="14.25">
      <c r="A89" s="35" t="str">
        <f>HLOOKUP(INDICE!$F$2,Nombres!$C$3:$D$636,73,FALSE)</f>
        <v>(Millones de euros constantes)</v>
      </c>
      <c r="B89" s="30"/>
      <c r="C89" s="52"/>
      <c r="D89" s="52"/>
      <c r="E89" s="52"/>
      <c r="F89" s="71"/>
      <c r="G89" s="44"/>
      <c r="H89" s="44"/>
      <c r="I89" s="44"/>
    </row>
    <row r="90" spans="1:9" ht="14.25">
      <c r="A90" s="30"/>
      <c r="B90" s="53">
        <f aca="true" t="shared" si="14" ref="B90:I90">+B$33</f>
        <v>43555</v>
      </c>
      <c r="C90" s="53">
        <f t="shared" si="14"/>
        <v>43646</v>
      </c>
      <c r="D90" s="53">
        <f t="shared" si="14"/>
        <v>43738</v>
      </c>
      <c r="E90" s="69">
        <f t="shared" si="14"/>
        <v>43830</v>
      </c>
      <c r="F90" s="53">
        <f t="shared" si="14"/>
        <v>43921</v>
      </c>
      <c r="G90" s="53">
        <f t="shared" si="14"/>
        <v>44012</v>
      </c>
      <c r="H90" s="53">
        <f t="shared" si="14"/>
        <v>44104</v>
      </c>
      <c r="I90" s="53">
        <f t="shared" si="14"/>
        <v>44196</v>
      </c>
    </row>
    <row r="91" spans="1:9" ht="14.25">
      <c r="A91" s="43" t="str">
        <f>HLOOKUP(INDICE!$F$2,Nombres!$C$3:$D$636,52,FALSE)</f>
        <v>Efectivo, saldos en efectivo en bancos centrales y otros depósitos a la vista</v>
      </c>
      <c r="B91" s="44">
        <v>22.864740588668283</v>
      </c>
      <c r="C91" s="44">
        <v>33.03814444764521</v>
      </c>
      <c r="D91" s="44">
        <v>22.615067733111495</v>
      </c>
      <c r="E91" s="45">
        <v>27.665436961436548</v>
      </c>
      <c r="F91" s="44">
        <v>9.278368002566717</v>
      </c>
      <c r="G91" s="44">
        <v>11.157610799915378</v>
      </c>
      <c r="H91" s="44">
        <v>26.24245833493966</v>
      </c>
      <c r="I91" s="44">
        <v>30.395000000000003</v>
      </c>
    </row>
    <row r="92" spans="1:9" ht="14.25">
      <c r="A92" s="43" t="str">
        <f>HLOOKUP(INDICE!$F$2,Nombres!$C$3:$D$636,53,FALSE)</f>
        <v>Activos financieros a valor razonable</v>
      </c>
      <c r="B92" s="58">
        <v>0</v>
      </c>
      <c r="C92" s="58">
        <v>0</v>
      </c>
      <c r="D92" s="58">
        <v>0</v>
      </c>
      <c r="E92" s="66">
        <v>0</v>
      </c>
      <c r="F92" s="44">
        <v>0</v>
      </c>
      <c r="G92" s="44">
        <v>0</v>
      </c>
      <c r="H92" s="44">
        <v>171.9377403138769</v>
      </c>
      <c r="I92" s="44">
        <v>0</v>
      </c>
    </row>
    <row r="93" spans="1:9" ht="14.25">
      <c r="A93" s="43" t="str">
        <f>HLOOKUP(INDICE!$F$2,Nombres!$C$3:$D$636,54,FALSE)</f>
        <v>Activos financieros a coste amortizado</v>
      </c>
      <c r="B93" s="44">
        <v>1932.4758087647178</v>
      </c>
      <c r="C93" s="44">
        <v>1840.5183654267853</v>
      </c>
      <c r="D93" s="44">
        <v>1880.8258382176714</v>
      </c>
      <c r="E93" s="45">
        <v>1801.0137756034542</v>
      </c>
      <c r="F93" s="44">
        <v>1823.6435688417107</v>
      </c>
      <c r="G93" s="44">
        <v>1744.1384815374481</v>
      </c>
      <c r="H93" s="44">
        <v>1689.4207636747055</v>
      </c>
      <c r="I93" s="44">
        <v>1774.347</v>
      </c>
    </row>
    <row r="94" spans="1:9" ht="14.25">
      <c r="A94" s="43" t="str">
        <f>HLOOKUP(INDICE!$F$2,Nombres!$C$3:$D$636,55,FALSE)</f>
        <v>    de los que préstamos y anticipos a la clientela</v>
      </c>
      <c r="B94" s="44">
        <v>1868.2926189313664</v>
      </c>
      <c r="C94" s="44">
        <v>1839.7503664711924</v>
      </c>
      <c r="D94" s="44">
        <v>1850.77084072007</v>
      </c>
      <c r="E94" s="45">
        <v>1772.827695442771</v>
      </c>
      <c r="F94" s="44">
        <v>1735.1355903594942</v>
      </c>
      <c r="G94" s="44">
        <v>1581.9842783006616</v>
      </c>
      <c r="H94" s="44">
        <v>1582.5896286806696</v>
      </c>
      <c r="I94" s="44">
        <v>1563.711</v>
      </c>
    </row>
    <row r="95" spans="1:9" ht="14.25">
      <c r="A95" s="43" t="str">
        <f>HLOOKUP(INDICE!$F$2,Nombres!$C$3:$D$636,56,FALSE)</f>
        <v>Activos tangibles</v>
      </c>
      <c r="B95" s="44">
        <v>13.36817213871004</v>
      </c>
      <c r="C95" s="44">
        <v>12.947788396833092</v>
      </c>
      <c r="D95" s="44">
        <v>12.783926064768329</v>
      </c>
      <c r="E95" s="45">
        <v>12.538823715183742</v>
      </c>
      <c r="F95" s="44">
        <v>12.08632313003307</v>
      </c>
      <c r="G95" s="44">
        <v>11.442628656562352</v>
      </c>
      <c r="H95" s="44">
        <v>10.966730391746557</v>
      </c>
      <c r="I95" s="44">
        <v>10.311</v>
      </c>
    </row>
    <row r="96" spans="1:9" ht="14.25">
      <c r="A96" s="43" t="str">
        <f>HLOOKUP(INDICE!$F$2,Nombres!$C$3:$D$636,57,FALSE)</f>
        <v>Otros activos</v>
      </c>
      <c r="B96" s="58">
        <f>+B97-B95-B93-B92-B91</f>
        <v>1025.2381974787747</v>
      </c>
      <c r="C96" s="58">
        <f aca="true" t="shared" si="15" ref="C96:I96">+C97-C95-C93-C92-C91</f>
        <v>1028.9367993561405</v>
      </c>
      <c r="D96" s="58">
        <f t="shared" si="15"/>
        <v>1071.7140049807317</v>
      </c>
      <c r="E96" s="66">
        <f t="shared" si="15"/>
        <v>186.35555578358898</v>
      </c>
      <c r="F96" s="44">
        <f t="shared" si="15"/>
        <v>200.79111071213254</v>
      </c>
      <c r="G96" s="44">
        <f t="shared" si="15"/>
        <v>169.91255695228026</v>
      </c>
      <c r="H96" s="44">
        <f t="shared" si="15"/>
        <v>170.80496712909067</v>
      </c>
      <c r="I96" s="44">
        <f t="shared" si="15"/>
        <v>185.94099999999978</v>
      </c>
    </row>
    <row r="97" spans="1:9" ht="14.25">
      <c r="A97" s="47" t="str">
        <f>HLOOKUP(INDICE!$F$2,Nombres!$C$3:$D$636,58,FALSE)</f>
        <v>Total activo / pasivo</v>
      </c>
      <c r="B97" s="47">
        <v>2993.946918970871</v>
      </c>
      <c r="C97" s="47">
        <v>2915.441097627404</v>
      </c>
      <c r="D97" s="47">
        <v>2987.938836996283</v>
      </c>
      <c r="E97" s="47">
        <v>2027.5735920636635</v>
      </c>
      <c r="F97" s="51">
        <v>2045.7993706864431</v>
      </c>
      <c r="G97" s="51">
        <v>1936.6512779462062</v>
      </c>
      <c r="H97" s="51">
        <v>2069.3726598443595</v>
      </c>
      <c r="I97" s="51">
        <v>2000.9939999999997</v>
      </c>
    </row>
    <row r="98" spans="1:9" ht="14.25">
      <c r="A98" s="43" t="str">
        <f>HLOOKUP(INDICE!$F$2,Nombres!$C$3:$D$636,59,FALSE)</f>
        <v>Pasivos financieros mantenidos para negociar y designados a valor razonable con cambios en resultados</v>
      </c>
      <c r="B98" s="58">
        <v>0</v>
      </c>
      <c r="C98" s="58">
        <v>0</v>
      </c>
      <c r="D98" s="58">
        <v>0</v>
      </c>
      <c r="E98" s="66">
        <v>0</v>
      </c>
      <c r="F98" s="44">
        <v>0</v>
      </c>
      <c r="G98" s="44">
        <v>0</v>
      </c>
      <c r="H98" s="44">
        <v>0</v>
      </c>
      <c r="I98" s="44">
        <v>0</v>
      </c>
    </row>
    <row r="99" spans="1:9" ht="14.25">
      <c r="A99" s="43" t="str">
        <f>HLOOKUP(INDICE!$F$2,Nombres!$C$3:$D$636,60,FALSE)</f>
        <v>Depósitos de bancos centrales y entidades de crédito</v>
      </c>
      <c r="B99" s="58">
        <v>482.03746434608865</v>
      </c>
      <c r="C99" s="58">
        <v>454.4159363091829</v>
      </c>
      <c r="D99" s="58">
        <v>491.3994808144043</v>
      </c>
      <c r="E99" s="66">
        <v>514.348237305866</v>
      </c>
      <c r="F99" s="44">
        <v>616.3589042493147</v>
      </c>
      <c r="G99" s="44">
        <v>615.1680813220437</v>
      </c>
      <c r="H99" s="44">
        <v>620.7977930953938</v>
      </c>
      <c r="I99" s="44">
        <v>552.606</v>
      </c>
    </row>
    <row r="100" spans="1:9" ht="14.25">
      <c r="A100" s="43" t="str">
        <f>HLOOKUP(INDICE!$F$2,Nombres!$C$3:$D$636,61,FALSE)</f>
        <v>Depósitos de la clientela</v>
      </c>
      <c r="B100" s="58">
        <v>9.478148948946963</v>
      </c>
      <c r="C100" s="58">
        <v>6.445515484122117</v>
      </c>
      <c r="D100" s="58">
        <v>8.307649841721348</v>
      </c>
      <c r="E100" s="66">
        <v>5.644157941459872</v>
      </c>
      <c r="F100" s="44">
        <v>4.335219138885411</v>
      </c>
      <c r="G100" s="44">
        <v>3.7230457524511027</v>
      </c>
      <c r="H100" s="44">
        <v>4.8195921794581675</v>
      </c>
      <c r="I100" s="44">
        <v>4.954</v>
      </c>
    </row>
    <row r="101" spans="1:9" ht="14.25">
      <c r="A101" s="43" t="str">
        <f>HLOOKUP(INDICE!$F$2,Nombres!$C$3:$D$636,62,FALSE)</f>
        <v>Valores representativos de deuda emitidos</v>
      </c>
      <c r="B101" s="44">
        <v>987.0572032396794</v>
      </c>
      <c r="C101" s="44">
        <v>938.7155456052208</v>
      </c>
      <c r="D101" s="44">
        <v>943.2307449546266</v>
      </c>
      <c r="E101" s="45">
        <v>950.7745066119292</v>
      </c>
      <c r="F101" s="44">
        <v>959.4140730773199</v>
      </c>
      <c r="G101" s="44">
        <v>905.2397656256663</v>
      </c>
      <c r="H101" s="44">
        <v>901.6753715783733</v>
      </c>
      <c r="I101" s="44">
        <v>913.036</v>
      </c>
    </row>
    <row r="102" spans="1:9" ht="14.25">
      <c r="A102" s="43" t="str">
        <f>HLOOKUP(INDICE!$F$2,Nombres!$C$3:$D$636,63,FALSE)</f>
        <v>Otros pasivos</v>
      </c>
      <c r="B102" s="58">
        <f>+B97-B98-B99-B100-B101-B103</f>
        <v>1464.4942919539099</v>
      </c>
      <c r="C102" s="58">
        <f aca="true" t="shared" si="16" ref="C102:I102">+C97-C98-C99-C100-C101-C103</f>
        <v>1467.2987905687862</v>
      </c>
      <c r="D102" s="58">
        <f t="shared" si="16"/>
        <v>1494.9738099583406</v>
      </c>
      <c r="E102" s="66">
        <f t="shared" si="16"/>
        <v>513.498654915044</v>
      </c>
      <c r="F102" s="44">
        <f t="shared" si="16"/>
        <v>415.8721303845527</v>
      </c>
      <c r="G102" s="44">
        <f t="shared" si="16"/>
        <v>364.9816806130243</v>
      </c>
      <c r="H102" s="44">
        <f t="shared" si="16"/>
        <v>495.6655179896519</v>
      </c>
      <c r="I102" s="44">
        <f t="shared" si="16"/>
        <v>487.1651258499998</v>
      </c>
    </row>
    <row r="103" spans="1:9" ht="14.25">
      <c r="A103" s="43" t="str">
        <f>HLOOKUP(INDICE!$F$2,Nombres!$C$3:$D$636,64,FALSE)</f>
        <v>Dotación de capital económico</v>
      </c>
      <c r="B103" s="44">
        <v>50.87981048224617</v>
      </c>
      <c r="C103" s="44">
        <v>48.5653096600918</v>
      </c>
      <c r="D103" s="44">
        <v>50.02715142719036</v>
      </c>
      <c r="E103" s="45">
        <v>43.30803528936441</v>
      </c>
      <c r="F103" s="44">
        <v>49.819043836370426</v>
      </c>
      <c r="G103" s="44">
        <v>47.53870463302075</v>
      </c>
      <c r="H103" s="44">
        <v>46.41438500148229</v>
      </c>
      <c r="I103" s="44">
        <v>43.23287415</v>
      </c>
    </row>
    <row r="104" spans="1:9" ht="14.25">
      <c r="A104" s="63"/>
      <c r="B104" s="58"/>
      <c r="C104" s="58"/>
      <c r="D104" s="58"/>
      <c r="E104" s="58"/>
      <c r="F104" s="44"/>
      <c r="G104" s="44"/>
      <c r="H104" s="44"/>
      <c r="I104" s="44"/>
    </row>
    <row r="105" spans="1:9" ht="14.25">
      <c r="A105" s="43"/>
      <c r="B105" s="58"/>
      <c r="C105" s="58"/>
      <c r="D105" s="58"/>
      <c r="E105" s="58"/>
      <c r="F105" s="44"/>
      <c r="G105" s="44"/>
      <c r="H105" s="44"/>
      <c r="I105" s="44"/>
    </row>
    <row r="106" spans="1:9" ht="16.5">
      <c r="A106" s="33" t="str">
        <f>HLOOKUP(INDICE!$F$2,Nombres!$C$3:$D$636,65,FALSE)</f>
        <v>Indicadores relevantes y de gestión</v>
      </c>
      <c r="B106" s="34"/>
      <c r="C106" s="34"/>
      <c r="D106" s="34"/>
      <c r="E106" s="34"/>
      <c r="F106" s="70"/>
      <c r="G106" s="70"/>
      <c r="H106" s="70"/>
      <c r="I106" s="70"/>
    </row>
    <row r="107" spans="1:9" ht="14.25">
      <c r="A107" s="35" t="str">
        <f>HLOOKUP(INDICE!$F$2,Nombres!$C$3:$D$636,73,FALSE)</f>
        <v>(Millones de euros constantes)</v>
      </c>
      <c r="B107" s="30"/>
      <c r="C107" s="30"/>
      <c r="D107" s="30"/>
      <c r="E107" s="30"/>
      <c r="F107" s="71"/>
      <c r="G107" s="44"/>
      <c r="H107" s="44"/>
      <c r="I107" s="44"/>
    </row>
    <row r="108" spans="1:9" ht="14.25">
      <c r="A108" s="30"/>
      <c r="B108" s="53">
        <f aca="true" t="shared" si="17" ref="B108:I108">+B$33</f>
        <v>43555</v>
      </c>
      <c r="C108" s="53">
        <f t="shared" si="17"/>
        <v>43646</v>
      </c>
      <c r="D108" s="53">
        <f t="shared" si="17"/>
        <v>43738</v>
      </c>
      <c r="E108" s="69">
        <f t="shared" si="17"/>
        <v>43830</v>
      </c>
      <c r="F108" s="53">
        <f t="shared" si="17"/>
        <v>43921</v>
      </c>
      <c r="G108" s="53">
        <f t="shared" si="17"/>
        <v>44012</v>
      </c>
      <c r="H108" s="53">
        <f t="shared" si="17"/>
        <v>44104</v>
      </c>
      <c r="I108" s="53">
        <f t="shared" si="17"/>
        <v>44196</v>
      </c>
    </row>
    <row r="109" spans="1:9" ht="14.25">
      <c r="A109" s="43" t="str">
        <f>HLOOKUP(INDICE!$F$2,Nombres!$C$3:$D$636,66,FALSE)</f>
        <v>Préstamos y anticipos a la clientela bruto (*)</v>
      </c>
      <c r="B109" s="44">
        <v>1916.8350210488543</v>
      </c>
      <c r="C109" s="44">
        <v>1890.096866133974</v>
      </c>
      <c r="D109" s="44">
        <v>1905.5857505675726</v>
      </c>
      <c r="E109" s="45">
        <v>1812.63183217923</v>
      </c>
      <c r="F109" s="44">
        <v>1735.9465175972903</v>
      </c>
      <c r="G109" s="44">
        <v>1599.7496927918116</v>
      </c>
      <c r="H109" s="44">
        <v>1604.9631483394387</v>
      </c>
      <c r="I109" s="44">
        <v>1560.565</v>
      </c>
    </row>
    <row r="110" spans="1:9" ht="14.25">
      <c r="A110" s="43" t="str">
        <f>HLOOKUP(INDICE!$F$2,Nombres!$C$3:$D$636,67,FALSE)</f>
        <v>Depósitos de clientes en gestión (**)</v>
      </c>
      <c r="B110" s="44">
        <v>9.478148948946965</v>
      </c>
      <c r="C110" s="44">
        <v>6.445515484122117</v>
      </c>
      <c r="D110" s="44">
        <v>8.307649841721348</v>
      </c>
      <c r="E110" s="45">
        <v>5.644157941459872</v>
      </c>
      <c r="F110" s="44">
        <v>4.335219138885411</v>
      </c>
      <c r="G110" s="44">
        <v>3.7230457524511027</v>
      </c>
      <c r="H110" s="44">
        <v>4.8195921794581675</v>
      </c>
      <c r="I110" s="44">
        <v>4.954</v>
      </c>
    </row>
    <row r="111" spans="1:9" ht="14.25">
      <c r="A111" s="43" t="str">
        <f>HLOOKUP(INDICE!$F$2,Nombres!$C$3:$D$636,68,FALSE)</f>
        <v>Fondos de inversión</v>
      </c>
      <c r="B111" s="44">
        <v>0</v>
      </c>
      <c r="C111" s="44">
        <v>0</v>
      </c>
      <c r="D111" s="44">
        <v>0</v>
      </c>
      <c r="E111" s="45">
        <v>0</v>
      </c>
      <c r="F111" s="44">
        <v>0</v>
      </c>
      <c r="G111" s="44">
        <v>0</v>
      </c>
      <c r="H111" s="44">
        <v>0</v>
      </c>
      <c r="I111" s="44">
        <v>0</v>
      </c>
    </row>
    <row r="112" spans="1:9" ht="14.25">
      <c r="A112" s="43" t="str">
        <f>HLOOKUP(INDICE!$F$2,Nombres!$C$3:$D$636,69,FALSE)</f>
        <v>Fondos de pensiones</v>
      </c>
      <c r="B112" s="44">
        <v>0</v>
      </c>
      <c r="C112" s="44">
        <v>0</v>
      </c>
      <c r="D112" s="44">
        <v>0</v>
      </c>
      <c r="E112" s="45">
        <v>0</v>
      </c>
      <c r="F112" s="44">
        <v>0</v>
      </c>
      <c r="G112" s="44">
        <v>0</v>
      </c>
      <c r="H112" s="44">
        <v>0</v>
      </c>
      <c r="I112" s="44">
        <v>0</v>
      </c>
    </row>
    <row r="113" spans="1:9" ht="14.25">
      <c r="A113" s="43" t="str">
        <f>HLOOKUP(INDICE!$F$2,Nombres!$C$3:$D$636,70,FALSE)</f>
        <v>Otros recursos fuera de balance</v>
      </c>
      <c r="B113" s="44">
        <v>0</v>
      </c>
      <c r="C113" s="44">
        <v>0</v>
      </c>
      <c r="D113" s="44">
        <v>0</v>
      </c>
      <c r="E113" s="45">
        <v>0</v>
      </c>
      <c r="F113" s="44">
        <v>0</v>
      </c>
      <c r="G113" s="44">
        <v>0</v>
      </c>
      <c r="H113" s="44">
        <v>0</v>
      </c>
      <c r="I113" s="44">
        <v>0</v>
      </c>
    </row>
    <row r="114" spans="1:9" ht="14.25">
      <c r="A114" s="63" t="str">
        <f>HLOOKUP(INDICE!$F$2,Nombres!$C$3:$D$636,71,FALSE)</f>
        <v>(*) No incluye las adquisiciones temporales de activos.</v>
      </c>
      <c r="B114" s="58"/>
      <c r="C114" s="58"/>
      <c r="D114" s="58"/>
      <c r="E114" s="58"/>
      <c r="F114" s="58"/>
      <c r="G114" s="58"/>
      <c r="H114" s="58"/>
      <c r="I114" s="58"/>
    </row>
    <row r="115" spans="1:9" ht="14.25">
      <c r="A115" s="63" t="str">
        <f>HLOOKUP(INDICE!$F$2,Nombres!$C$3:$D$636,72,FALSE)</f>
        <v>(**) No incluye las cesiones temporales de activos.</v>
      </c>
      <c r="B115" s="30"/>
      <c r="C115" s="30"/>
      <c r="D115" s="30"/>
      <c r="E115" s="30"/>
      <c r="F115" s="30"/>
      <c r="G115" s="30"/>
      <c r="H115" s="30"/>
      <c r="I115" s="30"/>
    </row>
    <row r="116" spans="1:9" ht="14.25">
      <c r="A116" s="63"/>
      <c r="B116" s="58"/>
      <c r="C116" s="44"/>
      <c r="D116" s="44"/>
      <c r="E116" s="44"/>
      <c r="F116" s="44"/>
      <c r="G116" s="30"/>
      <c r="H116" s="30"/>
      <c r="I116" s="30"/>
    </row>
    <row r="117" spans="1:9" ht="16.5">
      <c r="A117" s="33" t="str">
        <f>HLOOKUP(INDICE!$F$2,Nombres!$C$3:$D$636,31,FALSE)</f>
        <v>Cuenta de resultados  </v>
      </c>
      <c r="B117" s="34"/>
      <c r="C117" s="34"/>
      <c r="D117" s="34"/>
      <c r="E117" s="34"/>
      <c r="F117" s="34"/>
      <c r="G117" s="34"/>
      <c r="H117" s="34"/>
      <c r="I117" s="34"/>
    </row>
    <row r="118" spans="1:9" ht="14.25">
      <c r="A118" s="35" t="str">
        <f>HLOOKUP(INDICE!$F$2,Nombres!$C$3:$D$636,81,FALSE)</f>
        <v>(Millones de pesos chilenos)</v>
      </c>
      <c r="B118" s="30"/>
      <c r="C118" s="36"/>
      <c r="D118" s="36"/>
      <c r="E118" s="36"/>
      <c r="F118" s="30"/>
      <c r="G118" s="30"/>
      <c r="H118" s="30"/>
      <c r="I118" s="30"/>
    </row>
    <row r="119" spans="1:9" ht="14.25">
      <c r="A119" s="37"/>
      <c r="B119" s="30"/>
      <c r="C119" s="36"/>
      <c r="D119" s="36"/>
      <c r="E119" s="36"/>
      <c r="F119" s="30"/>
      <c r="G119" s="30"/>
      <c r="H119" s="30"/>
      <c r="I119" s="30"/>
    </row>
    <row r="120" spans="1:9" ht="14.25">
      <c r="A120" s="38"/>
      <c r="B120" s="308">
        <f>+B$6</f>
        <v>2019</v>
      </c>
      <c r="C120" s="308"/>
      <c r="D120" s="308"/>
      <c r="E120" s="309"/>
      <c r="F120" s="308">
        <f>+F$6</f>
        <v>2020</v>
      </c>
      <c r="G120" s="308"/>
      <c r="H120" s="308"/>
      <c r="I120" s="308"/>
    </row>
    <row r="121" spans="1:9" ht="14.25">
      <c r="A121" s="38"/>
      <c r="B121" s="39" t="str">
        <f>+B$7</f>
        <v>1er Trim.</v>
      </c>
      <c r="C121" s="39" t="str">
        <f aca="true" t="shared" si="18" ref="C121:I121">+C$7</f>
        <v>2º Trim.</v>
      </c>
      <c r="D121" s="39" t="str">
        <f t="shared" si="18"/>
        <v>3er Trim.</v>
      </c>
      <c r="E121" s="40" t="str">
        <f t="shared" si="18"/>
        <v>4º Trim.</v>
      </c>
      <c r="F121" s="39" t="str">
        <f t="shared" si="18"/>
        <v>1er Trim.</v>
      </c>
      <c r="G121" s="39" t="str">
        <f t="shared" si="18"/>
        <v>2º Trim.</v>
      </c>
      <c r="H121" s="39" t="str">
        <f t="shared" si="18"/>
        <v>3er Trim.</v>
      </c>
      <c r="I121" s="39" t="str">
        <f t="shared" si="18"/>
        <v>4º Trim.</v>
      </c>
    </row>
    <row r="122" spans="1:9" ht="14.25">
      <c r="A122" s="41" t="str">
        <f>HLOOKUP(INDICE!$F$2,Nombres!$C$3:$D$636,33,FALSE)</f>
        <v>Margen de intereses</v>
      </c>
      <c r="B122" s="50">
        <v>35101.1250565458</v>
      </c>
      <c r="C122" s="50">
        <v>35879.1585101183</v>
      </c>
      <c r="D122" s="50">
        <v>36319.07325801654</v>
      </c>
      <c r="E122" s="285">
        <v>35134.44086216619</v>
      </c>
      <c r="F122" s="50">
        <v>33617.92847489838</v>
      </c>
      <c r="G122" s="50">
        <v>30867.516464607048</v>
      </c>
      <c r="H122" s="50">
        <v>26930.025389493356</v>
      </c>
      <c r="I122" s="50">
        <v>29065.499919659036</v>
      </c>
    </row>
    <row r="123" spans="1:9" ht="14.25">
      <c r="A123" s="43" t="str">
        <f>HLOOKUP(INDICE!$F$2,Nombres!$C$3:$D$636,34,FALSE)</f>
        <v>Comisiones netas</v>
      </c>
      <c r="B123" s="44">
        <v>3925.4745555571303</v>
      </c>
      <c r="C123" s="44">
        <v>3426.4991555190677</v>
      </c>
      <c r="D123" s="44">
        <v>3713.874368717645</v>
      </c>
      <c r="E123" s="45">
        <v>2773.850856410231</v>
      </c>
      <c r="F123" s="44">
        <v>1131.4577212398638</v>
      </c>
      <c r="G123" s="44">
        <v>-885.2138676744896</v>
      </c>
      <c r="H123" s="44">
        <v>-2280.402549538465</v>
      </c>
      <c r="I123" s="44">
        <v>-123.25385386457992</v>
      </c>
    </row>
    <row r="124" spans="1:9" ht="14.25">
      <c r="A124" s="43" t="str">
        <f>HLOOKUP(INDICE!$F$2,Nombres!$C$3:$D$636,35,FALSE)</f>
        <v>Resultados de operaciones financieras</v>
      </c>
      <c r="B124" s="44">
        <v>283.47701945903975</v>
      </c>
      <c r="C124" s="44">
        <v>280.5915615714117</v>
      </c>
      <c r="D124" s="44">
        <v>269.5488820578264</v>
      </c>
      <c r="E124" s="45">
        <v>244.22845485837595</v>
      </c>
      <c r="F124" s="44">
        <v>306.32579933411034</v>
      </c>
      <c r="G124" s="44">
        <v>59.010536137426726</v>
      </c>
      <c r="H124" s="44">
        <v>-3.92843246524194</v>
      </c>
      <c r="I124" s="44">
        <v>57.61236619616653</v>
      </c>
    </row>
    <row r="125" spans="1:9" ht="14.25">
      <c r="A125" s="43" t="str">
        <f>HLOOKUP(INDICE!$F$2,Nombres!$C$3:$D$636,36,FALSE)</f>
        <v>Otros ingresos y cargas de explotación</v>
      </c>
      <c r="B125" s="44">
        <v>40.17187708911527</v>
      </c>
      <c r="C125" s="44">
        <v>-30.249155095345472</v>
      </c>
      <c r="D125" s="44">
        <v>-27.642871393982688</v>
      </c>
      <c r="E125" s="45">
        <v>-151.43085232134223</v>
      </c>
      <c r="F125" s="44">
        <v>39.84006060703748</v>
      </c>
      <c r="G125" s="44">
        <v>-82.82080595663008</v>
      </c>
      <c r="H125" s="44">
        <v>-23.71298238722993</v>
      </c>
      <c r="I125" s="44">
        <v>-258.4082052650874</v>
      </c>
    </row>
    <row r="126" spans="1:9" ht="14.25">
      <c r="A126" s="41" t="str">
        <f>HLOOKUP(INDICE!$F$2,Nombres!$C$3:$D$636,37,FALSE)</f>
        <v>Margen bruto</v>
      </c>
      <c r="B126" s="50">
        <f aca="true" t="shared" si="19" ref="B126:I126">+SUM(B122:B125)</f>
        <v>39350.248508651086</v>
      </c>
      <c r="C126" s="50">
        <f t="shared" si="19"/>
        <v>39556.000072113435</v>
      </c>
      <c r="D126" s="50">
        <f t="shared" si="19"/>
        <v>40274.85363739803</v>
      </c>
      <c r="E126" s="285">
        <f t="shared" si="19"/>
        <v>38001.08932111346</v>
      </c>
      <c r="F126" s="50">
        <f t="shared" si="19"/>
        <v>35095.55205607939</v>
      </c>
      <c r="G126" s="50">
        <f t="shared" si="19"/>
        <v>29958.492327113352</v>
      </c>
      <c r="H126" s="50">
        <f t="shared" si="19"/>
        <v>24621.981425102418</v>
      </c>
      <c r="I126" s="50">
        <f t="shared" si="19"/>
        <v>28741.450226725538</v>
      </c>
    </row>
    <row r="127" spans="1:9" ht="14.25">
      <c r="A127" s="43" t="str">
        <f>HLOOKUP(INDICE!$F$2,Nombres!$C$3:$D$636,38,FALSE)</f>
        <v>Gastos de explotación</v>
      </c>
      <c r="B127" s="44">
        <v>-12589.714687739706</v>
      </c>
      <c r="C127" s="44">
        <v>-13078.840537528296</v>
      </c>
      <c r="D127" s="44">
        <v>-13810.396755849866</v>
      </c>
      <c r="E127" s="45">
        <v>-12396.119877079627</v>
      </c>
      <c r="F127" s="44">
        <v>-11563.356257522588</v>
      </c>
      <c r="G127" s="44">
        <v>-8317.029331053554</v>
      </c>
      <c r="H127" s="44">
        <v>-10713.108844213602</v>
      </c>
      <c r="I127" s="44">
        <v>-11544.231388882812</v>
      </c>
    </row>
    <row r="128" spans="1:9" ht="14.25">
      <c r="A128" s="43" t="str">
        <f>HLOOKUP(INDICE!$F$2,Nombres!$C$3:$D$636,39,FALSE)</f>
        <v>  Gastos de administración</v>
      </c>
      <c r="B128" s="44">
        <v>-11702.901551998859</v>
      </c>
      <c r="C128" s="44">
        <v>-12227.650751745006</v>
      </c>
      <c r="D128" s="44">
        <v>-13000.550370134692</v>
      </c>
      <c r="E128" s="45">
        <v>-11620.742062124293</v>
      </c>
      <c r="F128" s="44">
        <v>-10835.611150434037</v>
      </c>
      <c r="G128" s="44">
        <v>-7594.174282593356</v>
      </c>
      <c r="H128" s="44">
        <v>-9965.519784220322</v>
      </c>
      <c r="I128" s="44">
        <v>-10714.457322882052</v>
      </c>
    </row>
    <row r="129" spans="1:9" ht="14.25">
      <c r="A129" s="46" t="str">
        <f>HLOOKUP(INDICE!$F$2,Nombres!$C$3:$D$636,40,FALSE)</f>
        <v>  Gastos de personal</v>
      </c>
      <c r="B129" s="44">
        <v>-5004.051557402621</v>
      </c>
      <c r="C129" s="44">
        <v>-5211.772378336977</v>
      </c>
      <c r="D129" s="44">
        <v>-6081.320423508405</v>
      </c>
      <c r="E129" s="45">
        <v>-5656.295417674208</v>
      </c>
      <c r="F129" s="44">
        <v>-4887.047434463264</v>
      </c>
      <c r="G129" s="44">
        <v>-3675.970644248279</v>
      </c>
      <c r="H129" s="44">
        <v>-4295.3523756296345</v>
      </c>
      <c r="I129" s="44">
        <v>-3275.7160318036085</v>
      </c>
    </row>
    <row r="130" spans="1:9" ht="14.25">
      <c r="A130" s="46" t="str">
        <f>HLOOKUP(INDICE!$F$2,Nombres!$C$3:$D$636,41,FALSE)</f>
        <v>  Otros gastos de administración</v>
      </c>
      <c r="B130" s="44">
        <v>-6698.849994596238</v>
      </c>
      <c r="C130" s="44">
        <v>-7015.878373408028</v>
      </c>
      <c r="D130" s="44">
        <v>-6919.229946626287</v>
      </c>
      <c r="E130" s="45">
        <v>-5964.446644450085</v>
      </c>
      <c r="F130" s="44">
        <v>-5948.563715970773</v>
      </c>
      <c r="G130" s="44">
        <v>-3918.2036383450777</v>
      </c>
      <c r="H130" s="44">
        <v>-5670.167408590687</v>
      </c>
      <c r="I130" s="44">
        <v>-7438.741291078444</v>
      </c>
    </row>
    <row r="131" spans="1:9" ht="14.25">
      <c r="A131" s="43" t="str">
        <f>HLOOKUP(INDICE!$F$2,Nombres!$C$3:$D$636,42,FALSE)</f>
        <v>  Amortización</v>
      </c>
      <c r="B131" s="44">
        <v>-886.8131357408462</v>
      </c>
      <c r="C131" s="44">
        <v>-851.1897857832919</v>
      </c>
      <c r="D131" s="44">
        <v>-809.8463857151733</v>
      </c>
      <c r="E131" s="45">
        <v>-775.377814955335</v>
      </c>
      <c r="F131" s="44">
        <v>-727.7451070885513</v>
      </c>
      <c r="G131" s="44">
        <v>-722.855048460199</v>
      </c>
      <c r="H131" s="44">
        <v>-747.5890599932793</v>
      </c>
      <c r="I131" s="44">
        <v>-829.7740660007596</v>
      </c>
    </row>
    <row r="132" spans="1:9" ht="14.25">
      <c r="A132" s="41" t="str">
        <f>HLOOKUP(INDICE!$F$2,Nombres!$C$3:$D$636,43,FALSE)</f>
        <v>Margen neto</v>
      </c>
      <c r="B132" s="50">
        <f aca="true" t="shared" si="20" ref="B132:I132">+B126+B127</f>
        <v>26760.53382091138</v>
      </c>
      <c r="C132" s="50">
        <f t="shared" si="20"/>
        <v>26477.15953458514</v>
      </c>
      <c r="D132" s="50">
        <f t="shared" si="20"/>
        <v>26464.456881548165</v>
      </c>
      <c r="E132" s="285">
        <f t="shared" si="20"/>
        <v>25604.969444033835</v>
      </c>
      <c r="F132" s="50">
        <f t="shared" si="20"/>
        <v>23532.1957985568</v>
      </c>
      <c r="G132" s="50">
        <f t="shared" si="20"/>
        <v>21641.462996059796</v>
      </c>
      <c r="H132" s="50">
        <f t="shared" si="20"/>
        <v>13908.872580888816</v>
      </c>
      <c r="I132" s="50">
        <f t="shared" si="20"/>
        <v>17197.218837842724</v>
      </c>
    </row>
    <row r="133" spans="1:9" ht="14.25">
      <c r="A133" s="43" t="str">
        <f>HLOOKUP(INDICE!$F$2,Nombres!$C$3:$D$636,44,FALSE)</f>
        <v>Deterioro de activos financieros no valorados a valor razonable con cambios en resultados</v>
      </c>
      <c r="B133" s="44">
        <v>-9476.773193305813</v>
      </c>
      <c r="C133" s="44">
        <v>-8928.349532522709</v>
      </c>
      <c r="D133" s="44">
        <v>-10790.749514217954</v>
      </c>
      <c r="E133" s="45">
        <v>-16563.01409543767</v>
      </c>
      <c r="F133" s="44">
        <v>-16263.598074472859</v>
      </c>
      <c r="G133" s="44">
        <v>-20909.37405975604</v>
      </c>
      <c r="H133" s="44">
        <v>711.3309271898011</v>
      </c>
      <c r="I133" s="44">
        <v>-7903.032855696552</v>
      </c>
    </row>
    <row r="134" spans="1:9" ht="14.25">
      <c r="A134" s="43" t="str">
        <f>HLOOKUP(INDICE!$F$2,Nombres!$C$3:$D$636,45,FALSE)</f>
        <v>Provisiones o reversión de provisiones y otros resultados</v>
      </c>
      <c r="B134" s="44">
        <v>-419.1518496279384</v>
      </c>
      <c r="C134" s="44">
        <v>-220.48207581660608</v>
      </c>
      <c r="D134" s="44">
        <v>-296.4522276536603</v>
      </c>
      <c r="E134" s="45">
        <v>-381.71816263949233</v>
      </c>
      <c r="F134" s="44">
        <v>-226.64567812003543</v>
      </c>
      <c r="G134" s="44">
        <v>-181.67140270109428</v>
      </c>
      <c r="H134" s="44">
        <v>-125.2327410734506</v>
      </c>
      <c r="I134" s="44">
        <v>-893.2864396138025</v>
      </c>
    </row>
    <row r="135" spans="1:9" ht="14.25">
      <c r="A135" s="41" t="str">
        <f>HLOOKUP(INDICE!$F$2,Nombres!$C$3:$D$636,46,FALSE)</f>
        <v>Resultado antes de impuestos</v>
      </c>
      <c r="B135" s="50">
        <f aca="true" t="shared" si="21" ref="B135:I135">+B132+B133+B134</f>
        <v>16864.608777977628</v>
      </c>
      <c r="C135" s="50">
        <f t="shared" si="21"/>
        <v>17328.327926245824</v>
      </c>
      <c r="D135" s="50">
        <f t="shared" si="21"/>
        <v>15377.25513967655</v>
      </c>
      <c r="E135" s="285">
        <f t="shared" si="21"/>
        <v>8660.237185956674</v>
      </c>
      <c r="F135" s="50">
        <f t="shared" si="21"/>
        <v>7041.952045963906</v>
      </c>
      <c r="G135" s="50">
        <f t="shared" si="21"/>
        <v>550.4175336026625</v>
      </c>
      <c r="H135" s="50">
        <f t="shared" si="21"/>
        <v>14494.970767005167</v>
      </c>
      <c r="I135" s="50">
        <f t="shared" si="21"/>
        <v>8400.899542532368</v>
      </c>
    </row>
    <row r="136" spans="1:9" ht="14.25">
      <c r="A136" s="43" t="str">
        <f>HLOOKUP(INDICE!$F$2,Nombres!$C$3:$D$636,47,FALSE)</f>
        <v>Impuesto sobre beneficios</v>
      </c>
      <c r="B136" s="44">
        <v>-4231.690373368499</v>
      </c>
      <c r="C136" s="44">
        <v>-4449.164798565635</v>
      </c>
      <c r="D136" s="44">
        <v>-4368.108758127014</v>
      </c>
      <c r="E136" s="45">
        <v>-2162.038243355353</v>
      </c>
      <c r="F136" s="44">
        <v>-1183.6924673690917</v>
      </c>
      <c r="G136" s="44">
        <v>33.06209707270621</v>
      </c>
      <c r="H136" s="44">
        <v>-4108.2601884111755</v>
      </c>
      <c r="I136" s="44">
        <v>-1630.5612381579149</v>
      </c>
    </row>
    <row r="137" spans="1:9" ht="14.25">
      <c r="A137" s="41" t="str">
        <f>HLOOKUP(INDICE!$F$2,Nombres!$C$3:$D$636,48,FALSE)</f>
        <v>Resultado del ejercicio</v>
      </c>
      <c r="B137" s="50">
        <f aca="true" t="shared" si="22" ref="B137:I137">+B135+B136</f>
        <v>12632.918404609129</v>
      </c>
      <c r="C137" s="50">
        <f t="shared" si="22"/>
        <v>12879.163127680189</v>
      </c>
      <c r="D137" s="50">
        <f t="shared" si="22"/>
        <v>11009.146381549537</v>
      </c>
      <c r="E137" s="285">
        <f t="shared" si="22"/>
        <v>6498.198942601321</v>
      </c>
      <c r="F137" s="50">
        <f t="shared" si="22"/>
        <v>5858.259578594814</v>
      </c>
      <c r="G137" s="50">
        <f t="shared" si="22"/>
        <v>583.4796306753688</v>
      </c>
      <c r="H137" s="50">
        <f t="shared" si="22"/>
        <v>10386.710578593991</v>
      </c>
      <c r="I137" s="50">
        <f t="shared" si="22"/>
        <v>6770.338304374453</v>
      </c>
    </row>
    <row r="138" spans="1:9" ht="14.25">
      <c r="A138" s="43" t="str">
        <f>HLOOKUP(INDICE!$F$2,Nombres!$C$3:$D$636,49,FALSE)</f>
        <v>Minoritarios</v>
      </c>
      <c r="B138" s="44">
        <v>0</v>
      </c>
      <c r="C138" s="44">
        <v>0</v>
      </c>
      <c r="D138" s="44">
        <v>0</v>
      </c>
      <c r="E138" s="45">
        <v>0</v>
      </c>
      <c r="F138" s="44">
        <v>0</v>
      </c>
      <c r="G138" s="44">
        <v>0</v>
      </c>
      <c r="H138" s="44">
        <v>0</v>
      </c>
      <c r="I138" s="44">
        <v>0</v>
      </c>
    </row>
    <row r="139" spans="1:9" ht="14.25">
      <c r="A139" s="47" t="str">
        <f>HLOOKUP(INDICE!$F$2,Nombres!$C$3:$D$636,50,FALSE)</f>
        <v>Resultado atribuido</v>
      </c>
      <c r="B139" s="51">
        <f aca="true" t="shared" si="23" ref="B139:I139">+B137+B138</f>
        <v>12632.918404609129</v>
      </c>
      <c r="C139" s="51">
        <f t="shared" si="23"/>
        <v>12879.163127680189</v>
      </c>
      <c r="D139" s="51">
        <f t="shared" si="23"/>
        <v>11009.146381549537</v>
      </c>
      <c r="E139" s="82">
        <f t="shared" si="23"/>
        <v>6498.198942601321</v>
      </c>
      <c r="F139" s="51">
        <f t="shared" si="23"/>
        <v>5858.259578594814</v>
      </c>
      <c r="G139" s="51">
        <f t="shared" si="23"/>
        <v>583.4796306753688</v>
      </c>
      <c r="H139" s="51">
        <f t="shared" si="23"/>
        <v>10386.710578593991</v>
      </c>
      <c r="I139" s="51">
        <f t="shared" si="23"/>
        <v>6770.338304374453</v>
      </c>
    </row>
    <row r="140" spans="1:9" ht="14.25">
      <c r="A140" s="281"/>
      <c r="B140" s="303"/>
      <c r="C140" s="303"/>
      <c r="D140" s="303"/>
      <c r="E140" s="303"/>
      <c r="F140" s="303"/>
      <c r="G140" s="303"/>
      <c r="H140" s="303"/>
      <c r="I140" s="303"/>
    </row>
    <row r="141" spans="1:9" ht="14.25">
      <c r="A141" s="281"/>
      <c r="B141" s="281"/>
      <c r="C141" s="281"/>
      <c r="D141" s="281"/>
      <c r="E141" s="281"/>
      <c r="F141" s="281"/>
      <c r="G141" s="281"/>
      <c r="H141" s="281"/>
      <c r="I141" s="281"/>
    </row>
    <row r="142" spans="1:9" ht="14.25">
      <c r="A142" s="282"/>
      <c r="B142" s="281"/>
      <c r="C142" s="281"/>
      <c r="D142" s="281"/>
      <c r="E142" s="281"/>
      <c r="F142" s="303"/>
      <c r="G142" s="303"/>
      <c r="H142" s="303"/>
      <c r="I142" s="303"/>
    </row>
    <row r="143" spans="1:9" ht="14.25">
      <c r="A143" s="282"/>
      <c r="B143" s="283"/>
      <c r="C143" s="283"/>
      <c r="D143" s="283"/>
      <c r="E143" s="283"/>
      <c r="F143" s="283"/>
      <c r="G143" s="283"/>
      <c r="H143" s="283"/>
      <c r="I143" s="283"/>
    </row>
    <row r="144" spans="1:9" ht="14.25">
      <c r="A144" s="41"/>
      <c r="B144" s="41"/>
      <c r="C144" s="41"/>
      <c r="D144" s="41"/>
      <c r="E144" s="41"/>
      <c r="F144" s="50"/>
      <c r="G144" s="50"/>
      <c r="H144" s="50"/>
      <c r="I144" s="50"/>
    </row>
    <row r="145" spans="1:9" ht="16.5">
      <c r="A145" s="33" t="str">
        <f>HLOOKUP(INDICE!$F$2,Nombres!$C$3:$D$636,51,FALSE)</f>
        <v>Balances</v>
      </c>
      <c r="B145" s="34"/>
      <c r="C145" s="34"/>
      <c r="D145" s="34"/>
      <c r="E145" s="34"/>
      <c r="F145" s="70"/>
      <c r="G145" s="70"/>
      <c r="H145" s="70"/>
      <c r="I145" s="70"/>
    </row>
    <row r="146" spans="1:9" ht="14.25">
      <c r="A146" s="35" t="str">
        <f>HLOOKUP(INDICE!$F$2,Nombres!$C$3:$D$636,81,FALSE)</f>
        <v>(Millones de pesos chilenos)</v>
      </c>
      <c r="B146" s="30"/>
      <c r="C146" s="52"/>
      <c r="D146" s="52"/>
      <c r="E146" s="52"/>
      <c r="F146" s="71"/>
      <c r="G146" s="44"/>
      <c r="H146" s="44"/>
      <c r="I146" s="44"/>
    </row>
    <row r="147" spans="1:9" ht="14.25">
      <c r="A147" s="30"/>
      <c r="B147" s="53">
        <f aca="true" t="shared" si="24" ref="B147:I147">+B$33</f>
        <v>43555</v>
      </c>
      <c r="C147" s="53">
        <f t="shared" si="24"/>
        <v>43646</v>
      </c>
      <c r="D147" s="53">
        <f t="shared" si="24"/>
        <v>43738</v>
      </c>
      <c r="E147" s="69">
        <f t="shared" si="24"/>
        <v>43830</v>
      </c>
      <c r="F147" s="53">
        <f t="shared" si="24"/>
        <v>43921</v>
      </c>
      <c r="G147" s="53">
        <f t="shared" si="24"/>
        <v>44012</v>
      </c>
      <c r="H147" s="53">
        <f t="shared" si="24"/>
        <v>44104</v>
      </c>
      <c r="I147" s="53">
        <f t="shared" si="24"/>
        <v>44196</v>
      </c>
    </row>
    <row r="148" spans="1:9" ht="14.25">
      <c r="A148" s="43" t="str">
        <f>HLOOKUP(INDICE!$F$2,Nombres!$C$3:$D$636,52,FALSE)</f>
        <v>Efectivo, saldos en efectivo en bancos centrales y otros depósitos a la vista</v>
      </c>
      <c r="B148" s="44">
        <v>19947.353907175053</v>
      </c>
      <c r="C148" s="44">
        <v>28822.700051106636</v>
      </c>
      <c r="D148" s="44">
        <v>19729.537623999095</v>
      </c>
      <c r="E148" s="45">
        <v>24135.51380241389</v>
      </c>
      <c r="F148" s="44">
        <v>8094.510825980325</v>
      </c>
      <c r="G148" s="44">
        <v>9733.974917464544</v>
      </c>
      <c r="H148" s="44">
        <v>22894.097650981723</v>
      </c>
      <c r="I148" s="44">
        <v>26516.80300755595</v>
      </c>
    </row>
    <row r="149" spans="1:9" ht="14.25">
      <c r="A149" s="43" t="str">
        <f>HLOOKUP(INDICE!$F$2,Nombres!$C$3:$D$636,53,FALSE)</f>
        <v>Activos financieros a valor razonable</v>
      </c>
      <c r="B149" s="58">
        <v>0</v>
      </c>
      <c r="C149" s="58">
        <v>0</v>
      </c>
      <c r="D149" s="58">
        <v>0</v>
      </c>
      <c r="E149" s="66">
        <v>0</v>
      </c>
      <c r="F149" s="44">
        <v>0</v>
      </c>
      <c r="G149" s="44">
        <v>0</v>
      </c>
      <c r="H149" s="44">
        <v>149999.64433187645</v>
      </c>
      <c r="I149" s="44">
        <v>0</v>
      </c>
    </row>
    <row r="150" spans="1:9" ht="14.25">
      <c r="A150" s="43" t="str">
        <f>HLOOKUP(INDICE!$F$2,Nombres!$C$3:$D$636,54,FALSE)</f>
        <v>Activos financieros a coste amortizado</v>
      </c>
      <c r="B150" s="44">
        <v>1685904.9296884811</v>
      </c>
      <c r="C150" s="44">
        <v>1605680.6358878417</v>
      </c>
      <c r="D150" s="44">
        <v>1640845.147015604</v>
      </c>
      <c r="E150" s="45">
        <v>1571216.5652762416</v>
      </c>
      <c r="F150" s="44">
        <v>1590958.9495302497</v>
      </c>
      <c r="G150" s="44">
        <v>1521598.1751217728</v>
      </c>
      <c r="H150" s="44">
        <v>1473862.0689994046</v>
      </c>
      <c r="I150" s="44">
        <v>1547952.290378282</v>
      </c>
    </row>
    <row r="151" spans="1:9" ht="14.25">
      <c r="A151" s="43" t="str">
        <f>HLOOKUP(INDICE!$F$2,Nombres!$C$3:$D$636,55,FALSE)</f>
        <v>    de los que préstamos y anticipos a la clientela</v>
      </c>
      <c r="B151" s="44">
        <v>1629911.0819764382</v>
      </c>
      <c r="C151" s="44">
        <v>1605010.628418999</v>
      </c>
      <c r="D151" s="44">
        <v>1614624.9644843824</v>
      </c>
      <c r="E151" s="45">
        <v>1546626.8388351821</v>
      </c>
      <c r="F151" s="44">
        <v>1513743.9921356146</v>
      </c>
      <c r="G151" s="44">
        <v>1380133.7545237443</v>
      </c>
      <c r="H151" s="44">
        <v>1380661.8662782179</v>
      </c>
      <c r="I151" s="44">
        <v>1364192.0232850248</v>
      </c>
    </row>
    <row r="152" spans="1:9" ht="14.25">
      <c r="A152" s="43" t="str">
        <f>HLOOKUP(INDICE!$F$2,Nombres!$C$3:$D$636,56,FALSE)</f>
        <v>Activos tangibles</v>
      </c>
      <c r="B152" s="44">
        <v>11662.483539176577</v>
      </c>
      <c r="C152" s="44">
        <v>11295.737927367716</v>
      </c>
      <c r="D152" s="44">
        <v>11152.78332365921</v>
      </c>
      <c r="E152" s="45">
        <v>10938.954380720452</v>
      </c>
      <c r="F152" s="44">
        <v>10544.189818218587</v>
      </c>
      <c r="G152" s="44">
        <v>9982.626417985803</v>
      </c>
      <c r="H152" s="44">
        <v>9567.449561931908</v>
      </c>
      <c r="I152" s="44">
        <v>8995.385945415674</v>
      </c>
    </row>
    <row r="153" spans="1:9" ht="14.25">
      <c r="A153" s="43" t="str">
        <f>HLOOKUP(INDICE!$F$2,Nombres!$C$3:$D$636,57,FALSE)</f>
        <v>Otros activos</v>
      </c>
      <c r="B153" s="58">
        <f>+B154-B152-B150-B149-B148</f>
        <v>894424.7184854884</v>
      </c>
      <c r="C153" s="58">
        <f aca="true" t="shared" si="25" ref="C153:I153">+C154-C152-C150-C149-C148</f>
        <v>897651.4037095535</v>
      </c>
      <c r="D153" s="58">
        <f t="shared" si="25"/>
        <v>934970.5264192432</v>
      </c>
      <c r="E153" s="66">
        <f t="shared" si="25"/>
        <v>162577.8437926317</v>
      </c>
      <c r="F153" s="44">
        <f t="shared" si="25"/>
        <v>175171.51927691966</v>
      </c>
      <c r="G153" s="44">
        <f t="shared" si="25"/>
        <v>148232.86070780538</v>
      </c>
      <c r="H153" s="44">
        <f t="shared" si="25"/>
        <v>149011.40536516462</v>
      </c>
      <c r="I153" s="44">
        <f t="shared" si="25"/>
        <v>162216.18253094138</v>
      </c>
    </row>
    <row r="154" spans="1:9" ht="14.25">
      <c r="A154" s="47" t="str">
        <f>HLOOKUP(INDICE!$F$2,Nombres!$C$3:$D$636,58,FALSE)</f>
        <v>Total activo / pasivo</v>
      </c>
      <c r="B154" s="47">
        <v>2611939.4856203212</v>
      </c>
      <c r="C154" s="47">
        <v>2543450.4775758698</v>
      </c>
      <c r="D154" s="47">
        <v>2606697.9943825053</v>
      </c>
      <c r="E154" s="47">
        <v>1768868.8772520076</v>
      </c>
      <c r="F154" s="51">
        <v>1784769.1694513683</v>
      </c>
      <c r="G154" s="51">
        <v>1689547.6371650286</v>
      </c>
      <c r="H154" s="51">
        <v>1805334.6659093592</v>
      </c>
      <c r="I154" s="51">
        <v>1745680.661862195</v>
      </c>
    </row>
    <row r="155" spans="1:9" ht="14.25">
      <c r="A155" s="43" t="str">
        <f>HLOOKUP(INDICE!$F$2,Nombres!$C$3:$D$636,59,FALSE)</f>
        <v>Pasivos financieros mantenidos para negociar y designados a valor razonable con cambios en resultados</v>
      </c>
      <c r="B155" s="58">
        <v>0</v>
      </c>
      <c r="C155" s="58">
        <v>0</v>
      </c>
      <c r="D155" s="58">
        <v>0</v>
      </c>
      <c r="E155" s="66">
        <v>0</v>
      </c>
      <c r="F155" s="44">
        <v>0</v>
      </c>
      <c r="G155" s="44">
        <v>0</v>
      </c>
      <c r="H155" s="44">
        <v>0</v>
      </c>
      <c r="I155" s="44">
        <v>0</v>
      </c>
    </row>
    <row r="156" spans="1:9" ht="15.75" customHeight="1">
      <c r="A156" s="43" t="str">
        <f>HLOOKUP(INDICE!$F$2,Nombres!$C$3:$D$636,60,FALSE)</f>
        <v>Depósitos de bancos centrales y entidades de crédito</v>
      </c>
      <c r="B156" s="58">
        <v>420532.7351316666</v>
      </c>
      <c r="C156" s="58">
        <v>396435.5277711694</v>
      </c>
      <c r="D156" s="58">
        <v>428700.2214433567</v>
      </c>
      <c r="E156" s="66">
        <v>448720.87139079743</v>
      </c>
      <c r="F156" s="44">
        <v>537715.6652716604</v>
      </c>
      <c r="G156" s="44">
        <v>536676.7833180717</v>
      </c>
      <c r="H156" s="44">
        <v>541588.1818403038</v>
      </c>
      <c r="I156" s="44">
        <v>482097.2016053121</v>
      </c>
    </row>
    <row r="157" spans="1:9" ht="15.75" customHeight="1">
      <c r="A157" s="43" t="str">
        <f>HLOOKUP(INDICE!$F$2,Nombres!$C$3:$D$636,61,FALSE)</f>
        <v>Depósitos de la clientela</v>
      </c>
      <c r="B157" s="58">
        <v>8268.801071080772</v>
      </c>
      <c r="C157" s="58">
        <v>5623.111181925244</v>
      </c>
      <c r="D157" s="58">
        <v>7247.649755179417</v>
      </c>
      <c r="E157" s="66">
        <v>4924.001456727222</v>
      </c>
      <c r="F157" s="44">
        <v>3782.07441685839</v>
      </c>
      <c r="G157" s="44">
        <v>3248.0102255589336</v>
      </c>
      <c r="H157" s="44">
        <v>4204.644724443147</v>
      </c>
      <c r="I157" s="44">
        <v>4321.903013634879</v>
      </c>
    </row>
    <row r="158" spans="1:9" ht="15.75" customHeight="1">
      <c r="A158" s="43" t="str">
        <f>HLOOKUP(INDICE!$F$2,Nombres!$C$3:$D$636,62,FALSE)</f>
        <v>Valores representativos de deuda emitidos</v>
      </c>
      <c r="B158" s="44">
        <v>861115.3615889355</v>
      </c>
      <c r="C158" s="44">
        <v>818941.7734148394</v>
      </c>
      <c r="D158" s="44">
        <v>822880.8637812826</v>
      </c>
      <c r="E158" s="45">
        <v>829462.0923321181</v>
      </c>
      <c r="F158" s="44">
        <v>836999.3083884908</v>
      </c>
      <c r="G158" s="44">
        <v>789737.2771739402</v>
      </c>
      <c r="H158" s="44">
        <v>786627.6757660318</v>
      </c>
      <c r="I158" s="44">
        <v>796538.7646259862</v>
      </c>
    </row>
    <row r="159" spans="1:9" ht="15.75" customHeight="1">
      <c r="A159" s="43" t="str">
        <f>HLOOKUP(INDICE!$F$2,Nombres!$C$3:$D$636,63,FALSE)</f>
        <v>Otros pasivos</v>
      </c>
      <c r="B159" s="58">
        <f>+B154-B155-B156-B157-B158-B160</f>
        <v>1277634.6979908526</v>
      </c>
      <c r="C159" s="58">
        <f aca="true" t="shared" si="26" ref="C159:I159">+C154-C155-C156-C157-C158-C160</f>
        <v>1280081.3614981938</v>
      </c>
      <c r="D159" s="58">
        <f t="shared" si="26"/>
        <v>1304225.2350755278</v>
      </c>
      <c r="E159" s="66">
        <f t="shared" si="26"/>
        <v>447979.6899827989</v>
      </c>
      <c r="F159" s="44">
        <f t="shared" si="26"/>
        <v>362809.65151307115</v>
      </c>
      <c r="G159" s="44">
        <f t="shared" si="26"/>
        <v>318412.47988755663</v>
      </c>
      <c r="H159" s="44">
        <f t="shared" si="26"/>
        <v>432421.94104852073</v>
      </c>
      <c r="I159" s="44">
        <f t="shared" si="26"/>
        <v>425006.1416126226</v>
      </c>
    </row>
    <row r="160" spans="1:9" ht="15.75" customHeight="1">
      <c r="A160" s="43" t="str">
        <f>HLOOKUP(INDICE!$F$2,Nombres!$C$3:$D$636,64,FALSE)</f>
        <v>Dotación de capital económico</v>
      </c>
      <c r="B160" s="44">
        <v>44387.889837785886</v>
      </c>
      <c r="C160" s="44">
        <v>42368.703709741996</v>
      </c>
      <c r="D160" s="44">
        <v>43644.02432715836</v>
      </c>
      <c r="E160" s="45">
        <v>37782.22208956597</v>
      </c>
      <c r="F160" s="44">
        <v>43462.46986128736</v>
      </c>
      <c r="G160" s="44">
        <v>41473.086559901254</v>
      </c>
      <c r="H160" s="44">
        <v>40492.22253005972</v>
      </c>
      <c r="I160" s="44">
        <v>37716.65100463918</v>
      </c>
    </row>
    <row r="161" spans="1:9" ht="14.25">
      <c r="A161" s="63"/>
      <c r="B161" s="58"/>
      <c r="C161" s="58"/>
      <c r="D161" s="58"/>
      <c r="E161" s="58"/>
      <c r="F161" s="44"/>
      <c r="G161" s="44"/>
      <c r="H161" s="44"/>
      <c r="I161" s="44"/>
    </row>
    <row r="162" spans="1:9" ht="14.25">
      <c r="A162" s="43"/>
      <c r="B162" s="58"/>
      <c r="C162" s="58"/>
      <c r="D162" s="58"/>
      <c r="E162" s="58"/>
      <c r="F162" s="44"/>
      <c r="G162" s="44"/>
      <c r="H162" s="44"/>
      <c r="I162" s="44"/>
    </row>
    <row r="163" spans="1:9" ht="16.5">
      <c r="A163" s="33" t="str">
        <f>HLOOKUP(INDICE!$F$2,Nombres!$C$3:$D$636,65,FALSE)</f>
        <v>Indicadores relevantes y de gestión</v>
      </c>
      <c r="B163" s="34"/>
      <c r="C163" s="34"/>
      <c r="D163" s="34"/>
      <c r="E163" s="34"/>
      <c r="F163" s="70"/>
      <c r="G163" s="70"/>
      <c r="H163" s="70"/>
      <c r="I163" s="70"/>
    </row>
    <row r="164" spans="1:9" ht="14.25">
      <c r="A164" s="35" t="str">
        <f>HLOOKUP(INDICE!$F$2,Nombres!$C$3:$D$636,81,FALSE)</f>
        <v>(Millones de pesos chilenos)</v>
      </c>
      <c r="B164" s="30"/>
      <c r="C164" s="30"/>
      <c r="D164" s="30"/>
      <c r="E164" s="30"/>
      <c r="F164" s="71"/>
      <c r="G164" s="44"/>
      <c r="H164" s="44"/>
      <c r="I164" s="44"/>
    </row>
    <row r="165" spans="1:9" ht="14.25">
      <c r="A165" s="30"/>
      <c r="B165" s="53">
        <f aca="true" t="shared" si="27" ref="B165:I165">+B$33</f>
        <v>43555</v>
      </c>
      <c r="C165" s="53">
        <f t="shared" si="27"/>
        <v>43646</v>
      </c>
      <c r="D165" s="53">
        <f t="shared" si="27"/>
        <v>43738</v>
      </c>
      <c r="E165" s="69">
        <f t="shared" si="27"/>
        <v>43830</v>
      </c>
      <c r="F165" s="53">
        <f t="shared" si="27"/>
        <v>43921</v>
      </c>
      <c r="G165" s="53">
        <f t="shared" si="27"/>
        <v>44012</v>
      </c>
      <c r="H165" s="53">
        <f t="shared" si="27"/>
        <v>44104</v>
      </c>
      <c r="I165" s="53">
        <f t="shared" si="27"/>
        <v>44196</v>
      </c>
    </row>
    <row r="166" spans="1:9" ht="14.25">
      <c r="A166" s="43" t="str">
        <f>HLOOKUP(INDICE!$F$2,Nombres!$C$3:$D$636,66,FALSE)</f>
        <v>Préstamos y anticipos a la clientela bruto (*)</v>
      </c>
      <c r="B166" s="44">
        <v>1672259.800991506</v>
      </c>
      <c r="C166" s="44">
        <v>1648933.2543008204</v>
      </c>
      <c r="D166" s="44">
        <v>1662445.8615497933</v>
      </c>
      <c r="E166" s="45">
        <v>1581352.236194172</v>
      </c>
      <c r="F166" s="44">
        <v>1514451.4505273928</v>
      </c>
      <c r="G166" s="44">
        <v>1395632.421949617</v>
      </c>
      <c r="H166" s="44">
        <v>1400180.6757329723</v>
      </c>
      <c r="I166" s="44">
        <v>1361447.43166595</v>
      </c>
    </row>
    <row r="167" spans="1:9" ht="14.25">
      <c r="A167" s="43" t="str">
        <f>HLOOKUP(INDICE!$F$2,Nombres!$C$3:$D$636,67,FALSE)</f>
        <v>Depósitos de clientes en gestión (**)</v>
      </c>
      <c r="B167" s="44">
        <v>8268.801071080774</v>
      </c>
      <c r="C167" s="44">
        <v>5623.111181925244</v>
      </c>
      <c r="D167" s="44">
        <v>7247.649755179417</v>
      </c>
      <c r="E167" s="45">
        <v>4924.001456727222</v>
      </c>
      <c r="F167" s="44">
        <v>3782.07441685839</v>
      </c>
      <c r="G167" s="44">
        <v>3248.010225558934</v>
      </c>
      <c r="H167" s="44">
        <v>4204.644724443147</v>
      </c>
      <c r="I167" s="44">
        <v>4321.903013634879</v>
      </c>
    </row>
    <row r="168" spans="1:9" ht="14.25">
      <c r="A168" s="43" t="str">
        <f>HLOOKUP(INDICE!$F$2,Nombres!$C$3:$D$636,68,FALSE)</f>
        <v>Fondos de inversión</v>
      </c>
      <c r="B168" s="44">
        <v>0</v>
      </c>
      <c r="C168" s="44">
        <v>0</v>
      </c>
      <c r="D168" s="44">
        <v>0</v>
      </c>
      <c r="E168" s="45">
        <v>0</v>
      </c>
      <c r="F168" s="44">
        <v>0</v>
      </c>
      <c r="G168" s="44">
        <v>0</v>
      </c>
      <c r="H168" s="44">
        <v>0</v>
      </c>
      <c r="I168" s="44">
        <v>0</v>
      </c>
    </row>
    <row r="169" spans="1:9" ht="14.25">
      <c r="A169" s="43" t="str">
        <f>HLOOKUP(INDICE!$F$2,Nombres!$C$3:$D$636,69,FALSE)</f>
        <v>Fondos de pensiones</v>
      </c>
      <c r="B169" s="44">
        <v>0</v>
      </c>
      <c r="C169" s="44">
        <v>0</v>
      </c>
      <c r="D169" s="44">
        <v>0</v>
      </c>
      <c r="E169" s="45">
        <v>0</v>
      </c>
      <c r="F169" s="44">
        <v>0</v>
      </c>
      <c r="G169" s="44">
        <v>0</v>
      </c>
      <c r="H169" s="44">
        <v>0</v>
      </c>
      <c r="I169" s="44">
        <v>0</v>
      </c>
    </row>
    <row r="170" spans="1:9" ht="14.25">
      <c r="A170" s="43" t="str">
        <f>HLOOKUP(INDICE!$F$2,Nombres!$C$3:$D$636,70,FALSE)</f>
        <v>Otros recursos fuera de balance</v>
      </c>
      <c r="B170" s="44">
        <v>0</v>
      </c>
      <c r="C170" s="44">
        <v>0</v>
      </c>
      <c r="D170" s="44">
        <v>0</v>
      </c>
      <c r="E170" s="45">
        <v>0</v>
      </c>
      <c r="F170" s="44">
        <v>0</v>
      </c>
      <c r="G170" s="44">
        <v>0</v>
      </c>
      <c r="H170" s="44">
        <v>0</v>
      </c>
      <c r="I170" s="44">
        <v>0</v>
      </c>
    </row>
    <row r="171" spans="1:9" ht="14.25">
      <c r="A171" s="63" t="str">
        <f>HLOOKUP(INDICE!$F$2,Nombres!$C$3:$D$636,71,FALSE)</f>
        <v>(*) No incluye las adquisiciones temporales de activos.</v>
      </c>
      <c r="B171" s="44"/>
      <c r="C171" s="58"/>
      <c r="D171" s="58"/>
      <c r="E171" s="58"/>
      <c r="F171" s="44"/>
      <c r="G171" s="44"/>
      <c r="H171" s="44"/>
      <c r="I171" s="44"/>
    </row>
    <row r="172" spans="1:9" ht="14.25">
      <c r="A172" s="63" t="str">
        <f>HLOOKUP(INDICE!$F$2,Nombres!$C$3:$D$636,72,FALSE)</f>
        <v>(**) No incluye las cesiones temporales de activos.</v>
      </c>
      <c r="B172" s="30"/>
      <c r="C172" s="30"/>
      <c r="D172" s="30"/>
      <c r="E172" s="30"/>
      <c r="F172" s="30"/>
      <c r="G172" s="30"/>
      <c r="H172" s="30"/>
      <c r="I172" s="30"/>
    </row>
    <row r="173" spans="1:9" ht="14.25">
      <c r="A173" s="30"/>
      <c r="B173" s="30"/>
      <c r="C173" s="30"/>
      <c r="D173" s="30"/>
      <c r="E173" s="30"/>
      <c r="F173" s="30"/>
      <c r="G173" s="30"/>
      <c r="H173" s="30"/>
      <c r="I173" s="30"/>
    </row>
    <row r="174" spans="1:9" ht="14.25">
      <c r="A174" s="30"/>
      <c r="B174" s="30"/>
      <c r="C174" s="30"/>
      <c r="D174" s="30"/>
      <c r="E174" s="30"/>
      <c r="F174" s="30"/>
      <c r="G174" s="30"/>
      <c r="H174" s="30"/>
      <c r="I174" s="30"/>
    </row>
    <row r="175" spans="1:9" ht="14.25">
      <c r="A175" s="75"/>
      <c r="B175" s="76"/>
      <c r="C175" s="77"/>
      <c r="D175" s="77"/>
      <c r="E175" s="77"/>
      <c r="F175" s="76"/>
      <c r="G175" s="76"/>
      <c r="H175" s="76"/>
      <c r="I175" s="76"/>
    </row>
    <row r="176" spans="1:15" ht="14.25">
      <c r="A176" s="75"/>
      <c r="B176" s="76"/>
      <c r="C176" s="77"/>
      <c r="D176" s="77"/>
      <c r="E176" s="77"/>
      <c r="F176" s="76"/>
      <c r="G176" s="76"/>
      <c r="H176" s="76"/>
      <c r="I176" s="76"/>
      <c r="J176" s="76"/>
      <c r="K176" s="76"/>
      <c r="L176" s="76"/>
      <c r="M176" s="76"/>
      <c r="N176" s="76"/>
      <c r="O176" s="76"/>
    </row>
    <row r="177" spans="1:15" ht="14.25">
      <c r="A177" s="76"/>
      <c r="B177" s="76"/>
      <c r="C177" s="76"/>
      <c r="D177" s="76"/>
      <c r="E177" s="76"/>
      <c r="F177" s="76"/>
      <c r="G177" s="76"/>
      <c r="H177" s="76"/>
      <c r="I177" s="76"/>
      <c r="J177" s="76"/>
      <c r="K177" s="76"/>
      <c r="L177" s="76"/>
      <c r="M177" s="76"/>
      <c r="N177" s="76"/>
      <c r="O177" s="76"/>
    </row>
    <row r="178" spans="1:15" ht="14.25">
      <c r="A178" s="76"/>
      <c r="B178" s="76"/>
      <c r="C178" s="76"/>
      <c r="D178" s="76"/>
      <c r="E178" s="76"/>
      <c r="F178" s="76"/>
      <c r="G178" s="76"/>
      <c r="H178" s="76"/>
      <c r="I178" s="76"/>
      <c r="J178" s="76"/>
      <c r="K178" s="76"/>
      <c r="L178" s="76"/>
      <c r="M178" s="76"/>
      <c r="N178" s="76"/>
      <c r="O178" s="76"/>
    </row>
    <row r="179" spans="1:15" ht="14.25">
      <c r="A179" s="76"/>
      <c r="B179" s="76"/>
      <c r="C179" s="76"/>
      <c r="D179" s="76"/>
      <c r="E179" s="76"/>
      <c r="F179" s="76"/>
      <c r="G179" s="76"/>
      <c r="H179" s="76"/>
      <c r="I179" s="76"/>
      <c r="J179" s="76"/>
      <c r="K179" s="76"/>
      <c r="L179" s="76"/>
      <c r="M179" s="76"/>
      <c r="N179" s="76"/>
      <c r="O179" s="76"/>
    </row>
    <row r="180" spans="1:15" ht="14.25">
      <c r="A180" s="76"/>
      <c r="B180" s="76"/>
      <c r="C180" s="76"/>
      <c r="D180" s="76"/>
      <c r="E180" s="76"/>
      <c r="F180" s="76"/>
      <c r="G180" s="76"/>
      <c r="H180" s="76"/>
      <c r="I180" s="76"/>
      <c r="J180" s="76"/>
      <c r="K180" s="76"/>
      <c r="L180" s="76"/>
      <c r="M180" s="76"/>
      <c r="N180" s="76"/>
      <c r="O180" s="76"/>
    </row>
    <row r="181" spans="1:15" ht="14.25">
      <c r="A181" s="76"/>
      <c r="B181" s="76"/>
      <c r="C181" s="76"/>
      <c r="D181" s="76"/>
      <c r="E181" s="76"/>
      <c r="F181" s="76"/>
      <c r="G181" s="76"/>
      <c r="H181" s="76"/>
      <c r="I181" s="76"/>
      <c r="J181" s="76"/>
      <c r="K181" s="76"/>
      <c r="L181" s="76"/>
      <c r="M181" s="76"/>
      <c r="N181" s="76"/>
      <c r="O181" s="76"/>
    </row>
    <row r="182" spans="1:15" ht="14.25">
      <c r="A182" s="76"/>
      <c r="B182" s="76"/>
      <c r="C182" s="76"/>
      <c r="D182" s="76"/>
      <c r="E182" s="76"/>
      <c r="F182" s="76"/>
      <c r="G182" s="76"/>
      <c r="H182" s="76"/>
      <c r="I182" s="76"/>
      <c r="J182" s="76"/>
      <c r="K182" s="76"/>
      <c r="L182" s="76"/>
      <c r="M182" s="76"/>
      <c r="N182" s="76"/>
      <c r="O182" s="76"/>
    </row>
    <row r="183" spans="1:15" ht="14.25">
      <c r="A183" s="76"/>
      <c r="B183" s="76"/>
      <c r="C183" s="76"/>
      <c r="D183" s="76"/>
      <c r="E183" s="76"/>
      <c r="F183" s="76"/>
      <c r="G183" s="76"/>
      <c r="H183" s="76"/>
      <c r="I183" s="76"/>
      <c r="J183" s="76"/>
      <c r="K183" s="76"/>
      <c r="L183" s="76"/>
      <c r="M183" s="76"/>
      <c r="N183" s="76"/>
      <c r="O183" s="76"/>
    </row>
    <row r="1000" ht="14.25">
      <c r="A1000" s="31" t="s">
        <v>397</v>
      </c>
    </row>
  </sheetData>
  <sheetProtection/>
  <mergeCells count="6">
    <mergeCell ref="B120:E120"/>
    <mergeCell ref="F120:I120"/>
    <mergeCell ref="B6:E6"/>
    <mergeCell ref="F6:I6"/>
    <mergeCell ref="B63:E63"/>
    <mergeCell ref="F63:I63"/>
  </mergeCells>
  <conditionalFormatting sqref="G29:I29">
    <cfRule type="cellIs" priority="18" dxfId="143" operator="notBetween">
      <formula>0.5</formula>
      <formula>-0.5</formula>
    </cfRule>
  </conditionalFormatting>
  <conditionalFormatting sqref="B29">
    <cfRule type="cellIs" priority="17" dxfId="143" operator="notBetween">
      <formula>0.5</formula>
      <formula>-0.5</formula>
    </cfRule>
  </conditionalFormatting>
  <conditionalFormatting sqref="C29">
    <cfRule type="cellIs" priority="16" dxfId="143" operator="notBetween">
      <formula>0.5</formula>
      <formula>-0.5</formula>
    </cfRule>
  </conditionalFormatting>
  <conditionalFormatting sqref="D29">
    <cfRule type="cellIs" priority="15" dxfId="143" operator="notBetween">
      <formula>0.5</formula>
      <formula>-0.5</formula>
    </cfRule>
  </conditionalFormatting>
  <conditionalFormatting sqref="E29">
    <cfRule type="cellIs" priority="14" dxfId="143" operator="notBetween">
      <formula>0.5</formula>
      <formula>-0.5</formula>
    </cfRule>
  </conditionalFormatting>
  <conditionalFormatting sqref="F29:I29">
    <cfRule type="cellIs" priority="13" dxfId="143" operator="notBetween">
      <formula>0.5</formula>
      <formula>-0.5</formula>
    </cfRule>
  </conditionalFormatting>
  <conditionalFormatting sqref="G86:I86">
    <cfRule type="cellIs" priority="12" dxfId="143" operator="notBetween">
      <formula>0.5</formula>
      <formula>-0.5</formula>
    </cfRule>
  </conditionalFormatting>
  <conditionalFormatting sqref="B86">
    <cfRule type="cellIs" priority="11" dxfId="143" operator="notBetween">
      <formula>0.5</formula>
      <formula>-0.5</formula>
    </cfRule>
  </conditionalFormatting>
  <conditionalFormatting sqref="C86">
    <cfRule type="cellIs" priority="10" dxfId="143" operator="notBetween">
      <formula>0.5</formula>
      <formula>-0.5</formula>
    </cfRule>
  </conditionalFormatting>
  <conditionalFormatting sqref="D86">
    <cfRule type="cellIs" priority="9" dxfId="143" operator="notBetween">
      <formula>0.5</formula>
      <formula>-0.5</formula>
    </cfRule>
  </conditionalFormatting>
  <conditionalFormatting sqref="E86">
    <cfRule type="cellIs" priority="8" dxfId="143" operator="notBetween">
      <formula>0.5</formula>
      <formula>-0.5</formula>
    </cfRule>
  </conditionalFormatting>
  <conditionalFormatting sqref="F86:I86">
    <cfRule type="cellIs" priority="7" dxfId="143" operator="notBetween">
      <formula>0.5</formula>
      <formula>-0.5</formula>
    </cfRule>
  </conditionalFormatting>
  <conditionalFormatting sqref="G143:I143">
    <cfRule type="cellIs" priority="6" dxfId="143" operator="notBetween">
      <formula>0.5</formula>
      <formula>-0.5</formula>
    </cfRule>
  </conditionalFormatting>
  <conditionalFormatting sqref="B143">
    <cfRule type="cellIs" priority="5" dxfId="143" operator="notBetween">
      <formula>0.5</formula>
      <formula>-0.5</formula>
    </cfRule>
  </conditionalFormatting>
  <conditionalFormatting sqref="C143">
    <cfRule type="cellIs" priority="4" dxfId="143" operator="notBetween">
      <formula>0.5</formula>
      <formula>-0.5</formula>
    </cfRule>
  </conditionalFormatting>
  <conditionalFormatting sqref="D143">
    <cfRule type="cellIs" priority="3" dxfId="143" operator="notBetween">
      <formula>0.5</formula>
      <formula>-0.5</formula>
    </cfRule>
  </conditionalFormatting>
  <conditionalFormatting sqref="E143">
    <cfRule type="cellIs" priority="2" dxfId="143" operator="notBetween">
      <formula>0.5</formula>
      <formula>-0.5</formula>
    </cfRule>
  </conditionalFormatting>
  <conditionalFormatting sqref="F143:I143">
    <cfRule type="cellIs" priority="1" dxfId="143" operator="notBetween">
      <formula>0.5</formula>
      <formula>-0.5</formula>
    </cfRule>
  </conditionalFormatting>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O1000"/>
  <sheetViews>
    <sheetView showGridLines="0" zoomScalePageLayoutView="0" workbookViewId="0" topLeftCell="A1">
      <selection activeCell="M26" sqref="M26"/>
    </sheetView>
  </sheetViews>
  <sheetFormatPr defaultColWidth="11.421875" defaultRowHeight="15"/>
  <cols>
    <col min="1" max="1" width="62.00390625" style="31" customWidth="1"/>
    <col min="2" max="16384" width="11.421875" style="31" customWidth="1"/>
  </cols>
  <sheetData>
    <row r="1" spans="1:9" ht="16.5">
      <c r="A1" s="29" t="str">
        <f>HLOOKUP(INDICE!$F$2,Nombres!$C$3:$D$636,16,FALSE)</f>
        <v>Colombia</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8">
        <f>+España!B6</f>
        <v>2019</v>
      </c>
      <c r="C6" s="308"/>
      <c r="D6" s="308"/>
      <c r="E6" s="309"/>
      <c r="F6" s="308">
        <f>+España!F6</f>
        <v>2020</v>
      </c>
      <c r="G6" s="308"/>
      <c r="H6" s="308"/>
      <c r="I6" s="308"/>
    </row>
    <row r="7" spans="1:9" ht="14.2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4.25">
      <c r="A8" s="41" t="str">
        <f>HLOOKUP(INDICE!$F$2,Nombres!$C$3:$D$636,33,FALSE)</f>
        <v>Margen de intereses</v>
      </c>
      <c r="B8" s="41">
        <v>211.75300000000004</v>
      </c>
      <c r="C8" s="41">
        <v>206.11800000000002</v>
      </c>
      <c r="D8" s="41">
        <v>205.30499999999995</v>
      </c>
      <c r="E8" s="42">
        <v>205.65500000000003</v>
      </c>
      <c r="F8" s="50">
        <v>209.53199999999998</v>
      </c>
      <c r="G8" s="50">
        <v>193.10299999999992</v>
      </c>
      <c r="H8" s="50">
        <v>184.44100000000006</v>
      </c>
      <c r="I8" s="50">
        <v>193.66700000000003</v>
      </c>
    </row>
    <row r="9" spans="1:9" ht="14.25">
      <c r="A9" s="43" t="str">
        <f>HLOOKUP(INDICE!$F$2,Nombres!$C$3:$D$636,34,FALSE)</f>
        <v>Comisiones netas</v>
      </c>
      <c r="B9" s="44">
        <v>22.351000000000006</v>
      </c>
      <c r="C9" s="44">
        <v>23.25911577</v>
      </c>
      <c r="D9" s="44">
        <v>21.55852691000001</v>
      </c>
      <c r="E9" s="45">
        <v>20.29930999</v>
      </c>
      <c r="F9" s="44">
        <v>17.594351990000003</v>
      </c>
      <c r="G9" s="44">
        <v>11.690391200000002</v>
      </c>
      <c r="H9" s="44">
        <v>21.645565540000003</v>
      </c>
      <c r="I9" s="44">
        <v>19.291311119999996</v>
      </c>
    </row>
    <row r="10" spans="1:9" ht="14.25">
      <c r="A10" s="43" t="str">
        <f>HLOOKUP(INDICE!$F$2,Nombres!$C$3:$D$636,35,FALSE)</f>
        <v>Resultados de operaciones financieras</v>
      </c>
      <c r="B10" s="44">
        <v>20.199326500000012</v>
      </c>
      <c r="C10" s="44">
        <v>18.005204459999995</v>
      </c>
      <c r="D10" s="44">
        <v>12.435440569999995</v>
      </c>
      <c r="E10" s="45">
        <v>17.778436109999987</v>
      </c>
      <c r="F10" s="44">
        <v>4.7974516400000065</v>
      </c>
      <c r="G10" s="44">
        <v>24.985644229999995</v>
      </c>
      <c r="H10" s="44">
        <v>27.707858250000008</v>
      </c>
      <c r="I10" s="44">
        <v>16.148772960000013</v>
      </c>
    </row>
    <row r="11" spans="1:9" ht="14.25">
      <c r="A11" s="43" t="str">
        <f>HLOOKUP(INDICE!$F$2,Nombres!$C$3:$D$636,36,FALSE)</f>
        <v>Otros ingresos y cargas de explotación</v>
      </c>
      <c r="B11" s="44">
        <v>8.365</v>
      </c>
      <c r="C11" s="44">
        <v>1.647999999999997</v>
      </c>
      <c r="D11" s="44">
        <v>2.4290000000000047</v>
      </c>
      <c r="E11" s="45">
        <v>5.097999999999997</v>
      </c>
      <c r="F11" s="44">
        <v>-1.344999999999998</v>
      </c>
      <c r="G11" s="44">
        <v>-1.801000000000002</v>
      </c>
      <c r="H11" s="44">
        <v>-6.543000000000001</v>
      </c>
      <c r="I11" s="44">
        <v>-2.0179999999999962</v>
      </c>
    </row>
    <row r="12" spans="1:9" ht="14.25">
      <c r="A12" s="41" t="str">
        <f>HLOOKUP(INDICE!$F$2,Nombres!$C$3:$D$636,37,FALSE)</f>
        <v>Margen bruto</v>
      </c>
      <c r="B12" s="41">
        <f>+SUM(B8:B11)</f>
        <v>262.66832650000003</v>
      </c>
      <c r="C12" s="41">
        <f aca="true" t="shared" si="0" ref="C12:I12">+SUM(C8:C11)</f>
        <v>249.03032023</v>
      </c>
      <c r="D12" s="41">
        <f t="shared" si="0"/>
        <v>241.72796747999996</v>
      </c>
      <c r="E12" s="42">
        <f t="shared" si="0"/>
        <v>248.83074610000003</v>
      </c>
      <c r="F12" s="50">
        <f t="shared" si="0"/>
        <v>230.57880363</v>
      </c>
      <c r="G12" s="50">
        <f t="shared" si="0"/>
        <v>227.97803542999992</v>
      </c>
      <c r="H12" s="50">
        <f t="shared" si="0"/>
        <v>227.25142379000008</v>
      </c>
      <c r="I12" s="50">
        <f t="shared" si="0"/>
        <v>227.08908408000002</v>
      </c>
    </row>
    <row r="13" spans="1:9" ht="14.25">
      <c r="A13" s="43" t="str">
        <f>HLOOKUP(INDICE!$F$2,Nombres!$C$3:$D$636,38,FALSE)</f>
        <v>Gastos de explotación</v>
      </c>
      <c r="B13" s="44">
        <v>-93.46352601999999</v>
      </c>
      <c r="C13" s="44">
        <v>-87.35852535000001</v>
      </c>
      <c r="D13" s="44">
        <v>-89.59488135000001</v>
      </c>
      <c r="E13" s="45">
        <v>-92.74852535</v>
      </c>
      <c r="F13" s="44">
        <v>-90.64852578</v>
      </c>
      <c r="G13" s="44">
        <v>-72.52252535</v>
      </c>
      <c r="H13" s="44">
        <v>-76.02766968</v>
      </c>
      <c r="I13" s="44">
        <v>-82.20024011999999</v>
      </c>
    </row>
    <row r="14" spans="1:9" ht="14.25">
      <c r="A14" s="43" t="str">
        <f>HLOOKUP(INDICE!$F$2,Nombres!$C$3:$D$636,39,FALSE)</f>
        <v>  Gastos de administración</v>
      </c>
      <c r="B14" s="44">
        <v>-86.01652602</v>
      </c>
      <c r="C14" s="44">
        <v>-80.04252535</v>
      </c>
      <c r="D14" s="44">
        <v>-81.69388135</v>
      </c>
      <c r="E14" s="45">
        <v>-83.69652535</v>
      </c>
      <c r="F14" s="44">
        <v>-83.07252578</v>
      </c>
      <c r="G14" s="44">
        <v>-65.36352535</v>
      </c>
      <c r="H14" s="44">
        <v>-69.08866968000001</v>
      </c>
      <c r="I14" s="44">
        <v>-75.23724011999997</v>
      </c>
    </row>
    <row r="15" spans="1:9" ht="14.25">
      <c r="A15" s="46" t="str">
        <f>HLOOKUP(INDICE!$F$2,Nombres!$C$3:$D$636,40,FALSE)</f>
        <v>  Gastos de personal</v>
      </c>
      <c r="B15" s="44">
        <v>-44.96</v>
      </c>
      <c r="C15" s="44">
        <v>-41.422000000000004</v>
      </c>
      <c r="D15" s="44">
        <v>-42.39</v>
      </c>
      <c r="E15" s="45">
        <v>-40.967</v>
      </c>
      <c r="F15" s="44">
        <v>-42.222</v>
      </c>
      <c r="G15" s="44">
        <v>-32.86</v>
      </c>
      <c r="H15" s="44">
        <v>-34.266000000000005</v>
      </c>
      <c r="I15" s="44">
        <v>-36.51499999999999</v>
      </c>
    </row>
    <row r="16" spans="1:9" ht="14.25">
      <c r="A16" s="46" t="str">
        <f>HLOOKUP(INDICE!$F$2,Nombres!$C$3:$D$636,41,FALSE)</f>
        <v>  Otros gastos de administración</v>
      </c>
      <c r="B16" s="44">
        <v>-41.05652602000001</v>
      </c>
      <c r="C16" s="44">
        <v>-38.620525349999994</v>
      </c>
      <c r="D16" s="44">
        <v>-39.303881350000005</v>
      </c>
      <c r="E16" s="45">
        <v>-42.729525349999996</v>
      </c>
      <c r="F16" s="44">
        <v>-40.85052578</v>
      </c>
      <c r="G16" s="44">
        <v>-32.503525350000004</v>
      </c>
      <c r="H16" s="44">
        <v>-34.822669680000004</v>
      </c>
      <c r="I16" s="44">
        <v>-38.722240119999995</v>
      </c>
    </row>
    <row r="17" spans="1:9" ht="14.25">
      <c r="A17" s="43" t="str">
        <f>HLOOKUP(INDICE!$F$2,Nombres!$C$3:$D$636,42,FALSE)</f>
        <v>  Amortización</v>
      </c>
      <c r="B17" s="44">
        <v>-7.447</v>
      </c>
      <c r="C17" s="44">
        <v>-7.316</v>
      </c>
      <c r="D17" s="44">
        <v>-7.901</v>
      </c>
      <c r="E17" s="45">
        <v>-9.052000000000001</v>
      </c>
      <c r="F17" s="44">
        <v>-7.5760000000000005</v>
      </c>
      <c r="G17" s="44">
        <v>-7.158999999999999</v>
      </c>
      <c r="H17" s="44">
        <v>-6.939</v>
      </c>
      <c r="I17" s="44">
        <v>-6.963</v>
      </c>
    </row>
    <row r="18" spans="1:9" ht="14.25">
      <c r="A18" s="41" t="str">
        <f>HLOOKUP(INDICE!$F$2,Nombres!$C$3:$D$636,43,FALSE)</f>
        <v>Margen neto</v>
      </c>
      <c r="B18" s="41">
        <f>+B12+B13</f>
        <v>169.20480048000005</v>
      </c>
      <c r="C18" s="41">
        <f aca="true" t="shared" si="1" ref="C18:I18">+C12+C13</f>
        <v>161.67179488</v>
      </c>
      <c r="D18" s="41">
        <f t="shared" si="1"/>
        <v>152.13308612999995</v>
      </c>
      <c r="E18" s="42">
        <f t="shared" si="1"/>
        <v>156.08222075000003</v>
      </c>
      <c r="F18" s="50">
        <f t="shared" si="1"/>
        <v>139.93027785</v>
      </c>
      <c r="G18" s="50">
        <f t="shared" si="1"/>
        <v>155.45551007999993</v>
      </c>
      <c r="H18" s="50">
        <f t="shared" si="1"/>
        <v>151.22375411000007</v>
      </c>
      <c r="I18" s="50">
        <f t="shared" si="1"/>
        <v>144.88884396000003</v>
      </c>
    </row>
    <row r="19" spans="1:9" ht="14.25">
      <c r="A19" s="43" t="str">
        <f>HLOOKUP(INDICE!$F$2,Nombres!$C$3:$D$636,44,FALSE)</f>
        <v>Deterioro de activos financieros no valorados a valor razonable con cambios en resultados</v>
      </c>
      <c r="B19" s="44">
        <v>-72.647</v>
      </c>
      <c r="C19" s="44">
        <v>-46.35899999999998</v>
      </c>
      <c r="D19" s="44">
        <v>-39.92099999999999</v>
      </c>
      <c r="E19" s="45">
        <v>-58.51799999999999</v>
      </c>
      <c r="F19" s="44">
        <v>-129.68</v>
      </c>
      <c r="G19" s="44">
        <v>-85.786</v>
      </c>
      <c r="H19" s="44">
        <v>-63.172</v>
      </c>
      <c r="I19" s="44">
        <v>-48.616999999999976</v>
      </c>
    </row>
    <row r="20" spans="1:9" ht="14.25">
      <c r="A20" s="43" t="str">
        <f>HLOOKUP(INDICE!$F$2,Nombres!$C$3:$D$636,45,FALSE)</f>
        <v>Provisiones o reversión de provisiones y otros resultados</v>
      </c>
      <c r="B20" s="44">
        <v>-1.3059999999999996</v>
      </c>
      <c r="C20" s="44">
        <v>-6.365000000000002</v>
      </c>
      <c r="D20" s="44">
        <v>-2.9369999999999994</v>
      </c>
      <c r="E20" s="45">
        <v>-6.8420000000000005</v>
      </c>
      <c r="F20" s="44">
        <v>-2.51</v>
      </c>
      <c r="G20" s="44">
        <v>-9.828</v>
      </c>
      <c r="H20" s="44">
        <v>-4.501</v>
      </c>
      <c r="I20" s="44">
        <v>-0.20800000000000018</v>
      </c>
    </row>
    <row r="21" spans="1:9" ht="14.25">
      <c r="A21" s="41" t="str">
        <f>HLOOKUP(INDICE!$F$2,Nombres!$C$3:$D$636,46,FALSE)</f>
        <v>Resultado antes de impuestos</v>
      </c>
      <c r="B21" s="41">
        <f>+B18+B19+B20</f>
        <v>95.25180048000004</v>
      </c>
      <c r="C21" s="41">
        <f aca="true" t="shared" si="2" ref="C21:I21">+C18+C19+C20</f>
        <v>108.94779488</v>
      </c>
      <c r="D21" s="41">
        <f t="shared" si="2"/>
        <v>109.27508612999996</v>
      </c>
      <c r="E21" s="42">
        <f t="shared" si="2"/>
        <v>90.72222075000005</v>
      </c>
      <c r="F21" s="50">
        <f t="shared" si="2"/>
        <v>7.740277850000004</v>
      </c>
      <c r="G21" s="50">
        <f t="shared" si="2"/>
        <v>59.84151007999992</v>
      </c>
      <c r="H21" s="50">
        <f t="shared" si="2"/>
        <v>83.55075411000007</v>
      </c>
      <c r="I21" s="50">
        <f t="shared" si="2"/>
        <v>96.06384396000006</v>
      </c>
    </row>
    <row r="22" spans="1:9" ht="14.25">
      <c r="A22" s="43" t="str">
        <f>HLOOKUP(INDICE!$F$2,Nombres!$C$3:$D$636,47,FALSE)</f>
        <v>Impuesto sobre beneficios</v>
      </c>
      <c r="B22" s="44">
        <v>-34.47516521</v>
      </c>
      <c r="C22" s="44">
        <v>-34.18067436</v>
      </c>
      <c r="D22" s="44">
        <v>-38.62450827</v>
      </c>
      <c r="E22" s="45">
        <v>-19.38991336</v>
      </c>
      <c r="F22" s="44">
        <v>0.4505506300000022</v>
      </c>
      <c r="G22" s="44">
        <v>-18.38248883</v>
      </c>
      <c r="H22" s="44">
        <v>-26.776504420000002</v>
      </c>
      <c r="I22" s="44">
        <v>-31.1591284</v>
      </c>
    </row>
    <row r="23" spans="1:9" ht="14.25">
      <c r="A23" s="41" t="str">
        <f>HLOOKUP(INDICE!$F$2,Nombres!$C$3:$D$636,48,FALSE)</f>
        <v>Resultado del ejercicio</v>
      </c>
      <c r="B23" s="41">
        <f>+B21+B22</f>
        <v>60.77663527000004</v>
      </c>
      <c r="C23" s="41">
        <f aca="true" t="shared" si="3" ref="C23:I23">+C21+C22</f>
        <v>74.76712052</v>
      </c>
      <c r="D23" s="41">
        <f t="shared" si="3"/>
        <v>70.65057785999997</v>
      </c>
      <c r="E23" s="42">
        <f t="shared" si="3"/>
        <v>71.33230739000004</v>
      </c>
      <c r="F23" s="50">
        <f t="shared" si="3"/>
        <v>8.190828480000006</v>
      </c>
      <c r="G23" s="50">
        <f t="shared" si="3"/>
        <v>41.45902124999992</v>
      </c>
      <c r="H23" s="50">
        <f t="shared" si="3"/>
        <v>56.77424969000007</v>
      </c>
      <c r="I23" s="50">
        <f t="shared" si="3"/>
        <v>64.90471556000006</v>
      </c>
    </row>
    <row r="24" spans="1:9" ht="14.25">
      <c r="A24" s="43" t="str">
        <f>HLOOKUP(INDICE!$F$2,Nombres!$C$3:$D$636,49,FALSE)</f>
        <v>Minoritarios</v>
      </c>
      <c r="B24" s="44">
        <v>-2.3369181799999996</v>
      </c>
      <c r="C24" s="44">
        <v>-2.84925305</v>
      </c>
      <c r="D24" s="44">
        <v>-2.69956607</v>
      </c>
      <c r="E24" s="45">
        <v>-2.7404781100000015</v>
      </c>
      <c r="F24" s="44">
        <v>0.10030966000000041</v>
      </c>
      <c r="G24" s="44">
        <v>-1.5098544500000002</v>
      </c>
      <c r="H24" s="44">
        <v>-2.0975925699999998</v>
      </c>
      <c r="I24" s="44">
        <v>-2.4652730000000003</v>
      </c>
    </row>
    <row r="25" spans="1:9" ht="14.25">
      <c r="A25" s="47" t="str">
        <f>HLOOKUP(INDICE!$F$2,Nombres!$C$3:$D$636,50,FALSE)</f>
        <v>Resultado atribuido</v>
      </c>
      <c r="B25" s="47">
        <f>+B23+B24</f>
        <v>58.439717090000045</v>
      </c>
      <c r="C25" s="47">
        <f aca="true" t="shared" si="4" ref="C25:I25">+C23+C24</f>
        <v>71.91786747</v>
      </c>
      <c r="D25" s="47">
        <f t="shared" si="4"/>
        <v>67.95101178999997</v>
      </c>
      <c r="E25" s="47">
        <f t="shared" si="4"/>
        <v>68.59182928000004</v>
      </c>
      <c r="F25" s="51">
        <f t="shared" si="4"/>
        <v>8.291138140000006</v>
      </c>
      <c r="G25" s="51">
        <f t="shared" si="4"/>
        <v>39.94916679999992</v>
      </c>
      <c r="H25" s="51">
        <f t="shared" si="4"/>
        <v>54.67665712000007</v>
      </c>
      <c r="I25" s="51">
        <f t="shared" si="4"/>
        <v>62.43944256000005</v>
      </c>
    </row>
    <row r="26" spans="1:9" ht="14.25">
      <c r="A26" s="63"/>
      <c r="B26" s="64">
        <v>0</v>
      </c>
      <c r="C26" s="64">
        <v>0</v>
      </c>
      <c r="D26" s="64">
        <v>0</v>
      </c>
      <c r="E26" s="64">
        <v>0</v>
      </c>
      <c r="F26" s="64">
        <v>0</v>
      </c>
      <c r="G26" s="64">
        <v>0</v>
      </c>
      <c r="H26" s="64">
        <v>0</v>
      </c>
      <c r="I26" s="64">
        <v>0</v>
      </c>
    </row>
    <row r="27" spans="1:9" ht="14.25">
      <c r="A27" s="41"/>
      <c r="B27" s="41"/>
      <c r="C27" s="41"/>
      <c r="D27" s="41"/>
      <c r="E27" s="41"/>
      <c r="F27" s="41"/>
      <c r="G27" s="41"/>
      <c r="H27" s="41"/>
      <c r="I27" s="41"/>
    </row>
    <row r="28" spans="1:9" ht="16.5">
      <c r="A28" s="33" t="str">
        <f>HLOOKUP(INDICE!$F$2,Nombres!$C$3:$D$636,51,FALSE)</f>
        <v>Balances</v>
      </c>
      <c r="B28" s="34"/>
      <c r="C28" s="34"/>
      <c r="D28" s="34"/>
      <c r="E28" s="34"/>
      <c r="F28" s="34"/>
      <c r="G28" s="34"/>
      <c r="H28" s="34"/>
      <c r="I28" s="34"/>
    </row>
    <row r="29" spans="1:9" ht="14.25">
      <c r="A29" s="35" t="str">
        <f>HLOOKUP(INDICE!$F$2,Nombres!$C$3:$D$636,32,FALSE)</f>
        <v>(Millones de euros)</v>
      </c>
      <c r="B29" s="30"/>
      <c r="C29" s="52"/>
      <c r="D29" s="52"/>
      <c r="E29" s="52"/>
      <c r="F29" s="30"/>
      <c r="G29" s="58"/>
      <c r="H29" s="58"/>
      <c r="I29" s="58"/>
    </row>
    <row r="30" spans="1:9" ht="14.25">
      <c r="A30" s="30"/>
      <c r="B30" s="53">
        <f>+España!B30</f>
        <v>43555</v>
      </c>
      <c r="C30" s="53">
        <f>+España!C30</f>
        <v>43646</v>
      </c>
      <c r="D30" s="53">
        <f>+España!D30</f>
        <v>43738</v>
      </c>
      <c r="E30" s="69">
        <f>+España!E30</f>
        <v>43830</v>
      </c>
      <c r="F30" s="78">
        <f>+España!F30</f>
        <v>43921</v>
      </c>
      <c r="G30" s="78">
        <f>+España!G30</f>
        <v>44012</v>
      </c>
      <c r="H30" s="78">
        <f>+España!H30</f>
        <v>44104</v>
      </c>
      <c r="I30" s="78">
        <f>+España!I30</f>
        <v>44196</v>
      </c>
    </row>
    <row r="31" spans="1:9" ht="14.25">
      <c r="A31" s="43" t="str">
        <f>HLOOKUP(INDICE!$F$2,Nombres!$C$3:$D$636,52,FALSE)</f>
        <v>Efectivo, saldos en efectivo en bancos centrales y otros depósitos a la vista</v>
      </c>
      <c r="B31" s="44">
        <v>1839.493</v>
      </c>
      <c r="C31" s="44">
        <v>1543.89</v>
      </c>
      <c r="D31" s="44">
        <v>1244.52</v>
      </c>
      <c r="E31" s="45">
        <v>1420.728</v>
      </c>
      <c r="F31" s="44">
        <v>1290.4769999999999</v>
      </c>
      <c r="G31" s="44">
        <v>2220.575</v>
      </c>
      <c r="H31" s="44">
        <v>1261.511</v>
      </c>
      <c r="I31" s="44">
        <v>1371.858</v>
      </c>
    </row>
    <row r="32" spans="1:9" ht="14.25">
      <c r="A32" s="43" t="str">
        <f>HLOOKUP(INDICE!$F$2,Nombres!$C$3:$D$636,53,FALSE)</f>
        <v>Activos financieros a valor razonable</v>
      </c>
      <c r="B32" s="58">
        <v>2989.481</v>
      </c>
      <c r="C32" s="58">
        <v>3034.1270000000004</v>
      </c>
      <c r="D32" s="58">
        <v>2883.9139999999998</v>
      </c>
      <c r="E32" s="66">
        <v>2718.419</v>
      </c>
      <c r="F32" s="44">
        <v>3441.6409999999996</v>
      </c>
      <c r="G32" s="44">
        <v>3078.967</v>
      </c>
      <c r="H32" s="44">
        <v>2668.4839999999995</v>
      </c>
      <c r="I32" s="44">
        <v>2334.08</v>
      </c>
    </row>
    <row r="33" spans="1:9" ht="14.25">
      <c r="A33" s="43" t="str">
        <f>HLOOKUP(INDICE!$F$2,Nombres!$C$3:$D$636,54,FALSE)</f>
        <v>Activos financieros a coste amortizado</v>
      </c>
      <c r="B33" s="44">
        <v>12810.716999999999</v>
      </c>
      <c r="C33" s="44">
        <v>12871.119999999999</v>
      </c>
      <c r="D33" s="44">
        <v>12859.889000000001</v>
      </c>
      <c r="E33" s="45">
        <v>13488.793</v>
      </c>
      <c r="F33" s="44">
        <v>11589.315</v>
      </c>
      <c r="G33" s="44">
        <v>12626.788999999999</v>
      </c>
      <c r="H33" s="44">
        <v>11589.310999999998</v>
      </c>
      <c r="I33" s="44">
        <v>12459.14</v>
      </c>
    </row>
    <row r="34" spans="1:9" ht="14.25">
      <c r="A34" s="43" t="str">
        <f>HLOOKUP(INDICE!$F$2,Nombres!$C$3:$D$636,55,FALSE)</f>
        <v>    de los que préstamos y anticipos a la clientela</v>
      </c>
      <c r="B34" s="44">
        <v>12265.270999999999</v>
      </c>
      <c r="C34" s="44">
        <v>12327.101</v>
      </c>
      <c r="D34" s="44">
        <v>12319.801</v>
      </c>
      <c r="E34" s="45">
        <v>12922.985</v>
      </c>
      <c r="F34" s="44">
        <v>11068.159000000001</v>
      </c>
      <c r="G34" s="44">
        <v>11838.746000000001</v>
      </c>
      <c r="H34" s="44">
        <v>10816.897</v>
      </c>
      <c r="I34" s="44">
        <v>11608.973000000002</v>
      </c>
    </row>
    <row r="35" spans="1:9" ht="14.25">
      <c r="A35" s="43" t="str">
        <f>HLOOKUP(INDICE!$F$2,Nombres!$C$3:$D$636,56,FALSE)</f>
        <v>Activos tangibles</v>
      </c>
      <c r="B35" s="44">
        <v>149.563</v>
      </c>
      <c r="C35" s="44">
        <v>149.15000000000003</v>
      </c>
      <c r="D35" s="44">
        <v>144.44599999999997</v>
      </c>
      <c r="E35" s="45">
        <v>144.23700000000002</v>
      </c>
      <c r="F35" s="44">
        <v>115.47800000000001</v>
      </c>
      <c r="G35" s="44">
        <v>121.30600000000001</v>
      </c>
      <c r="H35" s="44">
        <v>109.39200000000002</v>
      </c>
      <c r="I35" s="44">
        <v>114.9</v>
      </c>
    </row>
    <row r="36" spans="1:9" ht="14.25">
      <c r="A36" s="43" t="str">
        <f>HLOOKUP(INDICE!$F$2,Nombres!$C$3:$D$636,57,FALSE)</f>
        <v>Otros activos</v>
      </c>
      <c r="B36" s="58">
        <f>+B37-B35-B33-B32-B31</f>
        <v>360.4019999999946</v>
      </c>
      <c r="C36" s="58">
        <f aca="true" t="shared" si="5" ref="C36:I36">+C37-C35-C33-C32-C31</f>
        <v>386.822999999996</v>
      </c>
      <c r="D36" s="58">
        <f t="shared" si="5"/>
        <v>468.63000000000056</v>
      </c>
      <c r="E36" s="66">
        <f t="shared" si="5"/>
        <v>367.3630000000003</v>
      </c>
      <c r="F36" s="44">
        <f t="shared" si="5"/>
        <v>662.8820000000023</v>
      </c>
      <c r="G36" s="44">
        <f t="shared" si="5"/>
        <v>477.5240000000008</v>
      </c>
      <c r="H36" s="44">
        <f t="shared" si="5"/>
        <v>475.16898298000297</v>
      </c>
      <c r="I36" s="44">
        <f t="shared" si="5"/>
        <v>540.7459999999976</v>
      </c>
    </row>
    <row r="37" spans="1:9" ht="14.25">
      <c r="A37" s="47" t="str">
        <f>HLOOKUP(INDICE!$F$2,Nombres!$C$3:$D$636,58,FALSE)</f>
        <v>Total activo / pasivo</v>
      </c>
      <c r="B37" s="47">
        <v>18149.65599999999</v>
      </c>
      <c r="C37" s="47">
        <v>17985.109999999997</v>
      </c>
      <c r="D37" s="47">
        <v>17601.399</v>
      </c>
      <c r="E37" s="47">
        <v>18139.54</v>
      </c>
      <c r="F37" s="51">
        <v>17099.793</v>
      </c>
      <c r="G37" s="51">
        <v>18525.161</v>
      </c>
      <c r="H37" s="51">
        <v>16103.86698298</v>
      </c>
      <c r="I37" s="51">
        <v>16820.724</v>
      </c>
    </row>
    <row r="38" spans="1:9" ht="14.25">
      <c r="A38" s="43" t="str">
        <f>HLOOKUP(INDICE!$F$2,Nombres!$C$3:$D$636,59,FALSE)</f>
        <v>Pasivos financieros mantenidos para negociar y designados a valor razonable con cambios en resultados</v>
      </c>
      <c r="B38" s="58">
        <v>2164.126</v>
      </c>
      <c r="C38" s="58">
        <v>1739.6079999999997</v>
      </c>
      <c r="D38" s="58">
        <v>1430.3220000000001</v>
      </c>
      <c r="E38" s="66">
        <v>1665.437</v>
      </c>
      <c r="F38" s="44">
        <v>1737.4940000000001</v>
      </c>
      <c r="G38" s="44">
        <v>1646.095</v>
      </c>
      <c r="H38" s="44">
        <v>1378.6170000000002</v>
      </c>
      <c r="I38" s="44">
        <v>1101.988</v>
      </c>
    </row>
    <row r="39" spans="1:9" ht="14.25">
      <c r="A39" s="43" t="str">
        <f>HLOOKUP(INDICE!$F$2,Nombres!$C$3:$D$636,60,FALSE)</f>
        <v>Depósitos de bancos centrales y entidades de crédito</v>
      </c>
      <c r="B39" s="58">
        <v>250.89600000000002</v>
      </c>
      <c r="C39" s="58">
        <v>314.907</v>
      </c>
      <c r="D39" s="58">
        <v>435.275</v>
      </c>
      <c r="E39" s="66">
        <v>593.751</v>
      </c>
      <c r="F39" s="44">
        <v>541.9019999999999</v>
      </c>
      <c r="G39" s="44">
        <v>446.334</v>
      </c>
      <c r="H39" s="44">
        <v>603.055</v>
      </c>
      <c r="I39" s="44">
        <v>535.3389999999999</v>
      </c>
    </row>
    <row r="40" spans="1:9" ht="15.75" customHeight="1">
      <c r="A40" s="43" t="str">
        <f>HLOOKUP(INDICE!$F$2,Nombres!$C$3:$D$636,61,FALSE)</f>
        <v>Depósitos de la clientela</v>
      </c>
      <c r="B40" s="58">
        <v>12680.987</v>
      </c>
      <c r="C40" s="58">
        <v>12716.057</v>
      </c>
      <c r="D40" s="58">
        <v>12554.905</v>
      </c>
      <c r="E40" s="66">
        <v>12686.045999999998</v>
      </c>
      <c r="F40" s="44">
        <v>12007.403</v>
      </c>
      <c r="G40" s="44">
        <v>13573.682999999999</v>
      </c>
      <c r="H40" s="44">
        <v>11346.935</v>
      </c>
      <c r="I40" s="44">
        <v>12130.376</v>
      </c>
    </row>
    <row r="41" spans="1:9" ht="14.25">
      <c r="A41" s="43" t="str">
        <f>HLOOKUP(INDICE!$F$2,Nombres!$C$3:$D$636,62,FALSE)</f>
        <v>Valores representativos de deuda emitidos</v>
      </c>
      <c r="B41" s="44">
        <v>622.0020000000001</v>
      </c>
      <c r="C41" s="44">
        <v>619.153</v>
      </c>
      <c r="D41" s="44">
        <v>594.026</v>
      </c>
      <c r="E41" s="45">
        <v>579.319</v>
      </c>
      <c r="F41" s="44">
        <v>568.947</v>
      </c>
      <c r="G41" s="44">
        <v>570.3059999999999</v>
      </c>
      <c r="H41" s="44">
        <v>544.624</v>
      </c>
      <c r="I41" s="44">
        <v>536.3969999999999</v>
      </c>
    </row>
    <row r="42" spans="1:9" ht="14.25">
      <c r="A42" s="43" t="str">
        <f>HLOOKUP(INDICE!$F$2,Nombres!$C$3:$D$636,63,FALSE)</f>
        <v>Otros pasivos</v>
      </c>
      <c r="B42" s="58">
        <f>+B37-B38-B39-B40-B41-B43</f>
        <v>1404.638479999992</v>
      </c>
      <c r="C42" s="58">
        <f aca="true" t="shared" si="6" ref="C42:I42">+C37-C38-C39-C40-C41-C43</f>
        <v>1605.2743499999965</v>
      </c>
      <c r="D42" s="58">
        <f t="shared" si="6"/>
        <v>1580.1037625000013</v>
      </c>
      <c r="E42" s="66">
        <f t="shared" si="6"/>
        <v>1584.4327432300042</v>
      </c>
      <c r="F42" s="44">
        <f t="shared" si="6"/>
        <v>1205.5318000000007</v>
      </c>
      <c r="G42" s="44">
        <f t="shared" si="6"/>
        <v>1349.515540000001</v>
      </c>
      <c r="H42" s="44">
        <f t="shared" si="6"/>
        <v>1338.3284945400003</v>
      </c>
      <c r="I42" s="44">
        <f t="shared" si="6"/>
        <v>1616.0428863599989</v>
      </c>
    </row>
    <row r="43" spans="1:9" ht="14.25">
      <c r="A43" s="43" t="str">
        <f>HLOOKUP(INDICE!$F$2,Nombres!$C$3:$D$636,64,FALSE)</f>
        <v>Dotación de capital económico</v>
      </c>
      <c r="B43" s="44">
        <v>1027.00652</v>
      </c>
      <c r="C43" s="44">
        <v>990.1106500000001</v>
      </c>
      <c r="D43" s="44">
        <v>1006.7672374999999</v>
      </c>
      <c r="E43" s="45">
        <v>1030.55425677</v>
      </c>
      <c r="F43" s="44">
        <v>1038.5151999999998</v>
      </c>
      <c r="G43" s="44">
        <v>939.2274599999998</v>
      </c>
      <c r="H43" s="44">
        <v>892.30748844</v>
      </c>
      <c r="I43" s="44">
        <v>900.58111364</v>
      </c>
    </row>
    <row r="44" spans="1:9" ht="14.25">
      <c r="A44" s="63"/>
      <c r="B44" s="58"/>
      <c r="C44" s="58"/>
      <c r="D44" s="58"/>
      <c r="E44" s="58"/>
      <c r="F44" s="44"/>
      <c r="G44" s="44"/>
      <c r="H44" s="44"/>
      <c r="I44" s="44"/>
    </row>
    <row r="45" spans="1:9" ht="14.25">
      <c r="A45" s="43"/>
      <c r="B45" s="58"/>
      <c r="C45" s="58"/>
      <c r="D45" s="58"/>
      <c r="E45" s="58"/>
      <c r="F45" s="44"/>
      <c r="G45" s="44"/>
      <c r="H45" s="44"/>
      <c r="I45" s="44"/>
    </row>
    <row r="46" spans="1:9" ht="16.5">
      <c r="A46" s="33" t="str">
        <f>HLOOKUP(INDICE!$F$2,Nombres!$C$3:$D$636,65,FALSE)</f>
        <v>Indicadores relevantes y de gestión</v>
      </c>
      <c r="B46" s="34"/>
      <c r="C46" s="34"/>
      <c r="D46" s="34"/>
      <c r="E46" s="34"/>
      <c r="F46" s="70"/>
      <c r="G46" s="70"/>
      <c r="H46" s="70"/>
      <c r="I46" s="70"/>
    </row>
    <row r="47" spans="1:9" ht="14.25">
      <c r="A47" s="35" t="str">
        <f>HLOOKUP(INDICE!$F$2,Nombres!$C$3:$D$636,32,FALSE)</f>
        <v>(Millones de euros)</v>
      </c>
      <c r="B47" s="30"/>
      <c r="C47" s="30"/>
      <c r="D47" s="30"/>
      <c r="E47" s="30"/>
      <c r="F47" s="71"/>
      <c r="G47" s="44"/>
      <c r="H47" s="44"/>
      <c r="I47" s="44"/>
    </row>
    <row r="48" spans="1:9" ht="14.25">
      <c r="A48" s="30"/>
      <c r="B48" s="53">
        <f aca="true" t="shared" si="7" ref="B48:I48">+B$30</f>
        <v>43555</v>
      </c>
      <c r="C48" s="53">
        <f t="shared" si="7"/>
        <v>43646</v>
      </c>
      <c r="D48" s="53">
        <f t="shared" si="7"/>
        <v>43738</v>
      </c>
      <c r="E48" s="69">
        <f t="shared" si="7"/>
        <v>43830</v>
      </c>
      <c r="F48" s="53">
        <f t="shared" si="7"/>
        <v>43921</v>
      </c>
      <c r="G48" s="53">
        <f t="shared" si="7"/>
        <v>44012</v>
      </c>
      <c r="H48" s="53">
        <f t="shared" si="7"/>
        <v>44104</v>
      </c>
      <c r="I48" s="53">
        <f t="shared" si="7"/>
        <v>44196</v>
      </c>
    </row>
    <row r="49" spans="1:9" ht="14.25">
      <c r="A49" s="43" t="str">
        <f>HLOOKUP(INDICE!$F$2,Nombres!$C$3:$D$636,66,FALSE)</f>
        <v>Préstamos y anticipos a la clientela bruto (*)</v>
      </c>
      <c r="B49" s="44">
        <v>12973.509963540002</v>
      </c>
      <c r="C49" s="44">
        <v>13003.4328028</v>
      </c>
      <c r="D49" s="44">
        <v>12942.576376660001</v>
      </c>
      <c r="E49" s="45">
        <v>13593.775513269999</v>
      </c>
      <c r="F49" s="44">
        <v>11721.699299310001</v>
      </c>
      <c r="G49" s="44">
        <v>12571.85612573</v>
      </c>
      <c r="H49" s="44">
        <v>11516.265511460002</v>
      </c>
      <c r="I49" s="44">
        <v>12358.36728401</v>
      </c>
    </row>
    <row r="50" spans="1:9" ht="14.25">
      <c r="A50" s="43" t="str">
        <f>HLOOKUP(INDICE!$F$2,Nombres!$C$3:$D$636,67,FALSE)</f>
        <v>Depósitos de clientes en gestión (**)</v>
      </c>
      <c r="B50" s="44">
        <v>12798.73539784</v>
      </c>
      <c r="C50" s="44">
        <v>12726.477321519998</v>
      </c>
      <c r="D50" s="44">
        <v>12564.309956219999</v>
      </c>
      <c r="E50" s="45">
        <v>12695.685347200002</v>
      </c>
      <c r="F50" s="44">
        <v>12015.3979488</v>
      </c>
      <c r="G50" s="44">
        <v>13582.158241539999</v>
      </c>
      <c r="H50" s="44">
        <v>11346.93488211</v>
      </c>
      <c r="I50" s="44">
        <v>12129.34187195</v>
      </c>
    </row>
    <row r="51" spans="1:9" ht="14.25">
      <c r="A51" s="43" t="str">
        <f>HLOOKUP(INDICE!$F$2,Nombres!$C$3:$D$636,68,FALSE)</f>
        <v>Fondos de inversión</v>
      </c>
      <c r="B51" s="44">
        <v>1449.22646717</v>
      </c>
      <c r="C51" s="44">
        <v>1430.7477092600002</v>
      </c>
      <c r="D51" s="44">
        <v>1472.7073664200002</v>
      </c>
      <c r="E51" s="45">
        <v>1389.1121834099997</v>
      </c>
      <c r="F51" s="44">
        <v>688.7781286700001</v>
      </c>
      <c r="G51" s="44">
        <v>1140.1636230000001</v>
      </c>
      <c r="H51" s="44">
        <v>1506.0115078100002</v>
      </c>
      <c r="I51" s="44">
        <v>1566.60486917</v>
      </c>
    </row>
    <row r="52" spans="1:9" ht="14.25">
      <c r="A52" s="43" t="str">
        <f>HLOOKUP(INDICE!$F$2,Nombres!$C$3:$D$636,69,FALSE)</f>
        <v>Fondos de pensiones</v>
      </c>
      <c r="B52" s="44">
        <v>0</v>
      </c>
      <c r="C52" s="44">
        <v>0</v>
      </c>
      <c r="D52" s="44">
        <v>0</v>
      </c>
      <c r="E52" s="45">
        <v>0</v>
      </c>
      <c r="F52" s="44">
        <v>0</v>
      </c>
      <c r="G52" s="44">
        <v>0</v>
      </c>
      <c r="H52" s="44">
        <v>0</v>
      </c>
      <c r="I52" s="44">
        <v>0</v>
      </c>
    </row>
    <row r="53" spans="1:9" ht="14.25">
      <c r="A53" s="43" t="str">
        <f>HLOOKUP(INDICE!$F$2,Nombres!$C$3:$D$636,70,FALSE)</f>
        <v>Otros recursos fuera de balance</v>
      </c>
      <c r="B53" s="44">
        <v>0</v>
      </c>
      <c r="C53" s="44">
        <v>0</v>
      </c>
      <c r="D53" s="44">
        <v>0</v>
      </c>
      <c r="E53" s="45">
        <v>0</v>
      </c>
      <c r="F53" s="44">
        <v>0</v>
      </c>
      <c r="G53" s="44">
        <v>0</v>
      </c>
      <c r="H53" s="44">
        <v>0</v>
      </c>
      <c r="I53" s="44">
        <v>0</v>
      </c>
    </row>
    <row r="54" spans="1:9" ht="14.25">
      <c r="A54" s="63" t="str">
        <f>HLOOKUP(INDICE!$F$2,Nombres!$C$3:$D$636,71,FALSE)</f>
        <v>(*) No incluye las adquisiciones temporales de activos.</v>
      </c>
      <c r="B54" s="58"/>
      <c r="C54" s="58"/>
      <c r="D54" s="58"/>
      <c r="E54" s="58"/>
      <c r="F54" s="58"/>
      <c r="G54" s="58"/>
      <c r="H54" s="58"/>
      <c r="I54" s="58"/>
    </row>
    <row r="55" spans="1:9" ht="14.25">
      <c r="A55" s="63" t="str">
        <f>HLOOKUP(INDICE!$F$2,Nombres!$C$3:$D$636,72,FALSE)</f>
        <v>(**) No incluye las cesiones temporales de activos.</v>
      </c>
      <c r="B55" s="30"/>
      <c r="C55" s="30"/>
      <c r="D55" s="30"/>
      <c r="E55" s="30"/>
      <c r="F55" s="30"/>
      <c r="G55" s="30"/>
      <c r="H55" s="30"/>
      <c r="I55" s="30"/>
    </row>
    <row r="56" spans="1:9" ht="14.25">
      <c r="A56" s="63"/>
      <c r="B56" s="30"/>
      <c r="C56" s="30"/>
      <c r="D56" s="30"/>
      <c r="E56" s="30"/>
      <c r="F56" s="30"/>
      <c r="G56" s="30"/>
      <c r="H56" s="30"/>
      <c r="I56" s="30"/>
    </row>
    <row r="57" spans="1:9" ht="16.5">
      <c r="A57" s="33" t="str">
        <f>HLOOKUP(INDICE!$F$2,Nombres!$C$3:$D$636,31,FALSE)</f>
        <v>Cuenta de resultados  </v>
      </c>
      <c r="B57" s="34"/>
      <c r="C57" s="34"/>
      <c r="D57" s="34"/>
      <c r="E57" s="34"/>
      <c r="F57" s="34"/>
      <c r="G57" s="34"/>
      <c r="H57" s="34"/>
      <c r="I57" s="34"/>
    </row>
    <row r="58" spans="1:9" ht="14.25">
      <c r="A58" s="35" t="str">
        <f>HLOOKUP(INDICE!$F$2,Nombres!$C$3:$D$636,73,FALSE)</f>
        <v>(Millones de euros constantes)</v>
      </c>
      <c r="B58" s="30"/>
      <c r="C58" s="36"/>
      <c r="D58" s="36"/>
      <c r="E58" s="36"/>
      <c r="F58" s="30"/>
      <c r="G58" s="30"/>
      <c r="H58" s="30"/>
      <c r="I58" s="30"/>
    </row>
    <row r="59" spans="1:9" ht="14.25">
      <c r="A59" s="37"/>
      <c r="B59" s="30"/>
      <c r="C59" s="36"/>
      <c r="D59" s="36"/>
      <c r="E59" s="36"/>
      <c r="F59" s="30"/>
      <c r="G59" s="30"/>
      <c r="H59" s="30"/>
      <c r="I59" s="30"/>
    </row>
    <row r="60" spans="1:9" ht="14.25">
      <c r="A60" s="38"/>
      <c r="B60" s="308">
        <f>+B$6</f>
        <v>2019</v>
      </c>
      <c r="C60" s="308"/>
      <c r="D60" s="308"/>
      <c r="E60" s="309"/>
      <c r="F60" s="308">
        <f>+F$6</f>
        <v>2020</v>
      </c>
      <c r="G60" s="308"/>
      <c r="H60" s="308"/>
      <c r="I60" s="308"/>
    </row>
    <row r="61" spans="1:9" ht="14.25">
      <c r="A61" s="38"/>
      <c r="B61" s="39" t="str">
        <f>+B$7</f>
        <v>1er Trim.</v>
      </c>
      <c r="C61" s="39" t="str">
        <f aca="true" t="shared" si="8" ref="C61:I61">+C$7</f>
        <v>2º Trim.</v>
      </c>
      <c r="D61" s="39" t="str">
        <f t="shared" si="8"/>
        <v>3er Trim.</v>
      </c>
      <c r="E61" s="40" t="str">
        <f t="shared" si="8"/>
        <v>4º Trim.</v>
      </c>
      <c r="F61" s="39" t="str">
        <f t="shared" si="8"/>
        <v>1er Trim.</v>
      </c>
      <c r="G61" s="39" t="str">
        <f t="shared" si="8"/>
        <v>2º Trim.</v>
      </c>
      <c r="H61" s="39" t="str">
        <f t="shared" si="8"/>
        <v>3er Trim.</v>
      </c>
      <c r="I61" s="39" t="str">
        <f t="shared" si="8"/>
        <v>4º Trim.</v>
      </c>
    </row>
    <row r="62" spans="1:9" ht="14.25">
      <c r="A62" s="41" t="str">
        <f>HLOOKUP(INDICE!$F$2,Nombres!$C$3:$D$636,33,FALSE)</f>
        <v>Margen de intereses</v>
      </c>
      <c r="B62" s="41">
        <v>178.83802077633175</v>
      </c>
      <c r="C62" s="41">
        <v>178.13944837533074</v>
      </c>
      <c r="D62" s="41">
        <v>180.90054474341548</v>
      </c>
      <c r="E62" s="42">
        <v>184.1971136424903</v>
      </c>
      <c r="F62" s="50">
        <v>193.811532716542</v>
      </c>
      <c r="G62" s="50">
        <v>194.45043000114308</v>
      </c>
      <c r="H62" s="50">
        <v>191.83259306112564</v>
      </c>
      <c r="I62" s="50">
        <v>200.6484442211893</v>
      </c>
    </row>
    <row r="63" spans="1:9" ht="14.25">
      <c r="A63" s="43" t="str">
        <f>HLOOKUP(INDICE!$F$2,Nombres!$C$3:$D$636,34,FALSE)</f>
        <v>Comisiones netas</v>
      </c>
      <c r="B63" s="44">
        <v>18.876750753811237</v>
      </c>
      <c r="C63" s="44">
        <v>20.08690955113677</v>
      </c>
      <c r="D63" s="44">
        <v>19.01119129515626</v>
      </c>
      <c r="E63" s="45">
        <v>18.22697130425168</v>
      </c>
      <c r="F63" s="44">
        <v>16.274308107287865</v>
      </c>
      <c r="G63" s="44">
        <v>11.965044826840476</v>
      </c>
      <c r="H63" s="44">
        <v>22.08529807938104</v>
      </c>
      <c r="I63" s="44">
        <v>19.89696883649061</v>
      </c>
    </row>
    <row r="64" spans="1:9" ht="14.25">
      <c r="A64" s="43" t="str">
        <f>HLOOKUP(INDICE!$F$2,Nombres!$C$3:$D$636,35,FALSE)</f>
        <v>Resultados de operaciones financieras</v>
      </c>
      <c r="B64" s="44">
        <v>17.05953432666791</v>
      </c>
      <c r="C64" s="44">
        <v>15.577707243642388</v>
      </c>
      <c r="D64" s="44">
        <v>11.071321195681485</v>
      </c>
      <c r="E64" s="45">
        <v>15.897352580526801</v>
      </c>
      <c r="F64" s="44">
        <v>4.437515298292803</v>
      </c>
      <c r="G64" s="44">
        <v>24.28240040276445</v>
      </c>
      <c r="H64" s="44">
        <v>28.08736221788577</v>
      </c>
      <c r="I64" s="44">
        <v>16.832449161057003</v>
      </c>
    </row>
    <row r="65" spans="1:9" ht="14.25">
      <c r="A65" s="43" t="str">
        <f>HLOOKUP(INDICE!$F$2,Nombres!$C$3:$D$636,36,FALSE)</f>
        <v>Otros ingresos y cargas de explotación</v>
      </c>
      <c r="B65" s="44">
        <v>7.064740729973201</v>
      </c>
      <c r="C65" s="44">
        <v>1.4891321126399428</v>
      </c>
      <c r="D65" s="44">
        <v>2.1851130119168216</v>
      </c>
      <c r="E65" s="45">
        <v>4.54181051651425</v>
      </c>
      <c r="F65" s="44">
        <v>-1.2440892632330547</v>
      </c>
      <c r="G65" s="44">
        <v>-1.7896066020291235</v>
      </c>
      <c r="H65" s="44">
        <v>-6.5400835958993975</v>
      </c>
      <c r="I65" s="44">
        <v>-2.1332205388384224</v>
      </c>
    </row>
    <row r="66" spans="1:9" ht="14.25">
      <c r="A66" s="41" t="str">
        <f>HLOOKUP(INDICE!$F$2,Nombres!$C$3:$D$636,37,FALSE)</f>
        <v>Margen bruto</v>
      </c>
      <c r="B66" s="41">
        <f>+SUM(B62:B65)</f>
        <v>221.8390465867841</v>
      </c>
      <c r="C66" s="41">
        <f aca="true" t="shared" si="9" ref="C66:I66">+SUM(C62:C65)</f>
        <v>215.29319728274984</v>
      </c>
      <c r="D66" s="41">
        <f t="shared" si="9"/>
        <v>213.16817024617006</v>
      </c>
      <c r="E66" s="42">
        <f t="shared" si="9"/>
        <v>222.86324804378307</v>
      </c>
      <c r="F66" s="50">
        <f t="shared" si="9"/>
        <v>213.2792668588896</v>
      </c>
      <c r="G66" s="50">
        <f t="shared" si="9"/>
        <v>228.90826862871887</v>
      </c>
      <c r="H66" s="50">
        <f t="shared" si="9"/>
        <v>235.46516976249305</v>
      </c>
      <c r="I66" s="50">
        <f t="shared" si="9"/>
        <v>235.24464167989848</v>
      </c>
    </row>
    <row r="67" spans="1:9" ht="14.25">
      <c r="A67" s="43" t="str">
        <f>HLOOKUP(INDICE!$F$2,Nombres!$C$3:$D$636,38,FALSE)</f>
        <v>Gastos de explotación</v>
      </c>
      <c r="B67" s="44">
        <v>-78.93551452963587</v>
      </c>
      <c r="C67" s="44">
        <v>-75.53655523561346</v>
      </c>
      <c r="D67" s="44">
        <v>-78.93121068045548</v>
      </c>
      <c r="E67" s="45">
        <v>-82.98539764806179</v>
      </c>
      <c r="F67" s="44">
        <v>-83.8474778072885</v>
      </c>
      <c r="G67" s="44">
        <v>-73.49878511183566</v>
      </c>
      <c r="H67" s="44">
        <v>-79.00793260434591</v>
      </c>
      <c r="I67" s="44">
        <v>-85.04476540652992</v>
      </c>
    </row>
    <row r="68" spans="1:9" ht="14.25">
      <c r="A68" s="43" t="str">
        <f>HLOOKUP(INDICE!$F$2,Nombres!$C$3:$D$636,39,FALSE)</f>
        <v>  Gastos de administración</v>
      </c>
      <c r="B68" s="44">
        <v>-72.64607947690298</v>
      </c>
      <c r="C68" s="44">
        <v>-69.21430300426586</v>
      </c>
      <c r="D68" s="44">
        <v>-71.98106100849456</v>
      </c>
      <c r="E68" s="45">
        <v>-74.91634876008732</v>
      </c>
      <c r="F68" s="44">
        <v>-76.83987910226719</v>
      </c>
      <c r="G68" s="44">
        <v>-66.2973855413839</v>
      </c>
      <c r="H68" s="44">
        <v>-71.80067574087623</v>
      </c>
      <c r="I68" s="44">
        <v>-77.82402054547265</v>
      </c>
    </row>
    <row r="69" spans="1:9" ht="14.25">
      <c r="A69" s="46" t="str">
        <f>HLOOKUP(INDICE!$F$2,Nombres!$C$3:$D$636,40,FALSE)</f>
        <v>  Gastos de personal</v>
      </c>
      <c r="B69" s="44">
        <v>-37.971397874428575</v>
      </c>
      <c r="C69" s="44">
        <v>-35.8227341430096</v>
      </c>
      <c r="D69" s="44">
        <v>-37.3520411427878</v>
      </c>
      <c r="E69" s="45">
        <v>-36.72994401335862</v>
      </c>
      <c r="F69" s="44">
        <v>-39.05422815778896</v>
      </c>
      <c r="G69" s="44">
        <v>-33.347536926640444</v>
      </c>
      <c r="H69" s="44">
        <v>-35.6458803401858</v>
      </c>
      <c r="I69" s="44">
        <v>-37.8153545753848</v>
      </c>
    </row>
    <row r="70" spans="1:9" ht="14.25">
      <c r="A70" s="46" t="str">
        <f>HLOOKUP(INDICE!$F$2,Nombres!$C$3:$D$636,41,FALSE)</f>
        <v>  Otros gastos de administración</v>
      </c>
      <c r="B70" s="44">
        <v>-34.674681602474415</v>
      </c>
      <c r="C70" s="44">
        <v>-33.39156886125625</v>
      </c>
      <c r="D70" s="44">
        <v>-34.62901986570676</v>
      </c>
      <c r="E70" s="45">
        <v>-38.18640474672869</v>
      </c>
      <c r="F70" s="44">
        <v>-37.78565094447823</v>
      </c>
      <c r="G70" s="44">
        <v>-32.94984861474347</v>
      </c>
      <c r="H70" s="44">
        <v>-36.154795400690425</v>
      </c>
      <c r="I70" s="44">
        <v>-40.00866597008787</v>
      </c>
    </row>
    <row r="71" spans="1:9" ht="14.25">
      <c r="A71" s="43" t="str">
        <f>HLOOKUP(INDICE!$F$2,Nombres!$C$3:$D$636,42,FALSE)</f>
        <v>  Amortización</v>
      </c>
      <c r="B71" s="44">
        <v>-6.289435052732865</v>
      </c>
      <c r="C71" s="44">
        <v>-6.322252231347612</v>
      </c>
      <c r="D71" s="44">
        <v>-6.950149671960911</v>
      </c>
      <c r="E71" s="45">
        <v>-8.069048887974482</v>
      </c>
      <c r="F71" s="44">
        <v>-7.007598705021296</v>
      </c>
      <c r="G71" s="44">
        <v>-7.20139957045175</v>
      </c>
      <c r="H71" s="44">
        <v>-7.2072568634696825</v>
      </c>
      <c r="I71" s="44">
        <v>-7.2207448610572715</v>
      </c>
    </row>
    <row r="72" spans="1:9" ht="14.25">
      <c r="A72" s="41" t="str">
        <f>HLOOKUP(INDICE!$F$2,Nombres!$C$3:$D$636,43,FALSE)</f>
        <v>Margen neto</v>
      </c>
      <c r="B72" s="41">
        <f>+B66+B67</f>
        <v>142.90353205714823</v>
      </c>
      <c r="C72" s="41">
        <f aca="true" t="shared" si="10" ref="C72:I72">+C66+C67</f>
        <v>139.75664204713638</v>
      </c>
      <c r="D72" s="41">
        <f t="shared" si="10"/>
        <v>134.23695956571459</v>
      </c>
      <c r="E72" s="42">
        <f t="shared" si="10"/>
        <v>139.87785039572128</v>
      </c>
      <c r="F72" s="50">
        <f t="shared" si="10"/>
        <v>129.4317890516011</v>
      </c>
      <c r="G72" s="50">
        <f t="shared" si="10"/>
        <v>155.4094835168832</v>
      </c>
      <c r="H72" s="50">
        <f t="shared" si="10"/>
        <v>156.45723715814714</v>
      </c>
      <c r="I72" s="50">
        <f t="shared" si="10"/>
        <v>150.19987627336855</v>
      </c>
    </row>
    <row r="73" spans="1:9" ht="14.25">
      <c r="A73" s="43" t="str">
        <f>HLOOKUP(INDICE!$F$2,Nombres!$C$3:$D$636,44,FALSE)</f>
        <v>Deterioro de activos financieros no valorados a valor razonable con cambios en resultados</v>
      </c>
      <c r="B73" s="44">
        <v>-61.35471844714441</v>
      </c>
      <c r="C73" s="44">
        <v>-40.30933743101595</v>
      </c>
      <c r="D73" s="44">
        <v>-35.509614343900594</v>
      </c>
      <c r="E73" s="45">
        <v>-52.263773729005734</v>
      </c>
      <c r="F73" s="44">
        <v>-119.95055439112481</v>
      </c>
      <c r="G73" s="44">
        <v>-87.82386178960644</v>
      </c>
      <c r="H73" s="44">
        <v>-67.5500508952457</v>
      </c>
      <c r="I73" s="44">
        <v>-51.93053292402303</v>
      </c>
    </row>
    <row r="74" spans="1:9" ht="14.25">
      <c r="A74" s="43" t="str">
        <f>HLOOKUP(INDICE!$F$2,Nombres!$C$3:$D$636,45,FALSE)</f>
        <v>Provisiones o reversión de provisiones y otros resultados</v>
      </c>
      <c r="B74" s="44">
        <v>-1.1029947870107588</v>
      </c>
      <c r="C74" s="44">
        <v>-5.450161966777858</v>
      </c>
      <c r="D74" s="44">
        <v>-2.6028601200945043</v>
      </c>
      <c r="E74" s="45">
        <v>-6.046371762075919</v>
      </c>
      <c r="F74" s="44">
        <v>-2.321683309081765</v>
      </c>
      <c r="G74" s="44">
        <v>-9.575881721307542</v>
      </c>
      <c r="H74" s="44">
        <v>-4.741187405001328</v>
      </c>
      <c r="I74" s="44">
        <v>-0.4082475646093653</v>
      </c>
    </row>
    <row r="75" spans="1:9" ht="14.25">
      <c r="A75" s="41" t="str">
        <f>HLOOKUP(INDICE!$F$2,Nombres!$C$3:$D$636,46,FALSE)</f>
        <v>Resultado antes de impuestos</v>
      </c>
      <c r="B75" s="41">
        <f>+B72+B73+B74</f>
        <v>80.44581882299306</v>
      </c>
      <c r="C75" s="41">
        <f aca="true" t="shared" si="11" ref="C75:I75">+C72+C73+C74</f>
        <v>93.99714264934258</v>
      </c>
      <c r="D75" s="41">
        <f t="shared" si="11"/>
        <v>96.12448510171949</v>
      </c>
      <c r="E75" s="42">
        <f t="shared" si="11"/>
        <v>81.56770490463963</v>
      </c>
      <c r="F75" s="50">
        <f t="shared" si="11"/>
        <v>7.159551351394525</v>
      </c>
      <c r="G75" s="50">
        <f t="shared" si="11"/>
        <v>58.00974000596922</v>
      </c>
      <c r="H75" s="50">
        <f t="shared" si="11"/>
        <v>84.1659988579001</v>
      </c>
      <c r="I75" s="50">
        <f t="shared" si="11"/>
        <v>97.86109578473615</v>
      </c>
    </row>
    <row r="76" spans="1:9" ht="14.25">
      <c r="A76" s="43" t="str">
        <f>HLOOKUP(INDICE!$F$2,Nombres!$C$3:$D$636,47,FALSE)</f>
        <v>Impuesto sobre beneficios</v>
      </c>
      <c r="B76" s="44">
        <v>-29.116330404260854</v>
      </c>
      <c r="C76" s="44">
        <v>-29.534755342730833</v>
      </c>
      <c r="D76" s="44">
        <v>-33.94513173595426</v>
      </c>
      <c r="E76" s="45">
        <v>-17.758541220827308</v>
      </c>
      <c r="F76" s="44">
        <v>0.41674736158059034</v>
      </c>
      <c r="G76" s="44">
        <v>-17.708561339163843</v>
      </c>
      <c r="H76" s="44">
        <v>-26.884960683979042</v>
      </c>
      <c r="I76" s="44">
        <v>-31.6907963584377</v>
      </c>
    </row>
    <row r="77" spans="1:9" ht="14.25">
      <c r="A77" s="41" t="str">
        <f>HLOOKUP(INDICE!$F$2,Nombres!$C$3:$D$636,48,FALSE)</f>
        <v>Resultado del ejercicio</v>
      </c>
      <c r="B77" s="41">
        <f>+B75+B76</f>
        <v>51.32948841873221</v>
      </c>
      <c r="C77" s="41">
        <f aca="true" t="shared" si="12" ref="C77:I77">+C75+C76</f>
        <v>64.46238730661175</v>
      </c>
      <c r="D77" s="41">
        <f t="shared" si="12"/>
        <v>62.17935336576522</v>
      </c>
      <c r="E77" s="42">
        <f t="shared" si="12"/>
        <v>63.809163683812315</v>
      </c>
      <c r="F77" s="50">
        <f t="shared" si="12"/>
        <v>7.576298712975115</v>
      </c>
      <c r="G77" s="50">
        <f t="shared" si="12"/>
        <v>40.30117866680538</v>
      </c>
      <c r="H77" s="50">
        <f t="shared" si="12"/>
        <v>57.28103817392106</v>
      </c>
      <c r="I77" s="50">
        <f t="shared" si="12"/>
        <v>66.17029942629844</v>
      </c>
    </row>
    <row r="78" spans="1:9" ht="14.25">
      <c r="A78" s="43" t="str">
        <f>HLOOKUP(INDICE!$F$2,Nombres!$C$3:$D$636,49,FALSE)</f>
        <v>Minoritarios</v>
      </c>
      <c r="B78" s="44">
        <v>-1.973666592810621</v>
      </c>
      <c r="C78" s="44">
        <v>-2.456758778350729</v>
      </c>
      <c r="D78" s="44">
        <v>-2.375941878255083</v>
      </c>
      <c r="E78" s="45">
        <v>-2.4511603375312374</v>
      </c>
      <c r="F78" s="44">
        <v>0.09278377026361206</v>
      </c>
      <c r="G78" s="44">
        <v>-1.452011424848751</v>
      </c>
      <c r="H78" s="44">
        <v>-2.1062032076958443</v>
      </c>
      <c r="I78" s="44">
        <v>-2.506979497719017</v>
      </c>
    </row>
    <row r="79" spans="1:9" ht="14.25">
      <c r="A79" s="47" t="str">
        <f>HLOOKUP(INDICE!$F$2,Nombres!$C$3:$D$636,50,FALSE)</f>
        <v>Resultado atribuido</v>
      </c>
      <c r="B79" s="47">
        <f>+B77+B78</f>
        <v>49.35582182592159</v>
      </c>
      <c r="C79" s="47">
        <f aca="true" t="shared" si="13" ref="C79:I79">+C77+C78</f>
        <v>62.00562852826101</v>
      </c>
      <c r="D79" s="47">
        <f t="shared" si="13"/>
        <v>59.80341148751014</v>
      </c>
      <c r="E79" s="47">
        <f t="shared" si="13"/>
        <v>61.35800334628108</v>
      </c>
      <c r="F79" s="51">
        <f t="shared" si="13"/>
        <v>7.669082483238727</v>
      </c>
      <c r="G79" s="51">
        <f t="shared" si="13"/>
        <v>38.84916724195663</v>
      </c>
      <c r="H79" s="51">
        <f t="shared" si="13"/>
        <v>55.17483496622522</v>
      </c>
      <c r="I79" s="51">
        <f t="shared" si="13"/>
        <v>63.663319928579426</v>
      </c>
    </row>
    <row r="80" spans="1:9" ht="14.25">
      <c r="A80" s="63"/>
      <c r="B80" s="64">
        <v>0</v>
      </c>
      <c r="C80" s="64">
        <v>0</v>
      </c>
      <c r="D80" s="64">
        <v>0</v>
      </c>
      <c r="E80" s="64">
        <v>0</v>
      </c>
      <c r="F80" s="64">
        <v>-3.375077994860476E-14</v>
      </c>
      <c r="G80" s="64">
        <v>0</v>
      </c>
      <c r="H80" s="64">
        <v>0</v>
      </c>
      <c r="I80" s="64">
        <v>0</v>
      </c>
    </row>
    <row r="81" spans="1:9" ht="14.25">
      <c r="A81" s="41"/>
      <c r="B81" s="41"/>
      <c r="C81" s="41"/>
      <c r="D81" s="41"/>
      <c r="E81" s="41"/>
      <c r="F81" s="50"/>
      <c r="G81" s="50"/>
      <c r="H81" s="50"/>
      <c r="I81" s="50"/>
    </row>
    <row r="82" spans="1:9" ht="16.5">
      <c r="A82" s="33" t="str">
        <f>HLOOKUP(INDICE!$F$2,Nombres!$C$3:$D$636,51,FALSE)</f>
        <v>Balances</v>
      </c>
      <c r="B82" s="34"/>
      <c r="C82" s="34"/>
      <c r="D82" s="34"/>
      <c r="E82" s="34"/>
      <c r="F82" s="70"/>
      <c r="G82" s="70"/>
      <c r="H82" s="70"/>
      <c r="I82" s="70"/>
    </row>
    <row r="83" spans="1:9" ht="14.25">
      <c r="A83" s="35" t="str">
        <f>HLOOKUP(INDICE!$F$2,Nombres!$C$3:$D$636,73,FALSE)</f>
        <v>(Millones de euros constantes)</v>
      </c>
      <c r="B83" s="30"/>
      <c r="C83" s="52"/>
      <c r="D83" s="52"/>
      <c r="E83" s="52"/>
      <c r="F83" s="71"/>
      <c r="G83" s="44"/>
      <c r="H83" s="44"/>
      <c r="I83" s="44"/>
    </row>
    <row r="84" spans="1:9" ht="14.25">
      <c r="A84" s="30"/>
      <c r="B84" s="53">
        <f aca="true" t="shared" si="14" ref="B84:I84">+B$30</f>
        <v>43555</v>
      </c>
      <c r="C84" s="53">
        <f t="shared" si="14"/>
        <v>43646</v>
      </c>
      <c r="D84" s="53">
        <f t="shared" si="14"/>
        <v>43738</v>
      </c>
      <c r="E84" s="69">
        <f t="shared" si="14"/>
        <v>43830</v>
      </c>
      <c r="F84" s="53">
        <f t="shared" si="14"/>
        <v>43921</v>
      </c>
      <c r="G84" s="53">
        <f t="shared" si="14"/>
        <v>44012</v>
      </c>
      <c r="H84" s="53">
        <f t="shared" si="14"/>
        <v>44104</v>
      </c>
      <c r="I84" s="53">
        <f t="shared" si="14"/>
        <v>44196</v>
      </c>
    </row>
    <row r="85" spans="1:9" ht="14.25">
      <c r="A85" s="43" t="str">
        <f>HLOOKUP(INDICE!$F$2,Nombres!$C$3:$D$636,52,FALSE)</f>
        <v>Efectivo, saldos en efectivo en bancos centrales y otros depósitos a la vista</v>
      </c>
      <c r="B85" s="44">
        <v>1565.6668323060967</v>
      </c>
      <c r="C85" s="44">
        <v>1333.6503788106554</v>
      </c>
      <c r="D85" s="44">
        <v>1113.8525236798146</v>
      </c>
      <c r="E85" s="45">
        <v>1241.794842245303</v>
      </c>
      <c r="F85" s="44">
        <v>1364.4324527714216</v>
      </c>
      <c r="G85" s="44">
        <v>2219.1023483580684</v>
      </c>
      <c r="H85" s="44">
        <v>1360.179779869541</v>
      </c>
      <c r="I85" s="44">
        <v>1371.858</v>
      </c>
    </row>
    <row r="86" spans="1:9" ht="14.25">
      <c r="A86" s="43" t="str">
        <f>HLOOKUP(INDICE!$F$2,Nombres!$C$3:$D$636,53,FALSE)</f>
        <v>Activos financieros a valor razonable</v>
      </c>
      <c r="B86" s="58">
        <v>2544.4680939309155</v>
      </c>
      <c r="C86" s="58">
        <v>2620.9539688123104</v>
      </c>
      <c r="D86" s="58">
        <v>2581.119537633424</v>
      </c>
      <c r="E86" s="66">
        <v>2376.048542199235</v>
      </c>
      <c r="F86" s="44">
        <v>3638.876687603645</v>
      </c>
      <c r="G86" s="44">
        <v>3076.925075810093</v>
      </c>
      <c r="H86" s="44">
        <v>2877.198835131357</v>
      </c>
      <c r="I86" s="44">
        <v>2334.08</v>
      </c>
    </row>
    <row r="87" spans="1:9" ht="14.25">
      <c r="A87" s="43" t="str">
        <f>HLOOKUP(INDICE!$F$2,Nombres!$C$3:$D$636,54,FALSE)</f>
        <v>Activos financieros a coste amortizado</v>
      </c>
      <c r="B87" s="44">
        <v>10903.718962213969</v>
      </c>
      <c r="C87" s="44">
        <v>11118.39189561264</v>
      </c>
      <c r="D87" s="44">
        <v>11509.674265493755</v>
      </c>
      <c r="E87" s="45">
        <v>11789.951050105683</v>
      </c>
      <c r="F87" s="44">
        <v>12253.482620295154</v>
      </c>
      <c r="G87" s="44">
        <v>12618.415105151515</v>
      </c>
      <c r="H87" s="44">
        <v>12495.766176291489</v>
      </c>
      <c r="I87" s="44">
        <v>12459.14</v>
      </c>
    </row>
    <row r="88" spans="1:9" ht="14.25">
      <c r="A88" s="43" t="str">
        <f>HLOOKUP(INDICE!$F$2,Nombres!$C$3:$D$636,55,FALSE)</f>
        <v>    de los que préstamos y anticipos a la clientela</v>
      </c>
      <c r="B88" s="44">
        <v>10439.467828334127</v>
      </c>
      <c r="C88" s="44">
        <v>10648.45482404006</v>
      </c>
      <c r="D88" s="44">
        <v>11026.292414009504</v>
      </c>
      <c r="E88" s="45">
        <v>11295.403567335492</v>
      </c>
      <c r="F88" s="44">
        <v>11702.459890439028</v>
      </c>
      <c r="G88" s="44">
        <v>11830.894723310263</v>
      </c>
      <c r="H88" s="44">
        <v>11662.938000803399</v>
      </c>
      <c r="I88" s="44">
        <v>11608.973000000002</v>
      </c>
    </row>
    <row r="89" spans="1:9" ht="14.25">
      <c r="A89" s="43" t="str">
        <f>HLOOKUP(INDICE!$F$2,Nombres!$C$3:$D$636,56,FALSE)</f>
        <v>Activos tangibles</v>
      </c>
      <c r="B89" s="44">
        <v>127.29911363630994</v>
      </c>
      <c r="C89" s="44">
        <v>128.83946006490697</v>
      </c>
      <c r="D89" s="44">
        <v>129.27999681439792</v>
      </c>
      <c r="E89" s="45">
        <v>126.07111471086358</v>
      </c>
      <c r="F89" s="44">
        <v>122.095884530401</v>
      </c>
      <c r="G89" s="44">
        <v>121.2255517016646</v>
      </c>
      <c r="H89" s="44">
        <v>117.9480690057311</v>
      </c>
      <c r="I89" s="44">
        <v>114.9</v>
      </c>
    </row>
    <row r="90" spans="1:9" ht="14.25">
      <c r="A90" s="43" t="str">
        <f>HLOOKUP(INDICE!$F$2,Nombres!$C$3:$D$636,57,FALSE)</f>
        <v>Otros activos</v>
      </c>
      <c r="B90" s="58">
        <f>+B91-B89-B87-B86-B85</f>
        <v>306.75270723877566</v>
      </c>
      <c r="C90" s="58">
        <f aca="true" t="shared" si="15" ref="C90:I90">+C91-C89-C87-C86-C85</f>
        <v>334.14727764456825</v>
      </c>
      <c r="D90" s="58">
        <f t="shared" si="15"/>
        <v>419.4265324559465</v>
      </c>
      <c r="E90" s="66">
        <f t="shared" si="15"/>
        <v>321.0955782048088</v>
      </c>
      <c r="F90" s="44">
        <f t="shared" si="15"/>
        <v>700.8708509783801</v>
      </c>
      <c r="G90" s="44">
        <f t="shared" si="15"/>
        <v>477.2073133298113</v>
      </c>
      <c r="H90" s="44">
        <f t="shared" si="15"/>
        <v>512.3342108555298</v>
      </c>
      <c r="I90" s="44">
        <f t="shared" si="15"/>
        <v>540.7459999999976</v>
      </c>
    </row>
    <row r="91" spans="1:9" ht="14.25">
      <c r="A91" s="47" t="str">
        <f>HLOOKUP(INDICE!$F$2,Nombres!$C$3:$D$636,58,FALSE)</f>
        <v>Total activo / pasivo</v>
      </c>
      <c r="B91" s="47">
        <v>15447.905709326067</v>
      </c>
      <c r="C91" s="47">
        <v>15535.98298094508</v>
      </c>
      <c r="D91" s="47">
        <v>15753.352856077337</v>
      </c>
      <c r="E91" s="47">
        <v>15854.961127465893</v>
      </c>
      <c r="F91" s="51">
        <v>18079.758496179</v>
      </c>
      <c r="G91" s="51">
        <v>18512.87539435115</v>
      </c>
      <c r="H91" s="51">
        <v>17363.42707115365</v>
      </c>
      <c r="I91" s="51">
        <v>16820.724</v>
      </c>
    </row>
    <row r="92" spans="1:9" ht="14.25">
      <c r="A92" s="43" t="str">
        <f>HLOOKUP(INDICE!$F$2,Nombres!$C$3:$D$636,59,FALSE)</f>
        <v>Pasivos financieros mantenidos para negociar y designados a valor razonable con cambios en resultados</v>
      </c>
      <c r="B92" s="58">
        <v>1841.9750981010873</v>
      </c>
      <c r="C92" s="58">
        <v>1502.716429397202</v>
      </c>
      <c r="D92" s="58">
        <v>1280.1463772175296</v>
      </c>
      <c r="E92" s="66">
        <v>1455.6840413397151</v>
      </c>
      <c r="F92" s="44">
        <v>1837.0673790355263</v>
      </c>
      <c r="G92" s="44">
        <v>1645.0033347761162</v>
      </c>
      <c r="H92" s="44">
        <v>1486.445197532489</v>
      </c>
      <c r="I92" s="44">
        <v>1101.988</v>
      </c>
    </row>
    <row r="93" spans="1:9" ht="14.25">
      <c r="A93" s="43" t="str">
        <f>HLOOKUP(INDICE!$F$2,Nombres!$C$3:$D$636,60,FALSE)</f>
        <v>Depósitos de bancos centrales y entidades de crédito</v>
      </c>
      <c r="B93" s="58">
        <v>213.54772513854107</v>
      </c>
      <c r="C93" s="58">
        <v>272.02445759744995</v>
      </c>
      <c r="D93" s="58">
        <v>389.5736165306555</v>
      </c>
      <c r="E93" s="66">
        <v>518.9712100965075</v>
      </c>
      <c r="F93" s="44">
        <v>572.9576544345532</v>
      </c>
      <c r="G93" s="44">
        <v>446.03799806448785</v>
      </c>
      <c r="H93" s="44">
        <v>650.2228019805028</v>
      </c>
      <c r="I93" s="44">
        <v>535.3389999999999</v>
      </c>
    </row>
    <row r="94" spans="1:9" ht="14.25">
      <c r="A94" s="43" t="str">
        <f>HLOOKUP(INDICE!$F$2,Nombres!$C$3:$D$636,61,FALSE)</f>
        <v>Depósitos de la clientela</v>
      </c>
      <c r="B94" s="58">
        <v>10793.300516394891</v>
      </c>
      <c r="C94" s="58">
        <v>10984.444639856392</v>
      </c>
      <c r="D94" s="58">
        <v>11236.71183975374</v>
      </c>
      <c r="E94" s="66">
        <v>11088.305777943884</v>
      </c>
      <c r="F94" s="44">
        <v>12695.530665563918</v>
      </c>
      <c r="G94" s="44">
        <v>13564.681139420192</v>
      </c>
      <c r="H94" s="44">
        <v>12234.43279566646</v>
      </c>
      <c r="I94" s="44">
        <v>12130.376</v>
      </c>
    </row>
    <row r="95" spans="1:9" ht="14.25">
      <c r="A95" s="43" t="str">
        <f>HLOOKUP(INDICE!$F$2,Nombres!$C$3:$D$636,62,FALSE)</f>
        <v>Valores representativos de deuda emitidos</v>
      </c>
      <c r="B95" s="44">
        <v>529.41103936142</v>
      </c>
      <c r="C95" s="44">
        <v>534.8396796350477</v>
      </c>
      <c r="D95" s="44">
        <v>531.6566702274175</v>
      </c>
      <c r="E95" s="45">
        <v>506.35684396640784</v>
      </c>
      <c r="F95" s="44">
        <v>601.5525659945447</v>
      </c>
      <c r="G95" s="44">
        <v>569.92778171541</v>
      </c>
      <c r="H95" s="44">
        <v>587.2216353497267</v>
      </c>
      <c r="I95" s="44">
        <v>536.3969999999999</v>
      </c>
    </row>
    <row r="96" spans="1:9" ht="14.25">
      <c r="A96" s="43" t="str">
        <f>HLOOKUP(INDICE!$F$2,Nombres!$C$3:$D$636,63,FALSE)</f>
        <v>Otros pasivos</v>
      </c>
      <c r="B96" s="58">
        <f>+B91-B92-B93-B94-B95-B97</f>
        <v>1195.5445764223339</v>
      </c>
      <c r="C96" s="58">
        <f aca="true" t="shared" si="16" ref="C96:I96">+C91-C92-C93-C94-C95-C97</f>
        <v>1386.6756990281192</v>
      </c>
      <c r="D96" s="58">
        <f t="shared" si="16"/>
        <v>1414.2019120115356</v>
      </c>
      <c r="E96" s="66">
        <f t="shared" si="16"/>
        <v>1384.8818411600164</v>
      </c>
      <c r="F96" s="44">
        <f t="shared" si="16"/>
        <v>1274.6191607970914</v>
      </c>
      <c r="G96" s="44">
        <f t="shared" si="16"/>
        <v>1348.6205617732849</v>
      </c>
      <c r="H96" s="44">
        <f t="shared" si="16"/>
        <v>1443.005536294613</v>
      </c>
      <c r="I96" s="44">
        <f t="shared" si="16"/>
        <v>1616.0428863599989</v>
      </c>
    </row>
    <row r="97" spans="1:9" ht="14.25">
      <c r="A97" s="43" t="str">
        <f>HLOOKUP(INDICE!$F$2,Nombres!$C$3:$D$636,64,FALSE)</f>
        <v>Dotación de capital económico</v>
      </c>
      <c r="B97" s="44">
        <v>874.1267539077928</v>
      </c>
      <c r="C97" s="44">
        <v>855.282075430869</v>
      </c>
      <c r="D97" s="44">
        <v>901.0624403364592</v>
      </c>
      <c r="E97" s="45">
        <v>900.7614129593616</v>
      </c>
      <c r="F97" s="44">
        <v>1098.0310703533682</v>
      </c>
      <c r="G97" s="44">
        <v>938.6045786016612</v>
      </c>
      <c r="H97" s="44">
        <v>962.0991043298575</v>
      </c>
      <c r="I97" s="44">
        <v>900.58111364</v>
      </c>
    </row>
    <row r="98" spans="1:9" ht="14.25">
      <c r="A98" s="63"/>
      <c r="B98" s="58"/>
      <c r="C98" s="58"/>
      <c r="D98" s="58"/>
      <c r="E98" s="58"/>
      <c r="F98" s="44"/>
      <c r="G98" s="44"/>
      <c r="H98" s="44"/>
      <c r="I98" s="44"/>
    </row>
    <row r="99" spans="1:9" ht="14.25">
      <c r="A99" s="43"/>
      <c r="B99" s="58"/>
      <c r="C99" s="58"/>
      <c r="D99" s="58"/>
      <c r="E99" s="58"/>
      <c r="F99" s="44"/>
      <c r="G99" s="44"/>
      <c r="H99" s="44"/>
      <c r="I99" s="44"/>
    </row>
    <row r="100" spans="1:9" ht="16.5">
      <c r="A100" s="33" t="str">
        <f>HLOOKUP(INDICE!$F$2,Nombres!$C$3:$D$636,65,FALSE)</f>
        <v>Indicadores relevantes y de gestión</v>
      </c>
      <c r="B100" s="34"/>
      <c r="C100" s="34"/>
      <c r="D100" s="34"/>
      <c r="E100" s="34"/>
      <c r="F100" s="70"/>
      <c r="G100" s="70"/>
      <c r="H100" s="70"/>
      <c r="I100" s="70"/>
    </row>
    <row r="101" spans="1:9" ht="14.25">
      <c r="A101" s="35" t="str">
        <f>HLOOKUP(INDICE!$F$2,Nombres!$C$3:$D$636,73,FALSE)</f>
        <v>(Millones de euros constantes)</v>
      </c>
      <c r="B101" s="30"/>
      <c r="C101" s="30"/>
      <c r="D101" s="30"/>
      <c r="E101" s="30"/>
      <c r="F101" s="71"/>
      <c r="G101" s="44"/>
      <c r="H101" s="44"/>
      <c r="I101" s="44"/>
    </row>
    <row r="102" spans="1:9" ht="14.25">
      <c r="A102" s="30"/>
      <c r="B102" s="53">
        <f aca="true" t="shared" si="17" ref="B102:I102">+B$30</f>
        <v>43555</v>
      </c>
      <c r="C102" s="53">
        <f t="shared" si="17"/>
        <v>43646</v>
      </c>
      <c r="D102" s="53">
        <f t="shared" si="17"/>
        <v>43738</v>
      </c>
      <c r="E102" s="69">
        <f t="shared" si="17"/>
        <v>43830</v>
      </c>
      <c r="F102" s="53">
        <f t="shared" si="17"/>
        <v>43921</v>
      </c>
      <c r="G102" s="53">
        <f t="shared" si="17"/>
        <v>44012</v>
      </c>
      <c r="H102" s="53">
        <f t="shared" si="17"/>
        <v>44104</v>
      </c>
      <c r="I102" s="53">
        <f t="shared" si="17"/>
        <v>44196</v>
      </c>
    </row>
    <row r="103" spans="1:9" ht="14.25">
      <c r="A103" s="43" t="str">
        <f>HLOOKUP(INDICE!$F$2,Nombres!$C$3:$D$636,66,FALSE)</f>
        <v>Préstamos y anticipos a la clientela bruto (*)</v>
      </c>
      <c r="B103" s="44">
        <v>11042.278632485828</v>
      </c>
      <c r="C103" s="44">
        <v>11232.68696817333</v>
      </c>
      <c r="D103" s="44">
        <v>11583.679940910144</v>
      </c>
      <c r="E103" s="45">
        <v>11881.711572531256</v>
      </c>
      <c r="F103" s="44">
        <v>12393.453680775867</v>
      </c>
      <c r="G103" s="44">
        <v>12563.518661530105</v>
      </c>
      <c r="H103" s="44">
        <v>12417.007452409729</v>
      </c>
      <c r="I103" s="44">
        <v>12358.36728401</v>
      </c>
    </row>
    <row r="104" spans="1:9" ht="14.25">
      <c r="A104" s="43" t="str">
        <f>HLOOKUP(INDICE!$F$2,Nombres!$C$3:$D$636,67,FALSE)</f>
        <v>Depósitos de clientes en gestión (**)</v>
      </c>
      <c r="B104" s="44">
        <v>10893.520936399356</v>
      </c>
      <c r="C104" s="44">
        <v>10993.445971390684</v>
      </c>
      <c r="D104" s="44">
        <v>11245.129329404965</v>
      </c>
      <c r="E104" s="45">
        <v>11096.731100479636</v>
      </c>
      <c r="F104" s="44">
        <v>12703.983793826541</v>
      </c>
      <c r="G104" s="44">
        <v>13573.150760308616</v>
      </c>
      <c r="H104" s="44">
        <v>12234.432668555724</v>
      </c>
      <c r="I104" s="44">
        <v>12129.34187195</v>
      </c>
    </row>
    <row r="105" spans="1:9" ht="14.25">
      <c r="A105" s="43" t="str">
        <f>HLOOKUP(INDICE!$F$2,Nombres!$C$3:$D$636,68,FALSE)</f>
        <v>Fondos de inversión</v>
      </c>
      <c r="B105" s="44">
        <v>1233.4952142509972</v>
      </c>
      <c r="C105" s="44">
        <v>1235.9152688579347</v>
      </c>
      <c r="D105" s="44">
        <v>1318.081522778879</v>
      </c>
      <c r="E105" s="45">
        <v>1214.160870102264</v>
      </c>
      <c r="F105" s="44">
        <v>728.2510509807753</v>
      </c>
      <c r="G105" s="44">
        <v>1139.4074837876421</v>
      </c>
      <c r="H105" s="44">
        <v>1623.8038361726547</v>
      </c>
      <c r="I105" s="44">
        <v>1566.60486917</v>
      </c>
    </row>
    <row r="106" spans="1:9" ht="14.25">
      <c r="A106" s="43" t="str">
        <f>HLOOKUP(INDICE!$F$2,Nombres!$C$3:$D$636,69,FALSE)</f>
        <v>Fondos de pensiones</v>
      </c>
      <c r="B106" s="44">
        <v>0</v>
      </c>
      <c r="C106" s="44">
        <v>0</v>
      </c>
      <c r="D106" s="44">
        <v>0</v>
      </c>
      <c r="E106" s="45">
        <v>0</v>
      </c>
      <c r="F106" s="44">
        <v>0</v>
      </c>
      <c r="G106" s="44">
        <v>0</v>
      </c>
      <c r="H106" s="44">
        <v>0</v>
      </c>
      <c r="I106" s="44">
        <v>0</v>
      </c>
    </row>
    <row r="107" spans="1:9" ht="14.25">
      <c r="A107" s="43" t="str">
        <f>HLOOKUP(INDICE!$F$2,Nombres!$C$3:$D$636,70,FALSE)</f>
        <v>Otros recursos fuera de balance</v>
      </c>
      <c r="B107" s="44">
        <v>0</v>
      </c>
      <c r="C107" s="44">
        <v>0</v>
      </c>
      <c r="D107" s="44">
        <v>0</v>
      </c>
      <c r="E107" s="45">
        <v>0</v>
      </c>
      <c r="F107" s="44">
        <v>0</v>
      </c>
      <c r="G107" s="44">
        <v>0</v>
      </c>
      <c r="H107" s="44">
        <v>0</v>
      </c>
      <c r="I107" s="44">
        <v>0</v>
      </c>
    </row>
    <row r="108" spans="1:9" ht="14.25">
      <c r="A108" s="63" t="str">
        <f>HLOOKUP(INDICE!$F$2,Nombres!$C$3:$D$636,71,FALSE)</f>
        <v>(*) No incluye las adquisiciones temporales de activos.</v>
      </c>
      <c r="B108" s="58"/>
      <c r="C108" s="58"/>
      <c r="D108" s="58"/>
      <c r="E108" s="58"/>
      <c r="F108" s="58"/>
      <c r="G108" s="58"/>
      <c r="H108" s="58"/>
      <c r="I108" s="58"/>
    </row>
    <row r="109" spans="1:9" ht="14.25">
      <c r="A109" s="63" t="str">
        <f>HLOOKUP(INDICE!$F$2,Nombres!$C$3:$D$636,72,FALSE)</f>
        <v>(**) No incluye las cesiones temporales de activos.</v>
      </c>
      <c r="B109" s="30"/>
      <c r="C109" s="30"/>
      <c r="D109" s="30"/>
      <c r="E109" s="30"/>
      <c r="F109" s="30"/>
      <c r="G109" s="30"/>
      <c r="H109" s="30"/>
      <c r="I109" s="30"/>
    </row>
    <row r="110" spans="1:9" ht="14.25">
      <c r="A110" s="63"/>
      <c r="B110" s="58"/>
      <c r="C110" s="44"/>
      <c r="D110" s="44"/>
      <c r="E110" s="44"/>
      <c r="F110" s="44"/>
      <c r="G110" s="30"/>
      <c r="H110" s="30"/>
      <c r="I110" s="30"/>
    </row>
    <row r="111" spans="1:9" ht="16.5">
      <c r="A111" s="33" t="str">
        <f>HLOOKUP(INDICE!$F$2,Nombres!$C$3:$D$636,31,FALSE)</f>
        <v>Cuenta de resultados  </v>
      </c>
      <c r="B111" s="34"/>
      <c r="C111" s="34"/>
      <c r="D111" s="34"/>
      <c r="E111" s="34"/>
      <c r="F111" s="34"/>
      <c r="G111" s="34"/>
      <c r="H111" s="34"/>
      <c r="I111" s="34"/>
    </row>
    <row r="112" spans="1:9" ht="14.25">
      <c r="A112" s="35" t="str">
        <f>HLOOKUP(INDICE!$F$2,Nombres!$C$3:$D$636,75,FALSE)</f>
        <v>(Millones de pesos colombianos)</v>
      </c>
      <c r="B112" s="30"/>
      <c r="C112" s="36"/>
      <c r="D112" s="36"/>
      <c r="E112" s="36"/>
      <c r="F112" s="30"/>
      <c r="G112" s="30"/>
      <c r="H112" s="30"/>
      <c r="I112" s="30"/>
    </row>
    <row r="113" spans="1:9" ht="14.25">
      <c r="A113" s="37"/>
      <c r="B113" s="30"/>
      <c r="C113" s="36"/>
      <c r="D113" s="36"/>
      <c r="E113" s="36"/>
      <c r="F113" s="30"/>
      <c r="G113" s="30"/>
      <c r="H113" s="30"/>
      <c r="I113" s="30"/>
    </row>
    <row r="114" spans="1:9" ht="14.25">
      <c r="A114" s="38"/>
      <c r="B114" s="308">
        <f>+B$6</f>
        <v>2019</v>
      </c>
      <c r="C114" s="308"/>
      <c r="D114" s="308"/>
      <c r="E114" s="309"/>
      <c r="F114" s="308">
        <f>+F$6</f>
        <v>2020</v>
      </c>
      <c r="G114" s="308"/>
      <c r="H114" s="308"/>
      <c r="I114" s="308"/>
    </row>
    <row r="115" spans="1:9" ht="14.25">
      <c r="A115" s="38"/>
      <c r="B115" s="39" t="str">
        <f>+B$7</f>
        <v>1er Trim.</v>
      </c>
      <c r="C115" s="39" t="str">
        <f aca="true" t="shared" si="18" ref="C115:I115">+C$7</f>
        <v>2º Trim.</v>
      </c>
      <c r="D115" s="39" t="str">
        <f t="shared" si="18"/>
        <v>3er Trim.</v>
      </c>
      <c r="E115" s="40" t="str">
        <f t="shared" si="18"/>
        <v>4º Trim.</v>
      </c>
      <c r="F115" s="39" t="str">
        <f t="shared" si="18"/>
        <v>1er Trim.</v>
      </c>
      <c r="G115" s="39" t="str">
        <f t="shared" si="18"/>
        <v>2º Trim.</v>
      </c>
      <c r="H115" s="39" t="str">
        <f t="shared" si="18"/>
        <v>3er Trim.</v>
      </c>
      <c r="I115" s="39" t="str">
        <f t="shared" si="18"/>
        <v>4º Trim.</v>
      </c>
    </row>
    <row r="116" spans="1:9" ht="14.25">
      <c r="A116" s="41" t="str">
        <f>HLOOKUP(INDICE!$F$2,Nombres!$C$3:$D$636,33,FALSE)</f>
        <v>Margen de intereses</v>
      </c>
      <c r="B116" s="41">
        <v>754126.4126457308</v>
      </c>
      <c r="C116" s="41">
        <v>751180.6637694385</v>
      </c>
      <c r="D116" s="41">
        <v>762823.6896203957</v>
      </c>
      <c r="E116" s="42">
        <v>776724.7027668566</v>
      </c>
      <c r="F116" s="50">
        <v>817266.9058985681</v>
      </c>
      <c r="G116" s="50">
        <v>819961.0159943618</v>
      </c>
      <c r="H116" s="50">
        <v>808922.088299362</v>
      </c>
      <c r="I116" s="50">
        <v>846096.880219433</v>
      </c>
    </row>
    <row r="117" spans="1:9" ht="14.25">
      <c r="A117" s="43" t="str">
        <f>HLOOKUP(INDICE!$F$2,Nombres!$C$3:$D$636,34,FALSE)</f>
        <v>Comisiones netas</v>
      </c>
      <c r="B117" s="44">
        <v>79599.71971610661</v>
      </c>
      <c r="C117" s="44">
        <v>84702.7325351769</v>
      </c>
      <c r="D117" s="44">
        <v>80166.63027974711</v>
      </c>
      <c r="E117" s="45">
        <v>76859.72157040972</v>
      </c>
      <c r="F117" s="44">
        <v>68625.70687130185</v>
      </c>
      <c r="G117" s="44">
        <v>50454.35133558986</v>
      </c>
      <c r="H117" s="44">
        <v>93129.5623856484</v>
      </c>
      <c r="I117" s="44">
        <v>83901.78814354431</v>
      </c>
    </row>
    <row r="118" spans="1:9" ht="14.25">
      <c r="A118" s="43" t="str">
        <f>HLOOKUP(INDICE!$F$2,Nombres!$C$3:$D$636,35,FALSE)</f>
        <v>Resultados de operaciones financieras</v>
      </c>
      <c r="B118" s="44">
        <v>71936.85865751535</v>
      </c>
      <c r="C118" s="44">
        <v>65688.27159849773</v>
      </c>
      <c r="D118" s="44">
        <v>46685.68630039817</v>
      </c>
      <c r="E118" s="45">
        <v>67036.15607058682</v>
      </c>
      <c r="F118" s="44">
        <v>18712.170255716606</v>
      </c>
      <c r="G118" s="44">
        <v>102394.3310637862</v>
      </c>
      <c r="H118" s="44">
        <v>118439.14184527077</v>
      </c>
      <c r="I118" s="44">
        <v>70979.28307843079</v>
      </c>
    </row>
    <row r="119" spans="1:9" ht="14.25">
      <c r="A119" s="43" t="str">
        <f>HLOOKUP(INDICE!$F$2,Nombres!$C$3:$D$636,36,FALSE)</f>
        <v>Otros ingresos y cargas de explotación</v>
      </c>
      <c r="B119" s="44">
        <v>29790.687460302983</v>
      </c>
      <c r="C119" s="44">
        <v>6279.390999664542</v>
      </c>
      <c r="D119" s="44">
        <v>9214.211998930952</v>
      </c>
      <c r="E119" s="45">
        <v>19151.96364211184</v>
      </c>
      <c r="F119" s="44">
        <v>-5246.09123395745</v>
      </c>
      <c r="G119" s="44">
        <v>-7546.435601203826</v>
      </c>
      <c r="H119" s="44">
        <v>-27578.30666638386</v>
      </c>
      <c r="I119" s="44">
        <v>-8995.391166559544</v>
      </c>
    </row>
    <row r="120" spans="1:9" ht="14.25">
      <c r="A120" s="41" t="str">
        <f>HLOOKUP(INDICE!$F$2,Nombres!$C$3:$D$636,37,FALSE)</f>
        <v>Margen bruto</v>
      </c>
      <c r="B120" s="41">
        <f>+SUM(B116:B119)</f>
        <v>935453.6784796558</v>
      </c>
      <c r="C120" s="41">
        <f aca="true" t="shared" si="19" ref="C120:I120">+SUM(C116:C119)</f>
        <v>907851.0589027777</v>
      </c>
      <c r="D120" s="41">
        <f t="shared" si="19"/>
        <v>898890.2181994718</v>
      </c>
      <c r="E120" s="42">
        <f t="shared" si="19"/>
        <v>939772.5440499651</v>
      </c>
      <c r="F120" s="50">
        <f t="shared" si="19"/>
        <v>899358.6917916292</v>
      </c>
      <c r="G120" s="50">
        <f t="shared" si="19"/>
        <v>965263.2627925341</v>
      </c>
      <c r="H120" s="50">
        <f t="shared" si="19"/>
        <v>992912.4858638973</v>
      </c>
      <c r="I120" s="50">
        <f t="shared" si="19"/>
        <v>991982.5602748486</v>
      </c>
    </row>
    <row r="121" spans="1:9" ht="14.25">
      <c r="A121" s="43" t="str">
        <f>HLOOKUP(INDICE!$F$2,Nombres!$C$3:$D$636,38,FALSE)</f>
        <v>Gastos de explotación</v>
      </c>
      <c r="B121" s="44">
        <v>-332856.2692886689</v>
      </c>
      <c r="C121" s="44">
        <v>-318523.49503852346</v>
      </c>
      <c r="D121" s="44">
        <v>-332838.1207633784</v>
      </c>
      <c r="E121" s="45">
        <v>-349933.8672987293</v>
      </c>
      <c r="F121" s="44">
        <v>-353569.0977439589</v>
      </c>
      <c r="G121" s="44">
        <v>-309930.6003812785</v>
      </c>
      <c r="H121" s="44">
        <v>-333161.64273585164</v>
      </c>
      <c r="I121" s="44">
        <v>-358617.8351332549</v>
      </c>
    </row>
    <row r="122" spans="1:9" ht="14.25">
      <c r="A122" s="43" t="str">
        <f>HLOOKUP(INDICE!$F$2,Nombres!$C$3:$D$636,39,FALSE)</f>
        <v>  Gastos de administración</v>
      </c>
      <c r="B122" s="44">
        <v>-306334.9005478588</v>
      </c>
      <c r="C122" s="44">
        <v>-291863.74240666797</v>
      </c>
      <c r="D122" s="44">
        <v>-303530.64231604117</v>
      </c>
      <c r="E122" s="45">
        <v>-315908.20058123814</v>
      </c>
      <c r="F122" s="44">
        <v>-324019.3674923144</v>
      </c>
      <c r="G122" s="44">
        <v>-279563.64820568153</v>
      </c>
      <c r="H122" s="44">
        <v>-302769.99145347497</v>
      </c>
      <c r="I122" s="44">
        <v>-328169.30749320914</v>
      </c>
    </row>
    <row r="123" spans="1:9" ht="14.25">
      <c r="A123" s="46" t="str">
        <f>HLOOKUP(INDICE!$F$2,Nombres!$C$3:$D$636,40,FALSE)</f>
        <v>  Gastos de personal</v>
      </c>
      <c r="B123" s="44">
        <v>-160118.26756906416</v>
      </c>
      <c r="C123" s="44">
        <v>-151057.7553540272</v>
      </c>
      <c r="D123" s="44">
        <v>-157506.55632246973</v>
      </c>
      <c r="E123" s="45">
        <v>-154883.28933205502</v>
      </c>
      <c r="F123" s="44">
        <v>-164684.35991089355</v>
      </c>
      <c r="G123" s="44">
        <v>-140620.31263760565</v>
      </c>
      <c r="H123" s="44">
        <v>-150311.99601657028</v>
      </c>
      <c r="I123" s="44">
        <v>-159460.26222537688</v>
      </c>
    </row>
    <row r="124" spans="1:9" ht="14.25">
      <c r="A124" s="46" t="str">
        <f>HLOOKUP(INDICE!$F$2,Nombres!$C$3:$D$636,41,FALSE)</f>
        <v>  Otros gastos de administración</v>
      </c>
      <c r="B124" s="44">
        <v>-146216.6329787946</v>
      </c>
      <c r="C124" s="44">
        <v>-140805.98705264073</v>
      </c>
      <c r="D124" s="44">
        <v>-146024.08599357147</v>
      </c>
      <c r="E124" s="45">
        <v>-161024.91124918315</v>
      </c>
      <c r="F124" s="44">
        <v>-159335.0075814209</v>
      </c>
      <c r="G124" s="44">
        <v>-138943.33556807588</v>
      </c>
      <c r="H124" s="44">
        <v>-152457.99543690466</v>
      </c>
      <c r="I124" s="44">
        <v>-168709.0452678322</v>
      </c>
    </row>
    <row r="125" spans="1:9" ht="14.25">
      <c r="A125" s="43" t="str">
        <f>HLOOKUP(INDICE!$F$2,Nombres!$C$3:$D$636,42,FALSE)</f>
        <v>  Amortización</v>
      </c>
      <c r="B125" s="44">
        <v>-26521.36874081007</v>
      </c>
      <c r="C125" s="44">
        <v>-26659.75263185551</v>
      </c>
      <c r="D125" s="44">
        <v>-29307.478447337195</v>
      </c>
      <c r="E125" s="45">
        <v>-34025.66671749111</v>
      </c>
      <c r="F125" s="44">
        <v>-29549.730251644385</v>
      </c>
      <c r="G125" s="44">
        <v>-30366.95217559697</v>
      </c>
      <c r="H125" s="44">
        <v>-30391.651282376704</v>
      </c>
      <c r="I125" s="44">
        <v>-30448.527640045744</v>
      </c>
    </row>
    <row r="126" spans="1:9" ht="14.25">
      <c r="A126" s="41" t="str">
        <f>HLOOKUP(INDICE!$F$2,Nombres!$C$3:$D$636,43,FALSE)</f>
        <v>Margen neto</v>
      </c>
      <c r="B126" s="41">
        <f>+B120+B121</f>
        <v>602597.4091909869</v>
      </c>
      <c r="C126" s="41">
        <f aca="true" t="shared" si="20" ref="C126:I126">+C120+C121</f>
        <v>589327.5638642543</v>
      </c>
      <c r="D126" s="41">
        <f t="shared" si="20"/>
        <v>566052.0974360935</v>
      </c>
      <c r="E126" s="42">
        <f t="shared" si="20"/>
        <v>589838.6767512357</v>
      </c>
      <c r="F126" s="50">
        <f t="shared" si="20"/>
        <v>545789.5940476703</v>
      </c>
      <c r="G126" s="50">
        <f t="shared" si="20"/>
        <v>655332.6624112555</v>
      </c>
      <c r="H126" s="50">
        <f t="shared" si="20"/>
        <v>659750.8431280456</v>
      </c>
      <c r="I126" s="50">
        <f t="shared" si="20"/>
        <v>633364.7251415937</v>
      </c>
    </row>
    <row r="127" spans="1:9" ht="14.25">
      <c r="A127" s="43" t="str">
        <f>HLOOKUP(INDICE!$F$2,Nombres!$C$3:$D$636,44,FALSE)</f>
        <v>Deterioro de activos financieros no valorados a valor razonable con cambios en resultados</v>
      </c>
      <c r="B127" s="44">
        <v>-258721.34751089418</v>
      </c>
      <c r="C127" s="44">
        <v>-169976.92046143117</v>
      </c>
      <c r="D127" s="44">
        <v>-149737.387851606</v>
      </c>
      <c r="E127" s="45">
        <v>-220386.5376192946</v>
      </c>
      <c r="F127" s="44">
        <v>-505809.0046242402</v>
      </c>
      <c r="G127" s="44">
        <v>-370336.763673553</v>
      </c>
      <c r="H127" s="44">
        <v>-284845.9032063385</v>
      </c>
      <c r="I127" s="44">
        <v>-218981.32360653722</v>
      </c>
    </row>
    <row r="128" spans="1:9" ht="14.25">
      <c r="A128" s="43" t="str">
        <f>HLOOKUP(INDICE!$F$2,Nombres!$C$3:$D$636,45,FALSE)</f>
        <v>Provisiones o reversión de provisiones y otros resultados</v>
      </c>
      <c r="B128" s="44">
        <v>-4651.122274136962</v>
      </c>
      <c r="C128" s="44">
        <v>-22982.311448664484</v>
      </c>
      <c r="D128" s="44">
        <v>-10975.77325260402</v>
      </c>
      <c r="E128" s="45">
        <v>-25496.416403307754</v>
      </c>
      <c r="F128" s="44">
        <v>-9790.103343667819</v>
      </c>
      <c r="G128" s="44">
        <v>-40379.69833853807</v>
      </c>
      <c r="H128" s="44">
        <v>-19992.69861013785</v>
      </c>
      <c r="I128" s="44">
        <v>-1721.5034590170474</v>
      </c>
    </row>
    <row r="129" spans="1:9" ht="14.25">
      <c r="A129" s="41" t="str">
        <f>HLOOKUP(INDICE!$F$2,Nombres!$C$3:$D$636,46,FALSE)</f>
        <v>Resultado antes de impuestos</v>
      </c>
      <c r="B129" s="41">
        <f>+B126+B127+B128</f>
        <v>339224.9394059557</v>
      </c>
      <c r="C129" s="41">
        <f aca="true" t="shared" si="21" ref="C129:I129">+C126+C127+C128</f>
        <v>396368.33195415867</v>
      </c>
      <c r="D129" s="41">
        <f t="shared" si="21"/>
        <v>405338.9363318835</v>
      </c>
      <c r="E129" s="42">
        <f t="shared" si="21"/>
        <v>343955.7227286334</v>
      </c>
      <c r="F129" s="50">
        <f t="shared" si="21"/>
        <v>30190.486079762217</v>
      </c>
      <c r="G129" s="50">
        <f t="shared" si="21"/>
        <v>244616.20039916446</v>
      </c>
      <c r="H129" s="50">
        <f t="shared" si="21"/>
        <v>354912.2413115692</v>
      </c>
      <c r="I129" s="50">
        <f t="shared" si="21"/>
        <v>412661.8980760395</v>
      </c>
    </row>
    <row r="130" spans="1:9" ht="14.25">
      <c r="A130" s="43" t="str">
        <f>HLOOKUP(INDICE!$F$2,Nombres!$C$3:$D$636,47,FALSE)</f>
        <v>Impuesto sobre beneficios</v>
      </c>
      <c r="B130" s="44">
        <v>-122778.10781989485</v>
      </c>
      <c r="C130" s="44">
        <v>-124542.52735685962</v>
      </c>
      <c r="D130" s="44">
        <v>-143140.25793674967</v>
      </c>
      <c r="E130" s="45">
        <v>-74884.4397100162</v>
      </c>
      <c r="F130" s="44">
        <v>1757.345509663166</v>
      </c>
      <c r="G130" s="44">
        <v>-74673.68391714999</v>
      </c>
      <c r="H130" s="44">
        <v>-113368.83995203474</v>
      </c>
      <c r="I130" s="44">
        <v>-133634.14819695827</v>
      </c>
    </row>
    <row r="131" spans="1:9" ht="14.25">
      <c r="A131" s="41" t="str">
        <f>HLOOKUP(INDICE!$F$2,Nombres!$C$3:$D$636,48,FALSE)</f>
        <v>Resultado del ejercicio</v>
      </c>
      <c r="B131" s="41">
        <f>+B129+B130</f>
        <v>216446.83158606087</v>
      </c>
      <c r="C131" s="41">
        <f aca="true" t="shared" si="22" ref="C131:I131">+C129+C130</f>
        <v>271825.8045972991</v>
      </c>
      <c r="D131" s="41">
        <f t="shared" si="22"/>
        <v>262198.6783951338</v>
      </c>
      <c r="E131" s="42">
        <f t="shared" si="22"/>
        <v>269071.2830186172</v>
      </c>
      <c r="F131" s="50">
        <f t="shared" si="22"/>
        <v>31947.831589425383</v>
      </c>
      <c r="G131" s="50">
        <f t="shared" si="22"/>
        <v>169942.51648201447</v>
      </c>
      <c r="H131" s="50">
        <f t="shared" si="22"/>
        <v>241543.40135953441</v>
      </c>
      <c r="I131" s="50">
        <f t="shared" si="22"/>
        <v>279027.74987908127</v>
      </c>
    </row>
    <row r="132" spans="1:9" ht="14.25">
      <c r="A132" s="43" t="str">
        <f>HLOOKUP(INDICE!$F$2,Nombres!$C$3:$D$636,49,FALSE)</f>
        <v>Minoritarios</v>
      </c>
      <c r="B132" s="44">
        <v>-8322.582082567847</v>
      </c>
      <c r="C132" s="44">
        <v>-10359.691279354276</v>
      </c>
      <c r="D132" s="44">
        <v>-10018.901559776124</v>
      </c>
      <c r="E132" s="45">
        <v>-10336.083703776749</v>
      </c>
      <c r="F132" s="44">
        <v>391.25176803513386</v>
      </c>
      <c r="G132" s="44">
        <v>-6122.860017061439</v>
      </c>
      <c r="H132" s="44">
        <v>-8881.46414519483</v>
      </c>
      <c r="I132" s="44">
        <v>-10571.462639679614</v>
      </c>
    </row>
    <row r="133" spans="1:9" ht="14.25">
      <c r="A133" s="47" t="str">
        <f>HLOOKUP(INDICE!$F$2,Nombres!$C$3:$D$636,50,FALSE)</f>
        <v>Resultado atribuido</v>
      </c>
      <c r="B133" s="47">
        <f>+B131+B132</f>
        <v>208124.24950349302</v>
      </c>
      <c r="C133" s="47">
        <f aca="true" t="shared" si="23" ref="C133:I133">+C131+C132</f>
        <v>261466.1133179448</v>
      </c>
      <c r="D133" s="47">
        <f t="shared" si="23"/>
        <v>252179.77683535768</v>
      </c>
      <c r="E133" s="47">
        <f t="shared" si="23"/>
        <v>258735.19931484043</v>
      </c>
      <c r="F133" s="51">
        <f t="shared" si="23"/>
        <v>32339.083357460517</v>
      </c>
      <c r="G133" s="51">
        <f t="shared" si="23"/>
        <v>163819.65646495303</v>
      </c>
      <c r="H133" s="51">
        <f t="shared" si="23"/>
        <v>232661.9372143396</v>
      </c>
      <c r="I133" s="51">
        <f t="shared" si="23"/>
        <v>268456.28723940166</v>
      </c>
    </row>
    <row r="134" spans="1:9" ht="14.25">
      <c r="A134" s="63"/>
      <c r="B134" s="64">
        <v>0</v>
      </c>
      <c r="C134" s="64">
        <v>2.3283064365386963E-10</v>
      </c>
      <c r="D134" s="64">
        <v>0</v>
      </c>
      <c r="E134" s="64">
        <v>0</v>
      </c>
      <c r="F134" s="64">
        <v>-4.729372449219227E-11</v>
      </c>
      <c r="G134" s="64">
        <v>0</v>
      </c>
      <c r="H134" s="64">
        <v>0</v>
      </c>
      <c r="I134" s="64">
        <v>0</v>
      </c>
    </row>
    <row r="135" spans="1:9" ht="14.25">
      <c r="A135" s="41"/>
      <c r="B135" s="41"/>
      <c r="C135" s="41"/>
      <c r="D135" s="41"/>
      <c r="E135" s="41"/>
      <c r="F135" s="50"/>
      <c r="G135" s="50"/>
      <c r="H135" s="50"/>
      <c r="I135" s="50"/>
    </row>
    <row r="136" spans="1:9" ht="16.5">
      <c r="A136" s="33" t="str">
        <f>HLOOKUP(INDICE!$F$2,Nombres!$C$3:$D$636,51,FALSE)</f>
        <v>Balances</v>
      </c>
      <c r="B136" s="34"/>
      <c r="C136" s="34"/>
      <c r="D136" s="34"/>
      <c r="E136" s="34"/>
      <c r="F136" s="70"/>
      <c r="G136" s="70"/>
      <c r="H136" s="70"/>
      <c r="I136" s="70"/>
    </row>
    <row r="137" spans="1:9" ht="14.25">
      <c r="A137" s="35" t="str">
        <f>HLOOKUP(INDICE!$F$2,Nombres!$C$3:$D$636,75,FALSE)</f>
        <v>(Millones de pesos colombianos)</v>
      </c>
      <c r="B137" s="30"/>
      <c r="C137" s="52"/>
      <c r="D137" s="52"/>
      <c r="E137" s="52"/>
      <c r="F137" s="71"/>
      <c r="G137" s="44"/>
      <c r="H137" s="44"/>
      <c r="I137" s="44"/>
    </row>
    <row r="138" spans="1:9" ht="14.25">
      <c r="A138" s="30"/>
      <c r="B138" s="53">
        <f aca="true" t="shared" si="24" ref="B138:I138">+B$30</f>
        <v>43555</v>
      </c>
      <c r="C138" s="53">
        <f t="shared" si="24"/>
        <v>43646</v>
      </c>
      <c r="D138" s="53">
        <f t="shared" si="24"/>
        <v>43738</v>
      </c>
      <c r="E138" s="69">
        <f t="shared" si="24"/>
        <v>43830</v>
      </c>
      <c r="F138" s="53">
        <f t="shared" si="24"/>
        <v>43921</v>
      </c>
      <c r="G138" s="53">
        <f t="shared" si="24"/>
        <v>44012</v>
      </c>
      <c r="H138" s="53">
        <f t="shared" si="24"/>
        <v>44104</v>
      </c>
      <c r="I138" s="53">
        <f t="shared" si="24"/>
        <v>44196</v>
      </c>
    </row>
    <row r="139" spans="1:9" ht="14.25">
      <c r="A139" s="43" t="str">
        <f>HLOOKUP(INDICE!$F$2,Nombres!$C$3:$D$636,52,FALSE)</f>
        <v>Efectivo, saldos en efectivo en bancos centrales y otros depósitos a la vista</v>
      </c>
      <c r="B139" s="44">
        <v>6594621.198551635</v>
      </c>
      <c r="C139" s="44">
        <v>5617363.080117746</v>
      </c>
      <c r="D139" s="44">
        <v>4691569.951635197</v>
      </c>
      <c r="E139" s="45">
        <v>5230465.653322299</v>
      </c>
      <c r="F139" s="44">
        <v>5747017.81462985</v>
      </c>
      <c r="G139" s="44">
        <v>9346905.156496782</v>
      </c>
      <c r="H139" s="44">
        <v>5729105.468088064</v>
      </c>
      <c r="I139" s="44">
        <v>5778294.373699766</v>
      </c>
    </row>
    <row r="140" spans="1:9" ht="14.25">
      <c r="A140" s="43" t="str">
        <f>HLOOKUP(INDICE!$F$2,Nombres!$C$3:$D$636,53,FALSE)</f>
        <v>Activos financieros a valor razonable</v>
      </c>
      <c r="B140" s="58">
        <v>10717352.430950997</v>
      </c>
      <c r="C140" s="58">
        <v>11039512.523682656</v>
      </c>
      <c r="D140" s="58">
        <v>10871729.072654571</v>
      </c>
      <c r="E140" s="66">
        <v>10007965.78292168</v>
      </c>
      <c r="F140" s="44">
        <v>15327024.145769738</v>
      </c>
      <c r="G140" s="44">
        <v>12960072.291628709</v>
      </c>
      <c r="H140" s="44">
        <v>12118821.219874823</v>
      </c>
      <c r="I140" s="44">
        <v>9831193.411974963</v>
      </c>
    </row>
    <row r="141" spans="1:9" ht="14.25">
      <c r="A141" s="43" t="str">
        <f>HLOOKUP(INDICE!$F$2,Nombres!$C$3:$D$636,54,FALSE)</f>
        <v>Activos financieros a coste amortizado</v>
      </c>
      <c r="B141" s="44">
        <v>45926690.61357984</v>
      </c>
      <c r="C141" s="44">
        <v>46830897.465340875</v>
      </c>
      <c r="D141" s="44">
        <v>48478986.92971104</v>
      </c>
      <c r="E141" s="45">
        <v>49659518.56461916</v>
      </c>
      <c r="F141" s="44">
        <v>51611923.16047239</v>
      </c>
      <c r="G141" s="44">
        <v>53149026.36213451</v>
      </c>
      <c r="H141" s="44">
        <v>52632426.52776959</v>
      </c>
      <c r="I141" s="44">
        <v>52478156.31292574</v>
      </c>
    </row>
    <row r="142" spans="1:9" ht="14.25">
      <c r="A142" s="43" t="str">
        <f>HLOOKUP(INDICE!$F$2,Nombres!$C$3:$D$636,55,FALSE)</f>
        <v>    de los que préstamos y anticipos a la clientela</v>
      </c>
      <c r="B142" s="44">
        <v>43971255.2005257</v>
      </c>
      <c r="C142" s="44">
        <v>44851512.76469344</v>
      </c>
      <c r="D142" s="44">
        <v>46442972.53698232</v>
      </c>
      <c r="E142" s="45">
        <v>47576474.30113241</v>
      </c>
      <c r="F142" s="44">
        <v>49291003.98391889</v>
      </c>
      <c r="G142" s="44">
        <v>49831974.166085646</v>
      </c>
      <c r="H142" s="44">
        <v>49124536.964358926</v>
      </c>
      <c r="I142" s="44">
        <v>48897235.260743074</v>
      </c>
    </row>
    <row r="143" spans="1:9" ht="14.25">
      <c r="A143" s="43" t="str">
        <f>HLOOKUP(INDICE!$F$2,Nombres!$C$3:$D$636,56,FALSE)</f>
        <v>Activos tangibles</v>
      </c>
      <c r="B143" s="44">
        <v>536186.5091734398</v>
      </c>
      <c r="C143" s="44">
        <v>542674.4803059555</v>
      </c>
      <c r="D143" s="44">
        <v>544530.0302396888</v>
      </c>
      <c r="E143" s="45">
        <v>531014.152208057</v>
      </c>
      <c r="F143" s="44">
        <v>514270.4001681748</v>
      </c>
      <c r="G143" s="44">
        <v>510604.5402267424</v>
      </c>
      <c r="H143" s="44">
        <v>496799.71507588075</v>
      </c>
      <c r="I143" s="44">
        <v>483961.18515043316</v>
      </c>
    </row>
    <row r="144" spans="1:9" ht="14.25">
      <c r="A144" s="43" t="str">
        <f>HLOOKUP(INDICE!$F$2,Nombres!$C$3:$D$636,57,FALSE)</f>
        <v>Otros activos</v>
      </c>
      <c r="B144" s="58">
        <f>+B145-B143-B141-B140-B139</f>
        <v>1292048.7706125667</v>
      </c>
      <c r="C144" s="58">
        <f aca="true" t="shared" si="25" ref="C144:I144">+C145-C143-C141-C140-C139</f>
        <v>1407435.2698316565</v>
      </c>
      <c r="D144" s="58">
        <f t="shared" si="25"/>
        <v>1766633.2613656782</v>
      </c>
      <c r="E144" s="66">
        <f t="shared" si="25"/>
        <v>1352461.2408578051</v>
      </c>
      <c r="F144" s="44">
        <f t="shared" si="25"/>
        <v>2952082.573341067</v>
      </c>
      <c r="G144" s="44">
        <f t="shared" si="25"/>
        <v>2010007.109848125</v>
      </c>
      <c r="H144" s="44">
        <f t="shared" si="25"/>
        <v>2157962.33140778</v>
      </c>
      <c r="I144" s="44">
        <f t="shared" si="25"/>
        <v>2277633.3770701215</v>
      </c>
    </row>
    <row r="145" spans="1:9" ht="14.25">
      <c r="A145" s="47" t="str">
        <f>HLOOKUP(INDICE!$F$2,Nombres!$C$3:$D$636,58,FALSE)</f>
        <v>Total activo / pasivo</v>
      </c>
      <c r="B145" s="47">
        <v>65066899.52286848</v>
      </c>
      <c r="C145" s="47">
        <v>65437882.81927889</v>
      </c>
      <c r="D145" s="47">
        <v>66353449.24560617</v>
      </c>
      <c r="E145" s="47">
        <v>66781425.393929005</v>
      </c>
      <c r="F145" s="51">
        <v>76152318.09438123</v>
      </c>
      <c r="G145" s="51">
        <v>77976615.46033487</v>
      </c>
      <c r="H145" s="51">
        <v>73135115.26221614</v>
      </c>
      <c r="I145" s="51">
        <v>70849238.66082102</v>
      </c>
    </row>
    <row r="146" spans="1:9" ht="14.25">
      <c r="A146" s="43" t="str">
        <f>HLOOKUP(INDICE!$F$2,Nombres!$C$3:$D$636,59,FALSE)</f>
        <v>Pasivos financieros mantenidos para negociar y designados a valor razonable con cambios en resultados</v>
      </c>
      <c r="B146" s="58">
        <v>7758437.349822349</v>
      </c>
      <c r="C146" s="58">
        <v>6329472.7947441</v>
      </c>
      <c r="D146" s="58">
        <v>5392003.114745248</v>
      </c>
      <c r="E146" s="66">
        <v>6131371.399924636</v>
      </c>
      <c r="F146" s="44">
        <v>7737765.9352413695</v>
      </c>
      <c r="G146" s="44">
        <v>6928788.193861306</v>
      </c>
      <c r="H146" s="44">
        <v>6260938.0283637345</v>
      </c>
      <c r="I146" s="44">
        <v>4641596.331606228</v>
      </c>
    </row>
    <row r="147" spans="1:9" ht="14.25">
      <c r="A147" s="43" t="str">
        <f>HLOOKUP(INDICE!$F$2,Nombres!$C$3:$D$636,60,FALSE)</f>
        <v>Depósitos de bancos centrales y entidades de crédito</v>
      </c>
      <c r="B147" s="58">
        <v>899467.4512117258</v>
      </c>
      <c r="C147" s="58">
        <v>1145772.6622172818</v>
      </c>
      <c r="D147" s="58">
        <v>1640892.1597869138</v>
      </c>
      <c r="E147" s="66">
        <v>2185917.5099848583</v>
      </c>
      <c r="F147" s="44">
        <v>2413309.53421374</v>
      </c>
      <c r="G147" s="44">
        <v>1878721.306922682</v>
      </c>
      <c r="H147" s="44">
        <v>2738751.939585027</v>
      </c>
      <c r="I147" s="44">
        <v>2254858.9808289623</v>
      </c>
    </row>
    <row r="148" spans="1:9" ht="14.25">
      <c r="A148" s="43" t="str">
        <f>HLOOKUP(INDICE!$F$2,Nombres!$C$3:$D$636,61,FALSE)</f>
        <v>Depósitos de la clientela</v>
      </c>
      <c r="B148" s="58">
        <v>45461605.82766976</v>
      </c>
      <c r="C148" s="58">
        <v>46266708.84355286</v>
      </c>
      <c r="D148" s="58">
        <v>47329263.52620647</v>
      </c>
      <c r="E148" s="66">
        <v>46704174.1131777</v>
      </c>
      <c r="F148" s="44">
        <v>53473838.70339409</v>
      </c>
      <c r="G148" s="44">
        <v>57134718.54152763</v>
      </c>
      <c r="H148" s="44">
        <v>51531684.90369076</v>
      </c>
      <c r="I148" s="44">
        <v>51093395.52028173</v>
      </c>
    </row>
    <row r="149" spans="1:9" ht="14.25">
      <c r="A149" s="43" t="str">
        <f>HLOOKUP(INDICE!$F$2,Nombres!$C$3:$D$636,62,FALSE)</f>
        <v>Valores representativos de deuda emitidos</v>
      </c>
      <c r="B149" s="44">
        <v>2229890.287563755</v>
      </c>
      <c r="C149" s="44">
        <v>2252755.8330866466</v>
      </c>
      <c r="D149" s="44">
        <v>2239348.931387241</v>
      </c>
      <c r="E149" s="45">
        <v>2132785.537989693</v>
      </c>
      <c r="F149" s="44">
        <v>2533751.895291593</v>
      </c>
      <c r="G149" s="44">
        <v>2400547.6474251277</v>
      </c>
      <c r="H149" s="44">
        <v>2473389.7179271476</v>
      </c>
      <c r="I149" s="44">
        <v>2259315.298791444</v>
      </c>
    </row>
    <row r="150" spans="1:9" ht="14.25">
      <c r="A150" s="43" t="str">
        <f>HLOOKUP(INDICE!$F$2,Nombres!$C$3:$D$636,63,FALSE)</f>
        <v>Otros pasivos</v>
      </c>
      <c r="B150" s="58">
        <f>+B145-B146-B147-B148-B149-B151</f>
        <v>5035658.5735902935</v>
      </c>
      <c r="C150" s="58">
        <f aca="true" t="shared" si="26" ref="C150:I150">+C145-C146-C147-C148-C149-C151</f>
        <v>5840706.829599278</v>
      </c>
      <c r="D150" s="58">
        <f t="shared" si="26"/>
        <v>5956647.810088003</v>
      </c>
      <c r="E150" s="66">
        <f t="shared" si="26"/>
        <v>5833151.063021032</v>
      </c>
      <c r="F150" s="44">
        <f t="shared" si="26"/>
        <v>5368722.364445703</v>
      </c>
      <c r="G150" s="44">
        <f t="shared" si="26"/>
        <v>5680417.801514714</v>
      </c>
      <c r="H150" s="44">
        <f t="shared" si="26"/>
        <v>6077969.273488034</v>
      </c>
      <c r="I150" s="44">
        <f t="shared" si="26"/>
        <v>6806806.183957466</v>
      </c>
    </row>
    <row r="151" spans="1:9" ht="14.25">
      <c r="A151" s="43" t="str">
        <f>HLOOKUP(INDICE!$F$2,Nombres!$C$3:$D$636,64,FALSE)</f>
        <v>Dotación de capital económico</v>
      </c>
      <c r="B151" s="44">
        <v>3681840.0330105876</v>
      </c>
      <c r="C151" s="44">
        <v>3602465.8560787267</v>
      </c>
      <c r="D151" s="44">
        <v>3795293.703392291</v>
      </c>
      <c r="E151" s="45">
        <v>3794025.7698310832</v>
      </c>
      <c r="F151" s="44">
        <v>4624929.661794731</v>
      </c>
      <c r="G151" s="44">
        <v>3953421.9690834014</v>
      </c>
      <c r="H151" s="44">
        <v>4052381.3991614287</v>
      </c>
      <c r="I151" s="44">
        <v>3793266.3453551913</v>
      </c>
    </row>
    <row r="152" spans="1:9" ht="14.25">
      <c r="A152" s="63"/>
      <c r="B152" s="58"/>
      <c r="C152" s="58"/>
      <c r="D152" s="58"/>
      <c r="E152" s="58"/>
      <c r="F152" s="44"/>
      <c r="G152" s="44"/>
      <c r="H152" s="44"/>
      <c r="I152" s="44"/>
    </row>
    <row r="153" spans="1:9" ht="14.25">
      <c r="A153" s="43"/>
      <c r="B153" s="58"/>
      <c r="C153" s="58"/>
      <c r="D153" s="58"/>
      <c r="E153" s="58"/>
      <c r="F153" s="44"/>
      <c r="G153" s="44"/>
      <c r="H153" s="44"/>
      <c r="I153" s="44"/>
    </row>
    <row r="154" spans="1:9" ht="16.5">
      <c r="A154" s="33" t="str">
        <f>HLOOKUP(INDICE!$F$2,Nombres!$C$3:$D$636,65,FALSE)</f>
        <v>Indicadores relevantes y de gestión</v>
      </c>
      <c r="B154" s="34"/>
      <c r="C154" s="34"/>
      <c r="D154" s="34"/>
      <c r="E154" s="34"/>
      <c r="F154" s="70"/>
      <c r="G154" s="70"/>
      <c r="H154" s="70"/>
      <c r="I154" s="70"/>
    </row>
    <row r="155" spans="1:9" ht="14.25">
      <c r="A155" s="35" t="str">
        <f>HLOOKUP(INDICE!$F$2,Nombres!$C$3:$D$636,75,FALSE)</f>
        <v>(Millones de pesos colombianos)</v>
      </c>
      <c r="B155" s="30"/>
      <c r="C155" s="30"/>
      <c r="D155" s="30"/>
      <c r="E155" s="30"/>
      <c r="F155" s="71"/>
      <c r="G155" s="44"/>
      <c r="H155" s="44"/>
      <c r="I155" s="44"/>
    </row>
    <row r="156" spans="1:9" ht="15.75" customHeight="1">
      <c r="A156" s="30"/>
      <c r="B156" s="53">
        <f aca="true" t="shared" si="27" ref="B156:I156">+B$30</f>
        <v>43555</v>
      </c>
      <c r="C156" s="53">
        <f t="shared" si="27"/>
        <v>43646</v>
      </c>
      <c r="D156" s="53">
        <f t="shared" si="27"/>
        <v>43738</v>
      </c>
      <c r="E156" s="69">
        <f t="shared" si="27"/>
        <v>43830</v>
      </c>
      <c r="F156" s="53">
        <f t="shared" si="27"/>
        <v>43921</v>
      </c>
      <c r="G156" s="53">
        <f t="shared" si="27"/>
        <v>44012</v>
      </c>
      <c r="H156" s="53">
        <f t="shared" si="27"/>
        <v>44104</v>
      </c>
      <c r="I156" s="53">
        <f t="shared" si="27"/>
        <v>44196</v>
      </c>
    </row>
    <row r="157" spans="1:9" ht="15.75" customHeight="1">
      <c r="A157" s="43" t="str">
        <f>HLOOKUP(INDICE!$F$2,Nombres!$C$3:$D$636,66,FALSE)</f>
        <v>Préstamos y anticipos a la clientela bruto (*)</v>
      </c>
      <c r="B157" s="44">
        <v>46510306.82105436</v>
      </c>
      <c r="C157" s="44">
        <v>47312310.68355955</v>
      </c>
      <c r="D157" s="44">
        <v>48790700.3708109</v>
      </c>
      <c r="E157" s="45">
        <v>50046015.78988548</v>
      </c>
      <c r="F157" s="44">
        <v>52201484.17280493</v>
      </c>
      <c r="G157" s="44">
        <v>52917801.40203388</v>
      </c>
      <c r="H157" s="44">
        <v>52300693.14786749</v>
      </c>
      <c r="I157" s="44">
        <v>52053699.541286506</v>
      </c>
    </row>
    <row r="158" spans="1:9" ht="15.75" customHeight="1">
      <c r="A158" s="43" t="str">
        <f>HLOOKUP(INDICE!$F$2,Nombres!$C$3:$D$636,67,FALSE)</f>
        <v>Depósitos de clientes en gestión (**)</v>
      </c>
      <c r="B158" s="44">
        <v>45883736.31715308</v>
      </c>
      <c r="C158" s="44">
        <v>46304622.638829336</v>
      </c>
      <c r="D158" s="44">
        <v>47364718.16735181</v>
      </c>
      <c r="E158" s="45">
        <v>46739661.74659525</v>
      </c>
      <c r="F158" s="44">
        <v>53509443.45511044</v>
      </c>
      <c r="G158" s="44">
        <v>57170392.76052621</v>
      </c>
      <c r="H158" s="44">
        <v>51531684.368297696</v>
      </c>
      <c r="I158" s="44">
        <v>51089039.7514682</v>
      </c>
    </row>
    <row r="159" spans="1:9" ht="15.75" customHeight="1">
      <c r="A159" s="43" t="str">
        <f>HLOOKUP(INDICE!$F$2,Nombres!$C$3:$D$636,68,FALSE)</f>
        <v>Fondos de inversión</v>
      </c>
      <c r="B159" s="44">
        <v>5195507.447922541</v>
      </c>
      <c r="C159" s="44">
        <v>5205700.76816364</v>
      </c>
      <c r="D159" s="44">
        <v>5551786.73532597</v>
      </c>
      <c r="E159" s="45">
        <v>5114070.7890163</v>
      </c>
      <c r="F159" s="44">
        <v>3067408.5441227555</v>
      </c>
      <c r="G159" s="44">
        <v>4799207.974091734</v>
      </c>
      <c r="H159" s="44">
        <v>6839495.465673959</v>
      </c>
      <c r="I159" s="44">
        <v>6598572.229294627</v>
      </c>
    </row>
    <row r="160" spans="1:9" ht="15.75" customHeight="1">
      <c r="A160" s="43" t="str">
        <f>HLOOKUP(INDICE!$F$2,Nombres!$C$3:$D$636,69,FALSE)</f>
        <v>Fondos de pensiones</v>
      </c>
      <c r="B160" s="44">
        <v>0</v>
      </c>
      <c r="C160" s="44">
        <v>0</v>
      </c>
      <c r="D160" s="44">
        <v>0</v>
      </c>
      <c r="E160" s="45">
        <v>0</v>
      </c>
      <c r="F160" s="44">
        <v>0</v>
      </c>
      <c r="G160" s="44">
        <v>0</v>
      </c>
      <c r="H160" s="44">
        <v>0</v>
      </c>
      <c r="I160" s="44">
        <v>0</v>
      </c>
    </row>
    <row r="161" spans="1:9" ht="14.25">
      <c r="A161" s="43" t="str">
        <f>HLOOKUP(INDICE!$F$2,Nombres!$C$3:$D$636,70,FALSE)</f>
        <v>Otros recursos fuera de balance</v>
      </c>
      <c r="B161" s="44">
        <v>0</v>
      </c>
      <c r="C161" s="44">
        <v>0</v>
      </c>
      <c r="D161" s="44">
        <v>0</v>
      </c>
      <c r="E161" s="45">
        <v>0</v>
      </c>
      <c r="F161" s="44">
        <v>0</v>
      </c>
      <c r="G161" s="44">
        <v>0</v>
      </c>
      <c r="H161" s="44">
        <v>0</v>
      </c>
      <c r="I161" s="44">
        <v>0</v>
      </c>
    </row>
    <row r="162" spans="1:9" ht="14.25">
      <c r="A162" s="63" t="str">
        <f>HLOOKUP(INDICE!$F$2,Nombres!$C$3:$D$636,71,FALSE)</f>
        <v>(*) No incluye las adquisiciones temporales de activos.</v>
      </c>
      <c r="B162" s="58"/>
      <c r="C162" s="58"/>
      <c r="D162" s="58"/>
      <c r="E162" s="58"/>
      <c r="F162" s="44"/>
      <c r="G162" s="44"/>
      <c r="H162" s="44"/>
      <c r="I162" s="44"/>
    </row>
    <row r="163" spans="1:9" ht="14.25">
      <c r="A163" s="63" t="str">
        <f>HLOOKUP(INDICE!$F$2,Nombres!$C$3:$D$636,72,FALSE)</f>
        <v>(**) No incluye las cesiones temporales de activos.</v>
      </c>
      <c r="B163" s="30"/>
      <c r="C163" s="30"/>
      <c r="D163" s="30"/>
      <c r="E163" s="30"/>
      <c r="F163" s="30"/>
      <c r="G163" s="30"/>
      <c r="H163" s="30"/>
      <c r="I163" s="30"/>
    </row>
    <row r="164" spans="1:9" ht="14.25">
      <c r="A164" s="30"/>
      <c r="B164" s="30"/>
      <c r="C164" s="30"/>
      <c r="D164" s="30"/>
      <c r="E164" s="30"/>
      <c r="F164" s="30"/>
      <c r="G164" s="30"/>
      <c r="H164" s="30"/>
      <c r="I164" s="30"/>
    </row>
    <row r="165" spans="1:9" ht="14.25">
      <c r="A165" s="30"/>
      <c r="B165" s="30"/>
      <c r="C165" s="30"/>
      <c r="D165" s="30"/>
      <c r="E165" s="30"/>
      <c r="F165" s="30"/>
      <c r="G165" s="30"/>
      <c r="H165" s="30"/>
      <c r="I165" s="30"/>
    </row>
    <row r="166" spans="1:9" ht="14.25">
      <c r="A166" s="75"/>
      <c r="B166" s="76"/>
      <c r="C166" s="77"/>
      <c r="D166" s="77"/>
      <c r="E166" s="77"/>
      <c r="F166" s="76"/>
      <c r="G166" s="76"/>
      <c r="H166" s="76"/>
      <c r="I166" s="76"/>
    </row>
    <row r="167" spans="1:15" ht="14.25">
      <c r="A167" s="75"/>
      <c r="B167" s="76"/>
      <c r="C167" s="77"/>
      <c r="D167" s="77"/>
      <c r="E167" s="77"/>
      <c r="F167" s="76"/>
      <c r="G167" s="76"/>
      <c r="H167" s="76"/>
      <c r="I167" s="76"/>
      <c r="J167" s="76"/>
      <c r="K167" s="76"/>
      <c r="L167" s="76"/>
      <c r="M167" s="76"/>
      <c r="N167" s="76"/>
      <c r="O167" s="76"/>
    </row>
    <row r="168" spans="1:15" ht="14.25">
      <c r="A168" s="76"/>
      <c r="B168" s="76"/>
      <c r="C168" s="76"/>
      <c r="D168" s="76"/>
      <c r="E168" s="76"/>
      <c r="F168" s="76"/>
      <c r="G168" s="76"/>
      <c r="H168" s="76"/>
      <c r="I168" s="76"/>
      <c r="J168" s="76"/>
      <c r="K168" s="76"/>
      <c r="L168" s="76"/>
      <c r="M168" s="76"/>
      <c r="N168" s="76"/>
      <c r="O168" s="76"/>
    </row>
    <row r="169" spans="1:15" ht="14.25">
      <c r="A169" s="76"/>
      <c r="B169" s="76"/>
      <c r="C169" s="76"/>
      <c r="D169" s="76"/>
      <c r="E169" s="76"/>
      <c r="F169" s="76"/>
      <c r="G169" s="76"/>
      <c r="H169" s="76"/>
      <c r="I169" s="76"/>
      <c r="J169" s="76"/>
      <c r="K169" s="76"/>
      <c r="L169" s="76"/>
      <c r="M169" s="76"/>
      <c r="N169" s="76"/>
      <c r="O169" s="76"/>
    </row>
    <row r="170" spans="1:15" ht="14.25">
      <c r="A170" s="76"/>
      <c r="B170" s="76"/>
      <c r="C170" s="76"/>
      <c r="D170" s="76"/>
      <c r="E170" s="76"/>
      <c r="F170" s="76"/>
      <c r="G170" s="76"/>
      <c r="H170" s="76"/>
      <c r="I170" s="76"/>
      <c r="J170" s="76"/>
      <c r="K170" s="76"/>
      <c r="L170" s="76"/>
      <c r="M170" s="76"/>
      <c r="N170" s="76"/>
      <c r="O170" s="76"/>
    </row>
    <row r="171" spans="1:15" ht="14.25">
      <c r="A171" s="76"/>
      <c r="B171" s="76"/>
      <c r="C171" s="76"/>
      <c r="D171" s="76"/>
      <c r="E171" s="76"/>
      <c r="F171" s="76"/>
      <c r="G171" s="76"/>
      <c r="H171" s="76"/>
      <c r="I171" s="76"/>
      <c r="J171" s="76"/>
      <c r="K171" s="76"/>
      <c r="L171" s="76"/>
      <c r="M171" s="76"/>
      <c r="N171" s="76"/>
      <c r="O171" s="76"/>
    </row>
    <row r="172" spans="1:15" ht="14.25">
      <c r="A172" s="76"/>
      <c r="B172" s="76"/>
      <c r="C172" s="76"/>
      <c r="D172" s="76"/>
      <c r="E172" s="76"/>
      <c r="F172" s="76"/>
      <c r="G172" s="76"/>
      <c r="H172" s="76"/>
      <c r="I172" s="76"/>
      <c r="J172" s="76"/>
      <c r="K172" s="76"/>
      <c r="L172" s="76"/>
      <c r="M172" s="76"/>
      <c r="N172" s="76"/>
      <c r="O172" s="76"/>
    </row>
    <row r="173" spans="1:15" ht="14.25">
      <c r="A173" s="76"/>
      <c r="B173" s="76"/>
      <c r="C173" s="76"/>
      <c r="D173" s="76"/>
      <c r="E173" s="76"/>
      <c r="F173" s="76"/>
      <c r="G173" s="76"/>
      <c r="H173" s="76"/>
      <c r="I173" s="76"/>
      <c r="J173" s="76"/>
      <c r="K173" s="76"/>
      <c r="L173" s="76"/>
      <c r="M173" s="76"/>
      <c r="N173" s="76"/>
      <c r="O173" s="76"/>
    </row>
    <row r="174" spans="1:15" ht="14.25">
      <c r="A174" s="76"/>
      <c r="B174" s="76"/>
      <c r="C174" s="76"/>
      <c r="D174" s="76"/>
      <c r="E174" s="76"/>
      <c r="F174" s="76"/>
      <c r="G174" s="76"/>
      <c r="H174" s="76"/>
      <c r="I174" s="76"/>
      <c r="J174" s="76"/>
      <c r="K174" s="76"/>
      <c r="L174" s="76"/>
      <c r="M174" s="76"/>
      <c r="N174" s="76"/>
      <c r="O174" s="76"/>
    </row>
    <row r="1000" ht="14.25">
      <c r="A1000" s="31" t="s">
        <v>397</v>
      </c>
    </row>
  </sheetData>
  <sheetProtection/>
  <mergeCells count="6">
    <mergeCell ref="B6:E6"/>
    <mergeCell ref="B60:E60"/>
    <mergeCell ref="B114:E114"/>
    <mergeCell ref="F6:I6"/>
    <mergeCell ref="F60:I60"/>
    <mergeCell ref="F114:I114"/>
  </mergeCells>
  <conditionalFormatting sqref="B26:I26">
    <cfRule type="cellIs" priority="3" dxfId="143" operator="notBetween">
      <formula>0.5</formula>
      <formula>-0.5</formula>
    </cfRule>
  </conditionalFormatting>
  <conditionalFormatting sqref="B80:I80">
    <cfRule type="cellIs" priority="2" dxfId="143" operator="notBetween">
      <formula>0.5</formula>
      <formula>-0.5</formula>
    </cfRule>
  </conditionalFormatting>
  <conditionalFormatting sqref="B134:I134">
    <cfRule type="cellIs" priority="1" dxfId="143" operator="notBetween">
      <formula>0.5</formula>
      <formula>-0.5</formula>
    </cfRule>
  </conditionalFormatting>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O174"/>
  <sheetViews>
    <sheetView showGridLines="0" zoomScalePageLayoutView="0" workbookViewId="0" topLeftCell="A1">
      <selection activeCell="M26" sqref="M26"/>
    </sheetView>
  </sheetViews>
  <sheetFormatPr defaultColWidth="11.421875" defaultRowHeight="15"/>
  <cols>
    <col min="1" max="1" width="62.00390625" style="31" customWidth="1"/>
    <col min="2" max="16384" width="11.421875" style="31" customWidth="1"/>
  </cols>
  <sheetData>
    <row r="1" spans="1:9" ht="16.5">
      <c r="A1" s="85" t="str">
        <f>HLOOKUP(INDICE!$F$2,Nombres!$C$3:$D$636,17,FALSE)</f>
        <v>Perú</v>
      </c>
      <c r="B1" s="30"/>
      <c r="C1" s="30"/>
      <c r="D1" s="30"/>
      <c r="E1" s="30"/>
      <c r="F1" s="30"/>
      <c r="G1" s="30"/>
      <c r="H1" s="30"/>
      <c r="I1" s="30"/>
    </row>
    <row r="2" spans="1:9" ht="19.5">
      <c r="A2" s="32"/>
      <c r="B2" s="30"/>
      <c r="C2" s="30"/>
      <c r="D2" s="30"/>
      <c r="E2" s="30"/>
      <c r="F2" s="30"/>
      <c r="G2" s="30"/>
      <c r="H2" s="30"/>
      <c r="I2" s="30"/>
    </row>
    <row r="3" spans="1:9" ht="16.5">
      <c r="A3" s="95" t="str">
        <f>HLOOKUP(INDICE!$F$2,Nombres!$C$3:$D$636,31,FALSE)</f>
        <v>Cuenta de resultados  </v>
      </c>
      <c r="B3" s="34"/>
      <c r="C3" s="34"/>
      <c r="D3" s="34"/>
      <c r="E3" s="34"/>
      <c r="F3" s="34"/>
      <c r="G3" s="34"/>
      <c r="H3" s="34"/>
      <c r="I3" s="34"/>
    </row>
    <row r="4" spans="1:9" ht="14.25">
      <c r="A4" s="86"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8">
        <f>+España!B6</f>
        <v>2019</v>
      </c>
      <c r="C6" s="308"/>
      <c r="D6" s="308"/>
      <c r="E6" s="309"/>
      <c r="F6" s="308">
        <f>+España!F6</f>
        <v>2020</v>
      </c>
      <c r="G6" s="308"/>
      <c r="H6" s="308"/>
      <c r="I6" s="308"/>
    </row>
    <row r="7" spans="1:9" ht="14.25">
      <c r="A7" s="38"/>
      <c r="B7" s="87" t="str">
        <f>+España!B7</f>
        <v>1er Trim.</v>
      </c>
      <c r="C7" s="87" t="str">
        <f>+España!C7</f>
        <v>2º Trim.</v>
      </c>
      <c r="D7" s="87" t="str">
        <f>+España!D7</f>
        <v>3er Trim.</v>
      </c>
      <c r="E7" s="88" t="str">
        <f>+España!E7</f>
        <v>4º Trim.</v>
      </c>
      <c r="F7" s="87" t="str">
        <f>+España!F7</f>
        <v>1er Trim.</v>
      </c>
      <c r="G7" s="87" t="str">
        <f>+España!G7</f>
        <v>2º Trim.</v>
      </c>
      <c r="H7" s="87" t="str">
        <f>+España!H7</f>
        <v>3er Trim.</v>
      </c>
      <c r="I7" s="87" t="str">
        <f>+España!I7</f>
        <v>4º Trim.</v>
      </c>
    </row>
    <row r="8" spans="1:15" ht="14.25">
      <c r="A8" s="41" t="str">
        <f>HLOOKUP(INDICE!$F$2,Nombres!$C$3:$D$636,33,FALSE)</f>
        <v>Margen de intereses</v>
      </c>
      <c r="B8" s="41">
        <v>218.83299999999997</v>
      </c>
      <c r="C8" s="41">
        <v>229.08200000000002</v>
      </c>
      <c r="D8" s="41">
        <v>233.166</v>
      </c>
      <c r="E8" s="42">
        <v>217.00999999999996</v>
      </c>
      <c r="F8" s="50">
        <v>219.20199999999997</v>
      </c>
      <c r="G8" s="50">
        <v>203.419</v>
      </c>
      <c r="H8" s="247">
        <v>197.277</v>
      </c>
      <c r="I8" s="247">
        <v>187.60900000999996</v>
      </c>
      <c r="J8" s="89"/>
      <c r="K8" s="89"/>
      <c r="L8" s="89"/>
      <c r="M8" s="89"/>
      <c r="N8" s="89"/>
      <c r="O8" s="89"/>
    </row>
    <row r="9" spans="1:9" ht="14.25">
      <c r="A9" s="90" t="str">
        <f>HLOOKUP(INDICE!$F$2,Nombres!$C$3:$D$636,34,FALSE)</f>
        <v>Comisiones netas</v>
      </c>
      <c r="B9" s="44">
        <v>54.21246399999999</v>
      </c>
      <c r="C9" s="44">
        <v>59.723424230000006</v>
      </c>
      <c r="D9" s="44">
        <v>60.34376514999999</v>
      </c>
      <c r="E9" s="45">
        <v>57.35718100000001</v>
      </c>
      <c r="F9" s="44">
        <v>53.25286948</v>
      </c>
      <c r="G9" s="44">
        <v>45.76907599999999</v>
      </c>
      <c r="H9" s="44">
        <v>61.25642644999999</v>
      </c>
      <c r="I9" s="44">
        <v>57.49436593000001</v>
      </c>
    </row>
    <row r="10" spans="1:9" ht="14.25">
      <c r="A10" s="90" t="str">
        <f>HLOOKUP(INDICE!$F$2,Nombres!$C$3:$D$636,35,FALSE)</f>
        <v>Resultados de operaciones financieras</v>
      </c>
      <c r="B10" s="44">
        <v>39.00941698</v>
      </c>
      <c r="C10" s="44">
        <v>43.51413657999999</v>
      </c>
      <c r="D10" s="44">
        <v>44.342521190000014</v>
      </c>
      <c r="E10" s="45">
        <v>53.315698019999985</v>
      </c>
      <c r="F10" s="44">
        <v>37.0917533</v>
      </c>
      <c r="G10" s="44">
        <v>35.562653700000006</v>
      </c>
      <c r="H10" s="44">
        <v>43.157862890000004</v>
      </c>
      <c r="I10" s="44">
        <v>43.21178232000001</v>
      </c>
    </row>
    <row r="11" spans="1:9" ht="14.25">
      <c r="A11" s="90" t="str">
        <f>HLOOKUP(INDICE!$F$2,Nombres!$C$3:$D$636,36,FALSE)</f>
        <v>Otros ingresos y cargas de explotación</v>
      </c>
      <c r="B11" s="44">
        <v>-6.357000000000001</v>
      </c>
      <c r="C11" s="44">
        <v>-4.744999999999998</v>
      </c>
      <c r="D11" s="44">
        <v>-5.7669999999999995</v>
      </c>
      <c r="E11" s="45">
        <v>-5.224000000000001</v>
      </c>
      <c r="F11" s="44">
        <v>-6.353000000000001</v>
      </c>
      <c r="G11" s="44">
        <v>-8.053999999999998</v>
      </c>
      <c r="H11" s="44">
        <v>-6.8309999999999995</v>
      </c>
      <c r="I11" s="44">
        <v>-9.733999999999996</v>
      </c>
    </row>
    <row r="12" spans="1:9" ht="14.25">
      <c r="A12" s="41" t="str">
        <f>HLOOKUP(INDICE!$F$2,Nombres!$C$3:$D$636,37,FALSE)</f>
        <v>Margen bruto</v>
      </c>
      <c r="B12" s="41">
        <f aca="true" t="shared" si="0" ref="B12:I12">+SUM(B8:B11)</f>
        <v>305.69788098</v>
      </c>
      <c r="C12" s="41">
        <f t="shared" si="0"/>
        <v>327.57456081000004</v>
      </c>
      <c r="D12" s="41">
        <f t="shared" si="0"/>
        <v>332.08528634</v>
      </c>
      <c r="E12" s="42">
        <f t="shared" si="0"/>
        <v>322.45887902</v>
      </c>
      <c r="F12" s="50">
        <f t="shared" si="0"/>
        <v>303.19362277999994</v>
      </c>
      <c r="G12" s="50">
        <f t="shared" si="0"/>
        <v>276.69672970000005</v>
      </c>
      <c r="H12" s="50">
        <f t="shared" si="0"/>
        <v>294.86028933999995</v>
      </c>
      <c r="I12" s="50">
        <f t="shared" si="0"/>
        <v>278.58114826</v>
      </c>
    </row>
    <row r="13" spans="1:9" ht="14.25">
      <c r="A13" s="90" t="str">
        <f>HLOOKUP(INDICE!$F$2,Nombres!$C$3:$D$636,38,FALSE)</f>
        <v>Gastos de explotación</v>
      </c>
      <c r="B13" s="44">
        <v>-112.10374906999999</v>
      </c>
      <c r="C13" s="44">
        <v>-111.82075</v>
      </c>
      <c r="D13" s="44">
        <v>-116.947031</v>
      </c>
      <c r="E13" s="45">
        <v>-119.65175000000002</v>
      </c>
      <c r="F13" s="44">
        <v>-119.76099933</v>
      </c>
      <c r="G13" s="44">
        <v>-107.01099999999998</v>
      </c>
      <c r="H13" s="44">
        <v>-103.13842657</v>
      </c>
      <c r="I13" s="44">
        <v>-105.46067678</v>
      </c>
    </row>
    <row r="14" spans="1:9" ht="14.25">
      <c r="A14" s="90" t="str">
        <f>HLOOKUP(INDICE!$F$2,Nombres!$C$3:$D$636,39,FALSE)</f>
        <v>  Gastos de administración</v>
      </c>
      <c r="B14" s="44">
        <v>-95.06574907</v>
      </c>
      <c r="C14" s="44">
        <v>-95.47075</v>
      </c>
      <c r="D14" s="44">
        <v>-100.374031</v>
      </c>
      <c r="E14" s="45">
        <v>-103.82875000000001</v>
      </c>
      <c r="F14" s="44">
        <v>-101.47299933000001</v>
      </c>
      <c r="G14" s="44">
        <v>-91.223</v>
      </c>
      <c r="H14" s="44">
        <v>-88.39842657</v>
      </c>
      <c r="I14" s="44">
        <v>-90.94667677999999</v>
      </c>
    </row>
    <row r="15" spans="1:9" ht="14.25">
      <c r="A15" s="91" t="str">
        <f>HLOOKUP(INDICE!$F$2,Nombres!$C$3:$D$636,40,FALSE)</f>
        <v>  Gastos de personal</v>
      </c>
      <c r="B15" s="44">
        <v>-54.108000000000004</v>
      </c>
      <c r="C15" s="44">
        <v>-53.448</v>
      </c>
      <c r="D15" s="44">
        <v>-56.649</v>
      </c>
      <c r="E15" s="45">
        <v>-62.384</v>
      </c>
      <c r="F15" s="44">
        <v>-58.68299999999999</v>
      </c>
      <c r="G15" s="44">
        <v>-51.48700000000001</v>
      </c>
      <c r="H15" s="44">
        <v>-50.19099999999999</v>
      </c>
      <c r="I15" s="44">
        <v>-52.01820126000001</v>
      </c>
    </row>
    <row r="16" spans="1:9" ht="14.25">
      <c r="A16" s="91" t="str">
        <f>HLOOKUP(INDICE!$F$2,Nombres!$C$3:$D$636,41,FALSE)</f>
        <v>  Otros gastos de administración</v>
      </c>
      <c r="B16" s="44">
        <v>-40.957749070000006</v>
      </c>
      <c r="C16" s="44">
        <v>-42.02275000000001</v>
      </c>
      <c r="D16" s="44">
        <v>-43.725030999999994</v>
      </c>
      <c r="E16" s="45">
        <v>-41.44475000000001</v>
      </c>
      <c r="F16" s="44">
        <v>-42.789999330000015</v>
      </c>
      <c r="G16" s="44">
        <v>-39.736</v>
      </c>
      <c r="H16" s="44">
        <v>-38.207426569999996</v>
      </c>
      <c r="I16" s="44">
        <v>-38.92847552</v>
      </c>
    </row>
    <row r="17" spans="1:9" ht="14.25">
      <c r="A17" s="90" t="str">
        <f>HLOOKUP(INDICE!$F$2,Nombres!$C$3:$D$636,42,FALSE)</f>
        <v>  Amortización</v>
      </c>
      <c r="B17" s="44">
        <v>-17.038</v>
      </c>
      <c r="C17" s="44">
        <v>-16.349999999999998</v>
      </c>
      <c r="D17" s="44">
        <v>-16.573</v>
      </c>
      <c r="E17" s="45">
        <v>-15.823</v>
      </c>
      <c r="F17" s="44">
        <v>-18.288</v>
      </c>
      <c r="G17" s="44">
        <v>-15.788000000000002</v>
      </c>
      <c r="H17" s="44">
        <v>-14.740000000000002</v>
      </c>
      <c r="I17" s="44">
        <v>-14.514</v>
      </c>
    </row>
    <row r="18" spans="1:9" ht="14.25">
      <c r="A18" s="41" t="str">
        <f>HLOOKUP(INDICE!$F$2,Nombres!$C$3:$D$636,43,FALSE)</f>
        <v>Margen neto</v>
      </c>
      <c r="B18" s="41">
        <f aca="true" t="shared" si="1" ref="B18:I18">+B12+B13</f>
        <v>193.59413191</v>
      </c>
      <c r="C18" s="41">
        <f t="shared" si="1"/>
        <v>215.75381081000003</v>
      </c>
      <c r="D18" s="41">
        <f t="shared" si="1"/>
        <v>215.13825534</v>
      </c>
      <c r="E18" s="42">
        <f t="shared" si="1"/>
        <v>202.80712901999996</v>
      </c>
      <c r="F18" s="50">
        <f t="shared" si="1"/>
        <v>183.43262344999994</v>
      </c>
      <c r="G18" s="50">
        <f t="shared" si="1"/>
        <v>169.68572970000008</v>
      </c>
      <c r="H18" s="50">
        <f t="shared" si="1"/>
        <v>191.72186276999997</v>
      </c>
      <c r="I18" s="50">
        <f t="shared" si="1"/>
        <v>173.12047148000002</v>
      </c>
    </row>
    <row r="19" spans="1:9" ht="14.25">
      <c r="A19" s="90" t="str">
        <f>HLOOKUP(INDICE!$F$2,Nombres!$C$3:$D$636,44,FALSE)</f>
        <v>Deterioro de activos financieros no valorados a valor razonable con cambios en resultados</v>
      </c>
      <c r="B19" s="44">
        <v>-56.88899999999998</v>
      </c>
      <c r="C19" s="44">
        <v>-62.55700000000001</v>
      </c>
      <c r="D19" s="44">
        <v>-48.218999999999966</v>
      </c>
      <c r="E19" s="45">
        <v>-52.09900000000008</v>
      </c>
      <c r="F19" s="44">
        <v>-96.36200000000001</v>
      </c>
      <c r="G19" s="44">
        <v>-139.38000000000002</v>
      </c>
      <c r="H19" s="44">
        <v>-40.41399999999998</v>
      </c>
      <c r="I19" s="44">
        <v>-73.531</v>
      </c>
    </row>
    <row r="20" spans="1:9" ht="14.25">
      <c r="A20" s="90" t="str">
        <f>HLOOKUP(INDICE!$F$2,Nombres!$C$3:$D$636,45,FALSE)</f>
        <v>Provisiones o reversión de provisiones y otros resultados</v>
      </c>
      <c r="B20" s="44">
        <v>-3.8140000000000005</v>
      </c>
      <c r="C20" s="44">
        <v>11.482999999999995</v>
      </c>
      <c r="D20" s="44">
        <v>3.803000000000003</v>
      </c>
      <c r="E20" s="45">
        <v>-10.352000000000002</v>
      </c>
      <c r="F20" s="44">
        <v>-3.584</v>
      </c>
      <c r="G20" s="44">
        <v>-22.791</v>
      </c>
      <c r="H20" s="44">
        <v>-18.483999999999995</v>
      </c>
      <c r="I20" s="44">
        <v>3.048999999999999</v>
      </c>
    </row>
    <row r="21" spans="1:9" ht="14.25">
      <c r="A21" s="92" t="str">
        <f>HLOOKUP(INDICE!$F$2,Nombres!$C$3:$D$636,46,FALSE)</f>
        <v>Resultado antes de impuestos</v>
      </c>
      <c r="B21" s="41">
        <f aca="true" t="shared" si="2" ref="B21:I21">+B18+B19+B20</f>
        <v>132.89113191</v>
      </c>
      <c r="C21" s="41">
        <f t="shared" si="2"/>
        <v>164.67981081000002</v>
      </c>
      <c r="D21" s="41">
        <f t="shared" si="2"/>
        <v>170.72225534000003</v>
      </c>
      <c r="E21" s="42">
        <f t="shared" si="2"/>
        <v>140.35612901999988</v>
      </c>
      <c r="F21" s="50">
        <f t="shared" si="2"/>
        <v>83.48662344999993</v>
      </c>
      <c r="G21" s="50">
        <f t="shared" si="2"/>
        <v>7.514729700000057</v>
      </c>
      <c r="H21" s="50">
        <f t="shared" si="2"/>
        <v>132.82386277</v>
      </c>
      <c r="I21" s="50">
        <f t="shared" si="2"/>
        <v>102.63847148</v>
      </c>
    </row>
    <row r="22" spans="1:9" ht="14.25">
      <c r="A22" s="43" t="str">
        <f>HLOOKUP(INDICE!$F$2,Nombres!$C$3:$D$636,47,FALSE)</f>
        <v>Impuesto sobre beneficios</v>
      </c>
      <c r="B22" s="44">
        <v>-38.985595939999996</v>
      </c>
      <c r="C22" s="44">
        <v>-46.88877915</v>
      </c>
      <c r="D22" s="44">
        <v>-49.31047920999998</v>
      </c>
      <c r="E22" s="45">
        <v>-35.90114870000001</v>
      </c>
      <c r="F22" s="44">
        <v>-18.682028610000003</v>
      </c>
      <c r="G22" s="44">
        <v>-1.8973019799999964</v>
      </c>
      <c r="H22" s="44">
        <v>-39.41538394</v>
      </c>
      <c r="I22" s="44">
        <v>-30.930515529999997</v>
      </c>
    </row>
    <row r="23" spans="1:9" ht="14.25">
      <c r="A23" s="92" t="str">
        <f>HLOOKUP(INDICE!$F$2,Nombres!$C$3:$D$636,48,FALSE)</f>
        <v>Resultado del ejercicio</v>
      </c>
      <c r="B23" s="41">
        <f aca="true" t="shared" si="3" ref="B23:I23">+B21+B22</f>
        <v>93.90553597000002</v>
      </c>
      <c r="C23" s="41">
        <f t="shared" si="3"/>
        <v>117.79103166000002</v>
      </c>
      <c r="D23" s="41">
        <f t="shared" si="3"/>
        <v>121.41177613000005</v>
      </c>
      <c r="E23" s="42">
        <f t="shared" si="3"/>
        <v>104.45498031999988</v>
      </c>
      <c r="F23" s="50">
        <f t="shared" si="3"/>
        <v>64.80459483999992</v>
      </c>
      <c r="G23" s="50">
        <f t="shared" si="3"/>
        <v>5.617427720000061</v>
      </c>
      <c r="H23" s="50">
        <f t="shared" si="3"/>
        <v>93.40847883</v>
      </c>
      <c r="I23" s="50">
        <f t="shared" si="3"/>
        <v>71.70795595000001</v>
      </c>
    </row>
    <row r="24" spans="1:9" ht="14.25">
      <c r="A24" s="90" t="str">
        <f>HLOOKUP(INDICE!$F$2,Nombres!$C$3:$D$636,49,FALSE)</f>
        <v>Minoritarios</v>
      </c>
      <c r="B24" s="44">
        <v>-51.15578842</v>
      </c>
      <c r="C24" s="44">
        <v>-63.033378379999995</v>
      </c>
      <c r="D24" s="44">
        <v>-65.60818381</v>
      </c>
      <c r="E24" s="45">
        <v>-56.03043083999999</v>
      </c>
      <c r="F24" s="44">
        <v>-35.001207810000004</v>
      </c>
      <c r="G24" s="44">
        <v>-3.014897749999996</v>
      </c>
      <c r="H24" s="44">
        <v>-49.344258679999996</v>
      </c>
      <c r="I24" s="44">
        <v>-38.33356466999999</v>
      </c>
    </row>
    <row r="25" spans="1:9" ht="14.25">
      <c r="A25" s="93" t="str">
        <f>HLOOKUP(INDICE!$F$2,Nombres!$C$3:$D$636,50,FALSE)</f>
        <v>Resultado atribuido</v>
      </c>
      <c r="B25" s="47">
        <f aca="true" t="shared" si="4" ref="B25:I25">+B23+B24</f>
        <v>42.749747550000016</v>
      </c>
      <c r="C25" s="47">
        <f t="shared" si="4"/>
        <v>54.75765328000002</v>
      </c>
      <c r="D25" s="47">
        <f t="shared" si="4"/>
        <v>55.80359232000005</v>
      </c>
      <c r="E25" s="47">
        <f t="shared" si="4"/>
        <v>48.42454947999989</v>
      </c>
      <c r="F25" s="51">
        <f t="shared" si="4"/>
        <v>29.803387029999918</v>
      </c>
      <c r="G25" s="51">
        <f t="shared" si="4"/>
        <v>2.602529970000065</v>
      </c>
      <c r="H25" s="51">
        <f t="shared" si="4"/>
        <v>44.06422015000001</v>
      </c>
      <c r="I25" s="51">
        <f t="shared" si="4"/>
        <v>33.374391280000026</v>
      </c>
    </row>
    <row r="26" spans="1:9" ht="14.25">
      <c r="A26" s="94"/>
      <c r="B26" s="64">
        <v>0</v>
      </c>
      <c r="C26" s="64">
        <v>0</v>
      </c>
      <c r="D26" s="64">
        <v>0</v>
      </c>
      <c r="E26" s="64">
        <v>0</v>
      </c>
      <c r="F26" s="64">
        <v>-3.552713678800501E-14</v>
      </c>
      <c r="G26" s="64">
        <v>6.572520305780927E-14</v>
      </c>
      <c r="H26" s="64">
        <v>0</v>
      </c>
      <c r="I26" s="64">
        <v>5.684341886080802E-14</v>
      </c>
    </row>
    <row r="27" spans="1:9" ht="14.25">
      <c r="A27" s="92"/>
      <c r="B27" s="41"/>
      <c r="C27" s="41"/>
      <c r="D27" s="41"/>
      <c r="E27" s="41"/>
      <c r="F27" s="41"/>
      <c r="G27" s="41"/>
      <c r="H27" s="41"/>
      <c r="I27" s="41"/>
    </row>
    <row r="28" spans="1:9" ht="16.5">
      <c r="A28" s="95" t="str">
        <f>HLOOKUP(INDICE!$F$2,Nombres!$C$3:$D$636,51,FALSE)</f>
        <v>Balances</v>
      </c>
      <c r="B28" s="34"/>
      <c r="C28" s="34"/>
      <c r="D28" s="34"/>
      <c r="E28" s="34"/>
      <c r="F28" s="34"/>
      <c r="G28" s="34"/>
      <c r="H28" s="34"/>
      <c r="I28" s="34"/>
    </row>
    <row r="29" spans="1:9" ht="14.25">
      <c r="A29" s="86" t="str">
        <f>HLOOKUP(INDICE!$F$2,Nombres!$C$3:$D$636,32,FALSE)</f>
        <v>(Millones de euros)</v>
      </c>
      <c r="B29" s="30"/>
      <c r="C29" s="52"/>
      <c r="D29" s="52"/>
      <c r="E29" s="52"/>
      <c r="F29" s="30"/>
      <c r="G29" s="58"/>
      <c r="H29" s="58"/>
      <c r="I29" s="58"/>
    </row>
    <row r="30" spans="1:9" ht="14.25">
      <c r="A30" s="30"/>
      <c r="B30" s="53">
        <f>+España!B30</f>
        <v>43555</v>
      </c>
      <c r="C30" s="53">
        <f>+España!C30</f>
        <v>43646</v>
      </c>
      <c r="D30" s="53">
        <f>+España!D30</f>
        <v>43738</v>
      </c>
      <c r="E30" s="69">
        <f>+España!E30</f>
        <v>43830</v>
      </c>
      <c r="F30" s="78">
        <f>+España!F30</f>
        <v>43921</v>
      </c>
      <c r="G30" s="78">
        <f>+España!G30</f>
        <v>44012</v>
      </c>
      <c r="H30" s="78">
        <f>+España!H30</f>
        <v>44104</v>
      </c>
      <c r="I30" s="78">
        <f>+España!I30</f>
        <v>44196</v>
      </c>
    </row>
    <row r="31" spans="1:9" ht="14.25">
      <c r="A31" s="90" t="str">
        <f>HLOOKUP(INDICE!$F$2,Nombres!$C$3:$D$636,52,FALSE)</f>
        <v>Efectivo, saldos en efectivo en bancos centrales y otros depósitos a la vista</v>
      </c>
      <c r="B31" s="44">
        <v>3349.662</v>
      </c>
      <c r="C31" s="44">
        <v>2659.3909999999996</v>
      </c>
      <c r="D31" s="44">
        <v>2804.511</v>
      </c>
      <c r="E31" s="45">
        <v>3363.766</v>
      </c>
      <c r="F31" s="44">
        <v>3381.091</v>
      </c>
      <c r="G31" s="44">
        <v>3129.6730000000002</v>
      </c>
      <c r="H31" s="44">
        <v>2480.178</v>
      </c>
      <c r="I31" s="44">
        <v>2821.008</v>
      </c>
    </row>
    <row r="32" spans="1:9" ht="14.25">
      <c r="A32" s="90" t="str">
        <f>HLOOKUP(INDICE!$F$2,Nombres!$C$3:$D$636,53,FALSE)</f>
        <v>Activos financieros a valor razonable</v>
      </c>
      <c r="B32" s="58">
        <v>2235.6440000000002</v>
      </c>
      <c r="C32" s="58">
        <v>1982.029</v>
      </c>
      <c r="D32" s="58">
        <v>2339.188</v>
      </c>
      <c r="E32" s="66">
        <v>1934.266</v>
      </c>
      <c r="F32" s="44">
        <v>2243.8010000000004</v>
      </c>
      <c r="G32" s="44">
        <v>3027.178</v>
      </c>
      <c r="H32" s="44">
        <v>2967.7070000000003</v>
      </c>
      <c r="I32" s="44">
        <v>2769.0370000000003</v>
      </c>
    </row>
    <row r="33" spans="1:9" ht="14.25">
      <c r="A33" s="43" t="str">
        <f>HLOOKUP(INDICE!$F$2,Nombres!$C$3:$D$636,54,FALSE)</f>
        <v>Activos financieros a coste amortizado</v>
      </c>
      <c r="B33" s="44">
        <v>15134.162</v>
      </c>
      <c r="C33" s="44">
        <v>15548.824</v>
      </c>
      <c r="D33" s="44">
        <v>16249.285999999996</v>
      </c>
      <c r="E33" s="45">
        <v>15911.285999999996</v>
      </c>
      <c r="F33" s="44">
        <v>16307.015999999998</v>
      </c>
      <c r="G33" s="44">
        <v>17648.992000000002</v>
      </c>
      <c r="H33" s="44">
        <v>18860.053</v>
      </c>
      <c r="I33" s="44">
        <v>18001.387000000002</v>
      </c>
    </row>
    <row r="34" spans="1:9" ht="14.25">
      <c r="A34" s="90" t="str">
        <f>HLOOKUP(INDICE!$F$2,Nombres!$C$3:$D$636,55,FALSE)</f>
        <v>    de los que préstamos y anticipos a la clientela</v>
      </c>
      <c r="B34" s="44">
        <v>14344.951</v>
      </c>
      <c r="C34" s="44">
        <v>14559.296</v>
      </c>
      <c r="D34" s="44">
        <v>15242.633</v>
      </c>
      <c r="E34" s="45">
        <v>15059.719</v>
      </c>
      <c r="F34" s="44">
        <v>15505.135999999999</v>
      </c>
      <c r="G34" s="44">
        <v>16097.621000000001</v>
      </c>
      <c r="H34" s="44">
        <v>15923.884999999998</v>
      </c>
      <c r="I34" s="44">
        <v>15093.016</v>
      </c>
    </row>
    <row r="35" spans="1:9" ht="14.25">
      <c r="A35" s="43" t="str">
        <f>HLOOKUP(INDICE!$F$2,Nombres!$C$3:$D$636,56,FALSE)</f>
        <v>Activos tangibles</v>
      </c>
      <c r="B35" s="44">
        <v>309.75300000000004</v>
      </c>
      <c r="C35" s="44">
        <v>307.71000000000004</v>
      </c>
      <c r="D35" s="44">
        <v>313.453</v>
      </c>
      <c r="E35" s="45">
        <v>316.145</v>
      </c>
      <c r="F35" s="44">
        <v>308.021</v>
      </c>
      <c r="G35" s="44">
        <v>288.18399999999997</v>
      </c>
      <c r="H35" s="44">
        <v>270.52299999999997</v>
      </c>
      <c r="I35" s="44">
        <v>266.389</v>
      </c>
    </row>
    <row r="36" spans="1:9" ht="14.25">
      <c r="A36" s="90" t="str">
        <f>HLOOKUP(INDICE!$F$2,Nombres!$C$3:$D$636,57,FALSE)</f>
        <v>Otros activos</v>
      </c>
      <c r="B36" s="58">
        <f aca="true" t="shared" si="5" ref="B36:I36">+B37-B35-B33-B32-B31</f>
        <v>393.6070000000004</v>
      </c>
      <c r="C36" s="58">
        <f t="shared" si="5"/>
        <v>361.703</v>
      </c>
      <c r="D36" s="58">
        <f t="shared" si="5"/>
        <v>387.4249999999961</v>
      </c>
      <c r="E36" s="66">
        <f t="shared" si="5"/>
        <v>355.5530073999971</v>
      </c>
      <c r="F36" s="44">
        <f t="shared" si="5"/>
        <v>420.69200000000046</v>
      </c>
      <c r="G36" s="44">
        <f t="shared" si="5"/>
        <v>464.51800000999583</v>
      </c>
      <c r="H36" s="44">
        <f t="shared" si="5"/>
        <v>376.17135819000214</v>
      </c>
      <c r="I36" s="44">
        <f t="shared" si="5"/>
        <v>347.2289761999982</v>
      </c>
    </row>
    <row r="37" spans="1:9" ht="14.25">
      <c r="A37" s="93" t="str">
        <f>HLOOKUP(INDICE!$F$2,Nombres!$C$3:$D$636,58,FALSE)</f>
        <v>Total activo / pasivo</v>
      </c>
      <c r="B37" s="47">
        <v>21422.828</v>
      </c>
      <c r="C37" s="47">
        <v>20859.657</v>
      </c>
      <c r="D37" s="47">
        <v>22093.862999999994</v>
      </c>
      <c r="E37" s="47">
        <v>21881.016007399994</v>
      </c>
      <c r="F37" s="51">
        <v>22660.621</v>
      </c>
      <c r="G37" s="51">
        <v>24558.54500001</v>
      </c>
      <c r="H37" s="51">
        <v>24954.632358190003</v>
      </c>
      <c r="I37" s="51">
        <v>24205.0499762</v>
      </c>
    </row>
    <row r="38" spans="1:9" ht="14.25">
      <c r="A38" s="90" t="str">
        <f>HLOOKUP(INDICE!$F$2,Nombres!$C$3:$D$636,59,FALSE)</f>
        <v>Pasivos financieros mantenidos para negociar y designados a valor razonable con cambios en resultados</v>
      </c>
      <c r="B38" s="58">
        <v>86.65599999999999</v>
      </c>
      <c r="C38" s="58">
        <v>108.926</v>
      </c>
      <c r="D38" s="58">
        <v>133.399</v>
      </c>
      <c r="E38" s="66">
        <v>135.103</v>
      </c>
      <c r="F38" s="44">
        <v>250.91199999999998</v>
      </c>
      <c r="G38" s="44">
        <v>280.795</v>
      </c>
      <c r="H38" s="44">
        <v>226.805</v>
      </c>
      <c r="I38" s="44">
        <v>222.03099999999998</v>
      </c>
    </row>
    <row r="39" spans="1:9" ht="14.25">
      <c r="A39" s="90" t="str">
        <f>HLOOKUP(INDICE!$F$2,Nombres!$C$3:$D$636,60,FALSE)</f>
        <v>Depósitos de bancos centrales y entidades de crédito</v>
      </c>
      <c r="B39" s="58">
        <v>2086.153</v>
      </c>
      <c r="C39" s="58">
        <v>2235.683</v>
      </c>
      <c r="D39" s="58">
        <v>2425.084</v>
      </c>
      <c r="E39" s="66">
        <v>2322.8909999999996</v>
      </c>
      <c r="F39" s="44">
        <v>2750.2699999999995</v>
      </c>
      <c r="G39" s="44">
        <v>3087.928</v>
      </c>
      <c r="H39" s="44">
        <v>4562.022</v>
      </c>
      <c r="I39" s="44">
        <v>4086.2529999999997</v>
      </c>
    </row>
    <row r="40" spans="1:9" ht="15.75" customHeight="1">
      <c r="A40" s="90" t="str">
        <f>HLOOKUP(INDICE!$F$2,Nombres!$C$3:$D$636,61,FALSE)</f>
        <v>Depósitos de la clientela</v>
      </c>
      <c r="B40" s="58">
        <v>14368.044000000002</v>
      </c>
      <c r="C40" s="58">
        <v>13809.556</v>
      </c>
      <c r="D40" s="58">
        <v>14629.024000000001</v>
      </c>
      <c r="E40" s="66">
        <v>14642.522</v>
      </c>
      <c r="F40" s="44">
        <v>14764.692</v>
      </c>
      <c r="G40" s="44">
        <v>16406.72</v>
      </c>
      <c r="H40" s="44">
        <v>15659.979</v>
      </c>
      <c r="I40" s="44">
        <v>15849.82</v>
      </c>
    </row>
    <row r="41" spans="1:9" ht="14.25">
      <c r="A41" s="43" t="str">
        <f>HLOOKUP(INDICE!$F$2,Nombres!$C$3:$D$636,62,FALSE)</f>
        <v>Valores representativos de deuda emitidos</v>
      </c>
      <c r="B41" s="44">
        <v>1514.129</v>
      </c>
      <c r="C41" s="44">
        <v>1397.009</v>
      </c>
      <c r="D41" s="44">
        <v>1491.0040000000001</v>
      </c>
      <c r="E41" s="45">
        <v>1506.1310000000003</v>
      </c>
      <c r="F41" s="44">
        <v>1485.7979999999998</v>
      </c>
      <c r="G41" s="44">
        <v>1442.933</v>
      </c>
      <c r="H41" s="44">
        <v>1324.096</v>
      </c>
      <c r="I41" s="44">
        <v>1111.071</v>
      </c>
    </row>
    <row r="42" spans="1:9" ht="14.25">
      <c r="A42" s="90" t="str">
        <f>HLOOKUP(INDICE!$F$2,Nombres!$C$3:$D$636,63,FALSE)</f>
        <v>Otros pasivos</v>
      </c>
      <c r="B42" s="58">
        <f aca="true" t="shared" si="6" ref="B42:I42">+B37-B38-B39-B40-B41-B43</f>
        <v>2760.5414500000024</v>
      </c>
      <c r="C42" s="58">
        <f t="shared" si="6"/>
        <v>2693.201089999998</v>
      </c>
      <c r="D42" s="58">
        <f t="shared" si="6"/>
        <v>2776.6720710499926</v>
      </c>
      <c r="E42" s="66">
        <f t="shared" si="6"/>
        <v>2597.5246953799942</v>
      </c>
      <c r="F42" s="44">
        <f t="shared" si="6"/>
        <v>2757.04137</v>
      </c>
      <c r="G42" s="44">
        <f t="shared" si="6"/>
        <v>2695.4618800099997</v>
      </c>
      <c r="H42" s="44">
        <f t="shared" si="6"/>
        <v>2579.3952436800027</v>
      </c>
      <c r="I42" s="44">
        <f t="shared" si="6"/>
        <v>2353.0986473500006</v>
      </c>
    </row>
    <row r="43" spans="1:9" ht="14.25">
      <c r="A43" s="90" t="str">
        <f>HLOOKUP(INDICE!$F$2,Nombres!$C$3:$D$636,64,FALSE)</f>
        <v>Dotación de capital económico</v>
      </c>
      <c r="B43" s="44">
        <v>607.30455</v>
      </c>
      <c r="C43" s="44">
        <v>615.28191</v>
      </c>
      <c r="D43" s="44">
        <v>638.67992895</v>
      </c>
      <c r="E43" s="45">
        <v>676.8443120200001</v>
      </c>
      <c r="F43" s="44">
        <v>651.9076299999999</v>
      </c>
      <c r="G43" s="44">
        <v>644.7071199999999</v>
      </c>
      <c r="H43" s="44">
        <v>602.3351145099999</v>
      </c>
      <c r="I43" s="44">
        <v>582.7763288499999</v>
      </c>
    </row>
    <row r="44" spans="1:9" ht="14.25">
      <c r="A44" s="63"/>
      <c r="B44" s="58"/>
      <c r="C44" s="58"/>
      <c r="D44" s="58"/>
      <c r="E44" s="58"/>
      <c r="F44" s="44"/>
      <c r="G44" s="44"/>
      <c r="H44" s="44"/>
      <c r="I44" s="44"/>
    </row>
    <row r="45" spans="1:9" ht="14.25">
      <c r="A45" s="43"/>
      <c r="B45" s="58"/>
      <c r="C45" s="58"/>
      <c r="D45" s="58"/>
      <c r="E45" s="58"/>
      <c r="F45" s="44"/>
      <c r="G45" s="44"/>
      <c r="H45" s="44"/>
      <c r="I45" s="44"/>
    </row>
    <row r="46" spans="1:9" ht="16.5">
      <c r="A46" s="95" t="str">
        <f>HLOOKUP(INDICE!$F$2,Nombres!$C$3:$D$636,65,FALSE)</f>
        <v>Indicadores relevantes y de gestión</v>
      </c>
      <c r="B46" s="34"/>
      <c r="C46" s="34"/>
      <c r="D46" s="34"/>
      <c r="E46" s="34"/>
      <c r="F46" s="70"/>
      <c r="G46" s="70"/>
      <c r="H46" s="70"/>
      <c r="I46" s="70"/>
    </row>
    <row r="47" spans="1:9" ht="14.25">
      <c r="A47" s="86" t="str">
        <f>HLOOKUP(INDICE!$F$2,Nombres!$C$3:$D$636,32,FALSE)</f>
        <v>(Millones de euros)</v>
      </c>
      <c r="B47" s="30"/>
      <c r="C47" s="30"/>
      <c r="D47" s="30"/>
      <c r="E47" s="30"/>
      <c r="F47" s="71"/>
      <c r="G47" s="44"/>
      <c r="H47" s="44"/>
      <c r="I47" s="44"/>
    </row>
    <row r="48" spans="1:9" ht="14.25">
      <c r="A48" s="30"/>
      <c r="B48" s="53">
        <f aca="true" t="shared" si="7" ref="B48:I48">+B$30</f>
        <v>43555</v>
      </c>
      <c r="C48" s="53">
        <f t="shared" si="7"/>
        <v>43646</v>
      </c>
      <c r="D48" s="53">
        <f t="shared" si="7"/>
        <v>43738</v>
      </c>
      <c r="E48" s="69">
        <f t="shared" si="7"/>
        <v>43830</v>
      </c>
      <c r="F48" s="53">
        <f t="shared" si="7"/>
        <v>43921</v>
      </c>
      <c r="G48" s="53">
        <f t="shared" si="7"/>
        <v>44012</v>
      </c>
      <c r="H48" s="53">
        <f t="shared" si="7"/>
        <v>44104</v>
      </c>
      <c r="I48" s="53">
        <f t="shared" si="7"/>
        <v>44196</v>
      </c>
    </row>
    <row r="49" spans="1:9" ht="14.25">
      <c r="A49" s="90" t="str">
        <f>HLOOKUP(INDICE!$F$2,Nombres!$C$3:$D$636,66,FALSE)</f>
        <v>Préstamos y anticipos a la clientela bruto (*)</v>
      </c>
      <c r="B49" s="44">
        <v>15025.749318839999</v>
      </c>
      <c r="C49" s="44">
        <v>15087.90633808</v>
      </c>
      <c r="D49" s="44">
        <v>15822.812601810001</v>
      </c>
      <c r="E49" s="45">
        <v>15799.345857329998</v>
      </c>
      <c r="F49" s="44">
        <v>16297.38760307</v>
      </c>
      <c r="G49" s="44">
        <v>16892.626638960002</v>
      </c>
      <c r="H49" s="44">
        <v>16798.6447358</v>
      </c>
      <c r="I49" s="44">
        <v>15968.36124162</v>
      </c>
    </row>
    <row r="50" spans="1:9" ht="14.25">
      <c r="A50" s="90" t="str">
        <f>HLOOKUP(INDICE!$F$2,Nombres!$C$3:$D$636,67,FALSE)</f>
        <v>Depósitos de clientes en gestión (**)</v>
      </c>
      <c r="B50" s="44">
        <v>14368.0421537</v>
      </c>
      <c r="C50" s="44">
        <v>13809.554257720001</v>
      </c>
      <c r="D50" s="44">
        <v>14629.02010927</v>
      </c>
      <c r="E50" s="45">
        <v>14642.522007790001</v>
      </c>
      <c r="F50" s="44">
        <v>14764.69142688</v>
      </c>
      <c r="G50" s="44">
        <v>16406.719858620003</v>
      </c>
      <c r="H50" s="44">
        <v>15659.98047436</v>
      </c>
      <c r="I50" s="44">
        <v>15849.82414508</v>
      </c>
    </row>
    <row r="51" spans="1:9" ht="14.25">
      <c r="A51" s="43" t="str">
        <f>HLOOKUP(INDICE!$F$2,Nombres!$C$3:$D$636,68,FALSE)</f>
        <v>Fondos de inversión</v>
      </c>
      <c r="B51" s="44">
        <v>1714.26401994</v>
      </c>
      <c r="C51" s="44">
        <v>1686.06447762</v>
      </c>
      <c r="D51" s="44">
        <v>1802.1733370900001</v>
      </c>
      <c r="E51" s="45">
        <v>1820.87751944</v>
      </c>
      <c r="F51" s="44">
        <v>1860.64184488</v>
      </c>
      <c r="G51" s="44">
        <v>1887.0736063</v>
      </c>
      <c r="H51" s="44">
        <v>2043.50743651</v>
      </c>
      <c r="I51" s="44">
        <v>2145.97857369</v>
      </c>
    </row>
    <row r="52" spans="1:9" ht="14.25">
      <c r="A52" s="90" t="str">
        <f>HLOOKUP(INDICE!$F$2,Nombres!$C$3:$D$636,69,FALSE)</f>
        <v>Fondos de pensiones</v>
      </c>
      <c r="B52" s="44">
        <v>0</v>
      </c>
      <c r="C52" s="44">
        <v>0</v>
      </c>
      <c r="D52" s="44">
        <v>0</v>
      </c>
      <c r="E52" s="45">
        <v>0</v>
      </c>
      <c r="F52" s="44">
        <v>0</v>
      </c>
      <c r="G52" s="44">
        <v>0</v>
      </c>
      <c r="H52" s="44">
        <v>0</v>
      </c>
      <c r="I52" s="44">
        <v>0</v>
      </c>
    </row>
    <row r="53" spans="1:9" ht="14.25">
      <c r="A53" s="90" t="str">
        <f>HLOOKUP(INDICE!$F$2,Nombres!$C$3:$D$636,70,FALSE)</f>
        <v>Otros recursos fuera de balance</v>
      </c>
      <c r="B53" s="44">
        <v>0</v>
      </c>
      <c r="C53" s="44">
        <v>0</v>
      </c>
      <c r="D53" s="44">
        <v>0</v>
      </c>
      <c r="E53" s="45">
        <v>0</v>
      </c>
      <c r="F53" s="44">
        <v>0</v>
      </c>
      <c r="G53" s="44">
        <v>0</v>
      </c>
      <c r="H53" s="44">
        <v>0</v>
      </c>
      <c r="I53" s="44">
        <v>0</v>
      </c>
    </row>
    <row r="54" spans="1:9" ht="14.25">
      <c r="A54" s="94" t="str">
        <f>HLOOKUP(INDICE!$F$2,Nombres!$C$3:$D$636,71,FALSE)</f>
        <v>(*) No incluye las adquisiciones temporales de activos.</v>
      </c>
      <c r="B54" s="58"/>
      <c r="C54" s="58"/>
      <c r="D54" s="58"/>
      <c r="E54" s="58"/>
      <c r="F54" s="58"/>
      <c r="G54" s="58"/>
      <c r="H54" s="58"/>
      <c r="I54" s="58"/>
    </row>
    <row r="55" spans="1:9" ht="14.25">
      <c r="A55" s="94" t="str">
        <f>HLOOKUP(INDICE!$F$2,Nombres!$C$3:$D$636,72,FALSE)</f>
        <v>(**) No incluye las cesiones temporales de activos.</v>
      </c>
      <c r="B55" s="30"/>
      <c r="C55" s="30"/>
      <c r="D55" s="30"/>
      <c r="E55" s="30"/>
      <c r="F55" s="30"/>
      <c r="G55" s="30"/>
      <c r="H55" s="30"/>
      <c r="I55" s="30"/>
    </row>
    <row r="56" spans="1:9" ht="14.25">
      <c r="A56" s="63"/>
      <c r="B56" s="30"/>
      <c r="C56" s="30"/>
      <c r="D56" s="30"/>
      <c r="E56" s="30"/>
      <c r="F56" s="30"/>
      <c r="G56" s="30"/>
      <c r="H56" s="30"/>
      <c r="I56" s="30"/>
    </row>
    <row r="57" spans="1:9" ht="16.5">
      <c r="A57" s="95" t="str">
        <f>HLOOKUP(INDICE!$F$2,Nombres!$C$3:$D$636,31,FALSE)</f>
        <v>Cuenta de resultados  </v>
      </c>
      <c r="B57" s="34"/>
      <c r="C57" s="34"/>
      <c r="D57" s="34"/>
      <c r="E57" s="34"/>
      <c r="F57" s="34"/>
      <c r="G57" s="34"/>
      <c r="H57" s="34"/>
      <c r="I57" s="34"/>
    </row>
    <row r="58" spans="1:9" ht="14.25">
      <c r="A58" s="86" t="str">
        <f>HLOOKUP(INDICE!$F$2,Nombres!$C$3:$D$636,73,FALSE)</f>
        <v>(Millones de euros constantes)</v>
      </c>
      <c r="B58" s="30"/>
      <c r="C58" s="36"/>
      <c r="D58" s="36"/>
      <c r="E58" s="36"/>
      <c r="F58" s="30"/>
      <c r="G58" s="30"/>
      <c r="H58" s="30"/>
      <c r="I58" s="30"/>
    </row>
    <row r="59" spans="1:9" ht="14.25">
      <c r="A59" s="37"/>
      <c r="B59" s="30"/>
      <c r="C59" s="36"/>
      <c r="D59" s="36"/>
      <c r="E59" s="36"/>
      <c r="F59" s="30"/>
      <c r="G59" s="30"/>
      <c r="H59" s="30"/>
      <c r="I59" s="30"/>
    </row>
    <row r="60" spans="1:9" ht="14.25">
      <c r="A60" s="38"/>
      <c r="B60" s="308">
        <f>+B$6</f>
        <v>2019</v>
      </c>
      <c r="C60" s="308"/>
      <c r="D60" s="308"/>
      <c r="E60" s="309"/>
      <c r="F60" s="308">
        <f>+F$6</f>
        <v>2020</v>
      </c>
      <c r="G60" s="308"/>
      <c r="H60" s="308"/>
      <c r="I60" s="308"/>
    </row>
    <row r="61" spans="1:9" ht="14.25">
      <c r="A61" s="38"/>
      <c r="B61" s="87" t="str">
        <f aca="true" t="shared" si="8" ref="B61:I61">+B$7</f>
        <v>1er Trim.</v>
      </c>
      <c r="C61" s="87" t="str">
        <f t="shared" si="8"/>
        <v>2º Trim.</v>
      </c>
      <c r="D61" s="87" t="str">
        <f t="shared" si="8"/>
        <v>3er Trim.</v>
      </c>
      <c r="E61" s="88" t="str">
        <f t="shared" si="8"/>
        <v>4º Trim.</v>
      </c>
      <c r="F61" s="87" t="str">
        <f t="shared" si="8"/>
        <v>1er Trim.</v>
      </c>
      <c r="G61" s="87" t="str">
        <f t="shared" si="8"/>
        <v>2º Trim.</v>
      </c>
      <c r="H61" s="87" t="str">
        <f t="shared" si="8"/>
        <v>3er Trim.</v>
      </c>
      <c r="I61" s="87" t="str">
        <f t="shared" si="8"/>
        <v>4º Trim.</v>
      </c>
    </row>
    <row r="62" spans="1:9" ht="14.25">
      <c r="A62" s="41" t="str">
        <f>HLOOKUP(INDICE!$F$2,Nombres!$C$3:$D$636,33,FALSE)</f>
        <v>Margen de intereses</v>
      </c>
      <c r="B62" s="41">
        <v>206.8527987690871</v>
      </c>
      <c r="C62" s="41">
        <v>214.05650527551387</v>
      </c>
      <c r="D62" s="41">
        <v>216.75506821707006</v>
      </c>
      <c r="E62" s="42">
        <v>202.19801305176023</v>
      </c>
      <c r="F62" s="50">
        <v>206.0497262637137</v>
      </c>
      <c r="G62" s="50">
        <v>192.3019426959777</v>
      </c>
      <c r="H62" s="50">
        <v>205.7948550296041</v>
      </c>
      <c r="I62" s="50">
        <v>203.36047602070443</v>
      </c>
    </row>
    <row r="63" spans="1:9" ht="14.25">
      <c r="A63" s="90" t="str">
        <f>HLOOKUP(INDICE!$F$2,Nombres!$C$3:$D$636,34,FALSE)</f>
        <v>Comisiones netas</v>
      </c>
      <c r="B63" s="44">
        <v>51.24455592423621</v>
      </c>
      <c r="C63" s="44">
        <v>55.82190851788506</v>
      </c>
      <c r="D63" s="44">
        <v>56.103445995167874</v>
      </c>
      <c r="E63" s="45">
        <v>53.44852160226926</v>
      </c>
      <c r="F63" s="44">
        <v>50.05765996255177</v>
      </c>
      <c r="G63" s="44">
        <v>43.27787529384479</v>
      </c>
      <c r="H63" s="44">
        <v>62.87019741603176</v>
      </c>
      <c r="I63" s="44">
        <v>61.567005187571695</v>
      </c>
    </row>
    <row r="64" spans="1:9" ht="14.25">
      <c r="A64" s="90" t="str">
        <f>HLOOKUP(INDICE!$F$2,Nombres!$C$3:$D$636,35,FALSE)</f>
        <v>Resultados de operaciones financieras</v>
      </c>
      <c r="B64" s="44">
        <v>36.87381281919707</v>
      </c>
      <c r="C64" s="44">
        <v>40.67422976974714</v>
      </c>
      <c r="D64" s="44">
        <v>41.230745714886005</v>
      </c>
      <c r="E64" s="45">
        <v>49.72072173314249</v>
      </c>
      <c r="F64" s="44">
        <v>34.866222087874185</v>
      </c>
      <c r="G64" s="44">
        <v>33.61595055789277</v>
      </c>
      <c r="H64" s="44">
        <v>44.38733215881971</v>
      </c>
      <c r="I64" s="44">
        <v>46.15454740541335</v>
      </c>
    </row>
    <row r="65" spans="1:9" ht="14.25">
      <c r="A65" s="90" t="str">
        <f>HLOOKUP(INDICE!$F$2,Nombres!$C$3:$D$636,36,FALSE)</f>
        <v>Otros ingresos y cargas de explotación</v>
      </c>
      <c r="B65" s="44">
        <v>-6.008980554921273</v>
      </c>
      <c r="C65" s="44">
        <v>-4.42365754271591</v>
      </c>
      <c r="D65" s="44">
        <v>-5.3610197722521935</v>
      </c>
      <c r="E65" s="45">
        <v>-4.866920711490058</v>
      </c>
      <c r="F65" s="44">
        <v>-5.971815544353487</v>
      </c>
      <c r="G65" s="44">
        <v>-7.607851568029177</v>
      </c>
      <c r="H65" s="44">
        <v>-7.1186798358001955</v>
      </c>
      <c r="I65" s="44">
        <v>-10.27365305181714</v>
      </c>
    </row>
    <row r="66" spans="1:9" ht="14.25">
      <c r="A66" s="41" t="str">
        <f>HLOOKUP(INDICE!$F$2,Nombres!$C$3:$D$636,37,FALSE)</f>
        <v>Margen bruto</v>
      </c>
      <c r="B66" s="41">
        <f aca="true" t="shared" si="9" ref="B66:I66">+SUM(B62:B65)</f>
        <v>288.96218695759904</v>
      </c>
      <c r="C66" s="41">
        <f t="shared" si="9"/>
        <v>306.12898602043015</v>
      </c>
      <c r="D66" s="41">
        <f t="shared" si="9"/>
        <v>308.72824015487174</v>
      </c>
      <c r="E66" s="42">
        <f t="shared" si="9"/>
        <v>300.5003356756819</v>
      </c>
      <c r="F66" s="50">
        <f t="shared" si="9"/>
        <v>285.00179276978616</v>
      </c>
      <c r="G66" s="50">
        <f t="shared" si="9"/>
        <v>261.5879169796861</v>
      </c>
      <c r="H66" s="50">
        <f t="shared" si="9"/>
        <v>305.9337047686554</v>
      </c>
      <c r="I66" s="50">
        <f t="shared" si="9"/>
        <v>300.8083755618723</v>
      </c>
    </row>
    <row r="67" spans="1:9" ht="14.25">
      <c r="A67" s="90" t="str">
        <f>HLOOKUP(INDICE!$F$2,Nombres!$C$3:$D$636,38,FALSE)</f>
        <v>Gastos de explotación</v>
      </c>
      <c r="B67" s="44">
        <v>-105.966532687652</v>
      </c>
      <c r="C67" s="44">
        <v>-104.45710809707188</v>
      </c>
      <c r="D67" s="44">
        <v>-108.7184733602337</v>
      </c>
      <c r="E67" s="45">
        <v>-111.52268540425916</v>
      </c>
      <c r="F67" s="44">
        <v>-112.57525537638934</v>
      </c>
      <c r="G67" s="44">
        <v>-101.17419012308066</v>
      </c>
      <c r="H67" s="44">
        <v>-107.7780268190615</v>
      </c>
      <c r="I67" s="44">
        <v>-113.8436303614685</v>
      </c>
    </row>
    <row r="68" spans="1:9" ht="14.25">
      <c r="A68" s="90" t="str">
        <f>HLOOKUP(INDICE!$F$2,Nombres!$C$3:$D$636,39,FALSE)</f>
        <v>  Gastos de administración</v>
      </c>
      <c r="B68" s="44">
        <v>-89.86129268533193</v>
      </c>
      <c r="C68" s="44">
        <v>-89.18737775135462</v>
      </c>
      <c r="D68" s="44">
        <v>-93.3172897668671</v>
      </c>
      <c r="E68" s="45">
        <v>-96.78000978890464</v>
      </c>
      <c r="F68" s="44">
        <v>-95.38454820259167</v>
      </c>
      <c r="G68" s="44">
        <v>-86.24573740782776</v>
      </c>
      <c r="H68" s="44">
        <v>-92.32159085998632</v>
      </c>
      <c r="I68" s="44">
        <v>-98.08922620959424</v>
      </c>
    </row>
    <row r="69" spans="1:9" ht="14.25">
      <c r="A69" s="91" t="str">
        <f>HLOOKUP(INDICE!$F$2,Nombres!$C$3:$D$636,40,FALSE)</f>
        <v>  Gastos de personal</v>
      </c>
      <c r="B69" s="44">
        <v>-51.14581089596984</v>
      </c>
      <c r="C69" s="44">
        <v>-49.9254216053331</v>
      </c>
      <c r="D69" s="44">
        <v>-52.66624989393008</v>
      </c>
      <c r="E69" s="45">
        <v>-58.160396578930076</v>
      </c>
      <c r="F69" s="44">
        <v>-55.16197884295539</v>
      </c>
      <c r="G69" s="44">
        <v>-48.68142545850904</v>
      </c>
      <c r="H69" s="44">
        <v>-52.44285687932242</v>
      </c>
      <c r="I69" s="44">
        <v>-56.09294007921315</v>
      </c>
    </row>
    <row r="70" spans="1:9" ht="14.25">
      <c r="A70" s="91" t="str">
        <f>HLOOKUP(INDICE!$F$2,Nombres!$C$3:$D$636,41,FALSE)</f>
        <v>  Otros gastos de administración</v>
      </c>
      <c r="B70" s="44">
        <v>-38.715481789362094</v>
      </c>
      <c r="C70" s="44">
        <v>-39.26195614602152</v>
      </c>
      <c r="D70" s="44">
        <v>-40.65103987293701</v>
      </c>
      <c r="E70" s="45">
        <v>-38.61961320997457</v>
      </c>
      <c r="F70" s="44">
        <v>-40.22256935963628</v>
      </c>
      <c r="G70" s="44">
        <v>-37.56431194931872</v>
      </c>
      <c r="H70" s="44">
        <v>-39.8787339806639</v>
      </c>
      <c r="I70" s="44">
        <v>-41.99628613038109</v>
      </c>
    </row>
    <row r="71" spans="1:9" ht="14.25">
      <c r="A71" s="90" t="str">
        <f>HLOOKUP(INDICE!$F$2,Nombres!$C$3:$D$636,42,FALSE)</f>
        <v>  Amortización</v>
      </c>
      <c r="B71" s="44">
        <v>-16.105240002320066</v>
      </c>
      <c r="C71" s="44">
        <v>-15.269730345717253</v>
      </c>
      <c r="D71" s="44">
        <v>-15.401183593366635</v>
      </c>
      <c r="E71" s="45">
        <v>-14.742675615354516</v>
      </c>
      <c r="F71" s="44">
        <v>-17.190707173797662</v>
      </c>
      <c r="G71" s="44">
        <v>-14.928452715252911</v>
      </c>
      <c r="H71" s="44">
        <v>-15.456435959075165</v>
      </c>
      <c r="I71" s="44">
        <v>-15.754404151874262</v>
      </c>
    </row>
    <row r="72" spans="1:9" ht="14.25">
      <c r="A72" s="41" t="str">
        <f>HLOOKUP(INDICE!$F$2,Nombres!$C$3:$D$636,43,FALSE)</f>
        <v>Margen neto</v>
      </c>
      <c r="B72" s="41">
        <f aca="true" t="shared" si="10" ref="B72:I72">+B66+B67</f>
        <v>182.99565426994704</v>
      </c>
      <c r="C72" s="41">
        <f t="shared" si="10"/>
        <v>201.67187792335827</v>
      </c>
      <c r="D72" s="41">
        <f t="shared" si="10"/>
        <v>200.00976679463804</v>
      </c>
      <c r="E72" s="42">
        <f t="shared" si="10"/>
        <v>188.97765027142276</v>
      </c>
      <c r="F72" s="50">
        <f t="shared" si="10"/>
        <v>172.4265373933968</v>
      </c>
      <c r="G72" s="50">
        <f t="shared" si="10"/>
        <v>160.41372685660542</v>
      </c>
      <c r="H72" s="50">
        <f t="shared" si="10"/>
        <v>198.1556779495939</v>
      </c>
      <c r="I72" s="50">
        <f t="shared" si="10"/>
        <v>186.9647452004038</v>
      </c>
    </row>
    <row r="73" spans="1:9" ht="14.25">
      <c r="A73" s="90" t="str">
        <f>HLOOKUP(INDICE!$F$2,Nombres!$C$3:$D$636,44,FALSE)</f>
        <v>Deterioro de activos financieros no valorados a valor razonable con cambios en resultados</v>
      </c>
      <c r="B73" s="44">
        <v>-53.774562653597016</v>
      </c>
      <c r="C73" s="44">
        <v>-58.46979784094188</v>
      </c>
      <c r="D73" s="44">
        <v>-44.73255851399763</v>
      </c>
      <c r="E73" s="45">
        <v>-48.538465563874226</v>
      </c>
      <c r="F73" s="44">
        <v>-90.5802124169669</v>
      </c>
      <c r="G73" s="44">
        <v>-131.62412466967945</v>
      </c>
      <c r="H73" s="44">
        <v>-46.93459783294997</v>
      </c>
      <c r="I73" s="44">
        <v>-80.54806508040375</v>
      </c>
    </row>
    <row r="74" spans="1:9" ht="14.25">
      <c r="A74" s="90" t="str">
        <f>HLOOKUP(INDICE!$F$2,Nombres!$C$3:$D$636,45,FALSE)</f>
        <v>Provisiones o reversión de provisiones y otros resultados</v>
      </c>
      <c r="B74" s="44">
        <v>-3.6051992821251755</v>
      </c>
      <c r="C74" s="44">
        <v>10.81181985236293</v>
      </c>
      <c r="D74" s="44">
        <v>3.534077934911985</v>
      </c>
      <c r="E74" s="45">
        <v>-9.69331480845192</v>
      </c>
      <c r="F74" s="44">
        <v>-3.3689574863785436</v>
      </c>
      <c r="G74" s="44">
        <v>-21.491438160813285</v>
      </c>
      <c r="H74" s="44">
        <v>-18.85874672725656</v>
      </c>
      <c r="I74" s="44">
        <v>1.9091423744483853</v>
      </c>
    </row>
    <row r="75" spans="1:9" ht="14.25">
      <c r="A75" s="92" t="str">
        <f>HLOOKUP(INDICE!$F$2,Nombres!$C$3:$D$636,46,FALSE)</f>
        <v>Resultado antes de impuestos</v>
      </c>
      <c r="B75" s="41">
        <f aca="true" t="shared" si="11" ref="B75:I75">+B72+B73+B74</f>
        <v>125.61589233422484</v>
      </c>
      <c r="C75" s="41">
        <f t="shared" si="11"/>
        <v>154.01389993477932</v>
      </c>
      <c r="D75" s="41">
        <f t="shared" si="11"/>
        <v>158.8112862155524</v>
      </c>
      <c r="E75" s="42">
        <f t="shared" si="11"/>
        <v>130.7458698990966</v>
      </c>
      <c r="F75" s="50">
        <f t="shared" si="11"/>
        <v>78.47736749005136</v>
      </c>
      <c r="G75" s="50">
        <f t="shared" si="11"/>
        <v>7.2981640261126906</v>
      </c>
      <c r="H75" s="50">
        <f t="shared" si="11"/>
        <v>132.36233338938735</v>
      </c>
      <c r="I75" s="50">
        <f t="shared" si="11"/>
        <v>108.32582249444843</v>
      </c>
    </row>
    <row r="76" spans="1:9" ht="14.25">
      <c r="A76" s="43" t="str">
        <f>HLOOKUP(INDICE!$F$2,Nombres!$C$3:$D$636,47,FALSE)</f>
        <v>Impuesto sobre beneficios</v>
      </c>
      <c r="B76" s="44">
        <v>-36.85129588256689</v>
      </c>
      <c r="C76" s="44">
        <v>-43.845540468966135</v>
      </c>
      <c r="D76" s="44">
        <v>-45.870437227519915</v>
      </c>
      <c r="E76" s="45">
        <v>-33.426199881120766</v>
      </c>
      <c r="F76" s="44">
        <v>-17.561093790847558</v>
      </c>
      <c r="G76" s="44">
        <v>-1.8364531521574676</v>
      </c>
      <c r="H76" s="44">
        <v>-39.07271468234233</v>
      </c>
      <c r="I76" s="44">
        <v>-32.454968434652635</v>
      </c>
    </row>
    <row r="77" spans="1:9" ht="14.25">
      <c r="A77" s="92" t="str">
        <f>HLOOKUP(INDICE!$F$2,Nombres!$C$3:$D$636,48,FALSE)</f>
        <v>Resultado del ejercicio</v>
      </c>
      <c r="B77" s="41">
        <f aca="true" t="shared" si="12" ref="B77:I77">+B75+B76</f>
        <v>88.76459645165795</v>
      </c>
      <c r="C77" s="41">
        <f t="shared" si="12"/>
        <v>110.16835946581318</v>
      </c>
      <c r="D77" s="41">
        <f t="shared" si="12"/>
        <v>112.94084898803249</v>
      </c>
      <c r="E77" s="42">
        <f t="shared" si="12"/>
        <v>97.31967001797582</v>
      </c>
      <c r="F77" s="50">
        <f t="shared" si="12"/>
        <v>60.916273699203806</v>
      </c>
      <c r="G77" s="50">
        <f t="shared" si="12"/>
        <v>5.461710873955223</v>
      </c>
      <c r="H77" s="50">
        <f t="shared" si="12"/>
        <v>93.28961870704501</v>
      </c>
      <c r="I77" s="50">
        <f t="shared" si="12"/>
        <v>75.87085405979579</v>
      </c>
    </row>
    <row r="78" spans="1:9" ht="14.25">
      <c r="A78" s="90" t="str">
        <f>HLOOKUP(INDICE!$F$2,Nombres!$C$3:$D$636,49,FALSE)</f>
        <v>Minoritarios</v>
      </c>
      <c r="B78" s="44">
        <v>-48.35522068388341</v>
      </c>
      <c r="C78" s="44">
        <v>-58.94925165399509</v>
      </c>
      <c r="D78" s="44">
        <v>-61.03140065085151</v>
      </c>
      <c r="E78" s="45">
        <v>-52.201781939079694</v>
      </c>
      <c r="F78" s="44">
        <v>-32.90111079346838</v>
      </c>
      <c r="G78" s="44">
        <v>-2.931891109356611</v>
      </c>
      <c r="H78" s="44">
        <v>-49.30755410805865</v>
      </c>
      <c r="I78" s="44">
        <v>-40.553372899116354</v>
      </c>
    </row>
    <row r="79" spans="1:9" ht="14.25">
      <c r="A79" s="93" t="str">
        <f>HLOOKUP(INDICE!$F$2,Nombres!$C$3:$D$636,50,FALSE)</f>
        <v>Resultado atribuido</v>
      </c>
      <c r="B79" s="47">
        <f aca="true" t="shared" si="13" ref="B79:I79">+B77+B78</f>
        <v>40.40937576777454</v>
      </c>
      <c r="C79" s="47">
        <f t="shared" si="13"/>
        <v>51.21910781181809</v>
      </c>
      <c r="D79" s="47">
        <f t="shared" si="13"/>
        <v>51.909448337180976</v>
      </c>
      <c r="E79" s="47">
        <f t="shared" si="13"/>
        <v>45.11788807889613</v>
      </c>
      <c r="F79" s="51">
        <f t="shared" si="13"/>
        <v>28.015162905735423</v>
      </c>
      <c r="G79" s="51">
        <f t="shared" si="13"/>
        <v>2.529819764598612</v>
      </c>
      <c r="H79" s="51">
        <f t="shared" si="13"/>
        <v>43.982064598986355</v>
      </c>
      <c r="I79" s="51">
        <f t="shared" si="13"/>
        <v>35.317481160679435</v>
      </c>
    </row>
    <row r="80" spans="1:9" ht="14.25">
      <c r="A80" s="94"/>
      <c r="B80" s="64">
        <v>-1.0658141036401503E-13</v>
      </c>
      <c r="C80" s="64">
        <v>0</v>
      </c>
      <c r="D80" s="64">
        <v>0</v>
      </c>
      <c r="E80" s="64">
        <v>0</v>
      </c>
      <c r="F80" s="64">
        <v>0</v>
      </c>
      <c r="G80" s="64">
        <v>-2.1316282072803006E-14</v>
      </c>
      <c r="H80" s="64">
        <v>0</v>
      </c>
      <c r="I80" s="64">
        <v>-7.105427357601002E-14</v>
      </c>
    </row>
    <row r="81" spans="1:9" ht="14.25">
      <c r="A81" s="92"/>
      <c r="B81" s="41"/>
      <c r="C81" s="41"/>
      <c r="D81" s="41"/>
      <c r="E81" s="41"/>
      <c r="F81" s="50"/>
      <c r="G81" s="50"/>
      <c r="H81" s="50"/>
      <c r="I81" s="50"/>
    </row>
    <row r="82" spans="1:9" ht="16.5">
      <c r="A82" s="95" t="str">
        <f>HLOOKUP(INDICE!$F$2,Nombres!$C$3:$D$636,51,FALSE)</f>
        <v>Balances</v>
      </c>
      <c r="B82" s="34"/>
      <c r="C82" s="34"/>
      <c r="D82" s="34"/>
      <c r="E82" s="34"/>
      <c r="F82" s="70"/>
      <c r="G82" s="70"/>
      <c r="H82" s="70"/>
      <c r="I82" s="70"/>
    </row>
    <row r="83" spans="1:9" ht="14.25">
      <c r="A83" s="86" t="str">
        <f>HLOOKUP(INDICE!$F$2,Nombres!$C$3:$D$636,73,FALSE)</f>
        <v>(Millones de euros constantes)</v>
      </c>
      <c r="B83" s="30"/>
      <c r="C83" s="52"/>
      <c r="D83" s="52"/>
      <c r="E83" s="52"/>
      <c r="F83" s="71"/>
      <c r="G83" s="44"/>
      <c r="H83" s="44"/>
      <c r="I83" s="44"/>
    </row>
    <row r="84" spans="1:9" ht="14.25">
      <c r="A84" s="30"/>
      <c r="B84" s="53">
        <f aca="true" t="shared" si="14" ref="B84:I84">+B$30</f>
        <v>43555</v>
      </c>
      <c r="C84" s="53">
        <f t="shared" si="14"/>
        <v>43646</v>
      </c>
      <c r="D84" s="53">
        <f t="shared" si="14"/>
        <v>43738</v>
      </c>
      <c r="E84" s="69">
        <f t="shared" si="14"/>
        <v>43830</v>
      </c>
      <c r="F84" s="53">
        <f t="shared" si="14"/>
        <v>43921</v>
      </c>
      <c r="G84" s="53">
        <f t="shared" si="14"/>
        <v>44012</v>
      </c>
      <c r="H84" s="53">
        <f t="shared" si="14"/>
        <v>44104</v>
      </c>
      <c r="I84" s="53">
        <f t="shared" si="14"/>
        <v>44196</v>
      </c>
    </row>
    <row r="85" spans="1:9" ht="14.25">
      <c r="A85" s="90" t="str">
        <f>HLOOKUP(INDICE!$F$2,Nombres!$C$3:$D$636,52,FALSE)</f>
        <v>Efectivo, saldos en efectivo en bancos centrales y otros depósitos a la vista</v>
      </c>
      <c r="B85" s="44">
        <v>2807.735059913931</v>
      </c>
      <c r="C85" s="44">
        <v>2236.6767576572543</v>
      </c>
      <c r="D85" s="44">
        <v>2321.0994025928485</v>
      </c>
      <c r="E85" s="45">
        <v>2814.2078998294164</v>
      </c>
      <c r="F85" s="44">
        <v>2852.997250090697</v>
      </c>
      <c r="G85" s="44">
        <v>2777.7520208941933</v>
      </c>
      <c r="H85" s="44">
        <v>2349.9313018296084</v>
      </c>
      <c r="I85" s="44">
        <v>2821.008</v>
      </c>
    </row>
    <row r="86" spans="1:9" ht="14.25">
      <c r="A86" s="90" t="str">
        <f>HLOOKUP(INDICE!$F$2,Nombres!$C$3:$D$636,53,FALSE)</f>
        <v>Activos financieros a valor razonable</v>
      </c>
      <c r="B86" s="58">
        <v>1873.9490850976067</v>
      </c>
      <c r="C86" s="58">
        <v>1666.982477305011</v>
      </c>
      <c r="D86" s="58">
        <v>1935.9838022929348</v>
      </c>
      <c r="E86" s="66">
        <v>1618.2536649610724</v>
      </c>
      <c r="F86" s="44">
        <v>1893.340960876461</v>
      </c>
      <c r="G86" s="44">
        <v>2686.782231596222</v>
      </c>
      <c r="H86" s="44">
        <v>2811.8576868107216</v>
      </c>
      <c r="I86" s="44">
        <v>2769.0370000000003</v>
      </c>
    </row>
    <row r="87" spans="1:9" ht="14.25">
      <c r="A87" s="43" t="str">
        <f>HLOOKUP(INDICE!$F$2,Nombres!$C$3:$D$636,54,FALSE)</f>
        <v>Activos financieros a coste amortizado</v>
      </c>
      <c r="B87" s="44">
        <v>12685.673136518591</v>
      </c>
      <c r="C87" s="44">
        <v>13077.314787371735</v>
      </c>
      <c r="D87" s="44">
        <v>13448.407949607026</v>
      </c>
      <c r="E87" s="45">
        <v>13311.766263659598</v>
      </c>
      <c r="F87" s="44">
        <v>13760.017640810314</v>
      </c>
      <c r="G87" s="44">
        <v>15664.423470038388</v>
      </c>
      <c r="H87" s="44">
        <v>17869.61617225272</v>
      </c>
      <c r="I87" s="44">
        <v>18001.387000000002</v>
      </c>
    </row>
    <row r="88" spans="1:9" ht="14.25">
      <c r="A88" s="90" t="str">
        <f>HLOOKUP(INDICE!$F$2,Nombres!$C$3:$D$636,55,FALSE)</f>
        <v>    de los que préstamos y anticipos a la clientela</v>
      </c>
      <c r="B88" s="44">
        <v>12024.14507954755</v>
      </c>
      <c r="C88" s="44">
        <v>12245.0737672844</v>
      </c>
      <c r="D88" s="44">
        <v>12615.271022378605</v>
      </c>
      <c r="E88" s="45">
        <v>12599.32473870393</v>
      </c>
      <c r="F88" s="44">
        <v>13083.383549949489</v>
      </c>
      <c r="G88" s="44">
        <v>14287.498810367346</v>
      </c>
      <c r="H88" s="44">
        <v>15087.641212943176</v>
      </c>
      <c r="I88" s="44">
        <v>15093.016</v>
      </c>
    </row>
    <row r="89" spans="1:9" ht="14.25">
      <c r="A89" s="43" t="str">
        <f>HLOOKUP(INDICE!$F$2,Nombres!$C$3:$D$636,56,FALSE)</f>
        <v>Activos tangibles</v>
      </c>
      <c r="B89" s="44">
        <v>259.6394376547603</v>
      </c>
      <c r="C89" s="44">
        <v>258.79902770924383</v>
      </c>
      <c r="D89" s="44">
        <v>259.42332586355917</v>
      </c>
      <c r="E89" s="45">
        <v>264.49454465369195</v>
      </c>
      <c r="F89" s="44">
        <v>259.9110955517573</v>
      </c>
      <c r="G89" s="44">
        <v>255.7786990491889</v>
      </c>
      <c r="H89" s="44">
        <v>256.31646823931635</v>
      </c>
      <c r="I89" s="44">
        <v>266.389</v>
      </c>
    </row>
    <row r="90" spans="1:9" ht="14.25">
      <c r="A90" s="90" t="str">
        <f>HLOOKUP(INDICE!$F$2,Nombres!$C$3:$D$636,57,FALSE)</f>
        <v>Otros activos</v>
      </c>
      <c r="B90" s="58">
        <f aca="true" t="shared" si="15" ref="B90:I90">+B91-B89-B87-B86-B85</f>
        <v>329.9270713664714</v>
      </c>
      <c r="C90" s="58">
        <f t="shared" si="15"/>
        <v>304.2097582773322</v>
      </c>
      <c r="D90" s="58">
        <f t="shared" si="15"/>
        <v>320.64482401728446</v>
      </c>
      <c r="E90" s="66">
        <f t="shared" si="15"/>
        <v>297.4642356909494</v>
      </c>
      <c r="F90" s="44">
        <f t="shared" si="15"/>
        <v>354.9839738519845</v>
      </c>
      <c r="G90" s="44">
        <f t="shared" si="15"/>
        <v>412.2845464268921</v>
      </c>
      <c r="H90" s="44">
        <f t="shared" si="15"/>
        <v>356.4166964880915</v>
      </c>
      <c r="I90" s="44">
        <f t="shared" si="15"/>
        <v>347.2289761999982</v>
      </c>
    </row>
    <row r="91" spans="1:9" ht="14.25">
      <c r="A91" s="93" t="str">
        <f>HLOOKUP(INDICE!$F$2,Nombres!$C$3:$D$636,58,FALSE)</f>
        <v>Total activo / pasivo</v>
      </c>
      <c r="B91" s="47">
        <v>17956.923790551362</v>
      </c>
      <c r="C91" s="47">
        <v>17543.982808320576</v>
      </c>
      <c r="D91" s="47">
        <v>18285.55930437365</v>
      </c>
      <c r="E91" s="47">
        <v>18306.186608794727</v>
      </c>
      <c r="F91" s="51">
        <v>19121.250921181214</v>
      </c>
      <c r="G91" s="51">
        <v>21797.020968004883</v>
      </c>
      <c r="H91" s="51">
        <v>23644.13832562046</v>
      </c>
      <c r="I91" s="51">
        <v>24205.0499762</v>
      </c>
    </row>
    <row r="92" spans="1:9" ht="14.25">
      <c r="A92" s="90" t="str">
        <f>HLOOKUP(INDICE!$F$2,Nombres!$C$3:$D$636,59,FALSE)</f>
        <v>Pasivos financieros mantenidos para negociar y designados a valor razonable con cambios en resultados</v>
      </c>
      <c r="B92" s="58">
        <v>72.63631057458979</v>
      </c>
      <c r="C92" s="58">
        <v>91.6120467071499</v>
      </c>
      <c r="D92" s="58">
        <v>110.40510777332783</v>
      </c>
      <c r="E92" s="66">
        <v>113.03043371347877</v>
      </c>
      <c r="F92" s="44">
        <v>211.721969628962</v>
      </c>
      <c r="G92" s="44">
        <v>249.2205667195854</v>
      </c>
      <c r="H92" s="44">
        <v>214.89432166218086</v>
      </c>
      <c r="I92" s="44">
        <v>222.03099999999998</v>
      </c>
    </row>
    <row r="93" spans="1:9" ht="14.25">
      <c r="A93" s="90" t="str">
        <f>HLOOKUP(INDICE!$F$2,Nombres!$C$3:$D$636,60,FALSE)</f>
        <v>Depósitos de bancos centrales y entidades de crédito</v>
      </c>
      <c r="B93" s="58">
        <v>1748.643570140697</v>
      </c>
      <c r="C93" s="58">
        <v>1880.317788391945</v>
      </c>
      <c r="D93" s="58">
        <v>2007.0739689156062</v>
      </c>
      <c r="E93" s="66">
        <v>1943.3867286376794</v>
      </c>
      <c r="F93" s="44">
        <v>2320.7043960091405</v>
      </c>
      <c r="G93" s="44">
        <v>2740.701102759223</v>
      </c>
      <c r="H93" s="44">
        <v>4322.447137840636</v>
      </c>
      <c r="I93" s="44">
        <v>4086.2529999999997</v>
      </c>
    </row>
    <row r="94" spans="1:9" ht="14.25">
      <c r="A94" s="90" t="str">
        <f>HLOOKUP(INDICE!$F$2,Nombres!$C$3:$D$636,61,FALSE)</f>
        <v>Depósitos de la clientela</v>
      </c>
      <c r="B94" s="58">
        <v>12043.50196562698</v>
      </c>
      <c r="C94" s="58">
        <v>11614.506080063551</v>
      </c>
      <c r="D94" s="58">
        <v>12107.429376071781</v>
      </c>
      <c r="E94" s="66">
        <v>12250.287649564809</v>
      </c>
      <c r="F94" s="44">
        <v>12458.589749414054</v>
      </c>
      <c r="G94" s="44">
        <v>14561.840689505</v>
      </c>
      <c r="H94" s="44">
        <v>14837.594252547327</v>
      </c>
      <c r="I94" s="44">
        <v>15849.82</v>
      </c>
    </row>
    <row r="95" spans="1:9" ht="14.25">
      <c r="A95" s="43" t="str">
        <f>HLOOKUP(INDICE!$F$2,Nombres!$C$3:$D$636,62,FALSE)</f>
        <v>Valores representativos de deuda emitidos</v>
      </c>
      <c r="B95" s="44">
        <v>1269.1647929052006</v>
      </c>
      <c r="C95" s="44">
        <v>1174.9522956714538</v>
      </c>
      <c r="D95" s="44">
        <v>1234.0006844913598</v>
      </c>
      <c r="E95" s="45">
        <v>1260.0655807740427</v>
      </c>
      <c r="F95" s="44">
        <v>1253.730706505757</v>
      </c>
      <c r="G95" s="44">
        <v>1280.6801403101606</v>
      </c>
      <c r="H95" s="44">
        <v>1254.5610182121513</v>
      </c>
      <c r="I95" s="44">
        <v>1111.071</v>
      </c>
    </row>
    <row r="96" spans="1:9" ht="14.25">
      <c r="A96" s="90" t="str">
        <f>HLOOKUP(INDICE!$F$2,Nombres!$C$3:$D$636,63,FALSE)</f>
        <v>Otros pasivos</v>
      </c>
      <c r="B96" s="58">
        <f aca="true" t="shared" si="16" ref="B96:I96">+B91-B92-B93-B94-B95-B97</f>
        <v>2313.9257075820333</v>
      </c>
      <c r="C96" s="58">
        <f t="shared" si="16"/>
        <v>2265.1126824525604</v>
      </c>
      <c r="D96" s="58">
        <f t="shared" si="16"/>
        <v>2298.059050333699</v>
      </c>
      <c r="E96" s="66">
        <f t="shared" si="16"/>
        <v>2173.151912986934</v>
      </c>
      <c r="F96" s="44">
        <f t="shared" si="16"/>
        <v>2326.4181434324923</v>
      </c>
      <c r="G96" s="44">
        <f t="shared" si="16"/>
        <v>2392.366449926564</v>
      </c>
      <c r="H96" s="44">
        <f t="shared" si="16"/>
        <v>2443.9381459371252</v>
      </c>
      <c r="I96" s="44">
        <f t="shared" si="16"/>
        <v>2353.0986473500006</v>
      </c>
    </row>
    <row r="97" spans="1:9" ht="14.25">
      <c r="A97" s="90" t="str">
        <f>HLOOKUP(INDICE!$F$2,Nombres!$C$3:$D$636,64,FALSE)</f>
        <v>Dotación de capital económico</v>
      </c>
      <c r="B97" s="44">
        <v>509.0514437218598</v>
      </c>
      <c r="C97" s="44">
        <v>517.4819150339168</v>
      </c>
      <c r="D97" s="44">
        <v>528.5911167878777</v>
      </c>
      <c r="E97" s="45">
        <v>566.2643031177824</v>
      </c>
      <c r="F97" s="44">
        <v>550.0859561908102</v>
      </c>
      <c r="G97" s="44">
        <v>572.2120187843503</v>
      </c>
      <c r="H97" s="44">
        <v>570.7034494210377</v>
      </c>
      <c r="I97" s="44">
        <v>582.7763288499999</v>
      </c>
    </row>
    <row r="98" spans="1:9" ht="14.25">
      <c r="A98" s="63"/>
      <c r="B98" s="58"/>
      <c r="C98" s="58"/>
      <c r="D98" s="58"/>
      <c r="E98" s="58"/>
      <c r="F98" s="44"/>
      <c r="G98" s="44"/>
      <c r="H98" s="44"/>
      <c r="I98" s="44"/>
    </row>
    <row r="99" spans="1:9" ht="14.25">
      <c r="A99" s="43"/>
      <c r="B99" s="58"/>
      <c r="C99" s="58"/>
      <c r="D99" s="58"/>
      <c r="E99" s="58"/>
      <c r="F99" s="44"/>
      <c r="G99" s="44"/>
      <c r="H99" s="44"/>
      <c r="I99" s="44"/>
    </row>
    <row r="100" spans="1:9" ht="16.5">
      <c r="A100" s="95" t="str">
        <f>HLOOKUP(INDICE!$F$2,Nombres!$C$3:$D$636,65,FALSE)</f>
        <v>Indicadores relevantes y de gestión</v>
      </c>
      <c r="B100" s="34"/>
      <c r="C100" s="34"/>
      <c r="D100" s="34"/>
      <c r="E100" s="34"/>
      <c r="F100" s="70"/>
      <c r="G100" s="70"/>
      <c r="H100" s="70"/>
      <c r="I100" s="70"/>
    </row>
    <row r="101" spans="1:9" ht="14.25">
      <c r="A101" s="86" t="str">
        <f>HLOOKUP(INDICE!$F$2,Nombres!$C$3:$D$636,73,FALSE)</f>
        <v>(Millones de euros constantes)</v>
      </c>
      <c r="B101" s="30"/>
      <c r="C101" s="30"/>
      <c r="D101" s="30"/>
      <c r="E101" s="30"/>
      <c r="F101" s="71"/>
      <c r="G101" s="44"/>
      <c r="H101" s="44"/>
      <c r="I101" s="44"/>
    </row>
    <row r="102" spans="1:9" ht="14.25">
      <c r="A102" s="30"/>
      <c r="B102" s="53">
        <f aca="true" t="shared" si="17" ref="B102:I102">+B$30</f>
        <v>43555</v>
      </c>
      <c r="C102" s="53">
        <f t="shared" si="17"/>
        <v>43646</v>
      </c>
      <c r="D102" s="53">
        <f t="shared" si="17"/>
        <v>43738</v>
      </c>
      <c r="E102" s="69">
        <f t="shared" si="17"/>
        <v>43830</v>
      </c>
      <c r="F102" s="53">
        <f t="shared" si="17"/>
        <v>43921</v>
      </c>
      <c r="G102" s="53">
        <f t="shared" si="17"/>
        <v>44012</v>
      </c>
      <c r="H102" s="53">
        <f t="shared" si="17"/>
        <v>44104</v>
      </c>
      <c r="I102" s="53">
        <f t="shared" si="17"/>
        <v>44196</v>
      </c>
    </row>
    <row r="103" spans="1:9" ht="14.25">
      <c r="A103" s="90" t="str">
        <f>HLOOKUP(INDICE!$F$2,Nombres!$C$3:$D$636,66,FALSE)</f>
        <v>Préstamos y anticipos a la clientela bruto (*)</v>
      </c>
      <c r="B103" s="44">
        <v>12594.80006161366</v>
      </c>
      <c r="C103" s="44">
        <v>12689.660688515945</v>
      </c>
      <c r="D103" s="44">
        <v>13095.44547245484</v>
      </c>
      <c r="E103" s="45">
        <v>13218.114435973032</v>
      </c>
      <c r="F103" s="44">
        <v>13751.893106462061</v>
      </c>
      <c r="G103" s="44">
        <v>14993.10879589728</v>
      </c>
      <c r="H103" s="44">
        <v>15916.46288813609</v>
      </c>
      <c r="I103" s="44">
        <v>15968.36124162</v>
      </c>
    </row>
    <row r="104" spans="1:9" ht="14.25">
      <c r="A104" s="90" t="str">
        <f>HLOOKUP(INDICE!$F$2,Nombres!$C$3:$D$636,67,FALSE)</f>
        <v>Depósitos de clientes en gestión (**)</v>
      </c>
      <c r="B104" s="44">
        <v>12043.500418031655</v>
      </c>
      <c r="C104" s="44">
        <v>11614.504614721602</v>
      </c>
      <c r="D104" s="44">
        <v>12107.426155984187</v>
      </c>
      <c r="E104" s="45">
        <v>12250.287656082113</v>
      </c>
      <c r="F104" s="44">
        <v>12458.589265809858</v>
      </c>
      <c r="G104" s="44">
        <v>14561.840564022696</v>
      </c>
      <c r="H104" s="44">
        <v>14837.595649481224</v>
      </c>
      <c r="I104" s="44">
        <v>15849.82414508</v>
      </c>
    </row>
    <row r="105" spans="1:9" ht="14.25">
      <c r="A105" s="43" t="str">
        <f>HLOOKUP(INDICE!$F$2,Nombres!$C$3:$D$636,68,FALSE)</f>
        <v>Fondos de inversión</v>
      </c>
      <c r="B105" s="44">
        <v>1436.9208567116718</v>
      </c>
      <c r="C105" s="44">
        <v>1418.0619656922108</v>
      </c>
      <c r="D105" s="44">
        <v>1491.5339808217404</v>
      </c>
      <c r="E105" s="45">
        <v>1523.3901228057596</v>
      </c>
      <c r="F105" s="44">
        <v>1570.0275641342753</v>
      </c>
      <c r="G105" s="44">
        <v>1674.8786609578442</v>
      </c>
      <c r="H105" s="44">
        <v>1936.1925194790174</v>
      </c>
      <c r="I105" s="44">
        <v>2145.97857369</v>
      </c>
    </row>
    <row r="106" spans="1:9" ht="14.25">
      <c r="A106" s="90" t="str">
        <f>HLOOKUP(INDICE!$F$2,Nombres!$C$3:$D$636,69,FALSE)</f>
        <v>Fondos de pensiones</v>
      </c>
      <c r="B106" s="44">
        <v>0</v>
      </c>
      <c r="C106" s="44">
        <v>0</v>
      </c>
      <c r="D106" s="44">
        <v>0</v>
      </c>
      <c r="E106" s="45">
        <v>0</v>
      </c>
      <c r="F106" s="44">
        <v>0</v>
      </c>
      <c r="G106" s="44">
        <v>0</v>
      </c>
      <c r="H106" s="44">
        <v>0</v>
      </c>
      <c r="I106" s="44">
        <v>0</v>
      </c>
    </row>
    <row r="107" spans="1:9" ht="14.25">
      <c r="A107" s="90" t="str">
        <f>HLOOKUP(INDICE!$F$2,Nombres!$C$3:$D$636,70,FALSE)</f>
        <v>Otros recursos fuera de balance</v>
      </c>
      <c r="B107" s="44">
        <v>0</v>
      </c>
      <c r="C107" s="44">
        <v>0</v>
      </c>
      <c r="D107" s="44">
        <v>0</v>
      </c>
      <c r="E107" s="45">
        <v>0</v>
      </c>
      <c r="F107" s="44">
        <v>0</v>
      </c>
      <c r="G107" s="44">
        <v>0</v>
      </c>
      <c r="H107" s="44">
        <v>0</v>
      </c>
      <c r="I107" s="44">
        <v>0</v>
      </c>
    </row>
    <row r="108" spans="1:9" ht="14.25">
      <c r="A108" s="94" t="str">
        <f>HLOOKUP(INDICE!$F$2,Nombres!$C$3:$D$636,71,FALSE)</f>
        <v>(*) No incluye las adquisiciones temporales de activos.</v>
      </c>
      <c r="B108" s="58"/>
      <c r="C108" s="58"/>
      <c r="D108" s="58"/>
      <c r="E108" s="58"/>
      <c r="F108" s="58"/>
      <c r="G108" s="58"/>
      <c r="H108" s="58"/>
      <c r="I108" s="58"/>
    </row>
    <row r="109" spans="1:9" ht="14.25">
      <c r="A109" s="94" t="str">
        <f>HLOOKUP(INDICE!$F$2,Nombres!$C$3:$D$636,72,FALSE)</f>
        <v>(**) No incluye las cesiones temporales de activos.</v>
      </c>
      <c r="B109" s="30"/>
      <c r="C109" s="30"/>
      <c r="D109" s="30"/>
      <c r="E109" s="30"/>
      <c r="F109" s="30"/>
      <c r="G109" s="30"/>
      <c r="H109" s="30"/>
      <c r="I109" s="30"/>
    </row>
    <row r="110" spans="1:9" ht="14.25">
      <c r="A110" s="63"/>
      <c r="B110" s="58"/>
      <c r="C110" s="44"/>
      <c r="D110" s="44"/>
      <c r="E110" s="44"/>
      <c r="F110" s="44"/>
      <c r="G110" s="30"/>
      <c r="H110" s="30"/>
      <c r="I110" s="30"/>
    </row>
    <row r="111" spans="1:9" ht="16.5">
      <c r="A111" s="95" t="str">
        <f>HLOOKUP(INDICE!$F$2,Nombres!$C$3:$D$636,31,FALSE)</f>
        <v>Cuenta de resultados  </v>
      </c>
      <c r="B111" s="34"/>
      <c r="C111" s="34"/>
      <c r="D111" s="34"/>
      <c r="E111" s="34"/>
      <c r="F111" s="34"/>
      <c r="G111" s="34"/>
      <c r="H111" s="34"/>
      <c r="I111" s="34"/>
    </row>
    <row r="112" spans="1:9" ht="14.25">
      <c r="A112" s="86" t="str">
        <f>HLOOKUP(INDICE!$F$2,Nombres!$C$3:$D$636,79,FALSE)</f>
        <v>(Millones de soles peruanos)</v>
      </c>
      <c r="B112" s="30"/>
      <c r="C112" s="36"/>
      <c r="D112" s="36"/>
      <c r="E112" s="36"/>
      <c r="F112" s="30"/>
      <c r="G112" s="30"/>
      <c r="H112" s="30"/>
      <c r="I112" s="30"/>
    </row>
    <row r="113" spans="1:9" ht="14.25">
      <c r="A113" s="37"/>
      <c r="B113" s="30"/>
      <c r="C113" s="36"/>
      <c r="D113" s="36"/>
      <c r="E113" s="36"/>
      <c r="F113" s="30"/>
      <c r="G113" s="30"/>
      <c r="H113" s="30"/>
      <c r="I113" s="30"/>
    </row>
    <row r="114" spans="1:9" ht="14.25">
      <c r="A114" s="38"/>
      <c r="B114" s="308">
        <f>+B$6</f>
        <v>2019</v>
      </c>
      <c r="C114" s="308"/>
      <c r="D114" s="308"/>
      <c r="E114" s="309"/>
      <c r="F114" s="308">
        <f>+F$6</f>
        <v>2020</v>
      </c>
      <c r="G114" s="308"/>
      <c r="H114" s="308"/>
      <c r="I114" s="308"/>
    </row>
    <row r="115" spans="1:9" ht="14.25">
      <c r="A115" s="38"/>
      <c r="B115" s="87" t="str">
        <f aca="true" t="shared" si="18" ref="B115:I115">+B$7</f>
        <v>1er Trim.</v>
      </c>
      <c r="C115" s="87" t="str">
        <f t="shared" si="18"/>
        <v>2º Trim.</v>
      </c>
      <c r="D115" s="87" t="str">
        <f t="shared" si="18"/>
        <v>3er Trim.</v>
      </c>
      <c r="E115" s="88" t="str">
        <f t="shared" si="18"/>
        <v>4º Trim.</v>
      </c>
      <c r="F115" s="87" t="str">
        <f t="shared" si="18"/>
        <v>1er Trim.</v>
      </c>
      <c r="G115" s="87" t="str">
        <f t="shared" si="18"/>
        <v>2º Trim.</v>
      </c>
      <c r="H115" s="87" t="str">
        <f t="shared" si="18"/>
        <v>3er Trim.</v>
      </c>
      <c r="I115" s="87" t="str">
        <f t="shared" si="18"/>
        <v>4º Trim.</v>
      </c>
    </row>
    <row r="116" spans="1:9" ht="14.25">
      <c r="A116" s="41" t="str">
        <f>HLOOKUP(INDICE!$F$2,Nombres!$C$3:$D$636,33,FALSE)</f>
        <v>Margen de intereses</v>
      </c>
      <c r="B116" s="41">
        <v>825.8225655813928</v>
      </c>
      <c r="C116" s="41">
        <v>854.5820671411161</v>
      </c>
      <c r="D116" s="41">
        <v>865.3555939439445</v>
      </c>
      <c r="E116" s="42">
        <v>807.2391714664036</v>
      </c>
      <c r="F116" s="50">
        <v>822.6164431567416</v>
      </c>
      <c r="G116" s="50">
        <v>767.7308918636254</v>
      </c>
      <c r="H116" s="50">
        <v>821.5989156313824</v>
      </c>
      <c r="I116" s="50">
        <v>811.8800956265768</v>
      </c>
    </row>
    <row r="117" spans="1:9" ht="14.25">
      <c r="A117" s="90" t="str">
        <f>HLOOKUP(INDICE!$F$2,Nombres!$C$3:$D$636,34,FALSE)</f>
        <v>Comisiones netas</v>
      </c>
      <c r="B117" s="44">
        <v>204.58466550734533</v>
      </c>
      <c r="C117" s="44">
        <v>222.8589218140125</v>
      </c>
      <c r="D117" s="44">
        <v>223.98290951531757</v>
      </c>
      <c r="E117" s="45">
        <v>213.38360176306597</v>
      </c>
      <c r="F117" s="44">
        <v>199.84619702159569</v>
      </c>
      <c r="G117" s="44">
        <v>172.77912709303683</v>
      </c>
      <c r="H117" s="44">
        <v>250.99794654784762</v>
      </c>
      <c r="I117" s="44">
        <v>245.79518615032453</v>
      </c>
    </row>
    <row r="118" spans="1:9" ht="14.25">
      <c r="A118" s="90" t="str">
        <f>HLOOKUP(INDICE!$F$2,Nombres!$C$3:$D$636,35,FALSE)</f>
        <v>Resultados de operaciones financieras</v>
      </c>
      <c r="B118" s="44">
        <v>147.21206039426394</v>
      </c>
      <c r="C118" s="44">
        <v>162.3845409942765</v>
      </c>
      <c r="D118" s="44">
        <v>164.6063307323721</v>
      </c>
      <c r="E118" s="45">
        <v>198.50103178956118</v>
      </c>
      <c r="F118" s="44">
        <v>139.19711576579294</v>
      </c>
      <c r="G118" s="44">
        <v>134.20563173122002</v>
      </c>
      <c r="H118" s="44">
        <v>177.20843392421114</v>
      </c>
      <c r="I118" s="44">
        <v>184.2637226974886</v>
      </c>
    </row>
    <row r="119" spans="1:9" ht="14.25">
      <c r="A119" s="90" t="str">
        <f>HLOOKUP(INDICE!$F$2,Nombres!$C$3:$D$636,36,FALSE)</f>
        <v>Otros ingresos y cargas de explotación</v>
      </c>
      <c r="B119" s="44">
        <v>-23.989773249011417</v>
      </c>
      <c r="C119" s="44">
        <v>-17.66065648092684</v>
      </c>
      <c r="D119" s="44">
        <v>-21.402906457147274</v>
      </c>
      <c r="E119" s="45">
        <v>-19.430304894886376</v>
      </c>
      <c r="F119" s="44">
        <v>-23.841398634021502</v>
      </c>
      <c r="G119" s="44">
        <v>-30.372977972059196</v>
      </c>
      <c r="H119" s="44">
        <v>-28.42004788204776</v>
      </c>
      <c r="I119" s="44">
        <v>-41.01571055181027</v>
      </c>
    </row>
    <row r="120" spans="1:9" ht="14.25">
      <c r="A120" s="41" t="str">
        <f>HLOOKUP(INDICE!$F$2,Nombres!$C$3:$D$636,37,FALSE)</f>
        <v>Margen bruto</v>
      </c>
      <c r="B120" s="41">
        <f aca="true" t="shared" si="19" ref="B120:I120">+SUM(B116:B119)</f>
        <v>1153.6295182339907</v>
      </c>
      <c r="C120" s="41">
        <f t="shared" si="19"/>
        <v>1222.1648734684782</v>
      </c>
      <c r="D120" s="41">
        <f t="shared" si="19"/>
        <v>1232.5419277344868</v>
      </c>
      <c r="E120" s="42">
        <f t="shared" si="19"/>
        <v>1199.6935001241443</v>
      </c>
      <c r="F120" s="50">
        <f t="shared" si="19"/>
        <v>1137.8183573101087</v>
      </c>
      <c r="G120" s="50">
        <f t="shared" si="19"/>
        <v>1044.342672715823</v>
      </c>
      <c r="H120" s="50">
        <f t="shared" si="19"/>
        <v>1221.385248221393</v>
      </c>
      <c r="I120" s="50">
        <f t="shared" si="19"/>
        <v>1200.9232939225797</v>
      </c>
    </row>
    <row r="121" spans="1:9" ht="14.25">
      <c r="A121" s="90" t="str">
        <f>HLOOKUP(INDICE!$F$2,Nombres!$C$3:$D$636,38,FALSE)</f>
        <v>Gastos de explotación</v>
      </c>
      <c r="B121" s="44">
        <v>-423.0523077793573</v>
      </c>
      <c r="C121" s="44">
        <v>-417.02620179789545</v>
      </c>
      <c r="D121" s="44">
        <v>-434.0389355653133</v>
      </c>
      <c r="E121" s="45">
        <v>-445.23424739291124</v>
      </c>
      <c r="F121" s="44">
        <v>-449.43644354404404</v>
      </c>
      <c r="G121" s="44">
        <v>-403.91974271197734</v>
      </c>
      <c r="H121" s="44">
        <v>-430.28437203006257</v>
      </c>
      <c r="I121" s="44">
        <v>-454.5002023644728</v>
      </c>
    </row>
    <row r="122" spans="1:9" ht="14.25">
      <c r="A122" s="90" t="str">
        <f>HLOOKUP(INDICE!$F$2,Nombres!$C$3:$D$636,39,FALSE)</f>
        <v>  Gastos de administración</v>
      </c>
      <c r="B122" s="44">
        <v>-358.75503601332673</v>
      </c>
      <c r="C122" s="44">
        <v>-356.0645519441117</v>
      </c>
      <c r="D122" s="44">
        <v>-372.5524822818743</v>
      </c>
      <c r="E122" s="45">
        <v>-386.37676868024823</v>
      </c>
      <c r="F122" s="44">
        <v>-380.8056394799821</v>
      </c>
      <c r="G122" s="44">
        <v>-344.3205823678484</v>
      </c>
      <c r="H122" s="44">
        <v>-368.57733362195813</v>
      </c>
      <c r="I122" s="44">
        <v>-391.6035795808933</v>
      </c>
    </row>
    <row r="123" spans="1:9" ht="14.25">
      <c r="A123" s="91" t="str">
        <f>HLOOKUP(INDICE!$F$2,Nombres!$C$3:$D$636,40,FALSE)</f>
        <v>  Gastos de personal</v>
      </c>
      <c r="B123" s="44">
        <v>-204.19044375609718</v>
      </c>
      <c r="C123" s="44">
        <v>-199.31825918330463</v>
      </c>
      <c r="D123" s="44">
        <v>-210.26052277643083</v>
      </c>
      <c r="E123" s="45">
        <v>-232.19491446987908</v>
      </c>
      <c r="F123" s="44">
        <v>-220.22427137419857</v>
      </c>
      <c r="G123" s="44">
        <v>-194.3518284864185</v>
      </c>
      <c r="H123" s="44">
        <v>-209.36866637635285</v>
      </c>
      <c r="I123" s="44">
        <v>-223.94096653693327</v>
      </c>
    </row>
    <row r="124" spans="1:9" ht="14.25">
      <c r="A124" s="91" t="str">
        <f>HLOOKUP(INDICE!$F$2,Nombres!$C$3:$D$636,41,FALSE)</f>
        <v>  Otros gastos de administración</v>
      </c>
      <c r="B124" s="44">
        <v>-154.56459225722955</v>
      </c>
      <c r="C124" s="44">
        <v>-156.7462927608071</v>
      </c>
      <c r="D124" s="44">
        <v>-162.29195950544351</v>
      </c>
      <c r="E124" s="45">
        <v>-154.18185421036918</v>
      </c>
      <c r="F124" s="44">
        <v>-160.5813681057836</v>
      </c>
      <c r="G124" s="44">
        <v>-149.96875388142985</v>
      </c>
      <c r="H124" s="44">
        <v>-159.2086672456053</v>
      </c>
      <c r="I124" s="44">
        <v>-167.66261304396</v>
      </c>
    </row>
    <row r="125" spans="1:9" ht="14.25">
      <c r="A125" s="90" t="str">
        <f>HLOOKUP(INDICE!$F$2,Nombres!$C$3:$D$636,42,FALSE)</f>
        <v>  Amortización</v>
      </c>
      <c r="B125" s="44">
        <v>-64.2972717660306</v>
      </c>
      <c r="C125" s="44">
        <v>-60.96164985378371</v>
      </c>
      <c r="D125" s="44">
        <v>-61.48645328343902</v>
      </c>
      <c r="E125" s="45">
        <v>-58.85747871266298</v>
      </c>
      <c r="F125" s="44">
        <v>-68.63080406406189</v>
      </c>
      <c r="G125" s="44">
        <v>-59.599160344128975</v>
      </c>
      <c r="H125" s="44">
        <v>-61.70703840810442</v>
      </c>
      <c r="I125" s="44">
        <v>-62.8966227835795</v>
      </c>
    </row>
    <row r="126" spans="1:9" ht="14.25">
      <c r="A126" s="41" t="str">
        <f>HLOOKUP(INDICE!$F$2,Nombres!$C$3:$D$636,43,FALSE)</f>
        <v>Margen neto</v>
      </c>
      <c r="B126" s="41">
        <f aca="true" t="shared" si="20" ref="B126:I126">+B120+B121</f>
        <v>730.5772104546334</v>
      </c>
      <c r="C126" s="41">
        <f t="shared" si="20"/>
        <v>805.1386716705827</v>
      </c>
      <c r="D126" s="41">
        <f t="shared" si="20"/>
        <v>798.5029921691735</v>
      </c>
      <c r="E126" s="42">
        <f t="shared" si="20"/>
        <v>754.459252731233</v>
      </c>
      <c r="F126" s="50">
        <f t="shared" si="20"/>
        <v>688.3819137660646</v>
      </c>
      <c r="G126" s="50">
        <f t="shared" si="20"/>
        <v>640.4229300038457</v>
      </c>
      <c r="H126" s="50">
        <f t="shared" si="20"/>
        <v>791.1008761913306</v>
      </c>
      <c r="I126" s="50">
        <f t="shared" si="20"/>
        <v>746.4230915581069</v>
      </c>
    </row>
    <row r="127" spans="1:9" ht="14.25">
      <c r="A127" s="90" t="str">
        <f>HLOOKUP(INDICE!$F$2,Nombres!$C$3:$D$636,44,FALSE)</f>
        <v>Deterioro de activos financieros no valorados a valor razonable con cambios en resultados</v>
      </c>
      <c r="B127" s="44">
        <v>-214.68526197310214</v>
      </c>
      <c r="C127" s="44">
        <v>-233.43014331623354</v>
      </c>
      <c r="D127" s="44">
        <v>-178.58668800651435</v>
      </c>
      <c r="E127" s="45">
        <v>-193.78108683987054</v>
      </c>
      <c r="F127" s="44">
        <v>-361.6251936363261</v>
      </c>
      <c r="G127" s="44">
        <v>-525.4856254009944</v>
      </c>
      <c r="H127" s="44">
        <v>-187.37793362034995</v>
      </c>
      <c r="I127" s="44">
        <v>-321.5736511816382</v>
      </c>
    </row>
    <row r="128" spans="1:9" ht="14.25">
      <c r="A128" s="90" t="str">
        <f>HLOOKUP(INDICE!$F$2,Nombres!$C$3:$D$636,45,FALSE)</f>
        <v>Provisiones o reversión de provisiones y otros resultados</v>
      </c>
      <c r="B128" s="44">
        <v>-14.39310919800685</v>
      </c>
      <c r="C128" s="44">
        <v>43.1642446329642</v>
      </c>
      <c r="D128" s="44">
        <v>14.109170021100834</v>
      </c>
      <c r="E128" s="45">
        <v>-38.69881457605961</v>
      </c>
      <c r="F128" s="44">
        <v>-13.449956352012133</v>
      </c>
      <c r="G128" s="44">
        <v>-85.8006983981356</v>
      </c>
      <c r="H128" s="44">
        <v>-75.2901517341236</v>
      </c>
      <c r="I128" s="44">
        <v>7.621907284353988</v>
      </c>
    </row>
    <row r="129" spans="1:9" ht="14.25">
      <c r="A129" s="92" t="str">
        <f>HLOOKUP(INDICE!$F$2,Nombres!$C$3:$D$636,46,FALSE)</f>
        <v>Resultado antes de impuestos</v>
      </c>
      <c r="B129" s="41">
        <f aca="true" t="shared" si="21" ref="B129:I129">+B126+B127+B128</f>
        <v>501.4988392835244</v>
      </c>
      <c r="C129" s="41">
        <f t="shared" si="21"/>
        <v>614.8727729873133</v>
      </c>
      <c r="D129" s="41">
        <f t="shared" si="21"/>
        <v>634.0254741837599</v>
      </c>
      <c r="E129" s="42">
        <f t="shared" si="21"/>
        <v>521.9793513153029</v>
      </c>
      <c r="F129" s="50">
        <f t="shared" si="21"/>
        <v>313.30676377772636</v>
      </c>
      <c r="G129" s="50">
        <f t="shared" si="21"/>
        <v>29.136606204715733</v>
      </c>
      <c r="H129" s="50">
        <f t="shared" si="21"/>
        <v>528.4327908368571</v>
      </c>
      <c r="I129" s="50">
        <f t="shared" si="21"/>
        <v>432.4713476608227</v>
      </c>
    </row>
    <row r="130" spans="1:9" ht="14.25">
      <c r="A130" s="43" t="str">
        <f>HLOOKUP(INDICE!$F$2,Nombres!$C$3:$D$636,47,FALSE)</f>
        <v>Impuesto sobre beneficios</v>
      </c>
      <c r="B130" s="44">
        <v>-147.1221655778166</v>
      </c>
      <c r="C130" s="44">
        <v>-175.04542812497618</v>
      </c>
      <c r="D130" s="44">
        <v>-183.1294639520816</v>
      </c>
      <c r="E130" s="45">
        <v>-133.44808630932997</v>
      </c>
      <c r="F130" s="44">
        <v>-70.10950596304181</v>
      </c>
      <c r="G130" s="44">
        <v>-7.331708648417674</v>
      </c>
      <c r="H130" s="44">
        <v>-155.99078028053168</v>
      </c>
      <c r="I130" s="44">
        <v>-129.57061958096824</v>
      </c>
    </row>
    <row r="131" spans="1:9" ht="14.25">
      <c r="A131" s="92" t="str">
        <f>HLOOKUP(INDICE!$F$2,Nombres!$C$3:$D$636,48,FALSE)</f>
        <v>Resultado del ejercicio</v>
      </c>
      <c r="B131" s="41">
        <f aca="true" t="shared" si="22" ref="B131:I131">+B129+B130</f>
        <v>354.3766737057078</v>
      </c>
      <c r="C131" s="41">
        <f t="shared" si="22"/>
        <v>439.8273448623371</v>
      </c>
      <c r="D131" s="41">
        <f t="shared" si="22"/>
        <v>450.8960102316783</v>
      </c>
      <c r="E131" s="42">
        <f t="shared" si="22"/>
        <v>388.53126500597295</v>
      </c>
      <c r="F131" s="50">
        <f t="shared" si="22"/>
        <v>243.19725781468455</v>
      </c>
      <c r="G131" s="50">
        <f t="shared" si="22"/>
        <v>21.80489755629806</v>
      </c>
      <c r="H131" s="50">
        <f t="shared" si="22"/>
        <v>372.4420105563254</v>
      </c>
      <c r="I131" s="50">
        <f t="shared" si="22"/>
        <v>302.90072807985445</v>
      </c>
    </row>
    <row r="132" spans="1:9" ht="14.25">
      <c r="A132" s="90" t="str">
        <f>HLOOKUP(INDICE!$F$2,Nombres!$C$3:$D$636,49,FALSE)</f>
        <v>Minoritarios</v>
      </c>
      <c r="B132" s="44">
        <v>-193.0495146405858</v>
      </c>
      <c r="C132" s="44">
        <v>-235.34427636316113</v>
      </c>
      <c r="D132" s="44">
        <v>-243.65688144628675</v>
      </c>
      <c r="E132" s="45">
        <v>-208.40621807092356</v>
      </c>
      <c r="F132" s="44">
        <v>-131.35176264291465</v>
      </c>
      <c r="G132" s="44">
        <v>-11.705047513700762</v>
      </c>
      <c r="H132" s="44">
        <v>-196.85153441658724</v>
      </c>
      <c r="I132" s="44">
        <v>-161.90204169252</v>
      </c>
    </row>
    <row r="133" spans="1:9" ht="14.25">
      <c r="A133" s="93" t="str">
        <f>HLOOKUP(INDICE!$F$2,Nombres!$C$3:$D$636,50,FALSE)</f>
        <v>Resultado atribuido</v>
      </c>
      <c r="B133" s="47">
        <f aca="true" t="shared" si="23" ref="B133:I133">+B131+B132</f>
        <v>161.32715906512198</v>
      </c>
      <c r="C133" s="47">
        <f t="shared" si="23"/>
        <v>204.48306849917597</v>
      </c>
      <c r="D133" s="47">
        <f t="shared" si="23"/>
        <v>207.23912878539156</v>
      </c>
      <c r="E133" s="47">
        <f t="shared" si="23"/>
        <v>180.1250469350494</v>
      </c>
      <c r="F133" s="51">
        <f t="shared" si="23"/>
        <v>111.8454951717699</v>
      </c>
      <c r="G133" s="51">
        <f t="shared" si="23"/>
        <v>10.099850042597296</v>
      </c>
      <c r="H133" s="51">
        <f t="shared" si="23"/>
        <v>175.59047613973814</v>
      </c>
      <c r="I133" s="51">
        <f t="shared" si="23"/>
        <v>140.99868638733446</v>
      </c>
    </row>
    <row r="134" spans="1:9" ht="14.25">
      <c r="A134" s="94"/>
      <c r="B134" s="64">
        <v>0</v>
      </c>
      <c r="C134" s="64">
        <v>-2.5579538487363607E-13</v>
      </c>
      <c r="D134" s="64">
        <v>0</v>
      </c>
      <c r="E134" s="64">
        <v>0</v>
      </c>
      <c r="F134" s="64">
        <v>-3.126388037344441E-13</v>
      </c>
      <c r="G134" s="64">
        <v>1.2789769243681803E-13</v>
      </c>
      <c r="H134" s="64">
        <v>0</v>
      </c>
      <c r="I134" s="64">
        <v>0</v>
      </c>
    </row>
    <row r="135" spans="1:9" ht="14.25">
      <c r="A135" s="92"/>
      <c r="B135" s="41"/>
      <c r="C135" s="41"/>
      <c r="D135" s="41"/>
      <c r="E135" s="41"/>
      <c r="F135" s="50"/>
      <c r="G135" s="50"/>
      <c r="H135" s="50"/>
      <c r="I135" s="50"/>
    </row>
    <row r="136" spans="1:9" ht="16.5">
      <c r="A136" s="95" t="str">
        <f>HLOOKUP(INDICE!$F$2,Nombres!$C$3:$D$636,51,FALSE)</f>
        <v>Balances</v>
      </c>
      <c r="B136" s="34"/>
      <c r="C136" s="34"/>
      <c r="D136" s="34"/>
      <c r="E136" s="34"/>
      <c r="F136" s="70"/>
      <c r="G136" s="70"/>
      <c r="H136" s="70"/>
      <c r="I136" s="70"/>
    </row>
    <row r="137" spans="1:9" ht="14.25">
      <c r="A137" s="86" t="str">
        <f>HLOOKUP(INDICE!$F$2,Nombres!$C$3:$D$636,79,FALSE)</f>
        <v>(Millones de soles peruanos)</v>
      </c>
      <c r="B137" s="30"/>
      <c r="C137" s="52"/>
      <c r="D137" s="52"/>
      <c r="E137" s="52"/>
      <c r="F137" s="71"/>
      <c r="G137" s="44"/>
      <c r="H137" s="44"/>
      <c r="I137" s="44"/>
    </row>
    <row r="138" spans="1:9" ht="14.25">
      <c r="A138" s="30"/>
      <c r="B138" s="53">
        <f aca="true" t="shared" si="24" ref="B138:I138">+B$30</f>
        <v>43555</v>
      </c>
      <c r="C138" s="53">
        <f t="shared" si="24"/>
        <v>43646</v>
      </c>
      <c r="D138" s="53">
        <f t="shared" si="24"/>
        <v>43738</v>
      </c>
      <c r="E138" s="69">
        <f t="shared" si="24"/>
        <v>43830</v>
      </c>
      <c r="F138" s="53">
        <f t="shared" si="24"/>
        <v>43921</v>
      </c>
      <c r="G138" s="53">
        <f t="shared" si="24"/>
        <v>44012</v>
      </c>
      <c r="H138" s="53">
        <f t="shared" si="24"/>
        <v>44104</v>
      </c>
      <c r="I138" s="53">
        <f t="shared" si="24"/>
        <v>44196</v>
      </c>
    </row>
    <row r="139" spans="1:9" ht="14.25">
      <c r="A139" s="90" t="str">
        <f>HLOOKUP(INDICE!$F$2,Nombres!$C$3:$D$636,52,FALSE)</f>
        <v>Efectivo, saldos en efectivo en bancos centrales y otros depósitos a la vista</v>
      </c>
      <c r="B139" s="44">
        <v>12486.025888771072</v>
      </c>
      <c r="C139" s="44">
        <v>9946.523908056019</v>
      </c>
      <c r="D139" s="44">
        <v>10321.952254310552</v>
      </c>
      <c r="E139" s="45">
        <v>12514.810672603597</v>
      </c>
      <c r="F139" s="44">
        <v>12687.30730110878</v>
      </c>
      <c r="G139" s="44">
        <v>12352.691014420088</v>
      </c>
      <c r="H139" s="44">
        <v>10450.167998535244</v>
      </c>
      <c r="I139" s="44">
        <v>12545.050786063142</v>
      </c>
    </row>
    <row r="140" spans="1:9" ht="14.25">
      <c r="A140" s="90" t="str">
        <f>HLOOKUP(INDICE!$F$2,Nombres!$C$3:$D$636,53,FALSE)</f>
        <v>Activos financieros a valor razonable</v>
      </c>
      <c r="B140" s="58">
        <v>8333.47032090871</v>
      </c>
      <c r="C140" s="58">
        <v>7413.087746390194</v>
      </c>
      <c r="D140" s="58">
        <v>8609.339328623135</v>
      </c>
      <c r="E140" s="66">
        <v>7196.390230608868</v>
      </c>
      <c r="F140" s="44">
        <v>8419.706186415917</v>
      </c>
      <c r="G140" s="44">
        <v>11948.14745171466</v>
      </c>
      <c r="H140" s="44">
        <v>12504.359251807346</v>
      </c>
      <c r="I140" s="44">
        <v>12313.935229353452</v>
      </c>
    </row>
    <row r="141" spans="1:9" ht="14.25">
      <c r="A141" s="43" t="str">
        <f>HLOOKUP(INDICE!$F$2,Nombres!$C$3:$D$636,54,FALSE)</f>
        <v>Activos financieros a coste amortizado</v>
      </c>
      <c r="B141" s="44">
        <v>56413.31529475373</v>
      </c>
      <c r="C141" s="44">
        <v>58154.94963251181</v>
      </c>
      <c r="D141" s="44">
        <v>59805.20463590155</v>
      </c>
      <c r="E141" s="45">
        <v>59197.557692077324</v>
      </c>
      <c r="F141" s="44">
        <v>61190.93604877764</v>
      </c>
      <c r="G141" s="44">
        <v>69659.84781540181</v>
      </c>
      <c r="H141" s="44">
        <v>79466.36181406281</v>
      </c>
      <c r="I141" s="44">
        <v>80052.34800276243</v>
      </c>
    </row>
    <row r="142" spans="1:9" ht="14.25">
      <c r="A142" s="90" t="str">
        <f>HLOOKUP(INDICE!$F$2,Nombres!$C$3:$D$636,55,FALSE)</f>
        <v>    de los que préstamos y anticipos a la clientela</v>
      </c>
      <c r="B142" s="44">
        <v>53471.493410126895</v>
      </c>
      <c r="C142" s="44">
        <v>54453.96549377822</v>
      </c>
      <c r="D142" s="44">
        <v>56100.23638915248</v>
      </c>
      <c r="E142" s="45">
        <v>56029.32310618846</v>
      </c>
      <c r="F142" s="44">
        <v>58181.937480382694</v>
      </c>
      <c r="G142" s="44">
        <v>63536.650084606306</v>
      </c>
      <c r="H142" s="44">
        <v>67094.89135028025</v>
      </c>
      <c r="I142" s="44">
        <v>67118.79308206981</v>
      </c>
    </row>
    <row r="143" spans="1:9" ht="14.25">
      <c r="A143" s="43" t="str">
        <f>HLOOKUP(INDICE!$F$2,Nombres!$C$3:$D$636,56,FALSE)</f>
        <v>Activos tangibles</v>
      </c>
      <c r="B143" s="44">
        <v>1154.6191756435442</v>
      </c>
      <c r="C143" s="44">
        <v>1150.881864211738</v>
      </c>
      <c r="D143" s="44">
        <v>1153.658124346956</v>
      </c>
      <c r="E143" s="45">
        <v>1176.209885018834</v>
      </c>
      <c r="F143" s="44">
        <v>1155.8272410280667</v>
      </c>
      <c r="G143" s="44">
        <v>1137.450432457205</v>
      </c>
      <c r="H143" s="44">
        <v>1139.8418974233905</v>
      </c>
      <c r="I143" s="44">
        <v>1184.634546888408</v>
      </c>
    </row>
    <row r="144" spans="1:9" ht="14.25">
      <c r="A144" s="90" t="str">
        <f>HLOOKUP(INDICE!$F$2,Nombres!$C$3:$D$636,57,FALSE)</f>
        <v>Otros activos</v>
      </c>
      <c r="B144" s="58">
        <f aca="true" t="shared" si="25" ref="B144:I144">+B145-B143-B141-B140-B139</f>
        <v>1467.1889856353973</v>
      </c>
      <c r="C144" s="58">
        <f t="shared" si="25"/>
        <v>1352.8238371550542</v>
      </c>
      <c r="D144" s="58">
        <f t="shared" si="25"/>
        <v>1425.9107388511748</v>
      </c>
      <c r="E144" s="66">
        <f t="shared" si="25"/>
        <v>1322.8264307582049</v>
      </c>
      <c r="F144" s="44">
        <f t="shared" si="25"/>
        <v>1578.6172815573718</v>
      </c>
      <c r="G144" s="44">
        <f t="shared" si="25"/>
        <v>1833.4335008033704</v>
      </c>
      <c r="H144" s="44">
        <f t="shared" si="25"/>
        <v>1584.9886134473836</v>
      </c>
      <c r="I144" s="44">
        <f t="shared" si="25"/>
        <v>1544.1307294490834</v>
      </c>
    </row>
    <row r="145" spans="1:9" ht="14.25">
      <c r="A145" s="93" t="str">
        <f>HLOOKUP(INDICE!$F$2,Nombres!$C$3:$D$636,58,FALSE)</f>
        <v>Total activo / pasivo</v>
      </c>
      <c r="B145" s="47">
        <v>79854.61966571245</v>
      </c>
      <c r="C145" s="47">
        <v>78018.26698832482</v>
      </c>
      <c r="D145" s="47">
        <v>81316.06508203337</v>
      </c>
      <c r="E145" s="47">
        <v>81407.79491106683</v>
      </c>
      <c r="F145" s="51">
        <v>85032.39405888777</v>
      </c>
      <c r="G145" s="51">
        <v>96931.57021479713</v>
      </c>
      <c r="H145" s="51">
        <v>105145.71957527618</v>
      </c>
      <c r="I145" s="51">
        <v>107640.09929451652</v>
      </c>
    </row>
    <row r="146" spans="1:9" ht="14.25">
      <c r="A146" s="90" t="str">
        <f>HLOOKUP(INDICE!$F$2,Nombres!$C$3:$D$636,59,FALSE)</f>
        <v>Pasivos financieros mantenidos para negociar y designados a valor razonable con cambios en resultados</v>
      </c>
      <c r="B146" s="58">
        <v>323.0143994878725</v>
      </c>
      <c r="C146" s="58">
        <v>407.39968782661515</v>
      </c>
      <c r="D146" s="58">
        <v>490.97261831840683</v>
      </c>
      <c r="E146" s="66">
        <v>502.64746902750176</v>
      </c>
      <c r="F146" s="44">
        <v>941.5297161584251</v>
      </c>
      <c r="G146" s="44">
        <v>1108.2863524061743</v>
      </c>
      <c r="H146" s="44">
        <v>955.6371973736507</v>
      </c>
      <c r="I146" s="44">
        <v>987.3740773086731</v>
      </c>
    </row>
    <row r="147" spans="1:9" ht="14.25">
      <c r="A147" s="90" t="str">
        <f>HLOOKUP(INDICE!$F$2,Nombres!$C$3:$D$636,60,FALSE)</f>
        <v>Depósitos de bancos centrales y entidades de crédito</v>
      </c>
      <c r="B147" s="58">
        <v>7776.23544284093</v>
      </c>
      <c r="C147" s="58">
        <v>8361.792008145627</v>
      </c>
      <c r="D147" s="58">
        <v>8925.478010495395</v>
      </c>
      <c r="E147" s="66">
        <v>8642.260216107434</v>
      </c>
      <c r="F147" s="44">
        <v>10320.195656082738</v>
      </c>
      <c r="G147" s="44">
        <v>12187.925210964913</v>
      </c>
      <c r="H147" s="44">
        <v>19221.96564642286</v>
      </c>
      <c r="I147" s="44">
        <v>18171.60795350558</v>
      </c>
    </row>
    <row r="148" spans="1:9" ht="14.25">
      <c r="A148" s="90" t="str">
        <f>HLOOKUP(INDICE!$F$2,Nombres!$C$3:$D$636,61,FALSE)</f>
        <v>Depósitos de la clientela</v>
      </c>
      <c r="B148" s="58">
        <v>53557.57367609086</v>
      </c>
      <c r="C148" s="58">
        <v>51649.82468303399</v>
      </c>
      <c r="D148" s="58">
        <v>53841.859509612616</v>
      </c>
      <c r="E148" s="66">
        <v>54477.151680418</v>
      </c>
      <c r="F148" s="44">
        <v>55403.47320146733</v>
      </c>
      <c r="G148" s="44">
        <v>64756.651164548595</v>
      </c>
      <c r="H148" s="44">
        <v>65982.93001693183</v>
      </c>
      <c r="I148" s="44">
        <v>70484.30803810529</v>
      </c>
    </row>
    <row r="149" spans="1:9" ht="14.25">
      <c r="A149" s="43" t="str">
        <f>HLOOKUP(INDICE!$F$2,Nombres!$C$3:$D$636,62,FALSE)</f>
        <v>Valores representativos de deuda emitidos</v>
      </c>
      <c r="B149" s="44">
        <v>5643.988525689772</v>
      </c>
      <c r="C149" s="44">
        <v>5225.02460836689</v>
      </c>
      <c r="D149" s="44">
        <v>5487.613383932548</v>
      </c>
      <c r="E149" s="45">
        <v>5603.5242383504465</v>
      </c>
      <c r="F149" s="44">
        <v>5575.352989130674</v>
      </c>
      <c r="G149" s="44">
        <v>5695.197390753034</v>
      </c>
      <c r="H149" s="44">
        <v>5579.045393592122</v>
      </c>
      <c r="I149" s="44">
        <v>4940.94384770336</v>
      </c>
    </row>
    <row r="150" spans="1:9" ht="14.25">
      <c r="A150" s="90" t="str">
        <f>HLOOKUP(INDICE!$F$2,Nombres!$C$3:$D$636,63,FALSE)</f>
        <v>Otros pasivos</v>
      </c>
      <c r="B150" s="58">
        <f aca="true" t="shared" si="26" ref="B150:I150">+B145-B146-B147-B148-B149-B151</f>
        <v>10290.050760860508</v>
      </c>
      <c r="C150" s="58">
        <f t="shared" si="26"/>
        <v>10072.978749979804</v>
      </c>
      <c r="D150" s="58">
        <f t="shared" si="26"/>
        <v>10219.491577410696</v>
      </c>
      <c r="E150" s="66">
        <f t="shared" si="26"/>
        <v>9664.028288559017</v>
      </c>
      <c r="F150" s="44">
        <f t="shared" si="26"/>
        <v>10345.604748011792</v>
      </c>
      <c r="G150" s="44">
        <f t="shared" si="26"/>
        <v>10638.877526473649</v>
      </c>
      <c r="H150" s="44">
        <f t="shared" si="26"/>
        <v>10868.217374349273</v>
      </c>
      <c r="I150" s="44">
        <f t="shared" si="26"/>
        <v>10464.253215737866</v>
      </c>
    </row>
    <row r="151" spans="1:9" ht="14.25">
      <c r="A151" s="90" t="str">
        <f>HLOOKUP(INDICE!$F$2,Nombres!$C$3:$D$636,64,FALSE)</f>
        <v>Dotación de capital económico</v>
      </c>
      <c r="B151" s="44">
        <v>2263.756860742506</v>
      </c>
      <c r="C151" s="44">
        <v>2301.2472509718855</v>
      </c>
      <c r="D151" s="44">
        <v>2350.649982263702</v>
      </c>
      <c r="E151" s="45">
        <v>2518.1830186044263</v>
      </c>
      <c r="F151" s="44">
        <v>2446.2377480368077</v>
      </c>
      <c r="G151" s="44">
        <v>2544.632569650775</v>
      </c>
      <c r="H151" s="44">
        <v>2537.9239466064373</v>
      </c>
      <c r="I151" s="44">
        <v>2591.612162155755</v>
      </c>
    </row>
    <row r="152" spans="1:9" ht="14.25">
      <c r="A152" s="63"/>
      <c r="B152" s="58"/>
      <c r="C152" s="58"/>
      <c r="D152" s="58"/>
      <c r="E152" s="58"/>
      <c r="F152" s="44"/>
      <c r="G152" s="44"/>
      <c r="H152" s="44"/>
      <c r="I152" s="44"/>
    </row>
    <row r="153" spans="1:9" ht="14.25">
      <c r="A153" s="43"/>
      <c r="B153" s="58"/>
      <c r="C153" s="58"/>
      <c r="D153" s="58"/>
      <c r="E153" s="58"/>
      <c r="F153" s="44"/>
      <c r="G153" s="44"/>
      <c r="H153" s="44"/>
      <c r="I153" s="44"/>
    </row>
    <row r="154" spans="1:9" ht="16.5">
      <c r="A154" s="95" t="str">
        <f>HLOOKUP(INDICE!$F$2,Nombres!$C$3:$D$636,65,FALSE)</f>
        <v>Indicadores relevantes y de gestión</v>
      </c>
      <c r="B154" s="34"/>
      <c r="C154" s="34"/>
      <c r="D154" s="34"/>
      <c r="E154" s="34"/>
      <c r="F154" s="70"/>
      <c r="G154" s="70"/>
      <c r="H154" s="70"/>
      <c r="I154" s="70"/>
    </row>
    <row r="155" spans="1:9" ht="14.25">
      <c r="A155" s="86" t="str">
        <f>HLOOKUP(INDICE!$F$2,Nombres!$C$3:$D$636,79,FALSE)</f>
        <v>(Millones de soles peruanos)</v>
      </c>
      <c r="B155" s="30"/>
      <c r="C155" s="30"/>
      <c r="D155" s="30"/>
      <c r="E155" s="30"/>
      <c r="F155" s="71"/>
      <c r="G155" s="44"/>
      <c r="H155" s="44"/>
      <c r="I155" s="44"/>
    </row>
    <row r="156" spans="1:9" ht="15.75" customHeight="1">
      <c r="A156" s="30"/>
      <c r="B156" s="53">
        <f aca="true" t="shared" si="27" ref="B156:I156">+B$30</f>
        <v>43555</v>
      </c>
      <c r="C156" s="53">
        <f t="shared" si="27"/>
        <v>43646</v>
      </c>
      <c r="D156" s="53">
        <f t="shared" si="27"/>
        <v>43738</v>
      </c>
      <c r="E156" s="69">
        <f t="shared" si="27"/>
        <v>43830</v>
      </c>
      <c r="F156" s="53">
        <f t="shared" si="27"/>
        <v>43921</v>
      </c>
      <c r="G156" s="53">
        <f t="shared" si="27"/>
        <v>44012</v>
      </c>
      <c r="H156" s="53">
        <f t="shared" si="27"/>
        <v>44104</v>
      </c>
      <c r="I156" s="53">
        <f t="shared" si="27"/>
        <v>44196</v>
      </c>
    </row>
    <row r="157" spans="1:9" ht="15.75" customHeight="1">
      <c r="A157" s="90" t="str">
        <f>HLOOKUP(INDICE!$F$2,Nombres!$C$3:$D$636,66,FALSE)</f>
        <v>Préstamos y anticipos a la clientela bruto (*)</v>
      </c>
      <c r="B157" s="44">
        <v>56009.20182192129</v>
      </c>
      <c r="C157" s="44">
        <v>56431.04797836145</v>
      </c>
      <c r="D157" s="44">
        <v>58235.57697038313</v>
      </c>
      <c r="E157" s="45">
        <v>58781.08707783742</v>
      </c>
      <c r="F157" s="44">
        <v>61154.80616328566</v>
      </c>
      <c r="G157" s="44">
        <v>66674.50474635356</v>
      </c>
      <c r="H157" s="44">
        <v>70780.66962807495</v>
      </c>
      <c r="I157" s="44">
        <v>71011.46212500113</v>
      </c>
    </row>
    <row r="158" spans="1:9" ht="15.75" customHeight="1">
      <c r="A158" s="90" t="str">
        <f>HLOOKUP(INDICE!$F$2,Nombres!$C$3:$D$636,67,FALSE)</f>
        <v>Depósitos de clientes en gestión (**)</v>
      </c>
      <c r="B158" s="44">
        <v>53557.56679391898</v>
      </c>
      <c r="C158" s="44">
        <v>51649.8181666437</v>
      </c>
      <c r="D158" s="44">
        <v>53841.84518985089</v>
      </c>
      <c r="E158" s="45">
        <v>54477.15170940051</v>
      </c>
      <c r="F158" s="44">
        <v>55403.47105087466</v>
      </c>
      <c r="G158" s="44">
        <v>64756.65060652754</v>
      </c>
      <c r="H158" s="44">
        <v>65982.93622911083</v>
      </c>
      <c r="I158" s="44">
        <v>70484.3264713175</v>
      </c>
    </row>
    <row r="159" spans="1:9" ht="15.75" customHeight="1">
      <c r="A159" s="43" t="str">
        <f>HLOOKUP(INDICE!$F$2,Nombres!$C$3:$D$636,68,FALSE)</f>
        <v>Fondos de inversión</v>
      </c>
      <c r="B159" s="44">
        <v>6390.001418996785</v>
      </c>
      <c r="C159" s="44">
        <v>6306.135742044442</v>
      </c>
      <c r="D159" s="44">
        <v>6632.866528045173</v>
      </c>
      <c r="E159" s="45">
        <v>6774.53111000934</v>
      </c>
      <c r="F159" s="44">
        <v>6981.92827797138</v>
      </c>
      <c r="G159" s="44">
        <v>7448.202154056133</v>
      </c>
      <c r="H159" s="44">
        <v>8610.267496036815</v>
      </c>
      <c r="I159" s="44">
        <v>9543.188176972342</v>
      </c>
    </row>
    <row r="160" spans="1:9" ht="15.75" customHeight="1">
      <c r="A160" s="90" t="str">
        <f>HLOOKUP(INDICE!$F$2,Nombres!$C$3:$D$636,69,FALSE)</f>
        <v>Fondos de pensiones</v>
      </c>
      <c r="B160" s="44">
        <v>0</v>
      </c>
      <c r="C160" s="44">
        <v>0</v>
      </c>
      <c r="D160" s="44">
        <v>0</v>
      </c>
      <c r="E160" s="45">
        <v>0</v>
      </c>
      <c r="F160" s="44">
        <v>0</v>
      </c>
      <c r="G160" s="44">
        <v>0</v>
      </c>
      <c r="H160" s="44">
        <v>0</v>
      </c>
      <c r="I160" s="44">
        <v>0</v>
      </c>
    </row>
    <row r="161" spans="1:9" ht="14.25">
      <c r="A161" s="90" t="str">
        <f>HLOOKUP(INDICE!$F$2,Nombres!$C$3:$D$636,70,FALSE)</f>
        <v>Otros recursos fuera de balance</v>
      </c>
      <c r="B161" s="44">
        <v>0</v>
      </c>
      <c r="C161" s="44">
        <v>0</v>
      </c>
      <c r="D161" s="44">
        <v>0</v>
      </c>
      <c r="E161" s="45">
        <v>0</v>
      </c>
      <c r="F161" s="44">
        <v>0</v>
      </c>
      <c r="G161" s="44">
        <v>0</v>
      </c>
      <c r="H161" s="44">
        <v>0</v>
      </c>
      <c r="I161" s="44">
        <v>0</v>
      </c>
    </row>
    <row r="162" spans="1:9" ht="14.25">
      <c r="A162" s="94" t="str">
        <f>HLOOKUP(INDICE!$F$2,Nombres!$C$3:$D$636,71,FALSE)</f>
        <v>(*) No incluye las adquisiciones temporales de activos.</v>
      </c>
      <c r="B162" s="58"/>
      <c r="C162" s="58"/>
      <c r="D162" s="58"/>
      <c r="E162" s="58"/>
      <c r="F162" s="44"/>
      <c r="G162" s="44"/>
      <c r="H162" s="44"/>
      <c r="I162" s="44"/>
    </row>
    <row r="163" spans="1:9" ht="14.25">
      <c r="A163" s="94" t="str">
        <f>HLOOKUP(INDICE!$F$2,Nombres!$C$3:$D$636,72,FALSE)</f>
        <v>(**) No incluye las cesiones temporales de activos.</v>
      </c>
      <c r="B163" s="30"/>
      <c r="C163" s="30"/>
      <c r="D163" s="30"/>
      <c r="E163" s="30"/>
      <c r="F163" s="30"/>
      <c r="G163" s="30"/>
      <c r="H163" s="30"/>
      <c r="I163" s="30"/>
    </row>
    <row r="164" spans="1:9" ht="14.25">
      <c r="A164" s="30"/>
      <c r="B164" s="30"/>
      <c r="C164" s="30"/>
      <c r="D164" s="30"/>
      <c r="E164" s="30"/>
      <c r="F164" s="30"/>
      <c r="G164" s="30"/>
      <c r="H164" s="30"/>
      <c r="I164" s="30"/>
    </row>
    <row r="165" spans="1:9" ht="14.25">
      <c r="A165" s="30"/>
      <c r="B165" s="30"/>
      <c r="C165" s="30"/>
      <c r="D165" s="30"/>
      <c r="E165" s="30"/>
      <c r="F165" s="30"/>
      <c r="G165" s="30"/>
      <c r="H165" s="30"/>
      <c r="I165" s="30"/>
    </row>
    <row r="166" spans="1:9" ht="14.25">
      <c r="A166" s="75"/>
      <c r="B166" s="76"/>
      <c r="C166" s="77"/>
      <c r="D166" s="77"/>
      <c r="E166" s="77"/>
      <c r="F166" s="76"/>
      <c r="G166" s="76"/>
      <c r="H166" s="76"/>
      <c r="I166" s="76"/>
    </row>
    <row r="167" spans="1:15" ht="14.25">
      <c r="A167" s="75"/>
      <c r="B167" s="76"/>
      <c r="C167" s="77"/>
      <c r="D167" s="77"/>
      <c r="E167" s="77"/>
      <c r="F167" s="76"/>
      <c r="G167" s="76"/>
      <c r="H167" s="76"/>
      <c r="I167" s="76"/>
      <c r="J167" s="76"/>
      <c r="K167" s="76"/>
      <c r="L167" s="76"/>
      <c r="M167" s="76"/>
      <c r="N167" s="76"/>
      <c r="O167" s="76"/>
    </row>
    <row r="168" spans="1:15" ht="14.25">
      <c r="A168" s="76"/>
      <c r="B168" s="76"/>
      <c r="C168" s="76"/>
      <c r="D168" s="76"/>
      <c r="E168" s="76"/>
      <c r="F168" s="76"/>
      <c r="G168" s="76"/>
      <c r="H168" s="76"/>
      <c r="I168" s="76"/>
      <c r="J168" s="76"/>
      <c r="K168" s="76"/>
      <c r="L168" s="76"/>
      <c r="M168" s="76"/>
      <c r="N168" s="76"/>
      <c r="O168" s="76"/>
    </row>
    <row r="169" spans="1:15" ht="14.25">
      <c r="A169" s="76"/>
      <c r="B169" s="76"/>
      <c r="C169" s="76"/>
      <c r="D169" s="76"/>
      <c r="E169" s="76"/>
      <c r="F169" s="76"/>
      <c r="G169" s="76"/>
      <c r="H169" s="76"/>
      <c r="I169" s="76"/>
      <c r="J169" s="76"/>
      <c r="K169" s="76"/>
      <c r="L169" s="76"/>
      <c r="M169" s="76"/>
      <c r="N169" s="76"/>
      <c r="O169" s="76"/>
    </row>
    <row r="170" spans="1:15" ht="14.25">
      <c r="A170" s="76"/>
      <c r="B170" s="76"/>
      <c r="C170" s="76"/>
      <c r="D170" s="76"/>
      <c r="E170" s="76"/>
      <c r="F170" s="76"/>
      <c r="G170" s="76"/>
      <c r="H170" s="76"/>
      <c r="I170" s="76"/>
      <c r="J170" s="76"/>
      <c r="K170" s="76"/>
      <c r="L170" s="76"/>
      <c r="M170" s="76"/>
      <c r="N170" s="76"/>
      <c r="O170" s="76"/>
    </row>
    <row r="171" spans="1:15" ht="14.25">
      <c r="A171" s="76"/>
      <c r="B171" s="76"/>
      <c r="C171" s="76"/>
      <c r="D171" s="76"/>
      <c r="E171" s="76"/>
      <c r="F171" s="76"/>
      <c r="G171" s="76"/>
      <c r="H171" s="76"/>
      <c r="I171" s="76"/>
      <c r="J171" s="76"/>
      <c r="K171" s="76"/>
      <c r="L171" s="76"/>
      <c r="M171" s="76"/>
      <c r="N171" s="76"/>
      <c r="O171" s="76"/>
    </row>
    <row r="172" spans="1:15" ht="14.25">
      <c r="A172" s="76"/>
      <c r="B172" s="76"/>
      <c r="C172" s="76"/>
      <c r="D172" s="76"/>
      <c r="E172" s="76"/>
      <c r="F172" s="76"/>
      <c r="G172" s="76"/>
      <c r="H172" s="76"/>
      <c r="I172" s="76"/>
      <c r="J172" s="76"/>
      <c r="K172" s="76"/>
      <c r="L172" s="76"/>
      <c r="M172" s="76"/>
      <c r="N172" s="76"/>
      <c r="O172" s="76"/>
    </row>
    <row r="173" spans="1:15" ht="14.25">
      <c r="A173" s="76"/>
      <c r="B173" s="76"/>
      <c r="C173" s="76"/>
      <c r="D173" s="76"/>
      <c r="E173" s="76"/>
      <c r="F173" s="76"/>
      <c r="G173" s="76"/>
      <c r="H173" s="76"/>
      <c r="I173" s="76"/>
      <c r="J173" s="76"/>
      <c r="K173" s="76"/>
      <c r="L173" s="76"/>
      <c r="M173" s="76"/>
      <c r="N173" s="76"/>
      <c r="O173" s="76"/>
    </row>
    <row r="174" spans="1:15" ht="14.25">
      <c r="A174" s="76"/>
      <c r="B174" s="76"/>
      <c r="C174" s="76"/>
      <c r="D174" s="76"/>
      <c r="E174" s="76"/>
      <c r="F174" s="76"/>
      <c r="G174" s="76"/>
      <c r="H174" s="76"/>
      <c r="I174" s="76"/>
      <c r="J174" s="76"/>
      <c r="K174" s="76"/>
      <c r="L174" s="76"/>
      <c r="M174" s="76"/>
      <c r="N174" s="76"/>
      <c r="O174" s="76"/>
    </row>
  </sheetData>
  <sheetProtection/>
  <mergeCells count="6">
    <mergeCell ref="B6:E6"/>
    <mergeCell ref="B60:E60"/>
    <mergeCell ref="B114:E114"/>
    <mergeCell ref="F6:I6"/>
    <mergeCell ref="F60:I60"/>
    <mergeCell ref="F114:I114"/>
  </mergeCells>
  <conditionalFormatting sqref="B26:I26">
    <cfRule type="cellIs" priority="3" dxfId="143" operator="notBetween">
      <formula>0.5</formula>
      <formula>-0.5</formula>
    </cfRule>
  </conditionalFormatting>
  <conditionalFormatting sqref="B80:I80">
    <cfRule type="cellIs" priority="2" dxfId="143" operator="notBetween">
      <formula>0.5</formula>
      <formula>-0.5</formula>
    </cfRule>
  </conditionalFormatting>
  <conditionalFormatting sqref="B134:I134">
    <cfRule type="cellIs" priority="1" dxfId="143" operator="notBetween">
      <formula>0.5</formula>
      <formula>-0.5</formula>
    </cfRule>
  </conditionalFormatting>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N1000"/>
  <sheetViews>
    <sheetView showGridLines="0" zoomScalePageLayoutView="0" workbookViewId="0" topLeftCell="A1">
      <selection activeCell="M23" sqref="M23"/>
    </sheetView>
  </sheetViews>
  <sheetFormatPr defaultColWidth="11.421875" defaultRowHeight="15"/>
  <cols>
    <col min="1" max="1" width="62.00390625" style="31" customWidth="1"/>
    <col min="2" max="16384" width="11.421875" style="31" customWidth="1"/>
  </cols>
  <sheetData>
    <row r="1" spans="1:9" ht="16.5">
      <c r="A1" s="85" t="str">
        <f>HLOOKUP(INDICE!$F$2,Nombres!$C$3:$D$636,18,FALSE)</f>
        <v>Resto de Eurasia</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86"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8">
        <f>+España!B6</f>
        <v>2019</v>
      </c>
      <c r="C6" s="308"/>
      <c r="D6" s="308"/>
      <c r="E6" s="309"/>
      <c r="F6" s="308">
        <f>+España!F6</f>
        <v>2020</v>
      </c>
      <c r="G6" s="308"/>
      <c r="H6" s="308"/>
      <c r="I6" s="308"/>
    </row>
    <row r="7" spans="1:9" ht="14.25">
      <c r="A7" s="38"/>
      <c r="B7" s="87" t="str">
        <f>+España!B7</f>
        <v>1er Trim.</v>
      </c>
      <c r="C7" s="87" t="str">
        <f>+España!C7</f>
        <v>2º Trim.</v>
      </c>
      <c r="D7" s="87" t="str">
        <f>+España!D7</f>
        <v>3er Trim.</v>
      </c>
      <c r="E7" s="88" t="str">
        <f>+España!E7</f>
        <v>4º Trim.</v>
      </c>
      <c r="F7" s="87" t="str">
        <f>+España!F7</f>
        <v>1er Trim.</v>
      </c>
      <c r="G7" s="87" t="str">
        <f>+España!G7</f>
        <v>2º Trim.</v>
      </c>
      <c r="H7" s="87" t="str">
        <f>+España!H7</f>
        <v>3er Trim.</v>
      </c>
      <c r="I7" s="87" t="str">
        <f>+España!I7</f>
        <v>4º Trim.</v>
      </c>
    </row>
    <row r="8" spans="1:14" ht="14.25">
      <c r="A8" s="41" t="str">
        <f>HLOOKUP(INDICE!$F$2,Nombres!$C$3:$D$636,33,FALSE)</f>
        <v>Margen de intereses</v>
      </c>
      <c r="B8" s="41">
        <v>39.57918406</v>
      </c>
      <c r="C8" s="41">
        <v>44.9882463</v>
      </c>
      <c r="D8" s="41">
        <v>45.60174343999999</v>
      </c>
      <c r="E8" s="42">
        <v>44.91625081000001</v>
      </c>
      <c r="F8" s="50">
        <v>47.203846680000005</v>
      </c>
      <c r="G8" s="247">
        <v>55.155310889999996</v>
      </c>
      <c r="H8" s="247">
        <v>56.315971229999995</v>
      </c>
      <c r="I8" s="247">
        <v>55.627872580000016</v>
      </c>
      <c r="J8" s="89"/>
      <c r="K8" s="89"/>
      <c r="L8" s="89"/>
      <c r="M8" s="89"/>
      <c r="N8" s="89"/>
    </row>
    <row r="9" spans="1:9" ht="14.25">
      <c r="A9" s="90" t="str">
        <f>HLOOKUP(INDICE!$F$2,Nombres!$C$3:$D$636,34,FALSE)</f>
        <v>Comisiones netas</v>
      </c>
      <c r="B9" s="44">
        <v>35.876835</v>
      </c>
      <c r="C9" s="44">
        <v>33.22186234</v>
      </c>
      <c r="D9" s="44">
        <v>36.31499767</v>
      </c>
      <c r="E9" s="45">
        <v>33.2488403</v>
      </c>
      <c r="F9" s="44">
        <v>40.498614</v>
      </c>
      <c r="G9" s="44">
        <v>42.14519818000001</v>
      </c>
      <c r="H9" s="44">
        <v>34.13506128</v>
      </c>
      <c r="I9" s="44">
        <v>33.32163517</v>
      </c>
    </row>
    <row r="10" spans="1:9" ht="14.25">
      <c r="A10" s="90" t="str">
        <f>HLOOKUP(INDICE!$F$2,Nombres!$C$3:$D$636,35,FALSE)</f>
        <v>Resultados de operaciones financieras</v>
      </c>
      <c r="B10" s="44">
        <v>26.63115649</v>
      </c>
      <c r="C10" s="44">
        <v>33.84339836000001</v>
      </c>
      <c r="D10" s="44">
        <v>33.34076467</v>
      </c>
      <c r="E10" s="45">
        <v>37.09831081</v>
      </c>
      <c r="F10" s="44">
        <v>36.28277784000001</v>
      </c>
      <c r="G10" s="44">
        <v>42.15059312</v>
      </c>
      <c r="H10" s="44">
        <v>26.520276409999994</v>
      </c>
      <c r="I10" s="44">
        <v>31.702530439999997</v>
      </c>
    </row>
    <row r="11" spans="1:9" ht="14.25">
      <c r="A11" s="90" t="str">
        <f>HLOOKUP(INDICE!$F$2,Nombres!$C$3:$D$636,36,FALSE)</f>
        <v>Otros ingresos y cargas de explotación</v>
      </c>
      <c r="B11" s="44">
        <v>1.529802</v>
      </c>
      <c r="C11" s="44">
        <v>4.0104681300000005</v>
      </c>
      <c r="D11" s="44">
        <v>3.32639291</v>
      </c>
      <c r="E11" s="45">
        <v>0.5563993600000005</v>
      </c>
      <c r="F11" s="44">
        <v>2.02233073</v>
      </c>
      <c r="G11" s="44">
        <v>2.6964018800000003</v>
      </c>
      <c r="H11" s="44">
        <v>2.5797829500000002</v>
      </c>
      <c r="I11" s="44">
        <v>1.6755560600000003</v>
      </c>
    </row>
    <row r="12" spans="1:9" ht="14.25">
      <c r="A12" s="41" t="str">
        <f>HLOOKUP(INDICE!$F$2,Nombres!$C$3:$D$636,37,FALSE)</f>
        <v>Margen bruto</v>
      </c>
      <c r="B12" s="41">
        <f aca="true" t="shared" si="0" ref="B12:I12">+SUM(B8:B11)</f>
        <v>103.61697755</v>
      </c>
      <c r="C12" s="41">
        <f t="shared" si="0"/>
        <v>116.06397513000002</v>
      </c>
      <c r="D12" s="41">
        <f t="shared" si="0"/>
        <v>118.58389868999998</v>
      </c>
      <c r="E12" s="42">
        <f t="shared" si="0"/>
        <v>115.81980128000001</v>
      </c>
      <c r="F12" s="50">
        <f t="shared" si="0"/>
        <v>126.00756925000002</v>
      </c>
      <c r="G12" s="50">
        <f t="shared" si="0"/>
        <v>142.14750407</v>
      </c>
      <c r="H12" s="50">
        <f t="shared" si="0"/>
        <v>119.55109187</v>
      </c>
      <c r="I12" s="50">
        <f t="shared" si="0"/>
        <v>122.32759425000002</v>
      </c>
    </row>
    <row r="13" spans="1:9" ht="14.25">
      <c r="A13" s="90" t="str">
        <f>HLOOKUP(INDICE!$F$2,Nombres!$C$3:$D$636,38,FALSE)</f>
        <v>Gastos de explotación</v>
      </c>
      <c r="B13" s="44">
        <v>-69.96647811999999</v>
      </c>
      <c r="C13" s="44">
        <v>-71.68611056</v>
      </c>
      <c r="D13" s="44">
        <v>-70.85904589</v>
      </c>
      <c r="E13" s="45">
        <v>-80.94292823</v>
      </c>
      <c r="F13" s="44">
        <v>-72.71792773</v>
      </c>
      <c r="G13" s="44">
        <v>-64.17728631</v>
      </c>
      <c r="H13" s="44">
        <v>-67.02602963</v>
      </c>
      <c r="I13" s="44">
        <v>-81.57818128</v>
      </c>
    </row>
    <row r="14" spans="1:9" ht="14.25">
      <c r="A14" s="90" t="str">
        <f>HLOOKUP(INDICE!$F$2,Nombres!$C$3:$D$636,39,FALSE)</f>
        <v>  Gastos de administración</v>
      </c>
      <c r="B14" s="44">
        <v>-65.63440412</v>
      </c>
      <c r="C14" s="44">
        <v>-67.47289356</v>
      </c>
      <c r="D14" s="44">
        <v>-66.24645589000001</v>
      </c>
      <c r="E14" s="45">
        <v>-76.01404623</v>
      </c>
      <c r="F14" s="44">
        <v>-68.32727673</v>
      </c>
      <c r="G14" s="44">
        <v>-59.781935309999994</v>
      </c>
      <c r="H14" s="44">
        <v>-62.848702630000005</v>
      </c>
      <c r="I14" s="44">
        <v>-77.45178092</v>
      </c>
    </row>
    <row r="15" spans="1:9" ht="14.25">
      <c r="A15" s="91" t="str">
        <f>HLOOKUP(INDICE!$F$2,Nombres!$C$3:$D$636,40,FALSE)</f>
        <v>  Gastos de personal</v>
      </c>
      <c r="B15" s="44">
        <v>-33.889839959999996</v>
      </c>
      <c r="C15" s="44">
        <v>-34.97170437</v>
      </c>
      <c r="D15" s="44">
        <v>-34.16666517</v>
      </c>
      <c r="E15" s="45">
        <v>-41.223594999999996</v>
      </c>
      <c r="F15" s="44">
        <v>-36.21685298</v>
      </c>
      <c r="G15" s="44">
        <v>-28.54383499</v>
      </c>
      <c r="H15" s="44">
        <v>-27.258046219999997</v>
      </c>
      <c r="I15" s="44">
        <v>-43.191764119999995</v>
      </c>
    </row>
    <row r="16" spans="1:9" ht="14.25">
      <c r="A16" s="91" t="str">
        <f>HLOOKUP(INDICE!$F$2,Nombres!$C$3:$D$636,41,FALSE)</f>
        <v>  Otros gastos de administración</v>
      </c>
      <c r="B16" s="44">
        <v>-31.74456416</v>
      </c>
      <c r="C16" s="44">
        <v>-32.501189190000005</v>
      </c>
      <c r="D16" s="44">
        <v>-32.07979072</v>
      </c>
      <c r="E16" s="45">
        <v>-34.79045123</v>
      </c>
      <c r="F16" s="44">
        <v>-32.110423749999995</v>
      </c>
      <c r="G16" s="44">
        <v>-31.23810032</v>
      </c>
      <c r="H16" s="44">
        <v>-35.59065641</v>
      </c>
      <c r="I16" s="44">
        <v>-34.2600168</v>
      </c>
    </row>
    <row r="17" spans="1:9" ht="14.25">
      <c r="A17" s="90" t="str">
        <f>HLOOKUP(INDICE!$F$2,Nombres!$C$3:$D$636,42,FALSE)</f>
        <v>  Amortización</v>
      </c>
      <c r="B17" s="44">
        <v>-4.332074</v>
      </c>
      <c r="C17" s="44">
        <v>-4.213217</v>
      </c>
      <c r="D17" s="44">
        <v>-4.612589999999999</v>
      </c>
      <c r="E17" s="45">
        <v>-4.928882000000001</v>
      </c>
      <c r="F17" s="44">
        <v>-4.390651</v>
      </c>
      <c r="G17" s="44">
        <v>-4.395351</v>
      </c>
      <c r="H17" s="44">
        <v>-4.177327</v>
      </c>
      <c r="I17" s="44">
        <v>-4.12640036</v>
      </c>
    </row>
    <row r="18" spans="1:9" ht="14.25">
      <c r="A18" s="41" t="str">
        <f>HLOOKUP(INDICE!$F$2,Nombres!$C$3:$D$636,43,FALSE)</f>
        <v>Margen neto</v>
      </c>
      <c r="B18" s="41">
        <f aca="true" t="shared" si="1" ref="B18:I18">+B12+B13</f>
        <v>33.65049943000001</v>
      </c>
      <c r="C18" s="41">
        <f t="shared" si="1"/>
        <v>44.377864570000014</v>
      </c>
      <c r="D18" s="41">
        <f t="shared" si="1"/>
        <v>47.72485279999998</v>
      </c>
      <c r="E18" s="42">
        <f t="shared" si="1"/>
        <v>34.87687305</v>
      </c>
      <c r="F18" s="50">
        <f t="shared" si="1"/>
        <v>53.28964152000002</v>
      </c>
      <c r="G18" s="50">
        <f t="shared" si="1"/>
        <v>77.97021776</v>
      </c>
      <c r="H18" s="50">
        <f t="shared" si="1"/>
        <v>52.52506224</v>
      </c>
      <c r="I18" s="50">
        <f t="shared" si="1"/>
        <v>40.74941297000002</v>
      </c>
    </row>
    <row r="19" spans="1:9" ht="14.25">
      <c r="A19" s="90" t="str">
        <f>HLOOKUP(INDICE!$F$2,Nombres!$C$3:$D$636,44,FALSE)</f>
        <v>Deterioro de activos financieros no valorados a valor razonable con cambios en resultados</v>
      </c>
      <c r="B19" s="44">
        <v>-10.270985999999999</v>
      </c>
      <c r="C19" s="44">
        <v>-0.4438110000000046</v>
      </c>
      <c r="D19" s="44">
        <v>4.198899000000001</v>
      </c>
      <c r="E19" s="45">
        <v>2.210967</v>
      </c>
      <c r="F19" s="44">
        <v>6.265050999999996</v>
      </c>
      <c r="G19" s="44">
        <v>-40.60213</v>
      </c>
      <c r="H19" s="44">
        <v>-13.785903000000001</v>
      </c>
      <c r="I19" s="44">
        <v>10.229331450000002</v>
      </c>
    </row>
    <row r="20" spans="1:9" ht="14.25">
      <c r="A20" s="90" t="str">
        <f>HLOOKUP(INDICE!$F$2,Nombres!$C$3:$D$636,45,FALSE)</f>
        <v>Provisiones o reversión de provisiones y otros resultados</v>
      </c>
      <c r="B20" s="44">
        <v>-0.6972750900000001</v>
      </c>
      <c r="C20" s="44">
        <v>2.0569839999999995</v>
      </c>
      <c r="D20" s="44">
        <v>8.524507999999999</v>
      </c>
      <c r="E20" s="45">
        <v>-3.562995999999999</v>
      </c>
      <c r="F20" s="44">
        <v>-0.45167099999999993</v>
      </c>
      <c r="G20" s="44">
        <v>-7.125484999999999</v>
      </c>
      <c r="H20" s="44">
        <v>-0.4879180000000005</v>
      </c>
      <c r="I20" s="44">
        <v>5.622311000000002</v>
      </c>
    </row>
    <row r="21" spans="1:9" ht="14.25">
      <c r="A21" s="92" t="str">
        <f>HLOOKUP(INDICE!$F$2,Nombres!$C$3:$D$636,46,FALSE)</f>
        <v>Resultado antes de impuestos</v>
      </c>
      <c r="B21" s="41">
        <f aca="true" t="shared" si="2" ref="B21:I21">+B18+B19+B20</f>
        <v>22.68223834000001</v>
      </c>
      <c r="C21" s="41">
        <f t="shared" si="2"/>
        <v>45.99103757000001</v>
      </c>
      <c r="D21" s="41">
        <f t="shared" si="2"/>
        <v>60.448259799999974</v>
      </c>
      <c r="E21" s="42">
        <f t="shared" si="2"/>
        <v>33.52484405</v>
      </c>
      <c r="F21" s="50">
        <f t="shared" si="2"/>
        <v>59.10302152000002</v>
      </c>
      <c r="G21" s="50">
        <f t="shared" si="2"/>
        <v>30.242602759999997</v>
      </c>
      <c r="H21" s="50">
        <f t="shared" si="2"/>
        <v>38.25124123999999</v>
      </c>
      <c r="I21" s="50">
        <f t="shared" si="2"/>
        <v>56.60105542000003</v>
      </c>
    </row>
    <row r="22" spans="1:9" ht="14.25">
      <c r="A22" s="43" t="str">
        <f>HLOOKUP(INDICE!$F$2,Nombres!$C$3:$D$636,47,FALSE)</f>
        <v>Impuesto sobre beneficios</v>
      </c>
      <c r="B22" s="44">
        <v>-6.764783450000001</v>
      </c>
      <c r="C22" s="44">
        <v>-6.59365032</v>
      </c>
      <c r="D22" s="44">
        <v>-13.196035639999998</v>
      </c>
      <c r="E22" s="45">
        <v>-9.095834599999998</v>
      </c>
      <c r="F22" s="44">
        <v>-15.27528754</v>
      </c>
      <c r="G22" s="44">
        <v>-7.709948250000002</v>
      </c>
      <c r="H22" s="44">
        <v>-8.132600470000002</v>
      </c>
      <c r="I22" s="44">
        <v>-16.388907789999998</v>
      </c>
    </row>
    <row r="23" spans="1:9" ht="14.25">
      <c r="A23" s="92" t="str">
        <f>HLOOKUP(INDICE!$F$2,Nombres!$C$3:$D$636,48,FALSE)</f>
        <v>Resultado del ejercicio</v>
      </c>
      <c r="B23" s="41">
        <f aca="true" t="shared" si="3" ref="B23:I23">+B21+B22</f>
        <v>15.917454890000007</v>
      </c>
      <c r="C23" s="41">
        <f t="shared" si="3"/>
        <v>39.39738725000001</v>
      </c>
      <c r="D23" s="41">
        <f t="shared" si="3"/>
        <v>47.252224159999976</v>
      </c>
      <c r="E23" s="42">
        <f t="shared" si="3"/>
        <v>24.429009450000002</v>
      </c>
      <c r="F23" s="50">
        <f t="shared" si="3"/>
        <v>43.82773398000002</v>
      </c>
      <c r="G23" s="50">
        <f t="shared" si="3"/>
        <v>22.532654509999993</v>
      </c>
      <c r="H23" s="50">
        <f t="shared" si="3"/>
        <v>30.118640769999992</v>
      </c>
      <c r="I23" s="50">
        <f t="shared" si="3"/>
        <v>40.21214763000003</v>
      </c>
    </row>
    <row r="24" spans="1:9" ht="14.25">
      <c r="A24" s="90" t="str">
        <f>HLOOKUP(INDICE!$F$2,Nombres!$C$3:$D$636,49,FALSE)</f>
        <v>Minoritarios</v>
      </c>
      <c r="B24" s="44">
        <v>0</v>
      </c>
      <c r="C24" s="44">
        <v>0</v>
      </c>
      <c r="D24" s="44">
        <v>0</v>
      </c>
      <c r="E24" s="45">
        <v>0</v>
      </c>
      <c r="F24" s="44">
        <v>0</v>
      </c>
      <c r="G24" s="44">
        <v>0</v>
      </c>
      <c r="H24" s="44">
        <v>0</v>
      </c>
      <c r="I24" s="44">
        <v>0</v>
      </c>
    </row>
    <row r="25" spans="1:9" ht="14.25">
      <c r="A25" s="93" t="str">
        <f>HLOOKUP(INDICE!$F$2,Nombres!$C$3:$D$636,50,FALSE)</f>
        <v>Resultado atribuido</v>
      </c>
      <c r="B25" s="47">
        <f aca="true" t="shared" si="4" ref="B25:I25">+B23+B24</f>
        <v>15.917454890000007</v>
      </c>
      <c r="C25" s="47">
        <f t="shared" si="4"/>
        <v>39.39738725000001</v>
      </c>
      <c r="D25" s="47">
        <f t="shared" si="4"/>
        <v>47.252224159999976</v>
      </c>
      <c r="E25" s="47">
        <f t="shared" si="4"/>
        <v>24.429009450000002</v>
      </c>
      <c r="F25" s="51">
        <f t="shared" si="4"/>
        <v>43.82773398000002</v>
      </c>
      <c r="G25" s="51">
        <f t="shared" si="4"/>
        <v>22.532654509999993</v>
      </c>
      <c r="H25" s="51">
        <f t="shared" si="4"/>
        <v>30.118640769999992</v>
      </c>
      <c r="I25" s="51">
        <f t="shared" si="4"/>
        <v>40.21214763000003</v>
      </c>
    </row>
    <row r="26" spans="1:9" ht="23.25" customHeight="1">
      <c r="A26" s="94"/>
      <c r="B26" s="64">
        <v>0</v>
      </c>
      <c r="C26" s="64">
        <v>0</v>
      </c>
      <c r="D26" s="64">
        <v>0</v>
      </c>
      <c r="E26" s="64">
        <v>0</v>
      </c>
      <c r="F26" s="64">
        <v>0</v>
      </c>
      <c r="G26" s="64">
        <v>0</v>
      </c>
      <c r="H26" s="64">
        <v>0</v>
      </c>
      <c r="I26" s="64">
        <v>0</v>
      </c>
    </row>
    <row r="27" spans="1:9" ht="14.25">
      <c r="A27" s="41"/>
      <c r="B27" s="41"/>
      <c r="C27" s="41"/>
      <c r="D27" s="41"/>
      <c r="E27" s="41"/>
      <c r="F27" s="41"/>
      <c r="G27" s="41"/>
      <c r="H27" s="41"/>
      <c r="I27" s="41"/>
    </row>
    <row r="28" spans="1:9" ht="16.5">
      <c r="A28" s="95" t="str">
        <f>HLOOKUP(INDICE!$F$2,Nombres!$C$3:$D$636,51,FALSE)</f>
        <v>Balances</v>
      </c>
      <c r="B28" s="34"/>
      <c r="C28" s="34"/>
      <c r="D28" s="34"/>
      <c r="E28" s="34"/>
      <c r="F28" s="34"/>
      <c r="G28" s="34"/>
      <c r="H28" s="34"/>
      <c r="I28" s="34"/>
    </row>
    <row r="29" spans="1:9" ht="14.25">
      <c r="A29" s="86" t="str">
        <f>HLOOKUP(INDICE!$F$2,Nombres!$C$3:$D$636,32,FALSE)</f>
        <v>(Millones de euros)</v>
      </c>
      <c r="B29" s="30"/>
      <c r="C29" s="52"/>
      <c r="D29" s="52"/>
      <c r="E29" s="52"/>
      <c r="F29" s="30"/>
      <c r="G29" s="58"/>
      <c r="H29" s="58"/>
      <c r="I29" s="58"/>
    </row>
    <row r="30" spans="1:9" ht="14.25">
      <c r="A30" s="30"/>
      <c r="B30" s="53">
        <f>+España!B30</f>
        <v>43555</v>
      </c>
      <c r="C30" s="53">
        <f>+España!C30</f>
        <v>43646</v>
      </c>
      <c r="D30" s="53">
        <f>+España!D30</f>
        <v>43738</v>
      </c>
      <c r="E30" s="69">
        <f>+España!E30</f>
        <v>43830</v>
      </c>
      <c r="F30" s="78">
        <f>+España!F30</f>
        <v>43921</v>
      </c>
      <c r="G30" s="78">
        <f>+España!G30</f>
        <v>44012</v>
      </c>
      <c r="H30" s="78">
        <f>+España!H30</f>
        <v>44104</v>
      </c>
      <c r="I30" s="78">
        <f>+España!I30</f>
        <v>44196</v>
      </c>
    </row>
    <row r="31" spans="1:9" ht="14.25">
      <c r="A31" s="90" t="str">
        <f>HLOOKUP(INDICE!$F$2,Nombres!$C$3:$D$636,52,FALSE)</f>
        <v>Efectivo, saldos en efectivo en bancos centrales y otros depósitos a la vista</v>
      </c>
      <c r="B31" s="44">
        <v>211.69367799999878</v>
      </c>
      <c r="C31" s="44">
        <v>216.7411670000005</v>
      </c>
      <c r="D31" s="44">
        <v>228.42340199999816</v>
      </c>
      <c r="E31" s="45">
        <v>247.1589299999984</v>
      </c>
      <c r="F31" s="44">
        <v>287.200254000001</v>
      </c>
      <c r="G31" s="44">
        <v>309.6388510000005</v>
      </c>
      <c r="H31" s="44">
        <v>306.31964000000096</v>
      </c>
      <c r="I31" s="44">
        <v>284.98934400000115</v>
      </c>
    </row>
    <row r="32" spans="1:9" ht="14.25">
      <c r="A32" s="90" t="str">
        <f>HLOOKUP(INDICE!$F$2,Nombres!$C$3:$D$636,53,FALSE)</f>
        <v>Activos financieros a valor razonable</v>
      </c>
      <c r="B32" s="58">
        <v>503.46847339</v>
      </c>
      <c r="C32" s="58">
        <v>510.66065839</v>
      </c>
      <c r="D32" s="58">
        <v>494.38904939</v>
      </c>
      <c r="E32" s="66">
        <v>477.44473238999996</v>
      </c>
      <c r="F32" s="44">
        <v>511.26379639</v>
      </c>
      <c r="G32" s="44">
        <v>499.62559538999994</v>
      </c>
      <c r="H32" s="44">
        <v>473.93879439</v>
      </c>
      <c r="I32" s="44">
        <v>492.00238139</v>
      </c>
    </row>
    <row r="33" spans="1:9" ht="14.25">
      <c r="A33" s="43" t="str">
        <f>HLOOKUP(INDICE!$F$2,Nombres!$C$3:$D$636,54,FALSE)</f>
        <v>Activos financieros a coste amortizado</v>
      </c>
      <c r="B33" s="44">
        <v>19529.712714999998</v>
      </c>
      <c r="C33" s="44">
        <v>19154.21951</v>
      </c>
      <c r="D33" s="44">
        <v>20659.762914000003</v>
      </c>
      <c r="E33" s="45">
        <v>22232.936574</v>
      </c>
      <c r="F33" s="44">
        <v>25414.766820000004</v>
      </c>
      <c r="G33" s="44">
        <v>25688.053796999997</v>
      </c>
      <c r="H33" s="44">
        <v>23812.72819</v>
      </c>
      <c r="I33" s="44">
        <v>21839.010042</v>
      </c>
    </row>
    <row r="34" spans="1:9" ht="14.25">
      <c r="A34" s="90" t="str">
        <f>HLOOKUP(INDICE!$F$2,Nombres!$C$3:$D$636,55,FALSE)</f>
        <v>    de los que préstamos y anticipos a la clientela</v>
      </c>
      <c r="B34" s="44">
        <v>18267.609501</v>
      </c>
      <c r="C34" s="44">
        <v>17562.301382</v>
      </c>
      <c r="D34" s="44">
        <v>18483.342653</v>
      </c>
      <c r="E34" s="45">
        <v>19669.214689</v>
      </c>
      <c r="F34" s="44">
        <v>22247.746857</v>
      </c>
      <c r="G34" s="44">
        <v>22524.297341</v>
      </c>
      <c r="H34" s="44">
        <v>20937.759955999998</v>
      </c>
      <c r="I34" s="44">
        <v>18908.11039</v>
      </c>
    </row>
    <row r="35" spans="1:9" ht="14.25">
      <c r="A35" s="90" t="str">
        <f>HLOOKUP(INDICE!$F$2,Nombres!$C$3:$D$636,121,FALSE)</f>
        <v>Posiciones inter-áreas activo</v>
      </c>
      <c r="B35" s="44">
        <v>0</v>
      </c>
      <c r="C35" s="44">
        <v>0</v>
      </c>
      <c r="D35" s="44">
        <v>0</v>
      </c>
      <c r="E35" s="45">
        <v>0</v>
      </c>
      <c r="F35" s="44">
        <v>0</v>
      </c>
      <c r="G35" s="44">
        <v>0</v>
      </c>
      <c r="H35" s="44">
        <v>0</v>
      </c>
      <c r="I35" s="44">
        <v>0</v>
      </c>
    </row>
    <row r="36" spans="1:9" ht="14.25">
      <c r="A36" s="43" t="str">
        <f>HLOOKUP(INDICE!$F$2,Nombres!$C$3:$D$636,56,FALSE)</f>
        <v>Activos tangibles</v>
      </c>
      <c r="B36" s="44">
        <v>98.953173</v>
      </c>
      <c r="C36" s="44">
        <v>93.929644</v>
      </c>
      <c r="D36" s="44">
        <v>74.043794</v>
      </c>
      <c r="E36" s="45">
        <v>71.58397500000001</v>
      </c>
      <c r="F36" s="44">
        <v>68.530254</v>
      </c>
      <c r="G36" s="44">
        <v>68.871913</v>
      </c>
      <c r="H36" s="44">
        <v>65.841333</v>
      </c>
      <c r="I36" s="44">
        <v>64.807007</v>
      </c>
    </row>
    <row r="37" spans="1:9" ht="14.25">
      <c r="A37" s="90" t="str">
        <f>HLOOKUP(INDICE!$F$2,Nombres!$C$3:$D$636,57,FALSE)</f>
        <v>Otros activos</v>
      </c>
      <c r="B37" s="58">
        <f>+B38-B36-B33-B32-B31-B35</f>
        <v>247.2165470000112</v>
      </c>
      <c r="C37" s="58">
        <f aca="true" t="shared" si="5" ref="C37:I37">+C38-C36-C33-C32-C31</f>
        <v>243.55660399999655</v>
      </c>
      <c r="D37" s="58">
        <f t="shared" si="5"/>
        <v>239.45821500001531</v>
      </c>
      <c r="E37" s="66">
        <f t="shared" si="5"/>
        <v>227.56274000000644</v>
      </c>
      <c r="F37" s="44">
        <f t="shared" si="5"/>
        <v>261.0952779999934</v>
      </c>
      <c r="G37" s="44">
        <f t="shared" si="5"/>
        <v>239.21315300000344</v>
      </c>
      <c r="H37" s="44">
        <f t="shared" si="5"/>
        <v>229.3136389999861</v>
      </c>
      <c r="I37" s="44">
        <f t="shared" si="5"/>
        <v>200.3957179999971</v>
      </c>
    </row>
    <row r="38" spans="1:9" ht="14.25">
      <c r="A38" s="93" t="str">
        <f>HLOOKUP(INDICE!$F$2,Nombres!$C$3:$D$636,58,FALSE)</f>
        <v>Total activo / pasivo</v>
      </c>
      <c r="B38" s="47">
        <v>20591.04458639001</v>
      </c>
      <c r="C38" s="47">
        <v>20219.107583389996</v>
      </c>
      <c r="D38" s="47">
        <v>21696.077374390017</v>
      </c>
      <c r="E38" s="72">
        <v>23256.686951390006</v>
      </c>
      <c r="F38" s="47">
        <v>26542.85640239</v>
      </c>
      <c r="G38" s="47">
        <v>26805.40330939</v>
      </c>
      <c r="H38" s="47">
        <v>24888.14159638999</v>
      </c>
      <c r="I38" s="47">
        <v>22881.20449239</v>
      </c>
    </row>
    <row r="39" spans="1:9" ht="14.25">
      <c r="A39" s="90" t="str">
        <f>HLOOKUP(INDICE!$F$2,Nombres!$C$3:$D$636,59,FALSE)</f>
        <v>Pasivos financieros mantenidos para negociar y designados a valor razonable con cambios en resultados</v>
      </c>
      <c r="B39" s="58">
        <v>42.199785</v>
      </c>
      <c r="C39" s="58">
        <v>43.001981</v>
      </c>
      <c r="D39" s="58">
        <v>47.32370600000001</v>
      </c>
      <c r="E39" s="66">
        <v>57.16375000000001</v>
      </c>
      <c r="F39" s="44">
        <v>43.971994</v>
      </c>
      <c r="G39" s="44">
        <v>47.285841</v>
      </c>
      <c r="H39" s="44">
        <v>43.346478999999995</v>
      </c>
      <c r="I39" s="44">
        <v>46.07294099999999</v>
      </c>
    </row>
    <row r="40" spans="1:9" ht="14.25">
      <c r="A40" s="90" t="str">
        <f>HLOOKUP(INDICE!$F$2,Nombres!$C$3:$D$636,60,FALSE)</f>
        <v>Depósitos de bancos centrales y entidades de crédito</v>
      </c>
      <c r="B40" s="58">
        <v>928.8195</v>
      </c>
      <c r="C40" s="58">
        <v>878.576317</v>
      </c>
      <c r="D40" s="58">
        <v>918.42498</v>
      </c>
      <c r="E40" s="66">
        <v>1039.0934569999997</v>
      </c>
      <c r="F40" s="44">
        <v>792.358614</v>
      </c>
      <c r="G40" s="44">
        <v>1054.225124</v>
      </c>
      <c r="H40" s="44">
        <v>857.2852610000001</v>
      </c>
      <c r="I40" s="44">
        <v>857.842312</v>
      </c>
    </row>
    <row r="41" spans="1:9" ht="15.75" customHeight="1">
      <c r="A41" s="90" t="str">
        <f>HLOOKUP(INDICE!$F$2,Nombres!$C$3:$D$636,61,FALSE)</f>
        <v>Depósitos de la clientela</v>
      </c>
      <c r="B41" s="58">
        <v>5065.020261</v>
      </c>
      <c r="C41" s="58">
        <v>4294.219848000001</v>
      </c>
      <c r="D41" s="58">
        <v>4366.209577</v>
      </c>
      <c r="E41" s="66">
        <v>4707.759361</v>
      </c>
      <c r="F41" s="44">
        <v>5138.485708</v>
      </c>
      <c r="G41" s="44">
        <v>4567.065479999999</v>
      </c>
      <c r="H41" s="44">
        <v>4597.356644</v>
      </c>
      <c r="I41" s="44">
        <v>4577.7208869999995</v>
      </c>
    </row>
    <row r="42" spans="1:9" ht="14.25">
      <c r="A42" s="43" t="str">
        <f>HLOOKUP(INDICE!$F$2,Nombres!$C$3:$D$636,62,FALSE)</f>
        <v>Valores representativos de deuda emitidos</v>
      </c>
      <c r="B42" s="44">
        <v>197.90389208</v>
      </c>
      <c r="C42" s="44">
        <v>986.45385225</v>
      </c>
      <c r="D42" s="44">
        <v>624.23100778</v>
      </c>
      <c r="E42" s="45">
        <v>838.21542917</v>
      </c>
      <c r="F42" s="44">
        <v>806.6545493199998</v>
      </c>
      <c r="G42" s="44">
        <v>380.167706</v>
      </c>
      <c r="H42" s="44">
        <v>371.87017885</v>
      </c>
      <c r="I42" s="44">
        <v>704.2943230599999</v>
      </c>
    </row>
    <row r="43" spans="1:9" ht="14.25">
      <c r="A43" s="90" t="str">
        <f>HLOOKUP(INDICE!$F$2,Nombres!$C$3:$D$636,122,FALSE)</f>
        <v>Posiciones inter-áreas pasivo</v>
      </c>
      <c r="B43" s="44">
        <v>13237.070368430008</v>
      </c>
      <c r="C43" s="44">
        <v>12673.352272770022</v>
      </c>
      <c r="D43" s="44">
        <v>14476.997936229984</v>
      </c>
      <c r="E43" s="45">
        <v>15351.471938330038</v>
      </c>
      <c r="F43" s="44">
        <v>18449.14341836003</v>
      </c>
      <c r="G43" s="44">
        <v>19422.547274630026</v>
      </c>
      <c r="H43" s="44">
        <v>17705.80430152001</v>
      </c>
      <c r="I43" s="44">
        <v>15398.008412700005</v>
      </c>
    </row>
    <row r="44" spans="1:9" ht="14.25">
      <c r="A44" s="43" t="str">
        <f>HLOOKUP(INDICE!$F$2,Nombres!$C$3:$D$636,63,FALSE)</f>
        <v>Otros pasivos</v>
      </c>
      <c r="B44" s="58">
        <f aca="true" t="shared" si="6" ref="B44:I44">+B38-B39-B40-B41-B42-B45-B43</f>
        <v>338.6393288800009</v>
      </c>
      <c r="C44" s="58">
        <f t="shared" si="6"/>
        <v>532.3173613699728</v>
      </c>
      <c r="D44" s="58">
        <f t="shared" si="6"/>
        <v>420.28523412003597</v>
      </c>
      <c r="E44" s="66">
        <f t="shared" si="6"/>
        <v>399.04685262996827</v>
      </c>
      <c r="F44" s="58">
        <f t="shared" si="6"/>
        <v>399.3127587099734</v>
      </c>
      <c r="G44" s="58">
        <f t="shared" si="6"/>
        <v>393.9054137599742</v>
      </c>
      <c r="H44" s="58">
        <f t="shared" si="6"/>
        <v>404.9881200799791</v>
      </c>
      <c r="I44" s="58">
        <f t="shared" si="6"/>
        <v>418.65773799999806</v>
      </c>
    </row>
    <row r="45" spans="1:9" ht="14.25">
      <c r="A45" s="90" t="str">
        <f>HLOOKUP(INDICE!$F$2,Nombres!$C$3:$D$636,64,FALSE)</f>
        <v>Dotación de capital económico</v>
      </c>
      <c r="B45" s="44">
        <v>781.3914510000004</v>
      </c>
      <c r="C45" s="44">
        <v>811.1859509999999</v>
      </c>
      <c r="D45" s="44">
        <v>842.6049332599996</v>
      </c>
      <c r="E45" s="45">
        <v>863.9361632600003</v>
      </c>
      <c r="F45" s="44">
        <v>912.9293600000001</v>
      </c>
      <c r="G45" s="44">
        <v>940.2064700000001</v>
      </c>
      <c r="H45" s="44">
        <v>907.4906119400002</v>
      </c>
      <c r="I45" s="44">
        <v>878.6078786299995</v>
      </c>
    </row>
    <row r="46" spans="1:9" ht="14.25">
      <c r="A46" s="63"/>
      <c r="B46" s="58"/>
      <c r="C46" s="58"/>
      <c r="D46" s="58"/>
      <c r="E46" s="58"/>
      <c r="F46" s="44"/>
      <c r="G46" s="44"/>
      <c r="H46" s="44"/>
      <c r="I46" s="44"/>
    </row>
    <row r="47" spans="1:9" ht="14.25">
      <c r="A47" s="43"/>
      <c r="B47" s="58"/>
      <c r="C47" s="58"/>
      <c r="D47" s="58"/>
      <c r="E47" s="58"/>
      <c r="F47" s="44"/>
      <c r="G47" s="44"/>
      <c r="H47" s="44"/>
      <c r="I47" s="44"/>
    </row>
    <row r="48" spans="1:9" ht="16.5">
      <c r="A48" s="95" t="str">
        <f>HLOOKUP(INDICE!$F$2,Nombres!$C$3:$D$636,65,FALSE)</f>
        <v>Indicadores relevantes y de gestión</v>
      </c>
      <c r="B48" s="34"/>
      <c r="C48" s="34"/>
      <c r="D48" s="34"/>
      <c r="E48" s="34"/>
      <c r="F48" s="70"/>
      <c r="G48" s="70"/>
      <c r="H48" s="70"/>
      <c r="I48" s="70"/>
    </row>
    <row r="49" spans="1:9" ht="14.25">
      <c r="A49" s="86" t="str">
        <f>HLOOKUP(INDICE!$F$2,Nombres!$C$3:$D$636,32,FALSE)</f>
        <v>(Millones de euros)</v>
      </c>
      <c r="B49" s="30"/>
      <c r="C49" s="30"/>
      <c r="D49" s="30"/>
      <c r="E49" s="30"/>
      <c r="F49" s="71"/>
      <c r="G49" s="44"/>
      <c r="H49" s="44"/>
      <c r="I49" s="44"/>
    </row>
    <row r="50" spans="1:9" ht="14.25">
      <c r="A50" s="30"/>
      <c r="B50" s="53">
        <f aca="true" t="shared" si="7" ref="B50:I50">+B$30</f>
        <v>43555</v>
      </c>
      <c r="C50" s="53">
        <f t="shared" si="7"/>
        <v>43646</v>
      </c>
      <c r="D50" s="53">
        <f t="shared" si="7"/>
        <v>43738</v>
      </c>
      <c r="E50" s="69">
        <f t="shared" si="7"/>
        <v>43830</v>
      </c>
      <c r="F50" s="53">
        <f t="shared" si="7"/>
        <v>43921</v>
      </c>
      <c r="G50" s="53">
        <f t="shared" si="7"/>
        <v>44012</v>
      </c>
      <c r="H50" s="53">
        <f t="shared" si="7"/>
        <v>44104</v>
      </c>
      <c r="I50" s="53">
        <f t="shared" si="7"/>
        <v>44196</v>
      </c>
    </row>
    <row r="51" spans="1:9" ht="14.25">
      <c r="A51" s="90" t="str">
        <f>HLOOKUP(INDICE!$F$2,Nombres!$C$3:$D$636,66,FALSE)</f>
        <v>Préstamos y anticipos a la clientela bruto (*)</v>
      </c>
      <c r="B51" s="44">
        <v>18611.795617</v>
      </c>
      <c r="C51" s="44">
        <v>17899.348239</v>
      </c>
      <c r="D51" s="44">
        <v>18820.104681</v>
      </c>
      <c r="E51" s="45">
        <v>19995.719675</v>
      </c>
      <c r="F51" s="44">
        <v>22567.237848</v>
      </c>
      <c r="G51" s="44">
        <v>22827.311267</v>
      </c>
      <c r="H51" s="44">
        <v>21247.788383</v>
      </c>
      <c r="I51" s="44">
        <v>19189.231412</v>
      </c>
    </row>
    <row r="52" spans="1:9" ht="14.25">
      <c r="A52" s="90" t="str">
        <f>HLOOKUP(INDICE!$F$2,Nombres!$C$3:$D$636,67,FALSE)</f>
        <v>Depósitos de clientes en gestión (**)</v>
      </c>
      <c r="B52" s="44">
        <v>5065.020261</v>
      </c>
      <c r="C52" s="44">
        <v>4294.219848000001</v>
      </c>
      <c r="D52" s="44">
        <v>4366.2095770000005</v>
      </c>
      <c r="E52" s="45">
        <v>4707.759361</v>
      </c>
      <c r="F52" s="44">
        <v>5138.485708</v>
      </c>
      <c r="G52" s="44">
        <v>4567.065479999999</v>
      </c>
      <c r="H52" s="44">
        <v>4597.356644</v>
      </c>
      <c r="I52" s="44">
        <v>4577.720887</v>
      </c>
    </row>
    <row r="53" spans="1:9" ht="14.25">
      <c r="A53" s="43" t="str">
        <f>HLOOKUP(INDICE!$F$2,Nombres!$C$3:$D$636,68,FALSE)</f>
        <v>Fondos de inversión</v>
      </c>
      <c r="B53" s="44">
        <v>0.013545</v>
      </c>
      <c r="C53" s="44">
        <v>0.013555</v>
      </c>
      <c r="D53" s="44">
        <v>0.013544</v>
      </c>
      <c r="E53" s="45">
        <v>0.013511</v>
      </c>
      <c r="F53" s="44">
        <v>0</v>
      </c>
      <c r="G53" s="44">
        <v>0</v>
      </c>
      <c r="H53" s="44">
        <v>0</v>
      </c>
      <c r="I53" s="44">
        <v>0</v>
      </c>
    </row>
    <row r="54" spans="1:9" ht="14.25">
      <c r="A54" s="90" t="str">
        <f>HLOOKUP(INDICE!$F$2,Nombres!$C$3:$D$636,69,FALSE)</f>
        <v>Fondos de pensiones</v>
      </c>
      <c r="B54" s="44">
        <v>407.12046328</v>
      </c>
      <c r="C54" s="44">
        <v>454.48082914</v>
      </c>
      <c r="D54" s="44">
        <v>496.67020717</v>
      </c>
      <c r="E54" s="45">
        <v>500.43861838</v>
      </c>
      <c r="F54" s="44">
        <v>494.78505432</v>
      </c>
      <c r="G54" s="44">
        <v>517.96026945</v>
      </c>
      <c r="H54" s="44">
        <v>529.31975174</v>
      </c>
      <c r="I54" s="44">
        <v>569.33256496</v>
      </c>
    </row>
    <row r="55" spans="1:9" ht="14.25">
      <c r="A55" s="90" t="str">
        <f>HLOOKUP(INDICE!$F$2,Nombres!$C$3:$D$636,70,FALSE)</f>
        <v>Otros recursos fuera de balance</v>
      </c>
      <c r="B55" s="44">
        <v>0</v>
      </c>
      <c r="C55" s="44">
        <v>0</v>
      </c>
      <c r="D55" s="44">
        <v>0</v>
      </c>
      <c r="E55" s="45">
        <v>0</v>
      </c>
      <c r="F55" s="44">
        <v>0</v>
      </c>
      <c r="G55" s="44">
        <v>0</v>
      </c>
      <c r="H55" s="44">
        <v>0</v>
      </c>
      <c r="I55" s="44">
        <v>0</v>
      </c>
    </row>
    <row r="56" spans="1:9" ht="14.25">
      <c r="A56" s="94" t="str">
        <f>HLOOKUP(INDICE!$F$2,Nombres!$C$3:$D$636,71,FALSE)</f>
        <v>(*) No incluye las adquisiciones temporales de activos.</v>
      </c>
      <c r="B56" s="58"/>
      <c r="C56" s="58"/>
      <c r="D56" s="58"/>
      <c r="E56" s="58"/>
      <c r="F56" s="44"/>
      <c r="G56" s="44"/>
      <c r="H56" s="44"/>
      <c r="I56" s="44"/>
    </row>
    <row r="57" spans="1:9" ht="14.25">
      <c r="A57" s="94" t="str">
        <f>HLOOKUP(INDICE!$F$2,Nombres!$C$3:$D$636,72,FALSE)</f>
        <v>(**) No incluye las cesiones temporales de activos.</v>
      </c>
      <c r="B57" s="30"/>
      <c r="C57" s="30"/>
      <c r="D57" s="30"/>
      <c r="E57" s="30"/>
      <c r="F57" s="71"/>
      <c r="G57" s="71"/>
      <c r="H57" s="71"/>
      <c r="I57" s="71"/>
    </row>
    <row r="58" spans="1:9" ht="14.25">
      <c r="A58" s="63"/>
      <c r="B58" s="30"/>
      <c r="C58" s="30"/>
      <c r="D58" s="30"/>
      <c r="E58" s="30"/>
      <c r="F58" s="71"/>
      <c r="G58" s="71"/>
      <c r="H58" s="71"/>
      <c r="I58" s="71"/>
    </row>
    <row r="59" spans="1:9" ht="16.5">
      <c r="A59" s="95" t="str">
        <f>HLOOKUP(INDICE!$F$2,Nombres!$C$3:$D$636,31,FALSE)</f>
        <v>Cuenta de resultados  </v>
      </c>
      <c r="B59" s="34"/>
      <c r="C59" s="34"/>
      <c r="D59" s="34"/>
      <c r="E59" s="34"/>
      <c r="F59" s="70"/>
      <c r="G59" s="70"/>
      <c r="H59" s="70"/>
      <c r="I59" s="70"/>
    </row>
    <row r="60" spans="1:9" ht="14.25">
      <c r="A60" s="86" t="str">
        <f>HLOOKUP(INDICE!$F$2,Nombres!$C$3:$D$636,73,FALSE)</f>
        <v>(Millones de euros constantes)</v>
      </c>
      <c r="B60" s="30"/>
      <c r="C60" s="36"/>
      <c r="D60" s="36"/>
      <c r="E60" s="36"/>
      <c r="F60" s="71"/>
      <c r="G60" s="71"/>
      <c r="H60" s="71"/>
      <c r="I60" s="71"/>
    </row>
    <row r="61" spans="1:9" ht="14.25">
      <c r="A61" s="37"/>
      <c r="B61" s="30"/>
      <c r="C61" s="36"/>
      <c r="D61" s="36"/>
      <c r="E61" s="36"/>
      <c r="F61" s="30"/>
      <c r="G61" s="30"/>
      <c r="H61" s="30"/>
      <c r="I61" s="30"/>
    </row>
    <row r="62" spans="1:9" ht="14.25">
      <c r="A62" s="38"/>
      <c r="B62" s="308">
        <f>+B$6</f>
        <v>2019</v>
      </c>
      <c r="C62" s="308"/>
      <c r="D62" s="308"/>
      <c r="E62" s="309"/>
      <c r="F62" s="308">
        <f>+F$6</f>
        <v>2020</v>
      </c>
      <c r="G62" s="308"/>
      <c r="H62" s="308"/>
      <c r="I62" s="308"/>
    </row>
    <row r="63" spans="1:9" ht="14.25">
      <c r="A63" s="38"/>
      <c r="B63" s="87" t="str">
        <f aca="true" t="shared" si="8" ref="B63:I63">+B$7</f>
        <v>1er Trim.</v>
      </c>
      <c r="C63" s="87" t="str">
        <f t="shared" si="8"/>
        <v>2º Trim.</v>
      </c>
      <c r="D63" s="87" t="str">
        <f t="shared" si="8"/>
        <v>3er Trim.</v>
      </c>
      <c r="E63" s="88" t="str">
        <f t="shared" si="8"/>
        <v>4º Trim.</v>
      </c>
      <c r="F63" s="87" t="str">
        <f t="shared" si="8"/>
        <v>1er Trim.</v>
      </c>
      <c r="G63" s="87" t="str">
        <f t="shared" si="8"/>
        <v>2º Trim.</v>
      </c>
      <c r="H63" s="87" t="str">
        <f t="shared" si="8"/>
        <v>3er Trim.</v>
      </c>
      <c r="I63" s="87" t="str">
        <f t="shared" si="8"/>
        <v>4º Trim.</v>
      </c>
    </row>
    <row r="64" spans="1:9" ht="14.25">
      <c r="A64" s="41" t="str">
        <f>HLOOKUP(INDICE!$F$2,Nombres!$C$3:$D$636,33,FALSE)</f>
        <v>Margen de intereses</v>
      </c>
      <c r="B64" s="41">
        <v>39.74502565143465</v>
      </c>
      <c r="C64" s="41">
        <v>45.11704222522084</v>
      </c>
      <c r="D64" s="41">
        <v>45.68988228613402</v>
      </c>
      <c r="E64" s="42">
        <v>44.970589793249346</v>
      </c>
      <c r="F64" s="50">
        <v>47.19290766693301</v>
      </c>
      <c r="G64" s="50">
        <v>55.12949769841012</v>
      </c>
      <c r="H64" s="50">
        <v>56.333820745994245</v>
      </c>
      <c r="I64" s="50">
        <v>55.64677526866262</v>
      </c>
    </row>
    <row r="65" spans="1:9" ht="14.25">
      <c r="A65" s="90" t="str">
        <f>HLOOKUP(INDICE!$F$2,Nombres!$C$3:$D$636,34,FALSE)</f>
        <v>Comisiones netas</v>
      </c>
      <c r="B65" s="44">
        <v>36.28843016034812</v>
      </c>
      <c r="C65" s="44">
        <v>33.62515963842101</v>
      </c>
      <c r="D65" s="44">
        <v>36.48050215323378</v>
      </c>
      <c r="E65" s="45">
        <v>33.42683558231204</v>
      </c>
      <c r="F65" s="44">
        <v>40.46960717924085</v>
      </c>
      <c r="G65" s="44">
        <v>42.08201091710339</v>
      </c>
      <c r="H65" s="44">
        <v>34.17666623042065</v>
      </c>
      <c r="I65" s="44">
        <v>33.37222430323511</v>
      </c>
    </row>
    <row r="66" spans="1:9" ht="14.25">
      <c r="A66" s="90" t="str">
        <f>HLOOKUP(INDICE!$F$2,Nombres!$C$3:$D$636,35,FALSE)</f>
        <v>Resultados de operaciones financieras</v>
      </c>
      <c r="B66" s="44">
        <v>26.637584045261484</v>
      </c>
      <c r="C66" s="44">
        <v>33.84083679428083</v>
      </c>
      <c r="D66" s="44">
        <v>33.34903310197299</v>
      </c>
      <c r="E66" s="45">
        <v>37.11076469444964</v>
      </c>
      <c r="F66" s="44">
        <v>36.281895009231526</v>
      </c>
      <c r="G66" s="44">
        <v>42.1460333059469</v>
      </c>
      <c r="H66" s="44">
        <v>26.522716207311646</v>
      </c>
      <c r="I66" s="44">
        <v>31.70553328750993</v>
      </c>
    </row>
    <row r="67" spans="1:9" ht="14.25">
      <c r="A67" s="90" t="str">
        <f>HLOOKUP(INDICE!$F$2,Nombres!$C$3:$D$636,36,FALSE)</f>
        <v>Otros ingresos y cargas de explotación</v>
      </c>
      <c r="B67" s="44">
        <v>1.5320603302270088</v>
      </c>
      <c r="C67" s="44">
        <v>4.009866652433983</v>
      </c>
      <c r="D67" s="44">
        <v>3.3260695102527786</v>
      </c>
      <c r="E67" s="45">
        <v>0.5559693112989996</v>
      </c>
      <c r="F67" s="44">
        <v>2.02236071293176</v>
      </c>
      <c r="G67" s="44">
        <v>2.6967239979941984</v>
      </c>
      <c r="H67" s="44">
        <v>2.57956980437058</v>
      </c>
      <c r="I67" s="44">
        <v>1.6754171047034623</v>
      </c>
    </row>
    <row r="68" spans="1:9" ht="14.25">
      <c r="A68" s="41" t="str">
        <f>HLOOKUP(INDICE!$F$2,Nombres!$C$3:$D$636,37,FALSE)</f>
        <v>Margen bruto</v>
      </c>
      <c r="B68" s="41">
        <f aca="true" t="shared" si="9" ref="B68:I68">+SUM(B64:B67)</f>
        <v>104.20310018727127</v>
      </c>
      <c r="C68" s="41">
        <f t="shared" si="9"/>
        <v>116.59290531035667</v>
      </c>
      <c r="D68" s="41">
        <f t="shared" si="9"/>
        <v>118.84548705159358</v>
      </c>
      <c r="E68" s="42">
        <f t="shared" si="9"/>
        <v>116.06415938131002</v>
      </c>
      <c r="F68" s="50">
        <f t="shared" si="9"/>
        <v>125.96677056833714</v>
      </c>
      <c r="G68" s="50">
        <f t="shared" si="9"/>
        <v>142.05426591945462</v>
      </c>
      <c r="H68" s="50">
        <f t="shared" si="9"/>
        <v>119.61277298809712</v>
      </c>
      <c r="I68" s="50">
        <f t="shared" si="9"/>
        <v>122.3999499641111</v>
      </c>
    </row>
    <row r="69" spans="1:9" ht="14.25">
      <c r="A69" s="90" t="str">
        <f>HLOOKUP(INDICE!$F$2,Nombres!$C$3:$D$636,38,FALSE)</f>
        <v>Gastos de explotación</v>
      </c>
      <c r="B69" s="44">
        <v>-70.42984115785954</v>
      </c>
      <c r="C69" s="44">
        <v>-72.15345689024161</v>
      </c>
      <c r="D69" s="44">
        <v>-71.0576275180941</v>
      </c>
      <c r="E69" s="45">
        <v>-81.21228986703073</v>
      </c>
      <c r="F69" s="44">
        <v>-72.69087646267896</v>
      </c>
      <c r="G69" s="44">
        <v>-64.10271766940221</v>
      </c>
      <c r="H69" s="44">
        <v>-67.0695568032678</v>
      </c>
      <c r="I69" s="44">
        <v>-81.63627401465101</v>
      </c>
    </row>
    <row r="70" spans="1:9" ht="14.25">
      <c r="A70" s="90" t="str">
        <f>HLOOKUP(INDICE!$F$2,Nombres!$C$3:$D$636,39,FALSE)</f>
        <v>  Gastos de administración</v>
      </c>
      <c r="B70" s="44">
        <v>-66.0506896585119</v>
      </c>
      <c r="C70" s="44">
        <v>-67.89817871642789</v>
      </c>
      <c r="D70" s="44">
        <v>-66.4257664693659</v>
      </c>
      <c r="E70" s="45">
        <v>-76.26353419070696</v>
      </c>
      <c r="F70" s="44">
        <v>-68.30286062923696</v>
      </c>
      <c r="G70" s="44">
        <v>-59.71409500034978</v>
      </c>
      <c r="H70" s="44">
        <v>-62.88836563826084</v>
      </c>
      <c r="I70" s="44">
        <v>-77.50437432215243</v>
      </c>
    </row>
    <row r="71" spans="1:9" ht="14.25">
      <c r="A71" s="91" t="str">
        <f>HLOOKUP(INDICE!$F$2,Nombres!$C$3:$D$636,40,FALSE)</f>
        <v>  Gastos de personal</v>
      </c>
      <c r="B71" s="44">
        <v>-34.17797973460499</v>
      </c>
      <c r="C71" s="44">
        <v>-35.28815013139094</v>
      </c>
      <c r="D71" s="44">
        <v>-34.299923579623844</v>
      </c>
      <c r="E71" s="45">
        <v>-41.41594316598096</v>
      </c>
      <c r="F71" s="44">
        <v>-36.2000392181565</v>
      </c>
      <c r="G71" s="44">
        <v>-28.493093116558036</v>
      </c>
      <c r="H71" s="44">
        <v>-27.28682626202778</v>
      </c>
      <c r="I71" s="44">
        <v>-43.230539713257684</v>
      </c>
    </row>
    <row r="72" spans="1:9" ht="14.25">
      <c r="A72" s="91" t="str">
        <f>HLOOKUP(INDICE!$F$2,Nombres!$C$3:$D$636,41,FALSE)</f>
        <v>  Otros gastos de administración</v>
      </c>
      <c r="B72" s="44">
        <v>-31.872709923906918</v>
      </c>
      <c r="C72" s="44">
        <v>-32.61002858503694</v>
      </c>
      <c r="D72" s="44">
        <v>-32.12584288974206</v>
      </c>
      <c r="E72" s="45">
        <v>-34.847591024726</v>
      </c>
      <c r="F72" s="44">
        <v>-32.10282141108047</v>
      </c>
      <c r="G72" s="44">
        <v>-31.221001883791743</v>
      </c>
      <c r="H72" s="44">
        <v>-35.601539376233056</v>
      </c>
      <c r="I72" s="44">
        <v>-34.27383460889473</v>
      </c>
    </row>
    <row r="73" spans="1:9" ht="14.25">
      <c r="A73" s="90" t="str">
        <f>HLOOKUP(INDICE!$F$2,Nombres!$C$3:$D$636,42,FALSE)</f>
        <v>  Amortización</v>
      </c>
      <c r="B73" s="44">
        <v>-4.379151499347639</v>
      </c>
      <c r="C73" s="44">
        <v>-4.255278173813722</v>
      </c>
      <c r="D73" s="44">
        <v>-4.631861048728194</v>
      </c>
      <c r="E73" s="45">
        <v>-4.9487556763237714</v>
      </c>
      <c r="F73" s="44">
        <v>-4.388015833442003</v>
      </c>
      <c r="G73" s="44">
        <v>-4.388622669052441</v>
      </c>
      <c r="H73" s="44">
        <v>-4.181191165006972</v>
      </c>
      <c r="I73" s="44">
        <v>-4.131899692498585</v>
      </c>
    </row>
    <row r="74" spans="1:9" ht="14.25">
      <c r="A74" s="41" t="str">
        <f>HLOOKUP(INDICE!$F$2,Nombres!$C$3:$D$636,43,FALSE)</f>
        <v>Margen neto</v>
      </c>
      <c r="B74" s="41">
        <f aca="true" t="shared" si="10" ref="B74:I74">+B68+B69</f>
        <v>33.77325902941173</v>
      </c>
      <c r="C74" s="41">
        <f t="shared" si="10"/>
        <v>44.439448420115056</v>
      </c>
      <c r="D74" s="41">
        <f t="shared" si="10"/>
        <v>47.787859533499486</v>
      </c>
      <c r="E74" s="42">
        <f t="shared" si="10"/>
        <v>34.85186951427929</v>
      </c>
      <c r="F74" s="50">
        <f t="shared" si="10"/>
        <v>53.27589410565818</v>
      </c>
      <c r="G74" s="50">
        <f t="shared" si="10"/>
        <v>77.95154825005241</v>
      </c>
      <c r="H74" s="50">
        <f t="shared" si="10"/>
        <v>52.54321618482932</v>
      </c>
      <c r="I74" s="50">
        <f t="shared" si="10"/>
        <v>40.763675949460094</v>
      </c>
    </row>
    <row r="75" spans="1:9" ht="14.25">
      <c r="A75" s="90" t="str">
        <f>HLOOKUP(INDICE!$F$2,Nombres!$C$3:$D$636,44,FALSE)</f>
        <v>Deterioro de activos financieros no valorados a valor razonable con cambios en resultados</v>
      </c>
      <c r="B75" s="44">
        <v>-10.271333435419539</v>
      </c>
      <c r="C75" s="44">
        <v>-0.44246945298386997</v>
      </c>
      <c r="D75" s="44">
        <v>4.198349372707996</v>
      </c>
      <c r="E75" s="45">
        <v>2.211150970799946</v>
      </c>
      <c r="F75" s="44">
        <v>6.265080982931757</v>
      </c>
      <c r="G75" s="44">
        <v>-40.602034658873364</v>
      </c>
      <c r="H75" s="44">
        <v>-13.786014193011287</v>
      </c>
      <c r="I75" s="44">
        <v>10.229317318952896</v>
      </c>
    </row>
    <row r="76" spans="1:9" ht="14.25">
      <c r="A76" s="90" t="str">
        <f>HLOOKUP(INDICE!$F$2,Nombres!$C$3:$D$636,45,FALSE)</f>
        <v>Provisiones o reversión de provisiones y otros resultados</v>
      </c>
      <c r="B76" s="44">
        <v>-0.6972750900000001</v>
      </c>
      <c r="C76" s="44">
        <v>2.0569839999999995</v>
      </c>
      <c r="D76" s="44">
        <v>8.524552448430459</v>
      </c>
      <c r="E76" s="45">
        <v>-3.5675967479383415</v>
      </c>
      <c r="F76" s="44">
        <v>-0.45167099999999993</v>
      </c>
      <c r="G76" s="44">
        <v>-7.125484999999999</v>
      </c>
      <c r="H76" s="44">
        <v>-0.4879180000000005</v>
      </c>
      <c r="I76" s="44">
        <v>5.622311000000002</v>
      </c>
    </row>
    <row r="77" spans="1:9" ht="14.25">
      <c r="A77" s="92" t="str">
        <f>HLOOKUP(INDICE!$F$2,Nombres!$C$3:$D$636,46,FALSE)</f>
        <v>Resultado antes de impuestos</v>
      </c>
      <c r="B77" s="41">
        <f aca="true" t="shared" si="11" ref="B77:I77">+B74+B75+B76</f>
        <v>22.804650503992193</v>
      </c>
      <c r="C77" s="41">
        <f t="shared" si="11"/>
        <v>46.053962967131184</v>
      </c>
      <c r="D77" s="41">
        <f t="shared" si="11"/>
        <v>60.510761354637935</v>
      </c>
      <c r="E77" s="42">
        <f t="shared" si="11"/>
        <v>33.4954237371409</v>
      </c>
      <c r="F77" s="50">
        <f t="shared" si="11"/>
        <v>59.08930408858994</v>
      </c>
      <c r="G77" s="50">
        <f t="shared" si="11"/>
        <v>30.22402859117905</v>
      </c>
      <c r="H77" s="50">
        <f t="shared" si="11"/>
        <v>38.269283991818035</v>
      </c>
      <c r="I77" s="50">
        <f t="shared" si="11"/>
        <v>56.61530426841299</v>
      </c>
    </row>
    <row r="78" spans="1:9" ht="14.25">
      <c r="A78" s="43" t="str">
        <f>HLOOKUP(INDICE!$F$2,Nombres!$C$3:$D$636,47,FALSE)</f>
        <v>Impuesto sobre beneficios</v>
      </c>
      <c r="B78" s="44">
        <v>-6.793631895949414</v>
      </c>
      <c r="C78" s="44">
        <v>-6.5794613413351755</v>
      </c>
      <c r="D78" s="44">
        <v>-13.20756960522689</v>
      </c>
      <c r="E78" s="45">
        <v>-9.090034805080832</v>
      </c>
      <c r="F78" s="44">
        <v>-15.27211410779125</v>
      </c>
      <c r="G78" s="44">
        <v>-7.705910679056706</v>
      </c>
      <c r="H78" s="44">
        <v>-8.136749325409486</v>
      </c>
      <c r="I78" s="44">
        <v>-16.391969937742562</v>
      </c>
    </row>
    <row r="79" spans="1:9" ht="14.25">
      <c r="A79" s="92" t="str">
        <f>HLOOKUP(INDICE!$F$2,Nombres!$C$3:$D$636,48,FALSE)</f>
        <v>Resultado del ejercicio</v>
      </c>
      <c r="B79" s="41">
        <f aca="true" t="shared" si="12" ref="B79:I79">+B77+B78</f>
        <v>16.01101860804278</v>
      </c>
      <c r="C79" s="41">
        <f t="shared" si="12"/>
        <v>39.47450162579601</v>
      </c>
      <c r="D79" s="41">
        <f t="shared" si="12"/>
        <v>47.30319174941104</v>
      </c>
      <c r="E79" s="42">
        <f t="shared" si="12"/>
        <v>24.405388932060063</v>
      </c>
      <c r="F79" s="50">
        <f t="shared" si="12"/>
        <v>43.81718998079869</v>
      </c>
      <c r="G79" s="50">
        <f t="shared" si="12"/>
        <v>22.518117912122342</v>
      </c>
      <c r="H79" s="50">
        <f t="shared" si="12"/>
        <v>30.13253466640855</v>
      </c>
      <c r="I79" s="50">
        <f t="shared" si="12"/>
        <v>40.223334330670426</v>
      </c>
    </row>
    <row r="80" spans="1:9" ht="14.25">
      <c r="A80" s="90" t="str">
        <f>HLOOKUP(INDICE!$F$2,Nombres!$C$3:$D$636,49,FALSE)</f>
        <v>Minoritarios</v>
      </c>
      <c r="B80" s="44">
        <v>0</v>
      </c>
      <c r="C80" s="44">
        <v>0</v>
      </c>
      <c r="D80" s="44">
        <v>0</v>
      </c>
      <c r="E80" s="45">
        <v>0</v>
      </c>
      <c r="F80" s="44">
        <v>0</v>
      </c>
      <c r="G80" s="44">
        <v>0</v>
      </c>
      <c r="H80" s="44">
        <v>0</v>
      </c>
      <c r="I80" s="44">
        <v>0</v>
      </c>
    </row>
    <row r="81" spans="1:9" ht="14.25">
      <c r="A81" s="93" t="str">
        <f>HLOOKUP(INDICE!$F$2,Nombres!$C$3:$D$636,50,FALSE)</f>
        <v>Resultado atribuido</v>
      </c>
      <c r="B81" s="47">
        <f aca="true" t="shared" si="13" ref="B81:I81">+B79+B80</f>
        <v>16.01101860804278</v>
      </c>
      <c r="C81" s="47">
        <f t="shared" si="13"/>
        <v>39.47450162579601</v>
      </c>
      <c r="D81" s="47">
        <f t="shared" si="13"/>
        <v>47.30319174941104</v>
      </c>
      <c r="E81" s="47">
        <f t="shared" si="13"/>
        <v>24.405388932060063</v>
      </c>
      <c r="F81" s="51">
        <f t="shared" si="13"/>
        <v>43.81718998079869</v>
      </c>
      <c r="G81" s="51">
        <f t="shared" si="13"/>
        <v>22.518117912122342</v>
      </c>
      <c r="H81" s="51">
        <f t="shared" si="13"/>
        <v>30.13253466640855</v>
      </c>
      <c r="I81" s="51">
        <f t="shared" si="13"/>
        <v>40.223334330670426</v>
      </c>
    </row>
    <row r="82" spans="1:9" ht="14.25">
      <c r="A82" s="94"/>
      <c r="B82" s="64">
        <v>0</v>
      </c>
      <c r="C82" s="64">
        <v>0</v>
      </c>
      <c r="D82" s="64">
        <v>0</v>
      </c>
      <c r="E82" s="64">
        <v>0</v>
      </c>
      <c r="F82" s="64">
        <v>0</v>
      </c>
      <c r="G82" s="64">
        <v>2.842170943040401E-14</v>
      </c>
      <c r="H82" s="64">
        <v>0</v>
      </c>
      <c r="I82" s="64">
        <v>0</v>
      </c>
    </row>
    <row r="83" spans="1:9" ht="14.25">
      <c r="A83" s="41"/>
      <c r="B83" s="41"/>
      <c r="C83" s="41"/>
      <c r="D83" s="41"/>
      <c r="E83" s="41"/>
      <c r="F83" s="50"/>
      <c r="G83" s="50"/>
      <c r="H83" s="50"/>
      <c r="I83" s="50"/>
    </row>
    <row r="84" spans="1:9" ht="16.5">
      <c r="A84" s="95" t="str">
        <f>HLOOKUP(INDICE!$F$2,Nombres!$C$3:$D$636,51,FALSE)</f>
        <v>Balances</v>
      </c>
      <c r="B84" s="34"/>
      <c r="C84" s="34"/>
      <c r="D84" s="34"/>
      <c r="E84" s="34"/>
      <c r="F84" s="70"/>
      <c r="G84" s="70"/>
      <c r="H84" s="70"/>
      <c r="I84" s="70"/>
    </row>
    <row r="85" spans="1:9" ht="14.25">
      <c r="A85" s="86" t="str">
        <f>HLOOKUP(INDICE!$F$2,Nombres!$C$3:$D$636,73,FALSE)</f>
        <v>(Millones de euros constantes)</v>
      </c>
      <c r="B85" s="30"/>
      <c r="C85" s="52"/>
      <c r="D85" s="52"/>
      <c r="E85" s="52"/>
      <c r="F85" s="71"/>
      <c r="G85" s="44"/>
      <c r="H85" s="44"/>
      <c r="I85" s="44"/>
    </row>
    <row r="86" spans="1:9" ht="14.25">
      <c r="A86" s="30"/>
      <c r="B86" s="53">
        <f aca="true" t="shared" si="14" ref="B86:I86">+B$30</f>
        <v>43555</v>
      </c>
      <c r="C86" s="53">
        <f t="shared" si="14"/>
        <v>43646</v>
      </c>
      <c r="D86" s="53">
        <f t="shared" si="14"/>
        <v>43738</v>
      </c>
      <c r="E86" s="69">
        <f t="shared" si="14"/>
        <v>43830</v>
      </c>
      <c r="F86" s="53">
        <f t="shared" si="14"/>
        <v>43921</v>
      </c>
      <c r="G86" s="53">
        <f t="shared" si="14"/>
        <v>44012</v>
      </c>
      <c r="H86" s="53">
        <f t="shared" si="14"/>
        <v>44104</v>
      </c>
      <c r="I86" s="53">
        <f t="shared" si="14"/>
        <v>44196</v>
      </c>
    </row>
    <row r="87" spans="1:9" ht="14.25">
      <c r="A87" s="90" t="str">
        <f>HLOOKUP(INDICE!$F$2,Nombres!$C$3:$D$636,52,FALSE)</f>
        <v>Efectivo, saldos en efectivo en bancos centrales y otros depósitos a la vista</v>
      </c>
      <c r="B87" s="44">
        <v>215.53823687790106</v>
      </c>
      <c r="C87" s="44">
        <v>219.09924865150344</v>
      </c>
      <c r="D87" s="44">
        <v>228.84988552157895</v>
      </c>
      <c r="E87" s="45">
        <v>247.73457413987512</v>
      </c>
      <c r="F87" s="44">
        <v>283.99087582918</v>
      </c>
      <c r="G87" s="44">
        <v>307.0519869932168</v>
      </c>
      <c r="H87" s="44">
        <v>306.3529388334849</v>
      </c>
      <c r="I87" s="44">
        <v>284.98934400000115</v>
      </c>
    </row>
    <row r="88" spans="1:9" ht="14.25">
      <c r="A88" s="90" t="str">
        <f>HLOOKUP(INDICE!$F$2,Nombres!$C$3:$D$636,53,FALSE)</f>
        <v>Activos financieros a valor razonable</v>
      </c>
      <c r="B88" s="58">
        <v>504.2689626512306</v>
      </c>
      <c r="C88" s="58">
        <v>511.2941757941729</v>
      </c>
      <c r="D88" s="58">
        <v>494.4897807360496</v>
      </c>
      <c r="E88" s="66">
        <v>477.55681015335813</v>
      </c>
      <c r="F88" s="44">
        <v>510.1684907984047</v>
      </c>
      <c r="G88" s="44">
        <v>498.8615790041106</v>
      </c>
      <c r="H88" s="44">
        <v>473.94297435666465</v>
      </c>
      <c r="I88" s="44">
        <v>492.00238139</v>
      </c>
    </row>
    <row r="89" spans="1:9" ht="14.25">
      <c r="A89" s="43" t="str">
        <f>HLOOKUP(INDICE!$F$2,Nombres!$C$3:$D$636,54,FALSE)</f>
        <v>Activos financieros a coste amortizado</v>
      </c>
      <c r="B89" s="44">
        <v>19553.633362101868</v>
      </c>
      <c r="C89" s="44">
        <v>19171.97325671325</v>
      </c>
      <c r="D89" s="44">
        <v>20662.801526294097</v>
      </c>
      <c r="E89" s="45">
        <v>22235.87330793766</v>
      </c>
      <c r="F89" s="44">
        <v>25393.525589578967</v>
      </c>
      <c r="G89" s="44">
        <v>25676.289076947618</v>
      </c>
      <c r="H89" s="44">
        <v>23812.879064282246</v>
      </c>
      <c r="I89" s="44">
        <v>21839.010042</v>
      </c>
    </row>
    <row r="90" spans="1:9" ht="14.25">
      <c r="A90" s="90" t="str">
        <f>HLOOKUP(INDICE!$F$2,Nombres!$C$3:$D$636,55,FALSE)</f>
        <v>    de los que préstamos y anticipos a la clientela</v>
      </c>
      <c r="B90" s="44">
        <v>18280.999688187272</v>
      </c>
      <c r="C90" s="44">
        <v>17572.879285351042</v>
      </c>
      <c r="D90" s="44">
        <v>18484.95793720667</v>
      </c>
      <c r="E90" s="45">
        <v>19671.050064670864</v>
      </c>
      <c r="F90" s="44">
        <v>22239.610863665148</v>
      </c>
      <c r="G90" s="44">
        <v>22518.753801377454</v>
      </c>
      <c r="H90" s="44">
        <v>20937.839426283124</v>
      </c>
      <c r="I90" s="44">
        <v>18908.11039</v>
      </c>
    </row>
    <row r="91" spans="1:9" ht="14.25">
      <c r="A91" s="90" t="str">
        <f>HLOOKUP(INDICE!$F$2,Nombres!$C$3:$D$636,121,FALSE)</f>
        <v>Posiciones inter-áreas activo</v>
      </c>
      <c r="B91" s="44">
        <v>0</v>
      </c>
      <c r="C91" s="44">
        <v>0</v>
      </c>
      <c r="D91" s="44">
        <v>0</v>
      </c>
      <c r="E91" s="45">
        <v>0</v>
      </c>
      <c r="F91" s="44">
        <v>0</v>
      </c>
      <c r="G91" s="44">
        <v>0</v>
      </c>
      <c r="H91" s="44">
        <v>0</v>
      </c>
      <c r="I91" s="44">
        <v>0</v>
      </c>
    </row>
    <row r="92" spans="1:9" ht="14.25">
      <c r="A92" s="43" t="str">
        <f>HLOOKUP(INDICE!$F$2,Nombres!$C$3:$D$636,56,FALSE)</f>
        <v>Activos tangibles</v>
      </c>
      <c r="B92" s="44">
        <v>99.19807394426428</v>
      </c>
      <c r="C92" s="44">
        <v>94.11359826772483</v>
      </c>
      <c r="D92" s="44">
        <v>74.06986000629578</v>
      </c>
      <c r="E92" s="45">
        <v>71.61175133771054</v>
      </c>
      <c r="F92" s="44">
        <v>68.42054866765032</v>
      </c>
      <c r="G92" s="44">
        <v>68.80193466265187</v>
      </c>
      <c r="H92" s="44">
        <v>65.84216803054827</v>
      </c>
      <c r="I92" s="44">
        <v>64.807007</v>
      </c>
    </row>
    <row r="93" spans="1:9" ht="14.25">
      <c r="A93" s="90" t="str">
        <f>HLOOKUP(INDICE!$F$2,Nombres!$C$3:$D$636,57,FALSE)</f>
        <v>Otros activos</v>
      </c>
      <c r="B93" s="58">
        <f>+B94-B92-B89-B88-B87-B91</f>
        <v>247.81255449860367</v>
      </c>
      <c r="C93" s="58">
        <f aca="true" t="shared" si="15" ref="C93:I93">+C94-C92-C89-C88-C87</f>
        <v>243.96518555896142</v>
      </c>
      <c r="D93" s="58">
        <f t="shared" si="15"/>
        <v>239.52074508704592</v>
      </c>
      <c r="E93" s="66">
        <f t="shared" si="15"/>
        <v>227.63153096463316</v>
      </c>
      <c r="F93" s="44">
        <f t="shared" si="15"/>
        <v>260.8130494312019</v>
      </c>
      <c r="G93" s="44">
        <f t="shared" si="15"/>
        <v>239.03137147805478</v>
      </c>
      <c r="H93" s="44">
        <f t="shared" si="15"/>
        <v>229.31587377132587</v>
      </c>
      <c r="I93" s="44">
        <f t="shared" si="15"/>
        <v>200.3957179999971</v>
      </c>
    </row>
    <row r="94" spans="1:9" ht="14.25">
      <c r="A94" s="93" t="str">
        <f>HLOOKUP(INDICE!$F$2,Nombres!$C$3:$D$636,58,FALSE)</f>
        <v>Total activo / pasivo</v>
      </c>
      <c r="B94" s="47">
        <v>20620.45119007387</v>
      </c>
      <c r="C94" s="47">
        <v>20240.445464985612</v>
      </c>
      <c r="D94" s="47">
        <v>21699.73179764507</v>
      </c>
      <c r="E94" s="72">
        <v>23260.40797453324</v>
      </c>
      <c r="F94" s="51">
        <v>26516.918554305405</v>
      </c>
      <c r="G94" s="51">
        <v>26790.035949085654</v>
      </c>
      <c r="H94" s="51">
        <v>24888.33301927427</v>
      </c>
      <c r="I94" s="51">
        <v>22881.20449239</v>
      </c>
    </row>
    <row r="95" spans="1:9" ht="14.25">
      <c r="A95" s="90" t="str">
        <f>HLOOKUP(INDICE!$F$2,Nombres!$C$3:$D$636,59,FALSE)</f>
        <v>Pasivos financieros mantenidos para negociar y designados a valor razonable con cambios en resultados</v>
      </c>
      <c r="B95" s="58">
        <v>42.242063744675995</v>
      </c>
      <c r="C95" s="58">
        <v>43.030367965376264</v>
      </c>
      <c r="D95" s="58">
        <v>47.33030477800425</v>
      </c>
      <c r="E95" s="66">
        <v>57.17149560266486</v>
      </c>
      <c r="F95" s="44">
        <v>43.94350797889181</v>
      </c>
      <c r="G95" s="44">
        <v>47.2801935273095</v>
      </c>
      <c r="H95" s="44">
        <v>43.34654583947404</v>
      </c>
      <c r="I95" s="44">
        <v>46.07294099999999</v>
      </c>
    </row>
    <row r="96" spans="1:9" ht="14.25">
      <c r="A96" s="90" t="str">
        <f>HLOOKUP(INDICE!$F$2,Nombres!$C$3:$D$636,60,FALSE)</f>
        <v>Depósitos de bancos centrales y entidades de crédito</v>
      </c>
      <c r="B96" s="58">
        <v>933.1134064987035</v>
      </c>
      <c r="C96" s="58">
        <v>881.2009612325015</v>
      </c>
      <c r="D96" s="58">
        <v>918.7150221218367</v>
      </c>
      <c r="E96" s="66">
        <v>1039.0966630729488</v>
      </c>
      <c r="F96" s="44">
        <v>791.8673004469372</v>
      </c>
      <c r="G96" s="44">
        <v>1054.2002275919263</v>
      </c>
      <c r="H96" s="44">
        <v>857.2856185263834</v>
      </c>
      <c r="I96" s="44">
        <v>857.842312</v>
      </c>
    </row>
    <row r="97" spans="1:9" ht="14.25">
      <c r="A97" s="90" t="str">
        <f>HLOOKUP(INDICE!$F$2,Nombres!$C$3:$D$636,61,FALSE)</f>
        <v>Depósitos de la clientela</v>
      </c>
      <c r="B97" s="58">
        <v>5085.380336078248</v>
      </c>
      <c r="C97" s="58">
        <v>4309.057310876974</v>
      </c>
      <c r="D97" s="58">
        <v>4368.966924713455</v>
      </c>
      <c r="E97" s="66">
        <v>4710.77884146607</v>
      </c>
      <c r="F97" s="44">
        <v>5116.451891206046</v>
      </c>
      <c r="G97" s="44">
        <v>4553.796141821278</v>
      </c>
      <c r="H97" s="44">
        <v>4597.520351090958</v>
      </c>
      <c r="I97" s="44">
        <v>4577.7208869999995</v>
      </c>
    </row>
    <row r="98" spans="1:9" ht="14.25">
      <c r="A98" s="43" t="str">
        <f>HLOOKUP(INDICE!$F$2,Nombres!$C$3:$D$636,62,FALSE)</f>
        <v>Valores representativos de deuda emitidos</v>
      </c>
      <c r="B98" s="44">
        <v>198.0923822014799</v>
      </c>
      <c r="C98" s="44">
        <v>986.5993576020089</v>
      </c>
      <c r="D98" s="44">
        <v>624.253047947363</v>
      </c>
      <c r="E98" s="45">
        <v>838.2399249275037</v>
      </c>
      <c r="F98" s="44">
        <v>806.5407142813817</v>
      </c>
      <c r="G98" s="44">
        <v>380.0932263938894</v>
      </c>
      <c r="H98" s="44">
        <v>371.87118612911854</v>
      </c>
      <c r="I98" s="44">
        <v>704.2943230599999</v>
      </c>
    </row>
    <row r="99" spans="1:9" ht="14.25">
      <c r="A99" s="90" t="str">
        <f>HLOOKUP(INDICE!$F$2,Nombres!$C$3:$D$636,122,FALSE)</f>
        <v>Posiciones inter-áreas pasivo</v>
      </c>
      <c r="B99" s="44">
        <v>13239.918022882222</v>
      </c>
      <c r="C99" s="44">
        <v>12675.622183541578</v>
      </c>
      <c r="D99" s="44">
        <v>14477.344655351002</v>
      </c>
      <c r="E99" s="45">
        <v>15351.880633603876</v>
      </c>
      <c r="F99" s="44">
        <v>18447.340270377765</v>
      </c>
      <c r="G99" s="44">
        <v>19421.319969859538</v>
      </c>
      <c r="H99" s="44">
        <v>17705.821006275815</v>
      </c>
      <c r="I99" s="44">
        <v>15398.008412700005</v>
      </c>
    </row>
    <row r="100" spans="1:9" ht="14.25">
      <c r="A100" s="43" t="str">
        <f>HLOOKUP(INDICE!$F$2,Nombres!$C$3:$D$636,63,FALSE)</f>
        <v>Otros pasivos</v>
      </c>
      <c r="B100" s="58">
        <f aca="true" t="shared" si="16" ref="B100:I100">+B94-B95-B96-B97-B98-B101-B99</f>
        <v>339.5595664289722</v>
      </c>
      <c r="C100" s="58">
        <f t="shared" si="16"/>
        <v>533.1673107768111</v>
      </c>
      <c r="D100" s="58">
        <f t="shared" si="16"/>
        <v>420.42874871005733</v>
      </c>
      <c r="E100" s="66">
        <f t="shared" si="16"/>
        <v>399.2062694584729</v>
      </c>
      <c r="F100" s="58">
        <f t="shared" si="16"/>
        <v>398.3008506244696</v>
      </c>
      <c r="G100" s="58">
        <f t="shared" si="16"/>
        <v>393.43763861418483</v>
      </c>
      <c r="H100" s="58">
        <f t="shared" si="16"/>
        <v>404.9936703517815</v>
      </c>
      <c r="I100" s="58">
        <f t="shared" si="16"/>
        <v>418.65773799999806</v>
      </c>
    </row>
    <row r="101" spans="1:9" ht="14.25">
      <c r="A101" s="90" t="str">
        <f>HLOOKUP(INDICE!$F$2,Nombres!$C$3:$D$636,64,FALSE)</f>
        <v>Dotación de capital económico</v>
      </c>
      <c r="B101" s="44">
        <v>782.1454122395689</v>
      </c>
      <c r="C101" s="44">
        <v>811.7679729903616</v>
      </c>
      <c r="D101" s="44">
        <v>842.6930940233515</v>
      </c>
      <c r="E101" s="45">
        <v>864.0341464016983</v>
      </c>
      <c r="F101" s="44">
        <v>912.474019389912</v>
      </c>
      <c r="G101" s="44">
        <v>939.9085512775277</v>
      </c>
      <c r="H101" s="44">
        <v>907.4946410607349</v>
      </c>
      <c r="I101" s="44">
        <v>878.6078786299995</v>
      </c>
    </row>
    <row r="102" spans="1:9" ht="14.25">
      <c r="A102" s="63"/>
      <c r="B102" s="58"/>
      <c r="C102" s="58"/>
      <c r="D102" s="58"/>
      <c r="E102" s="58"/>
      <c r="F102" s="44"/>
      <c r="G102" s="44"/>
      <c r="H102" s="44"/>
      <c r="I102" s="44"/>
    </row>
    <row r="103" spans="1:9" ht="14.25">
      <c r="A103" s="43"/>
      <c r="B103" s="58"/>
      <c r="C103" s="58"/>
      <c r="D103" s="58"/>
      <c r="E103" s="58"/>
      <c r="F103" s="44"/>
      <c r="G103" s="44"/>
      <c r="H103" s="44"/>
      <c r="I103" s="44"/>
    </row>
    <row r="104" spans="1:9" ht="16.5">
      <c r="A104" s="95" t="str">
        <f>HLOOKUP(INDICE!$F$2,Nombres!$C$3:$D$636,65,FALSE)</f>
        <v>Indicadores relevantes y de gestión</v>
      </c>
      <c r="B104" s="34"/>
      <c r="C104" s="34"/>
      <c r="D104" s="34"/>
      <c r="E104" s="34"/>
      <c r="F104" s="70"/>
      <c r="G104" s="70"/>
      <c r="H104" s="70"/>
      <c r="I104" s="70"/>
    </row>
    <row r="105" spans="1:9" ht="14.25">
      <c r="A105" s="86" t="str">
        <f>HLOOKUP(INDICE!$F$2,Nombres!$C$3:$D$636,73,FALSE)</f>
        <v>(Millones de euros constantes)</v>
      </c>
      <c r="B105" s="30"/>
      <c r="C105" s="30"/>
      <c r="D105" s="30"/>
      <c r="E105" s="30"/>
      <c r="F105" s="71"/>
      <c r="G105" s="44"/>
      <c r="H105" s="44"/>
      <c r="I105" s="44"/>
    </row>
    <row r="106" spans="1:9" ht="14.25">
      <c r="A106" s="30"/>
      <c r="B106" s="53">
        <f aca="true" t="shared" si="17" ref="B106:I106">+B$30</f>
        <v>43555</v>
      </c>
      <c r="C106" s="53">
        <f t="shared" si="17"/>
        <v>43646</v>
      </c>
      <c r="D106" s="53">
        <f t="shared" si="17"/>
        <v>43738</v>
      </c>
      <c r="E106" s="69">
        <f t="shared" si="17"/>
        <v>43830</v>
      </c>
      <c r="F106" s="53">
        <f t="shared" si="17"/>
        <v>43921</v>
      </c>
      <c r="G106" s="53">
        <f t="shared" si="17"/>
        <v>44012</v>
      </c>
      <c r="H106" s="53">
        <f t="shared" si="17"/>
        <v>44104</v>
      </c>
      <c r="I106" s="53">
        <f t="shared" si="17"/>
        <v>44196</v>
      </c>
    </row>
    <row r="107" spans="1:9" ht="14.25">
      <c r="A107" s="90" t="str">
        <f>HLOOKUP(INDICE!$F$2,Nombres!$C$3:$D$636,66,FALSE)</f>
        <v>Préstamos y anticipos a la clientela bruto (*)</v>
      </c>
      <c r="B107" s="44">
        <v>18625.185804187266</v>
      </c>
      <c r="C107" s="44">
        <v>17909.92614235104</v>
      </c>
      <c r="D107" s="44">
        <v>18821.71996520667</v>
      </c>
      <c r="E107" s="45">
        <v>19997.55505067086</v>
      </c>
      <c r="F107" s="44">
        <v>22559.10185466515</v>
      </c>
      <c r="G107" s="44">
        <v>22821.767727377453</v>
      </c>
      <c r="H107" s="44">
        <v>21247.867853283125</v>
      </c>
      <c r="I107" s="44">
        <v>19189.231412</v>
      </c>
    </row>
    <row r="108" spans="1:9" ht="14.25">
      <c r="A108" s="90" t="str">
        <f>HLOOKUP(INDICE!$F$2,Nombres!$C$3:$D$636,67,FALSE)</f>
        <v>Depósitos de clientes en gestión (**)</v>
      </c>
      <c r="B108" s="44">
        <v>5085.380336078248</v>
      </c>
      <c r="C108" s="44">
        <v>4309.057310876974</v>
      </c>
      <c r="D108" s="44">
        <v>4368.966924713456</v>
      </c>
      <c r="E108" s="45">
        <v>4710.77884146607</v>
      </c>
      <c r="F108" s="44">
        <v>5116.451891206045</v>
      </c>
      <c r="G108" s="44">
        <v>4553.796141821277</v>
      </c>
      <c r="H108" s="44">
        <v>4597.520351090958</v>
      </c>
      <c r="I108" s="44">
        <v>4577.720887</v>
      </c>
    </row>
    <row r="109" spans="1:9" ht="14.25">
      <c r="A109" s="43" t="str">
        <f>HLOOKUP(INDICE!$F$2,Nombres!$C$3:$D$636,68,FALSE)</f>
        <v>Fondos de inversión</v>
      </c>
      <c r="B109" s="44">
        <v>0.013545</v>
      </c>
      <c r="C109" s="44">
        <v>0.013555</v>
      </c>
      <c r="D109" s="44">
        <v>0.013544</v>
      </c>
      <c r="E109" s="45">
        <v>0.013511</v>
      </c>
      <c r="F109" s="44">
        <v>0</v>
      </c>
      <c r="G109" s="44">
        <v>0</v>
      </c>
      <c r="H109" s="44">
        <v>0</v>
      </c>
      <c r="I109" s="44">
        <v>0</v>
      </c>
    </row>
    <row r="110" spans="1:9" ht="14.25">
      <c r="A110" s="90" t="str">
        <f>HLOOKUP(INDICE!$F$2,Nombres!$C$3:$D$636,69,FALSE)</f>
        <v>Fondos de pensiones</v>
      </c>
      <c r="B110" s="44">
        <v>407.12046328</v>
      </c>
      <c r="C110" s="44">
        <v>454.48082914</v>
      </c>
      <c r="D110" s="44">
        <v>496.67020717</v>
      </c>
      <c r="E110" s="45">
        <v>500.43861838</v>
      </c>
      <c r="F110" s="44">
        <v>494.78505432</v>
      </c>
      <c r="G110" s="44">
        <v>517.96026945</v>
      </c>
      <c r="H110" s="44">
        <v>529.31975174</v>
      </c>
      <c r="I110" s="44">
        <v>569.33256496</v>
      </c>
    </row>
    <row r="111" spans="1:9" ht="14.25">
      <c r="A111" s="90" t="str">
        <f>HLOOKUP(INDICE!$F$2,Nombres!$C$3:$D$636,70,FALSE)</f>
        <v>Otros recursos fuera de balance</v>
      </c>
      <c r="B111" s="44">
        <v>0</v>
      </c>
      <c r="C111" s="44">
        <v>0</v>
      </c>
      <c r="D111" s="44">
        <v>0</v>
      </c>
      <c r="E111" s="45">
        <v>0</v>
      </c>
      <c r="F111" s="44">
        <v>0</v>
      </c>
      <c r="G111" s="44">
        <v>0</v>
      </c>
      <c r="H111" s="44">
        <v>0</v>
      </c>
      <c r="I111" s="44">
        <v>0</v>
      </c>
    </row>
    <row r="112" spans="1:9" ht="14.25">
      <c r="A112" s="94" t="str">
        <f>HLOOKUP(INDICE!$F$2,Nombres!$C$3:$D$636,71,FALSE)</f>
        <v>(*) No incluye las adquisiciones temporales de activos.</v>
      </c>
      <c r="B112" s="58"/>
      <c r="C112" s="58"/>
      <c r="D112" s="58"/>
      <c r="E112" s="58"/>
      <c r="F112" s="58"/>
      <c r="G112" s="58"/>
      <c r="H112" s="58"/>
      <c r="I112" s="58"/>
    </row>
    <row r="113" spans="1:9" ht="14.25">
      <c r="A113" s="94" t="str">
        <f>HLOOKUP(INDICE!$F$2,Nombres!$C$3:$D$636,72,FALSE)</f>
        <v>(**) No incluye las cesiones temporales de activos.</v>
      </c>
      <c r="B113" s="30"/>
      <c r="C113" s="30"/>
      <c r="D113" s="30"/>
      <c r="E113" s="30"/>
      <c r="F113" s="30"/>
      <c r="G113" s="30"/>
      <c r="H113" s="30"/>
      <c r="I113" s="30"/>
    </row>
    <row r="114" spans="1:9" ht="14.25">
      <c r="A114" s="63"/>
      <c r="B114" s="58"/>
      <c r="C114" s="44"/>
      <c r="D114" s="44"/>
      <c r="E114" s="44"/>
      <c r="F114" s="44"/>
      <c r="G114" s="30"/>
      <c r="H114" s="30"/>
      <c r="I114" s="30"/>
    </row>
    <row r="120" spans="6:9" ht="14.25">
      <c r="F120" s="84"/>
      <c r="G120" s="84"/>
      <c r="H120" s="84"/>
      <c r="I120" s="84"/>
    </row>
    <row r="121" spans="6:9" ht="14.25">
      <c r="F121" s="84"/>
      <c r="G121" s="84"/>
      <c r="H121" s="84"/>
      <c r="I121" s="84"/>
    </row>
    <row r="122" spans="6:9" ht="14.25">
      <c r="F122" s="84"/>
      <c r="G122" s="84"/>
      <c r="H122" s="84"/>
      <c r="I122" s="84"/>
    </row>
    <row r="123" spans="6:9" ht="14.25">
      <c r="F123" s="84"/>
      <c r="G123" s="84"/>
      <c r="H123" s="84"/>
      <c r="I123" s="84"/>
    </row>
    <row r="124" spans="6:9" ht="14.25">
      <c r="F124" s="84"/>
      <c r="G124" s="84"/>
      <c r="H124" s="84"/>
      <c r="I124" s="84"/>
    </row>
    <row r="125" spans="6:9" ht="14.25">
      <c r="F125" s="84"/>
      <c r="G125" s="84"/>
      <c r="H125" s="84"/>
      <c r="I125" s="84"/>
    </row>
    <row r="126" spans="6:9" ht="14.25">
      <c r="F126" s="84"/>
      <c r="G126" s="84"/>
      <c r="H126" s="84"/>
      <c r="I126" s="84"/>
    </row>
    <row r="127" spans="6:9" ht="14.25">
      <c r="F127" s="84"/>
      <c r="G127" s="84"/>
      <c r="H127" s="84"/>
      <c r="I127" s="84"/>
    </row>
    <row r="128" spans="6:9" ht="14.25">
      <c r="F128" s="84"/>
      <c r="G128" s="84"/>
      <c r="H128" s="84"/>
      <c r="I128" s="84"/>
    </row>
    <row r="129" spans="6:9" ht="14.25">
      <c r="F129" s="84"/>
      <c r="G129" s="84"/>
      <c r="H129" s="84"/>
      <c r="I129" s="84"/>
    </row>
    <row r="130" spans="6:9" ht="14.25">
      <c r="F130" s="84"/>
      <c r="G130" s="84"/>
      <c r="H130" s="84"/>
      <c r="I130" s="84"/>
    </row>
    <row r="131" spans="6:9" ht="14.25">
      <c r="F131" s="84"/>
      <c r="G131" s="84"/>
      <c r="H131" s="84"/>
      <c r="I131" s="84"/>
    </row>
    <row r="132" spans="6:9" ht="14.25">
      <c r="F132" s="84"/>
      <c r="G132" s="84"/>
      <c r="H132" s="84"/>
      <c r="I132" s="84"/>
    </row>
    <row r="133" spans="6:9" ht="14.25">
      <c r="F133" s="84"/>
      <c r="G133" s="84"/>
      <c r="H133" s="84"/>
      <c r="I133" s="84"/>
    </row>
    <row r="134" spans="6:9" ht="14.25">
      <c r="F134" s="84"/>
      <c r="G134" s="84"/>
      <c r="H134" s="84"/>
      <c r="I134" s="84"/>
    </row>
    <row r="135" spans="6:9" ht="14.25">
      <c r="F135" s="84"/>
      <c r="G135" s="84"/>
      <c r="H135" s="84"/>
      <c r="I135" s="84"/>
    </row>
    <row r="136" spans="6:9" ht="14.25">
      <c r="F136" s="84"/>
      <c r="G136" s="84"/>
      <c r="H136" s="84"/>
      <c r="I136" s="84"/>
    </row>
    <row r="137" spans="6:9" ht="14.25">
      <c r="F137" s="84"/>
      <c r="G137" s="84"/>
      <c r="H137" s="84"/>
      <c r="I137" s="84"/>
    </row>
    <row r="138" spans="6:9" ht="14.25">
      <c r="F138" s="84"/>
      <c r="G138" s="84"/>
      <c r="H138" s="84"/>
      <c r="I138" s="84"/>
    </row>
    <row r="139" spans="6:9" ht="14.25">
      <c r="F139" s="84"/>
      <c r="G139" s="84"/>
      <c r="H139" s="84"/>
      <c r="I139" s="84"/>
    </row>
    <row r="140" spans="6:9" ht="14.25">
      <c r="F140" s="84"/>
      <c r="G140" s="84"/>
      <c r="H140" s="84"/>
      <c r="I140" s="84"/>
    </row>
    <row r="141" spans="6:9" ht="14.25">
      <c r="F141" s="84"/>
      <c r="G141" s="84"/>
      <c r="H141" s="84"/>
      <c r="I141" s="84"/>
    </row>
    <row r="142" spans="6:9" ht="14.25">
      <c r="F142" s="84"/>
      <c r="G142" s="84"/>
      <c r="H142" s="84"/>
      <c r="I142" s="84"/>
    </row>
    <row r="143" spans="6:9" ht="14.25">
      <c r="F143" s="84"/>
      <c r="G143" s="84"/>
      <c r="H143" s="84"/>
      <c r="I143" s="84"/>
    </row>
    <row r="144" spans="6:9" ht="14.25">
      <c r="F144" s="84"/>
      <c r="G144" s="84"/>
      <c r="H144" s="84"/>
      <c r="I144" s="84"/>
    </row>
    <row r="145" spans="6:9" ht="14.25">
      <c r="F145" s="84"/>
      <c r="G145" s="84"/>
      <c r="H145" s="84"/>
      <c r="I145" s="84"/>
    </row>
    <row r="146" spans="6:9" ht="14.25">
      <c r="F146" s="84"/>
      <c r="G146" s="84"/>
      <c r="H146" s="84"/>
      <c r="I146" s="84"/>
    </row>
    <row r="147" spans="6:9" ht="14.25">
      <c r="F147" s="84"/>
      <c r="G147" s="84"/>
      <c r="H147" s="84"/>
      <c r="I147" s="84"/>
    </row>
    <row r="148" spans="6:9" ht="14.25">
      <c r="F148" s="84"/>
      <c r="G148" s="84"/>
      <c r="H148" s="84"/>
      <c r="I148" s="84"/>
    </row>
    <row r="149" spans="6:9" ht="14.25">
      <c r="F149" s="84"/>
      <c r="G149" s="84"/>
      <c r="H149" s="84"/>
      <c r="I149" s="84"/>
    </row>
    <row r="150" spans="6:9" ht="14.25">
      <c r="F150" s="84"/>
      <c r="G150" s="84"/>
      <c r="H150" s="84"/>
      <c r="I150" s="84"/>
    </row>
    <row r="151" spans="6:9" ht="14.25">
      <c r="F151" s="84"/>
      <c r="G151" s="84"/>
      <c r="H151" s="84"/>
      <c r="I151" s="84"/>
    </row>
    <row r="152" spans="6:9" ht="14.25">
      <c r="F152" s="84"/>
      <c r="G152" s="84"/>
      <c r="H152" s="84"/>
      <c r="I152" s="84"/>
    </row>
    <row r="153" spans="6:9" ht="14.25">
      <c r="F153" s="84"/>
      <c r="G153" s="84"/>
      <c r="H153" s="84"/>
      <c r="I153" s="84"/>
    </row>
    <row r="154" spans="6:9" ht="14.25">
      <c r="F154" s="84"/>
      <c r="G154" s="84"/>
      <c r="H154" s="84"/>
      <c r="I154" s="84"/>
    </row>
    <row r="155" spans="6:9" ht="14.25">
      <c r="F155" s="84"/>
      <c r="G155" s="84"/>
      <c r="H155" s="84"/>
      <c r="I155" s="84"/>
    </row>
    <row r="156" spans="6:9" ht="14.25">
      <c r="F156" s="84"/>
      <c r="G156" s="84"/>
      <c r="H156" s="84"/>
      <c r="I156" s="84"/>
    </row>
    <row r="157" spans="6:9" ht="14.25">
      <c r="F157" s="84"/>
      <c r="G157" s="84"/>
      <c r="H157" s="84"/>
      <c r="I157" s="84"/>
    </row>
    <row r="158" spans="6:9" ht="14.25">
      <c r="F158" s="84"/>
      <c r="G158" s="84"/>
      <c r="H158" s="84"/>
      <c r="I158" s="84"/>
    </row>
    <row r="159" spans="6:9" ht="14.25">
      <c r="F159" s="84"/>
      <c r="G159" s="84"/>
      <c r="H159" s="84"/>
      <c r="I159" s="84"/>
    </row>
    <row r="160" spans="6:9" ht="14.25">
      <c r="F160" s="84"/>
      <c r="G160" s="84"/>
      <c r="H160" s="84"/>
      <c r="I160" s="84"/>
    </row>
    <row r="161" spans="6:9" ht="14.25">
      <c r="F161" s="84"/>
      <c r="G161" s="84"/>
      <c r="H161" s="84"/>
      <c r="I161" s="84"/>
    </row>
    <row r="162" spans="6:9" ht="14.25">
      <c r="F162" s="84"/>
      <c r="G162" s="84"/>
      <c r="H162" s="84"/>
      <c r="I162" s="84"/>
    </row>
    <row r="163" spans="6:9" ht="14.25">
      <c r="F163" s="84"/>
      <c r="G163" s="84"/>
      <c r="H163" s="84"/>
      <c r="I163" s="84"/>
    </row>
    <row r="164" spans="6:9" ht="14.25">
      <c r="F164" s="84"/>
      <c r="G164" s="84"/>
      <c r="H164" s="84"/>
      <c r="I164" s="84"/>
    </row>
    <row r="165" spans="6:9" ht="14.25">
      <c r="F165" s="84"/>
      <c r="G165" s="84"/>
      <c r="H165" s="84"/>
      <c r="I165" s="84"/>
    </row>
    <row r="166" spans="6:9" ht="14.25">
      <c r="F166" s="84"/>
      <c r="G166" s="84"/>
      <c r="H166" s="84"/>
      <c r="I166" s="84"/>
    </row>
    <row r="1000" ht="14.25">
      <c r="A1000" s="31" t="s">
        <v>397</v>
      </c>
    </row>
  </sheetData>
  <sheetProtection/>
  <mergeCells count="4">
    <mergeCell ref="B6:E6"/>
    <mergeCell ref="B62:E62"/>
    <mergeCell ref="F6:I6"/>
    <mergeCell ref="F62:I62"/>
  </mergeCells>
  <conditionalFormatting sqref="B26:I26">
    <cfRule type="cellIs" priority="2" dxfId="143" operator="notBetween">
      <formula>0.5</formula>
      <formula>-0.5</formula>
    </cfRule>
  </conditionalFormatting>
  <conditionalFormatting sqref="B82:I82">
    <cfRule type="cellIs" priority="1" dxfId="143" operator="notBetween">
      <formula>0.5</formula>
      <formula>-0.5</formula>
    </cfRule>
  </conditionalFormatting>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O165"/>
  <sheetViews>
    <sheetView showGridLines="0" zoomScalePageLayoutView="0" workbookViewId="0" topLeftCell="A1">
      <selection activeCell="K27" sqref="K27"/>
    </sheetView>
  </sheetViews>
  <sheetFormatPr defaultColWidth="11.421875" defaultRowHeight="15"/>
  <cols>
    <col min="1" max="1" width="96.7109375" style="31" customWidth="1"/>
    <col min="2" max="2" width="10.421875" style="31" customWidth="1"/>
    <col min="3" max="16384" width="11.421875" style="31" customWidth="1"/>
  </cols>
  <sheetData>
    <row r="1" spans="1:9" ht="16.5">
      <c r="A1" s="85" t="str">
        <f>HLOOKUP(INDICE!$F$2,Nombres!$C$3:$D$636,19,FALSE)</f>
        <v>Centro Corporativo</v>
      </c>
      <c r="B1" s="30"/>
      <c r="C1" s="30"/>
      <c r="D1" s="30"/>
      <c r="E1" s="30"/>
      <c r="F1" s="30"/>
      <c r="G1" s="30"/>
      <c r="H1" s="30"/>
      <c r="I1" s="30"/>
    </row>
    <row r="2" spans="1:9" ht="19.5">
      <c r="A2" s="32"/>
      <c r="B2" s="30"/>
      <c r="C2" s="30"/>
      <c r="D2" s="30"/>
      <c r="E2" s="30"/>
      <c r="F2" s="30"/>
      <c r="G2" s="30"/>
      <c r="H2" s="30"/>
      <c r="I2" s="30"/>
    </row>
    <row r="3" spans="1:9" ht="16.5">
      <c r="A3" s="95" t="str">
        <f>HLOOKUP(INDICE!$F$2,Nombres!$C$3:$D$636,31,FALSE)</f>
        <v>Cuenta de resultados  </v>
      </c>
      <c r="B3" s="34"/>
      <c r="C3" s="34"/>
      <c r="D3" s="34"/>
      <c r="E3" s="34"/>
      <c r="F3" s="34"/>
      <c r="G3" s="34"/>
      <c r="H3" s="34"/>
      <c r="I3" s="34"/>
    </row>
    <row r="4" spans="1:9" ht="14.25">
      <c r="A4" s="86"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8">
        <f>+España!B6</f>
        <v>2019</v>
      </c>
      <c r="C6" s="308"/>
      <c r="D6" s="308"/>
      <c r="E6" s="309"/>
      <c r="F6" s="308">
        <f>+España!F6</f>
        <v>2020</v>
      </c>
      <c r="G6" s="308"/>
      <c r="H6" s="308"/>
      <c r="I6" s="308"/>
    </row>
    <row r="7" spans="1:9" ht="14.25">
      <c r="A7" s="38"/>
      <c r="B7" s="87" t="str">
        <f>+España!B7</f>
        <v>1er Trim.</v>
      </c>
      <c r="C7" s="87" t="str">
        <f>+España!C7</f>
        <v>2º Trim.</v>
      </c>
      <c r="D7" s="87" t="str">
        <f>+España!D7</f>
        <v>3er Trim.</v>
      </c>
      <c r="E7" s="88" t="str">
        <f>+España!E7</f>
        <v>4º Trim.</v>
      </c>
      <c r="F7" s="87" t="str">
        <f>+España!F7</f>
        <v>1er Trim.</v>
      </c>
      <c r="G7" s="87" t="str">
        <f>+España!G7</f>
        <v>2º Trim.</v>
      </c>
      <c r="H7" s="87" t="str">
        <f>+España!H7</f>
        <v>3er Trim.</v>
      </c>
      <c r="I7" s="87" t="str">
        <f>+España!I7</f>
        <v>4º Trim.</v>
      </c>
    </row>
    <row r="8" spans="1:15" ht="14.25">
      <c r="A8" s="41" t="str">
        <f>HLOOKUP(INDICE!$F$2,Nombres!$C$3:$D$636,33,FALSE)</f>
        <v>Margen de intereses</v>
      </c>
      <c r="B8" s="41">
        <v>-70.70719143999997</v>
      </c>
      <c r="C8" s="41">
        <v>-61.00187250000013</v>
      </c>
      <c r="D8" s="41">
        <v>-60.8212865199999</v>
      </c>
      <c r="E8" s="42">
        <v>-40.612198029999895</v>
      </c>
      <c r="F8" s="50">
        <v>-41.48767608</v>
      </c>
      <c r="G8" s="50">
        <v>-27.967264969999988</v>
      </c>
      <c r="H8" s="247">
        <v>-33.202606599999996</v>
      </c>
      <c r="I8" s="247">
        <v>-46.60173289999999</v>
      </c>
      <c r="J8" s="89"/>
      <c r="K8" s="89"/>
      <c r="L8" s="89"/>
      <c r="M8" s="89"/>
      <c r="N8" s="89"/>
      <c r="O8" s="89"/>
    </row>
    <row r="9" spans="1:9" ht="14.25">
      <c r="A9" s="90" t="str">
        <f>HLOOKUP(INDICE!$F$2,Nombres!$C$3:$D$636,34,FALSE)</f>
        <v>Comisiones netas</v>
      </c>
      <c r="B9" s="44">
        <v>-15.142876690000001</v>
      </c>
      <c r="C9" s="44">
        <v>-28.937423479999996</v>
      </c>
      <c r="D9" s="44">
        <v>-17.39855074000001</v>
      </c>
      <c r="E9" s="45">
        <v>-11.278417909999995</v>
      </c>
      <c r="F9" s="44">
        <v>-8.584232459999997</v>
      </c>
      <c r="G9" s="44">
        <v>-26.27234979</v>
      </c>
      <c r="H9" s="44">
        <v>-14.85250109</v>
      </c>
      <c r="I9" s="44">
        <v>-9.483337140000003</v>
      </c>
    </row>
    <row r="10" spans="1:9" ht="14.25">
      <c r="A10" s="90" t="str">
        <f>HLOOKUP(INDICE!$F$2,Nombres!$C$3:$D$636,35,FALSE)</f>
        <v>Resultados de operaciones financieras</v>
      </c>
      <c r="B10" s="44">
        <v>-7.082427110000005</v>
      </c>
      <c r="C10" s="44">
        <v>-66.65653275000001</v>
      </c>
      <c r="D10" s="44">
        <v>20.24675006999999</v>
      </c>
      <c r="E10" s="45">
        <v>-0.6674617699999814</v>
      </c>
      <c r="F10" s="44">
        <v>179.27251779000002</v>
      </c>
      <c r="G10" s="44">
        <v>5.385163330000026</v>
      </c>
      <c r="H10" s="44">
        <v>-9.173117039999969</v>
      </c>
      <c r="I10" s="44">
        <v>-71.11181057</v>
      </c>
    </row>
    <row r="11" spans="1:9" ht="14.25">
      <c r="A11" s="90" t="str">
        <f>HLOOKUP(INDICE!$F$2,Nombres!$C$3:$D$636,36,FALSE)</f>
        <v>Otros ingresos y cargas de explotación</v>
      </c>
      <c r="B11" s="44">
        <v>-14.18724622999991</v>
      </c>
      <c r="C11" s="44">
        <v>27.609930409999986</v>
      </c>
      <c r="D11" s="44">
        <v>-13.858165129999756</v>
      </c>
      <c r="E11" s="45">
        <v>21.813947039999814</v>
      </c>
      <c r="F11" s="44">
        <v>-18.577007720000022</v>
      </c>
      <c r="G11" s="44">
        <v>36.3655149500001</v>
      </c>
      <c r="H11" s="44">
        <v>-15.346043260000041</v>
      </c>
      <c r="I11" s="44">
        <v>44.54896163000011</v>
      </c>
    </row>
    <row r="12" spans="1:9" ht="14.25">
      <c r="A12" s="41" t="str">
        <f>HLOOKUP(INDICE!$F$2,Nombres!$C$3:$D$636,37,FALSE)</f>
        <v>Margen bruto</v>
      </c>
      <c r="B12" s="41">
        <f aca="true" t="shared" si="0" ref="B12:I12">+SUM(B8:B11)</f>
        <v>-107.1197414699999</v>
      </c>
      <c r="C12" s="41">
        <f t="shared" si="0"/>
        <v>-128.98589832000016</v>
      </c>
      <c r="D12" s="41">
        <f t="shared" si="0"/>
        <v>-71.83125231999968</v>
      </c>
      <c r="E12" s="42">
        <f t="shared" si="0"/>
        <v>-30.744130670000057</v>
      </c>
      <c r="F12" s="50">
        <f t="shared" si="0"/>
        <v>110.62360152999999</v>
      </c>
      <c r="G12" s="50">
        <f t="shared" si="0"/>
        <v>-12.488936479999865</v>
      </c>
      <c r="H12" s="50">
        <f t="shared" si="0"/>
        <v>-72.57426799000001</v>
      </c>
      <c r="I12" s="50">
        <f t="shared" si="0"/>
        <v>-82.64791897999989</v>
      </c>
    </row>
    <row r="13" spans="1:9" ht="14.25">
      <c r="A13" s="90" t="str">
        <f>HLOOKUP(INDICE!$F$2,Nombres!$C$3:$D$636,38,FALSE)</f>
        <v>Gastos de explotación</v>
      </c>
      <c r="B13" s="44">
        <v>-239.22367236999992</v>
      </c>
      <c r="C13" s="44">
        <v>-242.64725223000005</v>
      </c>
      <c r="D13" s="44">
        <v>-235.67846481</v>
      </c>
      <c r="E13" s="45">
        <v>-237.41102722000005</v>
      </c>
      <c r="F13" s="44">
        <v>-208.44572448</v>
      </c>
      <c r="G13" s="44">
        <v>-197.11664655000004</v>
      </c>
      <c r="H13" s="44">
        <v>-204.11793246000002</v>
      </c>
      <c r="I13" s="44">
        <v>-209.0785805199999</v>
      </c>
    </row>
    <row r="14" spans="1:9" ht="14.25">
      <c r="A14" s="90" t="str">
        <f>HLOOKUP(INDICE!$F$2,Nombres!$C$3:$D$636,39,FALSE)</f>
        <v>  Gastos de administración</v>
      </c>
      <c r="B14" s="44">
        <v>-195.86437584999993</v>
      </c>
      <c r="C14" s="44">
        <v>-195.16212272</v>
      </c>
      <c r="D14" s="44">
        <v>-186.1363253</v>
      </c>
      <c r="E14" s="45">
        <v>-187.47199971</v>
      </c>
      <c r="F14" s="44">
        <v>-160.76872697</v>
      </c>
      <c r="G14" s="44">
        <v>-149.06958604</v>
      </c>
      <c r="H14" s="44">
        <v>-155.42715493000003</v>
      </c>
      <c r="I14" s="44">
        <v>-159.91265542999992</v>
      </c>
    </row>
    <row r="15" spans="1:9" ht="14.25">
      <c r="A15" s="91" t="str">
        <f>HLOOKUP(INDICE!$F$2,Nombres!$C$3:$D$636,40,FALSE)</f>
        <v>  Gastos de personal</v>
      </c>
      <c r="B15" s="44">
        <v>-133.07256863000003</v>
      </c>
      <c r="C15" s="44">
        <v>-147.28082106000002</v>
      </c>
      <c r="D15" s="44">
        <v>-144.29075862</v>
      </c>
      <c r="E15" s="45">
        <v>-166.61307220999998</v>
      </c>
      <c r="F15" s="44">
        <v>-116.87686519</v>
      </c>
      <c r="G15" s="44">
        <v>-115.19885703000001</v>
      </c>
      <c r="H15" s="44">
        <v>-125.96811097</v>
      </c>
      <c r="I15" s="44">
        <v>-136.2918331</v>
      </c>
    </row>
    <row r="16" spans="1:9" ht="14.25">
      <c r="A16" s="91" t="str">
        <f>HLOOKUP(INDICE!$F$2,Nombres!$C$3:$D$636,41,FALSE)</f>
        <v>  Otros gastos de administración</v>
      </c>
      <c r="B16" s="44">
        <v>-62.79180721999998</v>
      </c>
      <c r="C16" s="44">
        <v>-47.88130166000002</v>
      </c>
      <c r="D16" s="44">
        <v>-41.84556668</v>
      </c>
      <c r="E16" s="45">
        <v>-20.858927499999993</v>
      </c>
      <c r="F16" s="44">
        <v>-43.891861779999985</v>
      </c>
      <c r="G16" s="44">
        <v>-33.870729010000005</v>
      </c>
      <c r="H16" s="44">
        <v>-29.459043960000013</v>
      </c>
      <c r="I16" s="44">
        <v>-23.62082232999989</v>
      </c>
    </row>
    <row r="17" spans="1:9" ht="14.25">
      <c r="A17" s="90" t="str">
        <f>HLOOKUP(INDICE!$F$2,Nombres!$C$3:$D$636,42,FALSE)</f>
        <v>  Amortización</v>
      </c>
      <c r="B17" s="44">
        <v>-43.35929652</v>
      </c>
      <c r="C17" s="44">
        <v>-47.48512950999999</v>
      </c>
      <c r="D17" s="44">
        <v>-49.54213950999999</v>
      </c>
      <c r="E17" s="45">
        <v>-49.93902751000002</v>
      </c>
      <c r="F17" s="44">
        <v>-47.67699751000001</v>
      </c>
      <c r="G17" s="44">
        <v>-48.04706051</v>
      </c>
      <c r="H17" s="44">
        <v>-48.69077753000001</v>
      </c>
      <c r="I17" s="44">
        <v>-49.16592509</v>
      </c>
    </row>
    <row r="18" spans="1:9" ht="14.25">
      <c r="A18" s="41" t="str">
        <f>HLOOKUP(INDICE!$F$2,Nombres!$C$3:$D$636,43,FALSE)</f>
        <v>Margen neto</v>
      </c>
      <c r="B18" s="41">
        <f aca="true" t="shared" si="1" ref="B18:I18">+B12+B13</f>
        <v>-346.3434138399998</v>
      </c>
      <c r="C18" s="41">
        <f t="shared" si="1"/>
        <v>-371.6331505500002</v>
      </c>
      <c r="D18" s="41">
        <f t="shared" si="1"/>
        <v>-307.5097171299997</v>
      </c>
      <c r="E18" s="42">
        <f t="shared" si="1"/>
        <v>-268.1551578900001</v>
      </c>
      <c r="F18" s="50">
        <f t="shared" si="1"/>
        <v>-97.82212295000001</v>
      </c>
      <c r="G18" s="50">
        <f t="shared" si="1"/>
        <v>-209.6055830299999</v>
      </c>
      <c r="H18" s="50">
        <f t="shared" si="1"/>
        <v>-276.69220045000003</v>
      </c>
      <c r="I18" s="50">
        <f t="shared" si="1"/>
        <v>-291.72649949999976</v>
      </c>
    </row>
    <row r="19" spans="1:9" ht="14.25">
      <c r="A19" s="90" t="str">
        <f>HLOOKUP(INDICE!$F$2,Nombres!$C$3:$D$636,44,FALSE)</f>
        <v>Deterioro de activos financieros no valorados a valor razonable con cambios en resultados</v>
      </c>
      <c r="B19" s="44">
        <v>-0.5973598299999883</v>
      </c>
      <c r="C19" s="44">
        <v>0.3061079799999843</v>
      </c>
      <c r="D19" s="44">
        <v>0.6034018499999794</v>
      </c>
      <c r="E19" s="45">
        <v>-0.3501092100000318</v>
      </c>
      <c r="F19" s="44">
        <v>-0.025039080000000262</v>
      </c>
      <c r="G19" s="44">
        <v>0.43924342000000044</v>
      </c>
      <c r="H19" s="44">
        <v>-0.002546639999999814</v>
      </c>
      <c r="I19" s="44">
        <v>4.058145260000001</v>
      </c>
    </row>
    <row r="20" spans="1:9" ht="14.25">
      <c r="A20" s="90" t="str">
        <f>HLOOKUP(INDICE!$F$2,Nombres!$C$3:$D$636,45,FALSE)</f>
        <v>Provisiones o reversión de provisiones y otros resultados</v>
      </c>
      <c r="B20" s="44">
        <v>-22.88187191</v>
      </c>
      <c r="C20" s="44">
        <v>-20.91864622000001</v>
      </c>
      <c r="D20" s="44">
        <v>-19.961632140000006</v>
      </c>
      <c r="E20" s="45">
        <v>-99.4072021700001</v>
      </c>
      <c r="F20" s="44">
        <v>-24.601524879999815</v>
      </c>
      <c r="G20" s="44">
        <v>-84.41909053</v>
      </c>
      <c r="H20" s="44">
        <v>-122.92274700999998</v>
      </c>
      <c r="I20" s="44">
        <v>-56.99554161000006</v>
      </c>
    </row>
    <row r="21" spans="1:9" ht="14.25">
      <c r="A21" s="92" t="str">
        <f>HLOOKUP(INDICE!$F$2,Nombres!$C$3:$D$636,46,FALSE)</f>
        <v>Resultado antes de impuestos</v>
      </c>
      <c r="B21" s="41">
        <f aca="true" t="shared" si="2" ref="B21:I21">+B18+B19+B20</f>
        <v>-369.82264557999986</v>
      </c>
      <c r="C21" s="41">
        <f t="shared" si="2"/>
        <v>-392.24568879000026</v>
      </c>
      <c r="D21" s="41">
        <f t="shared" si="2"/>
        <v>-326.8679474199997</v>
      </c>
      <c r="E21" s="42">
        <f t="shared" si="2"/>
        <v>-367.91246927000026</v>
      </c>
      <c r="F21" s="50">
        <f t="shared" si="2"/>
        <v>-122.44868690999982</v>
      </c>
      <c r="G21" s="50">
        <f t="shared" si="2"/>
        <v>-293.5854301399999</v>
      </c>
      <c r="H21" s="50">
        <f t="shared" si="2"/>
        <v>-399.6174941</v>
      </c>
      <c r="I21" s="50">
        <f t="shared" si="2"/>
        <v>-344.6638958499998</v>
      </c>
    </row>
    <row r="22" spans="1:9" ht="14.25">
      <c r="A22" s="43" t="str">
        <f>HLOOKUP(INDICE!$F$2,Nombres!$C$3:$D$636,47,FALSE)</f>
        <v>Impuesto sobre beneficios</v>
      </c>
      <c r="B22" s="44">
        <v>102.02234372000002</v>
      </c>
      <c r="C22" s="44">
        <v>54.053979949999984</v>
      </c>
      <c r="D22" s="44">
        <v>46.79826347999998</v>
      </c>
      <c r="E22" s="45">
        <v>55.01597262999999</v>
      </c>
      <c r="F22" s="44">
        <v>40.65929118000001</v>
      </c>
      <c r="G22" s="44">
        <v>44.391040210000035</v>
      </c>
      <c r="H22" s="44">
        <v>115.85251007999999</v>
      </c>
      <c r="I22" s="44">
        <v>103.70678039999997</v>
      </c>
    </row>
    <row r="23" spans="1:9" ht="14.25">
      <c r="A23" s="92" t="str">
        <f>HLOOKUP(INDICE!$F$2,Nombres!$C$3:$D$636,99,FALSE)</f>
        <v>Resultado después de impuestos de operaciones continuadas</v>
      </c>
      <c r="B23" s="41">
        <f aca="true" t="shared" si="3" ref="B23:I23">+B21+B22</f>
        <v>-267.8003018599998</v>
      </c>
      <c r="C23" s="41">
        <f t="shared" si="3"/>
        <v>-338.1917088400003</v>
      </c>
      <c r="D23" s="41">
        <f t="shared" si="3"/>
        <v>-280.0696839399997</v>
      </c>
      <c r="E23" s="42">
        <f t="shared" si="3"/>
        <v>-312.89649664000024</v>
      </c>
      <c r="F23" s="50">
        <f t="shared" si="3"/>
        <v>-81.78939572999981</v>
      </c>
      <c r="G23" s="50">
        <f t="shared" si="3"/>
        <v>-249.1943899299999</v>
      </c>
      <c r="H23" s="50">
        <f t="shared" si="3"/>
        <v>-283.76498402</v>
      </c>
      <c r="I23" s="50">
        <f t="shared" si="3"/>
        <v>-240.95711544999983</v>
      </c>
    </row>
    <row r="24" spans="1:9" ht="14.25">
      <c r="A24" s="43" t="str">
        <f>HLOOKUP(INDICE!$F$2,Nombres!$C$3:$D$636,100,FALSE)</f>
        <v>Resultado de operaciones corporativas</v>
      </c>
      <c r="B24" s="44">
        <v>0</v>
      </c>
      <c r="C24" s="44">
        <v>0</v>
      </c>
      <c r="D24" s="44">
        <v>0</v>
      </c>
      <c r="E24" s="45">
        <v>-1317.9119873</v>
      </c>
      <c r="F24" s="44">
        <v>-2084.157</v>
      </c>
      <c r="G24" s="44">
        <v>0</v>
      </c>
      <c r="H24" s="44">
        <v>0</v>
      </c>
      <c r="I24" s="44">
        <v>304.4685058600003</v>
      </c>
    </row>
    <row r="25" spans="1:9" ht="14.25">
      <c r="A25" s="92" t="str">
        <f>HLOOKUP(INDICE!$F$2,Nombres!$C$3:$D$636,48,FALSE)</f>
        <v>Resultado del ejercicio</v>
      </c>
      <c r="B25" s="41">
        <f aca="true" t="shared" si="4" ref="B25:I25">+B23+B24</f>
        <v>-267.8003018599998</v>
      </c>
      <c r="C25" s="41">
        <f t="shared" si="4"/>
        <v>-338.1917088400003</v>
      </c>
      <c r="D25" s="41">
        <f t="shared" si="4"/>
        <v>-280.0696839399997</v>
      </c>
      <c r="E25" s="42">
        <f t="shared" si="4"/>
        <v>-1630.8084839400003</v>
      </c>
      <c r="F25" s="50">
        <f t="shared" si="4"/>
        <v>-2165.94639573</v>
      </c>
      <c r="G25" s="50">
        <f t="shared" si="4"/>
        <v>-249.1943899299999</v>
      </c>
      <c r="H25" s="50">
        <f t="shared" si="4"/>
        <v>-283.76498402</v>
      </c>
      <c r="I25" s="50">
        <f t="shared" si="4"/>
        <v>63.511390410000445</v>
      </c>
    </row>
    <row r="26" spans="1:9" ht="14.25">
      <c r="A26" s="90" t="str">
        <f>HLOOKUP(INDICE!$F$2,Nombres!$C$3:$D$636,49,FALSE)</f>
        <v>Minoritarios</v>
      </c>
      <c r="B26" s="44">
        <v>-0.013468560000000074</v>
      </c>
      <c r="C26" s="44">
        <v>-10.470184240000002</v>
      </c>
      <c r="D26" s="44">
        <v>5.36667078</v>
      </c>
      <c r="E26" s="45">
        <v>5.335344</v>
      </c>
      <c r="F26" s="44">
        <v>-0.28234462999999976</v>
      </c>
      <c r="G26" s="44">
        <v>-0.51301793</v>
      </c>
      <c r="H26" s="44">
        <v>0.75410717</v>
      </c>
      <c r="I26" s="44">
        <v>0.1258005299999999</v>
      </c>
    </row>
    <row r="27" spans="1:9" ht="14.25">
      <c r="A27" s="93" t="str">
        <f>HLOOKUP(INDICE!$F$2,Nombres!$C$3:$D$636,50,FALSE)</f>
        <v>Resultado atribuido</v>
      </c>
      <c r="B27" s="47">
        <f aca="true" t="shared" si="5" ref="B27:I27">+B25+B26</f>
        <v>-267.8137704199998</v>
      </c>
      <c r="C27" s="47">
        <f t="shared" si="5"/>
        <v>-348.66189308000025</v>
      </c>
      <c r="D27" s="47">
        <f t="shared" si="5"/>
        <v>-274.7030131599997</v>
      </c>
      <c r="E27" s="47">
        <f t="shared" si="5"/>
        <v>-1625.4731399400002</v>
      </c>
      <c r="F27" s="47">
        <f t="shared" si="5"/>
        <v>-2166.22874036</v>
      </c>
      <c r="G27" s="47">
        <f t="shared" si="5"/>
        <v>-249.70740785999988</v>
      </c>
      <c r="H27" s="47">
        <f t="shared" si="5"/>
        <v>-283.01087685</v>
      </c>
      <c r="I27" s="47">
        <f t="shared" si="5"/>
        <v>63.637190940000444</v>
      </c>
    </row>
    <row r="28" spans="1:9" ht="14.25">
      <c r="A28" s="288" t="s">
        <v>5</v>
      </c>
      <c r="B28" s="48"/>
      <c r="C28" s="48"/>
      <c r="D28" s="48"/>
      <c r="E28" s="48"/>
      <c r="F28" s="48"/>
      <c r="G28" s="48"/>
      <c r="H28" s="48" t="s">
        <v>430</v>
      </c>
      <c r="I28" s="48"/>
    </row>
    <row r="29" spans="1:9" ht="14.25">
      <c r="A29" s="47" t="str">
        <f>HLOOKUP(INDICE!$F$2,Nombres!$C$3:$D$636,262,FALSE)</f>
        <v>Resultado atribuido sin el deterioro del fondo de comercio de Estados Unidos y sin operaciones corporativas</v>
      </c>
      <c r="B29" s="47">
        <f aca="true" t="shared" si="6" ref="B29:I29">+B27-B24</f>
        <v>-267.8137704199998</v>
      </c>
      <c r="C29" s="47">
        <f t="shared" si="6"/>
        <v>-348.66189308000025</v>
      </c>
      <c r="D29" s="47">
        <f t="shared" si="6"/>
        <v>-274.7030131599997</v>
      </c>
      <c r="E29" s="47">
        <f t="shared" si="6"/>
        <v>-307.5611526400003</v>
      </c>
      <c r="F29" s="47">
        <f t="shared" si="6"/>
        <v>-82.0717403599997</v>
      </c>
      <c r="G29" s="47">
        <f t="shared" si="6"/>
        <v>-249.70740785999988</v>
      </c>
      <c r="H29" s="47">
        <f t="shared" si="6"/>
        <v>-283.01087685</v>
      </c>
      <c r="I29" s="47">
        <f t="shared" si="6"/>
        <v>-240.83131491999984</v>
      </c>
    </row>
    <row r="30" spans="1:9" ht="14.25">
      <c r="A30" s="48"/>
      <c r="B30" s="64">
        <v>0</v>
      </c>
      <c r="C30" s="64">
        <v>0</v>
      </c>
      <c r="D30" s="64">
        <v>0</v>
      </c>
      <c r="E30" s="64">
        <v>0</v>
      </c>
      <c r="F30" s="64">
        <v>0</v>
      </c>
      <c r="G30" s="64">
        <v>0</v>
      </c>
      <c r="H30" s="64">
        <v>0</v>
      </c>
      <c r="I30" s="64">
        <v>-7.815970093361102E-14</v>
      </c>
    </row>
    <row r="31" spans="1:9" ht="14.25">
      <c r="A31" s="41"/>
      <c r="B31" s="64">
        <v>0</v>
      </c>
      <c r="C31" s="64">
        <v>0</v>
      </c>
      <c r="D31" s="64">
        <v>0</v>
      </c>
      <c r="E31" s="64">
        <v>0</v>
      </c>
      <c r="F31" s="64">
        <v>7.105427357601002E-13</v>
      </c>
      <c r="G31" s="64">
        <v>0</v>
      </c>
      <c r="H31" s="64">
        <v>0</v>
      </c>
      <c r="I31" s="64">
        <v>0</v>
      </c>
    </row>
    <row r="32" spans="1:9" ht="14.25">
      <c r="A32" s="41"/>
      <c r="B32" s="41"/>
      <c r="C32" s="41"/>
      <c r="D32" s="41"/>
      <c r="E32" s="41"/>
      <c r="F32" s="41"/>
      <c r="G32" s="41"/>
      <c r="H32" s="41"/>
      <c r="I32" s="41"/>
    </row>
    <row r="33" spans="1:9" ht="16.5">
      <c r="A33" s="95" t="str">
        <f>HLOOKUP(INDICE!$F$2,Nombres!$C$3:$D$636,51,FALSE)</f>
        <v>Balances</v>
      </c>
      <c r="B33" s="34"/>
      <c r="C33" s="34"/>
      <c r="D33" s="34"/>
      <c r="E33" s="34"/>
      <c r="F33" s="83"/>
      <c r="G33" s="83"/>
      <c r="H33" s="83"/>
      <c r="I33" s="83"/>
    </row>
    <row r="34" spans="1:9" ht="14.25">
      <c r="A34" s="86" t="str">
        <f>HLOOKUP(INDICE!$F$2,Nombres!$C$3:$D$636,32,FALSE)</f>
        <v>(Millones de euros)</v>
      </c>
      <c r="B34" s="30"/>
      <c r="C34" s="52"/>
      <c r="D34" s="52"/>
      <c r="E34" s="52"/>
      <c r="F34" s="81"/>
      <c r="G34" s="79"/>
      <c r="H34" s="79"/>
      <c r="I34" s="79"/>
    </row>
    <row r="35" spans="1:9" ht="14.25">
      <c r="A35" s="30"/>
      <c r="B35" s="53">
        <f>+España!B30</f>
        <v>43555</v>
      </c>
      <c r="C35" s="53">
        <f>+España!C30</f>
        <v>43646</v>
      </c>
      <c r="D35" s="53">
        <f>+España!D30</f>
        <v>43738</v>
      </c>
      <c r="E35" s="69">
        <f>+España!E30</f>
        <v>43830</v>
      </c>
      <c r="F35" s="53">
        <f>+España!F30</f>
        <v>43921</v>
      </c>
      <c r="G35" s="53">
        <f>+España!G30</f>
        <v>44012</v>
      </c>
      <c r="H35" s="53">
        <f>+España!H30</f>
        <v>44104</v>
      </c>
      <c r="I35" s="53">
        <f>+España!I30</f>
        <v>44196</v>
      </c>
    </row>
    <row r="36" spans="1:9" ht="14.25">
      <c r="A36" s="90" t="str">
        <f>HLOOKUP(INDICE!$F$2,Nombres!$C$3:$D$636,52,FALSE)</f>
        <v>Efectivo, saldos en efectivo en bancos centrales y otros depósitos a la vista</v>
      </c>
      <c r="B36" s="44">
        <v>745.089697</v>
      </c>
      <c r="C36" s="44">
        <v>932.5133789999999</v>
      </c>
      <c r="D36" s="44">
        <v>811.111436</v>
      </c>
      <c r="E36" s="45">
        <v>835.6723989999998</v>
      </c>
      <c r="F36" s="44">
        <v>767.051283</v>
      </c>
      <c r="G36" s="44">
        <v>836.83579</v>
      </c>
      <c r="H36" s="44">
        <v>770.932184</v>
      </c>
      <c r="I36" s="44">
        <v>817.5105569999998</v>
      </c>
    </row>
    <row r="37" spans="1:9" ht="14.25">
      <c r="A37" s="90" t="str">
        <f>HLOOKUP(INDICE!$F$2,Nombres!$C$3:$D$636,53,FALSE)</f>
        <v>Activos financieros a valor razonable</v>
      </c>
      <c r="B37" s="58">
        <v>2731.81813044</v>
      </c>
      <c r="C37" s="58">
        <v>2615.13965364</v>
      </c>
      <c r="D37" s="58">
        <v>2609.87743387</v>
      </c>
      <c r="E37" s="66">
        <v>2457.83169337</v>
      </c>
      <c r="F37" s="58">
        <v>1967.3255466399999</v>
      </c>
      <c r="G37" s="58">
        <v>1865.0180540599997</v>
      </c>
      <c r="H37" s="58">
        <v>1444.16000046</v>
      </c>
      <c r="I37" s="58">
        <v>1457.29753755</v>
      </c>
    </row>
    <row r="38" spans="1:9" ht="14.25">
      <c r="A38" s="43" t="str">
        <f>HLOOKUP(INDICE!$F$2,Nombres!$C$3:$D$636,54,FALSE)</f>
        <v>Activos financieros a coste amortizado</v>
      </c>
      <c r="B38" s="44">
        <v>2293.294945</v>
      </c>
      <c r="C38" s="44">
        <v>2034.1105749999997</v>
      </c>
      <c r="D38" s="44">
        <v>1838.6541380000003</v>
      </c>
      <c r="E38" s="45">
        <v>2480.110819</v>
      </c>
      <c r="F38" s="44">
        <v>2051.56837</v>
      </c>
      <c r="G38" s="44">
        <v>2087.25359643</v>
      </c>
      <c r="H38" s="44">
        <v>1944.4303</v>
      </c>
      <c r="I38" s="44">
        <v>2094.599835</v>
      </c>
    </row>
    <row r="39" spans="1:9" ht="14.25">
      <c r="A39" s="90" t="str">
        <f>HLOOKUP(INDICE!$F$2,Nombres!$C$3:$D$636,55,FALSE)</f>
        <v>    de los que préstamos y anticipos a la clientela</v>
      </c>
      <c r="B39" s="44">
        <v>551.234774</v>
      </c>
      <c r="C39" s="44">
        <v>348.55393200000003</v>
      </c>
      <c r="D39" s="44">
        <v>125.283401</v>
      </c>
      <c r="E39" s="45">
        <v>812.6708549999998</v>
      </c>
      <c r="F39" s="44">
        <v>353.145773</v>
      </c>
      <c r="G39" s="44">
        <v>425.25061243</v>
      </c>
      <c r="H39" s="44">
        <v>279.036984</v>
      </c>
      <c r="I39" s="44">
        <v>502.96363999999994</v>
      </c>
    </row>
    <row r="40" spans="1:9" ht="14.25">
      <c r="A40" s="90" t="str">
        <f>HLOOKUP(INDICE!$F$2,Nombres!$C$3:$D$636,121,FALSE)</f>
        <v>Posiciones inter-áreas activo</v>
      </c>
      <c r="B40" s="44">
        <v>19919.67022908001</v>
      </c>
      <c r="C40" s="44">
        <v>18393.13173137991</v>
      </c>
      <c r="D40" s="44">
        <v>20926.61621516009</v>
      </c>
      <c r="E40" s="45">
        <v>21477.364822870022</v>
      </c>
      <c r="F40" s="44">
        <v>15432.905243399968</v>
      </c>
      <c r="G40" s="44">
        <v>15675.928065</v>
      </c>
      <c r="H40" s="44">
        <v>16721.27521705</v>
      </c>
      <c r="I40" s="44">
        <v>17536.124060559992</v>
      </c>
    </row>
    <row r="41" spans="1:9" ht="14.25">
      <c r="A41" s="43" t="str">
        <f>HLOOKUP(INDICE!$F$2,Nombres!$C$3:$D$636,56,FALSE)</f>
        <v>Activos tangibles</v>
      </c>
      <c r="B41" s="44">
        <v>2253.623345</v>
      </c>
      <c r="C41" s="44">
        <v>2232.247159</v>
      </c>
      <c r="D41" s="44">
        <v>2217.0669860000003</v>
      </c>
      <c r="E41" s="45">
        <v>2240.451533</v>
      </c>
      <c r="F41" s="44">
        <v>2176.8377530000002</v>
      </c>
      <c r="G41" s="44">
        <v>2126.446539</v>
      </c>
      <c r="H41" s="44">
        <v>2121.304177</v>
      </c>
      <c r="I41" s="44">
        <v>2063.0158280000005</v>
      </c>
    </row>
    <row r="42" spans="1:9" ht="14.25">
      <c r="A42" s="90" t="str">
        <f>HLOOKUP(INDICE!$F$2,Nombres!$C$3:$D$636,57,FALSE)</f>
        <v>Otros activos</v>
      </c>
      <c r="B42" s="44">
        <v>21229.943243790003</v>
      </c>
      <c r="C42" s="44">
        <v>21546.21421457</v>
      </c>
      <c r="D42" s="44">
        <v>22053.14976357</v>
      </c>
      <c r="E42" s="45">
        <v>20394.30068737</v>
      </c>
      <c r="F42" s="44">
        <v>18830.908752589996</v>
      </c>
      <c r="G42" s="44">
        <v>17952.61036594</v>
      </c>
      <c r="H42" s="44">
        <v>17793.350996540004</v>
      </c>
      <c r="I42" s="44">
        <v>17705.196325849996</v>
      </c>
    </row>
    <row r="43" spans="1:9" ht="14.25">
      <c r="A43" s="93" t="str">
        <f>HLOOKUP(INDICE!$F$2,Nombres!$C$3:$D$636,58,FALSE)</f>
        <v>Total activo / pasivo</v>
      </c>
      <c r="B43" s="51">
        <f aca="true" t="shared" si="7" ref="B43:I43">+B36+B37+B38+B40+B41+B42</f>
        <v>49173.43959031001</v>
      </c>
      <c r="C43" s="51">
        <f t="shared" si="7"/>
        <v>47753.35671258991</v>
      </c>
      <c r="D43" s="51">
        <f t="shared" si="7"/>
        <v>50456.47597260009</v>
      </c>
      <c r="E43" s="82">
        <f t="shared" si="7"/>
        <v>49885.73195461002</v>
      </c>
      <c r="F43" s="51">
        <f t="shared" si="7"/>
        <v>41226.596948629965</v>
      </c>
      <c r="G43" s="51">
        <f t="shared" si="7"/>
        <v>40544.09241043</v>
      </c>
      <c r="H43" s="51">
        <f t="shared" si="7"/>
        <v>40795.45287505</v>
      </c>
      <c r="I43" s="51">
        <f t="shared" si="7"/>
        <v>41673.74414395999</v>
      </c>
    </row>
    <row r="44" spans="1:9" ht="15.75" customHeight="1">
      <c r="A44" s="90" t="str">
        <f>HLOOKUP(INDICE!$F$2,Nombres!$C$3:$D$636,59,FALSE)</f>
        <v>Pasivos financieros mantenidos para negociar y designados a valor razonable con cambios en resultados</v>
      </c>
      <c r="B44" s="44">
        <v>18.371876000000004</v>
      </c>
      <c r="C44" s="44">
        <v>15.533834999999998</v>
      </c>
      <c r="D44" s="44">
        <v>16.43706</v>
      </c>
      <c r="E44" s="45">
        <v>13.631288</v>
      </c>
      <c r="F44" s="44">
        <v>93.19763200000001</v>
      </c>
      <c r="G44" s="44">
        <v>25.941499</v>
      </c>
      <c r="H44" s="44">
        <v>25.695251999999996</v>
      </c>
      <c r="I44" s="44">
        <v>20.218224</v>
      </c>
    </row>
    <row r="45" spans="1:9" ht="14.25">
      <c r="A45" s="90" t="str">
        <f>HLOOKUP(INDICE!$F$2,Nombres!$C$3:$D$636,60,FALSE)</f>
        <v>Depósitos de bancos centrales y entidades de crédito</v>
      </c>
      <c r="B45" s="44">
        <v>740.9120859999999</v>
      </c>
      <c r="C45" s="44">
        <v>873.9512100000001</v>
      </c>
      <c r="D45" s="44">
        <v>738.4457179999998</v>
      </c>
      <c r="E45" s="45">
        <v>717.619929</v>
      </c>
      <c r="F45" s="44">
        <v>850.5306330000001</v>
      </c>
      <c r="G45" s="44">
        <v>870.126812</v>
      </c>
      <c r="H45" s="44">
        <v>861.3275210000002</v>
      </c>
      <c r="I45" s="44">
        <v>820.360423</v>
      </c>
    </row>
    <row r="46" spans="1:9" ht="14.25">
      <c r="A46" s="90" t="str">
        <f>HLOOKUP(INDICE!$F$2,Nombres!$C$3:$D$636,61,FALSE)</f>
        <v>Depósitos de la clientela</v>
      </c>
      <c r="B46" s="44">
        <v>280.45407700000004</v>
      </c>
      <c r="C46" s="44">
        <v>302.49584699999997</v>
      </c>
      <c r="D46" s="44">
        <v>311.15812400000004</v>
      </c>
      <c r="E46" s="45">
        <v>307.93291500000004</v>
      </c>
      <c r="F46" s="44">
        <v>323.058317</v>
      </c>
      <c r="G46" s="44">
        <v>308.463854</v>
      </c>
      <c r="H46" s="44">
        <v>297.68499699999995</v>
      </c>
      <c r="I46" s="44">
        <v>362.75179199999997</v>
      </c>
    </row>
    <row r="47" spans="1:9" ht="14.25">
      <c r="A47" s="43" t="str">
        <f>HLOOKUP(INDICE!$F$2,Nombres!$C$3:$D$636,62,FALSE)</f>
        <v>Valores representativos de deuda emitidos</v>
      </c>
      <c r="B47" s="44">
        <v>8520.50442907</v>
      </c>
      <c r="C47" s="44">
        <v>6944.87871581</v>
      </c>
      <c r="D47" s="44">
        <v>7985.237321109998</v>
      </c>
      <c r="E47" s="45">
        <v>7763.6457979000015</v>
      </c>
      <c r="F47" s="44">
        <v>7168.7442124</v>
      </c>
      <c r="G47" s="44">
        <v>7078.95323022</v>
      </c>
      <c r="H47" s="44">
        <v>8232.24657078</v>
      </c>
      <c r="I47" s="44">
        <v>8179.27495055</v>
      </c>
    </row>
    <row r="48" spans="1:9" ht="14.25">
      <c r="A48" s="90" t="str">
        <f>HLOOKUP(INDICE!$F$2,Nombres!$C$3:$D$636,122,FALSE)</f>
        <v>Posiciones inter-áreas pasivo</v>
      </c>
      <c r="B48" s="44">
        <v>0</v>
      </c>
      <c r="C48" s="44">
        <v>0</v>
      </c>
      <c r="D48" s="44">
        <v>0</v>
      </c>
      <c r="E48" s="45">
        <v>0</v>
      </c>
      <c r="F48" s="44">
        <v>0</v>
      </c>
      <c r="G48" s="44">
        <v>0</v>
      </c>
      <c r="H48" s="44">
        <v>0</v>
      </c>
      <c r="I48" s="44">
        <v>0</v>
      </c>
    </row>
    <row r="49" spans="1:9" ht="14.25">
      <c r="A49" s="43" t="str">
        <f>HLOOKUP(INDICE!$F$2,Nombres!$C$3:$D$636,63,FALSE)</f>
        <v>Otros pasivos</v>
      </c>
      <c r="B49" s="44">
        <f>+B43-B44-B45-B46-B47-B48-B51-B50</f>
        <v>8226.405609230042</v>
      </c>
      <c r="C49" s="44">
        <f>+C43-C44-C45-C46-C47-C48-C51-C50</f>
        <v>7368.610635970021</v>
      </c>
      <c r="D49" s="44">
        <f>+D43-D44-D45-D46-D47-D48-D51-D50</f>
        <v>7169.275524040051</v>
      </c>
      <c r="E49" s="45">
        <f>+E43-E44-E45-E46-E47-E48-E51-E50+0.3</f>
        <v>10147.527933979993</v>
      </c>
      <c r="F49" s="44">
        <f>+F43-F44-F45-F46-F47-F48-F51-F50</f>
        <v>8936.58931015995</v>
      </c>
      <c r="G49" s="44">
        <f>+G43-G44-G45-G46-G47-G48-G51-G50</f>
        <v>7837.097292190007</v>
      </c>
      <c r="H49" s="44">
        <f>+H43-H44-H45-H46-H47-H48-H51-H50</f>
        <v>7498.411473379994</v>
      </c>
      <c r="I49" s="44">
        <f>+I43-I44-I45-I46-I47-I48-I51-I50</f>
        <v>7265.817890830007</v>
      </c>
    </row>
    <row r="50" spans="1:9" ht="14.25">
      <c r="A50" s="90" t="str">
        <f>HLOOKUP(INDICE!$F$2,Nombres!$C$3:$D$636,64,FALSE)</f>
        <v>Dotación de capital económico</v>
      </c>
      <c r="B50" s="44">
        <f>-España!B45-EEUU!B45-Mexico!B43-Turquia!B43-AdS!B46-'Resto de Eurasia'!B45</f>
        <v>-22160.246491</v>
      </c>
      <c r="C50" s="44">
        <f>-España!C45-EEUU!C45-Mexico!C43-Turquia!C43-AdS!C46-'Resto de Eurasia'!C45</f>
        <v>-22441.952526189998</v>
      </c>
      <c r="D50" s="44">
        <f>-España!D45-EEUU!D45-Mexico!D43-Turquia!D43-AdS!D46-'Resto de Eurasia'!D45</f>
        <v>-22792.923772530004</v>
      </c>
      <c r="E50" s="45">
        <f>-España!E45-EEUU!E45-Mexico!E43-Turquia!E43-AdS!E46-'Resto de Eurasia'!E45</f>
        <v>-23989.25190324</v>
      </c>
      <c r="F50" s="44">
        <f>-España!F45-EEUU!F45-Mexico!F43-Turquia!F43-AdS!F46-'Resto de Eurasia'!F45</f>
        <v>-25319.76814999</v>
      </c>
      <c r="G50" s="44">
        <f>-España!G45-EEUU!G45-Mexico!G43-Turquia!G43-AdS!G46-'Resto de Eurasia'!G45</f>
        <v>-25131.310283</v>
      </c>
      <c r="H50" s="44">
        <f>-España!H45-EEUU!H45-Mexico!H43-Turquia!H43-AdS!H46-'Resto de Eurasia'!H45</f>
        <v>-24641.43793308</v>
      </c>
      <c r="I50" s="44">
        <f>-España!I45-EEUU!I45-Mexico!I43-Turquia!I43-AdS!I46-'Resto de Eurasia'!I45</f>
        <v>-24994.50913231</v>
      </c>
    </row>
    <row r="51" spans="1:9" ht="14.25">
      <c r="A51" s="90" t="str">
        <f>HLOOKUP(INDICE!$F$2,Nombres!$C$3:$D$636,150,FALSE)</f>
        <v>Patrimonio neto</v>
      </c>
      <c r="B51" s="44">
        <v>53547.03800400997</v>
      </c>
      <c r="C51" s="44">
        <v>54689.83899499989</v>
      </c>
      <c r="D51" s="44">
        <v>57028.84599798005</v>
      </c>
      <c r="E51" s="45">
        <v>54924.92599397003</v>
      </c>
      <c r="F51" s="44">
        <v>49174.244994060005</v>
      </c>
      <c r="G51" s="44">
        <v>49554.82000601999</v>
      </c>
      <c r="H51" s="44">
        <v>48521.524993970015</v>
      </c>
      <c r="I51" s="44">
        <v>50019.82999588999</v>
      </c>
    </row>
    <row r="52" spans="1:9" ht="14.25">
      <c r="A52" s="43"/>
      <c r="B52" s="58"/>
      <c r="C52" s="58"/>
      <c r="D52" s="58"/>
      <c r="E52" s="58"/>
      <c r="F52" s="58"/>
      <c r="G52" s="58"/>
      <c r="H52" s="58"/>
      <c r="I52" s="58"/>
    </row>
    <row r="53" spans="1:9" ht="14.25">
      <c r="A53" s="43"/>
      <c r="B53" s="58"/>
      <c r="C53" s="58"/>
      <c r="D53" s="58"/>
      <c r="E53" s="58"/>
      <c r="F53" s="58"/>
      <c r="G53" s="58"/>
      <c r="H53" s="58"/>
      <c r="I53" s="58"/>
    </row>
    <row r="54" spans="1:9" ht="14.25">
      <c r="A54" s="43"/>
      <c r="B54" s="58"/>
      <c r="C54" s="58"/>
      <c r="D54" s="58"/>
      <c r="E54" s="58"/>
      <c r="F54" s="44"/>
      <c r="G54" s="44"/>
      <c r="H54" s="44"/>
      <c r="I54" s="44"/>
    </row>
    <row r="55" spans="1:9" ht="14.25">
      <c r="A55" s="43"/>
      <c r="B55" s="30"/>
      <c r="C55" s="289"/>
      <c r="D55" s="30"/>
      <c r="E55" s="30"/>
      <c r="F55" s="71"/>
      <c r="G55" s="44"/>
      <c r="H55" s="44"/>
      <c r="I55" s="44"/>
    </row>
    <row r="56" spans="1:9" ht="14.25">
      <c r="A56" s="43"/>
      <c r="B56" s="30"/>
      <c r="C56" s="53"/>
      <c r="D56" s="53"/>
      <c r="E56" s="53"/>
      <c r="F56" s="53"/>
      <c r="G56" s="53"/>
      <c r="H56" s="53"/>
      <c r="I56" s="53"/>
    </row>
    <row r="57" spans="1:9" ht="14.25">
      <c r="A57" s="43"/>
      <c r="B57" s="44"/>
      <c r="C57" s="44"/>
      <c r="D57" s="44"/>
      <c r="E57" s="44"/>
      <c r="F57" s="44"/>
      <c r="G57" s="44"/>
      <c r="H57" s="44"/>
      <c r="I57" s="44"/>
    </row>
    <row r="58" spans="1:9" ht="14.25">
      <c r="A58" s="41"/>
      <c r="B58" s="44"/>
      <c r="C58" s="44"/>
      <c r="D58" s="44"/>
      <c r="E58" s="44"/>
      <c r="F58" s="44"/>
      <c r="G58" s="44"/>
      <c r="H58" s="44"/>
      <c r="I58" s="44"/>
    </row>
    <row r="59" spans="1:9" ht="14.25">
      <c r="A59" s="43"/>
      <c r="B59" s="44"/>
      <c r="C59" s="44"/>
      <c r="D59" s="44"/>
      <c r="E59" s="44"/>
      <c r="F59" s="44"/>
      <c r="G59" s="44"/>
      <c r="H59" s="44"/>
      <c r="I59" s="44"/>
    </row>
    <row r="60" spans="1:9" ht="14.25">
      <c r="A60" s="43"/>
      <c r="B60" s="44"/>
      <c r="D60" s="44"/>
      <c r="E60" s="44"/>
      <c r="F60" s="44"/>
      <c r="G60" s="44"/>
      <c r="H60" s="44"/>
      <c r="I60" s="44"/>
    </row>
    <row r="61" spans="1:9" ht="14.25">
      <c r="A61" s="43"/>
      <c r="B61" s="44"/>
      <c r="D61" s="44"/>
      <c r="E61" s="44"/>
      <c r="F61" s="44"/>
      <c r="G61" s="44"/>
      <c r="H61" s="44"/>
      <c r="I61" s="44"/>
    </row>
    <row r="62" spans="1:9" ht="14.25">
      <c r="A62" s="63"/>
      <c r="B62" s="58"/>
      <c r="D62" s="58"/>
      <c r="E62" s="58"/>
      <c r="F62" s="44"/>
      <c r="G62" s="44"/>
      <c r="H62" s="44"/>
      <c r="I62" s="44"/>
    </row>
    <row r="63" spans="1:9" ht="14.25">
      <c r="A63" s="63"/>
      <c r="B63" s="58"/>
      <c r="D63" s="30"/>
      <c r="E63" s="30"/>
      <c r="F63" s="71"/>
      <c r="G63" s="71"/>
      <c r="H63" s="71"/>
      <c r="I63" s="71"/>
    </row>
    <row r="64" spans="1:9" ht="14.25">
      <c r="A64" s="63"/>
      <c r="B64" s="58"/>
      <c r="D64" s="30"/>
      <c r="E64" s="30"/>
      <c r="F64" s="71"/>
      <c r="G64" s="71"/>
      <c r="H64" s="71"/>
      <c r="I64" s="71"/>
    </row>
    <row r="65" spans="2:9" ht="14.25">
      <c r="B65" s="54"/>
      <c r="C65" s="54"/>
      <c r="D65" s="54"/>
      <c r="E65" s="76"/>
      <c r="F65" s="96"/>
      <c r="G65" s="84"/>
      <c r="H65" s="84"/>
      <c r="I65" s="84"/>
    </row>
    <row r="66" spans="2:9" ht="14.25">
      <c r="B66" s="54"/>
      <c r="F66" s="84"/>
      <c r="G66" s="84"/>
      <c r="H66" s="84"/>
      <c r="I66" s="84"/>
    </row>
    <row r="67" spans="2:9" ht="14.25">
      <c r="B67" s="54"/>
      <c r="F67" s="84"/>
      <c r="G67" s="84"/>
      <c r="H67" s="84"/>
      <c r="I67" s="84"/>
    </row>
    <row r="68" spans="2:9" ht="14.25">
      <c r="B68" s="54"/>
      <c r="F68" s="84"/>
      <c r="G68" s="84"/>
      <c r="H68" s="84"/>
      <c r="I68" s="84"/>
    </row>
    <row r="69" spans="2:9" ht="14.25">
      <c r="B69" s="54"/>
      <c r="F69" s="84"/>
      <c r="G69" s="84"/>
      <c r="H69" s="84"/>
      <c r="I69" s="84"/>
    </row>
    <row r="70" spans="2:9" ht="14.25">
      <c r="B70" s="54"/>
      <c r="F70" s="84"/>
      <c r="G70" s="84"/>
      <c r="H70" s="84"/>
      <c r="I70" s="84"/>
    </row>
    <row r="71" spans="2:9" ht="14.25">
      <c r="B71" s="54"/>
      <c r="F71" s="84"/>
      <c r="G71" s="84"/>
      <c r="H71" s="84"/>
      <c r="I71" s="84"/>
    </row>
    <row r="72" spans="2:9" ht="14.25">
      <c r="B72" s="54"/>
      <c r="F72" s="84"/>
      <c r="G72" s="84"/>
      <c r="H72" s="84"/>
      <c r="I72" s="84"/>
    </row>
    <row r="73" spans="6:9" ht="14.25">
      <c r="F73" s="84"/>
      <c r="G73" s="84"/>
      <c r="H73" s="84"/>
      <c r="I73" s="84"/>
    </row>
    <row r="74" spans="6:9" ht="14.25">
      <c r="F74" s="84"/>
      <c r="G74" s="84"/>
      <c r="H74" s="84"/>
      <c r="I74" s="84"/>
    </row>
    <row r="75" spans="6:9" ht="14.25">
      <c r="F75" s="84"/>
      <c r="G75" s="84"/>
      <c r="H75" s="84"/>
      <c r="I75" s="84"/>
    </row>
    <row r="76" spans="6:9" ht="14.25">
      <c r="F76" s="84"/>
      <c r="G76" s="84"/>
      <c r="H76" s="84"/>
      <c r="I76" s="84"/>
    </row>
    <row r="77" spans="6:9" ht="14.25">
      <c r="F77" s="84"/>
      <c r="G77" s="84"/>
      <c r="H77" s="84"/>
      <c r="I77" s="84"/>
    </row>
    <row r="78" spans="6:9" ht="14.25">
      <c r="F78" s="84"/>
      <c r="G78" s="84"/>
      <c r="H78" s="84"/>
      <c r="I78" s="84"/>
    </row>
    <row r="79" spans="6:9" ht="14.25">
      <c r="F79" s="84"/>
      <c r="G79" s="84"/>
      <c r="H79" s="84"/>
      <c r="I79" s="84"/>
    </row>
    <row r="80" spans="6:9" ht="14.25">
      <c r="F80" s="84"/>
      <c r="G80" s="84"/>
      <c r="H80" s="84"/>
      <c r="I80" s="84"/>
    </row>
    <row r="81" spans="6:9" ht="14.25">
      <c r="F81" s="84"/>
      <c r="G81" s="84"/>
      <c r="H81" s="84"/>
      <c r="I81" s="84"/>
    </row>
    <row r="82" spans="6:9" ht="14.25">
      <c r="F82" s="84"/>
      <c r="G82" s="84"/>
      <c r="H82" s="84"/>
      <c r="I82" s="84"/>
    </row>
    <row r="83" spans="6:9" ht="14.25">
      <c r="F83" s="84"/>
      <c r="G83" s="84"/>
      <c r="H83" s="84"/>
      <c r="I83" s="84"/>
    </row>
    <row r="84" spans="6:9" ht="14.25">
      <c r="F84" s="84"/>
      <c r="G84" s="84"/>
      <c r="H84" s="84"/>
      <c r="I84" s="84"/>
    </row>
    <row r="85" spans="6:9" ht="14.25">
      <c r="F85" s="84"/>
      <c r="G85" s="84"/>
      <c r="H85" s="84"/>
      <c r="I85" s="84"/>
    </row>
    <row r="86" spans="6:9" ht="14.25">
      <c r="F86" s="84"/>
      <c r="G86" s="84"/>
      <c r="H86" s="84"/>
      <c r="I86" s="84"/>
    </row>
    <row r="87" spans="6:9" ht="14.25">
      <c r="F87" s="84"/>
      <c r="G87" s="84"/>
      <c r="H87" s="84"/>
      <c r="I87" s="84"/>
    </row>
    <row r="88" spans="6:9" ht="14.25">
      <c r="F88" s="84"/>
      <c r="G88" s="84"/>
      <c r="H88" s="84"/>
      <c r="I88" s="84"/>
    </row>
    <row r="89" spans="6:9" ht="14.25">
      <c r="F89" s="84"/>
      <c r="G89" s="84"/>
      <c r="H89" s="84"/>
      <c r="I89" s="84"/>
    </row>
    <row r="90" spans="6:9" ht="14.25">
      <c r="F90" s="84"/>
      <c r="G90" s="84"/>
      <c r="H90" s="84"/>
      <c r="I90" s="84"/>
    </row>
    <row r="91" spans="6:9" ht="14.25">
      <c r="F91" s="84"/>
      <c r="G91" s="84"/>
      <c r="H91" s="84"/>
      <c r="I91" s="84"/>
    </row>
    <row r="92" spans="6:9" ht="14.25">
      <c r="F92" s="84"/>
      <c r="G92" s="84"/>
      <c r="H92" s="84"/>
      <c r="I92" s="84"/>
    </row>
    <row r="93" spans="6:9" ht="14.25">
      <c r="F93" s="84"/>
      <c r="G93" s="84"/>
      <c r="H93" s="84"/>
      <c r="I93" s="84"/>
    </row>
    <row r="94" spans="6:9" ht="14.25">
      <c r="F94" s="84"/>
      <c r="G94" s="84"/>
      <c r="H94" s="84"/>
      <c r="I94" s="84"/>
    </row>
    <row r="95" spans="6:9" ht="14.25">
      <c r="F95" s="84"/>
      <c r="G95" s="84"/>
      <c r="H95" s="84"/>
      <c r="I95" s="84"/>
    </row>
    <row r="96" spans="6:9" ht="14.25">
      <c r="F96" s="84"/>
      <c r="G96" s="84"/>
      <c r="H96" s="84"/>
      <c r="I96" s="84"/>
    </row>
    <row r="97" spans="6:9" ht="14.25">
      <c r="F97" s="84"/>
      <c r="G97" s="84"/>
      <c r="H97" s="84"/>
      <c r="I97" s="84"/>
    </row>
    <row r="98" spans="6:9" ht="14.25">
      <c r="F98" s="84"/>
      <c r="G98" s="84"/>
      <c r="H98" s="84"/>
      <c r="I98" s="84"/>
    </row>
    <row r="99" spans="6:9" ht="14.25">
      <c r="F99" s="84"/>
      <c r="G99" s="84"/>
      <c r="H99" s="84"/>
      <c r="I99" s="84"/>
    </row>
    <row r="100" spans="6:9" ht="14.25">
      <c r="F100" s="84"/>
      <c r="G100" s="84"/>
      <c r="H100" s="84"/>
      <c r="I100" s="84"/>
    </row>
    <row r="101" spans="6:9" ht="14.25">
      <c r="F101" s="84"/>
      <c r="G101" s="84"/>
      <c r="H101" s="84"/>
      <c r="I101" s="84"/>
    </row>
    <row r="102" spans="6:9" ht="14.25">
      <c r="F102" s="84"/>
      <c r="G102" s="84"/>
      <c r="H102" s="84"/>
      <c r="I102" s="84"/>
    </row>
    <row r="103" spans="6:9" ht="14.25">
      <c r="F103" s="84"/>
      <c r="G103" s="84"/>
      <c r="H103" s="84"/>
      <c r="I103" s="84"/>
    </row>
    <row r="104" spans="6:9" ht="14.25">
      <c r="F104" s="84"/>
      <c r="G104" s="84"/>
      <c r="H104" s="84"/>
      <c r="I104" s="84"/>
    </row>
    <row r="105" spans="6:9" ht="14.25">
      <c r="F105" s="84"/>
      <c r="G105" s="84"/>
      <c r="H105" s="84"/>
      <c r="I105" s="84"/>
    </row>
    <row r="106" spans="6:9" ht="14.25">
      <c r="F106" s="84"/>
      <c r="G106" s="84"/>
      <c r="H106" s="84"/>
      <c r="I106" s="84"/>
    </row>
    <row r="107" spans="6:9" ht="14.25">
      <c r="F107" s="84"/>
      <c r="G107" s="84"/>
      <c r="H107" s="84"/>
      <c r="I107" s="84"/>
    </row>
    <row r="108" spans="6:9" ht="14.25">
      <c r="F108" s="84"/>
      <c r="G108" s="84"/>
      <c r="H108" s="84"/>
      <c r="I108" s="84"/>
    </row>
    <row r="109" spans="6:9" ht="14.25">
      <c r="F109" s="84"/>
      <c r="G109" s="84"/>
      <c r="H109" s="84"/>
      <c r="I109" s="84"/>
    </row>
    <row r="110" spans="6:9" ht="14.25">
      <c r="F110" s="84"/>
      <c r="G110" s="84"/>
      <c r="H110" s="84"/>
      <c r="I110" s="84"/>
    </row>
    <row r="119" spans="6:9" ht="14.25">
      <c r="F119" s="84"/>
      <c r="G119" s="84"/>
      <c r="H119" s="84"/>
      <c r="I119" s="84"/>
    </row>
    <row r="120" spans="6:9" ht="14.25">
      <c r="F120" s="84"/>
      <c r="G120" s="84"/>
      <c r="H120" s="84"/>
      <c r="I120" s="84"/>
    </row>
    <row r="121" spans="6:9" ht="14.25">
      <c r="F121" s="84"/>
      <c r="G121" s="84"/>
      <c r="H121" s="84"/>
      <c r="I121" s="84"/>
    </row>
    <row r="122" spans="6:9" ht="14.25">
      <c r="F122" s="84"/>
      <c r="G122" s="84"/>
      <c r="H122" s="84"/>
      <c r="I122" s="84"/>
    </row>
    <row r="123" spans="6:9" ht="14.25">
      <c r="F123" s="84"/>
      <c r="G123" s="84"/>
      <c r="H123" s="84"/>
      <c r="I123" s="84"/>
    </row>
    <row r="124" spans="6:9" ht="14.25">
      <c r="F124" s="84"/>
      <c r="G124" s="84"/>
      <c r="H124" s="84"/>
      <c r="I124" s="84"/>
    </row>
    <row r="125" spans="6:9" ht="14.25">
      <c r="F125" s="84"/>
      <c r="G125" s="84"/>
      <c r="H125" s="84"/>
      <c r="I125" s="84"/>
    </row>
    <row r="126" spans="6:9" ht="14.25">
      <c r="F126" s="84"/>
      <c r="G126" s="84"/>
      <c r="H126" s="84"/>
      <c r="I126" s="84"/>
    </row>
    <row r="127" spans="6:9" ht="14.25">
      <c r="F127" s="84"/>
      <c r="G127" s="84"/>
      <c r="H127" s="84"/>
      <c r="I127" s="84"/>
    </row>
    <row r="128" spans="6:9" ht="14.25">
      <c r="F128" s="84"/>
      <c r="G128" s="84"/>
      <c r="H128" s="84"/>
      <c r="I128" s="84"/>
    </row>
    <row r="129" spans="6:9" ht="14.25">
      <c r="F129" s="84"/>
      <c r="G129" s="84"/>
      <c r="H129" s="84"/>
      <c r="I129" s="84"/>
    </row>
    <row r="130" spans="6:9" ht="14.25">
      <c r="F130" s="84"/>
      <c r="G130" s="84"/>
      <c r="H130" s="84"/>
      <c r="I130" s="84"/>
    </row>
    <row r="131" spans="6:9" ht="14.25">
      <c r="F131" s="84"/>
      <c r="G131" s="84"/>
      <c r="H131" s="84"/>
      <c r="I131" s="84"/>
    </row>
    <row r="132" spans="6:9" ht="14.25">
      <c r="F132" s="84"/>
      <c r="G132" s="84"/>
      <c r="H132" s="84"/>
      <c r="I132" s="84"/>
    </row>
    <row r="133" spans="6:9" ht="14.25">
      <c r="F133" s="84"/>
      <c r="G133" s="84"/>
      <c r="H133" s="84"/>
      <c r="I133" s="84"/>
    </row>
    <row r="134" spans="6:9" ht="14.25">
      <c r="F134" s="84"/>
      <c r="G134" s="84"/>
      <c r="H134" s="84"/>
      <c r="I134" s="84"/>
    </row>
    <row r="135" spans="6:9" ht="14.25">
      <c r="F135" s="84"/>
      <c r="G135" s="84"/>
      <c r="H135" s="84"/>
      <c r="I135" s="84"/>
    </row>
    <row r="136" spans="6:9" ht="14.25">
      <c r="F136" s="84"/>
      <c r="G136" s="84"/>
      <c r="H136" s="84"/>
      <c r="I136" s="84"/>
    </row>
    <row r="137" spans="6:9" ht="14.25">
      <c r="F137" s="84"/>
      <c r="G137" s="84"/>
      <c r="H137" s="84"/>
      <c r="I137" s="84"/>
    </row>
    <row r="138" spans="6:9" ht="14.25">
      <c r="F138" s="84"/>
      <c r="G138" s="84"/>
      <c r="H138" s="84"/>
      <c r="I138" s="84"/>
    </row>
    <row r="139" spans="6:9" ht="14.25">
      <c r="F139" s="84"/>
      <c r="G139" s="84"/>
      <c r="H139" s="84"/>
      <c r="I139" s="84"/>
    </row>
    <row r="140" spans="6:9" ht="14.25">
      <c r="F140" s="84"/>
      <c r="G140" s="84"/>
      <c r="H140" s="84"/>
      <c r="I140" s="84"/>
    </row>
    <row r="141" spans="6:9" ht="14.25">
      <c r="F141" s="84"/>
      <c r="G141" s="84"/>
      <c r="H141" s="84"/>
      <c r="I141" s="84"/>
    </row>
    <row r="142" spans="6:9" ht="14.25">
      <c r="F142" s="84"/>
      <c r="G142" s="84"/>
      <c r="H142" s="84"/>
      <c r="I142" s="84"/>
    </row>
    <row r="143" spans="6:9" ht="14.25">
      <c r="F143" s="84"/>
      <c r="G143" s="84"/>
      <c r="H143" s="84"/>
      <c r="I143" s="84"/>
    </row>
    <row r="144" spans="6:9" ht="14.25">
      <c r="F144" s="84"/>
      <c r="G144" s="84"/>
      <c r="H144" s="84"/>
      <c r="I144" s="84"/>
    </row>
    <row r="145" spans="6:9" ht="14.25">
      <c r="F145" s="84"/>
      <c r="G145" s="84"/>
      <c r="H145" s="84"/>
      <c r="I145" s="84"/>
    </row>
    <row r="146" spans="6:9" ht="14.25">
      <c r="F146" s="84"/>
      <c r="G146" s="84"/>
      <c r="H146" s="84"/>
      <c r="I146" s="84"/>
    </row>
    <row r="147" spans="6:9" ht="14.25">
      <c r="F147" s="84"/>
      <c r="G147" s="84"/>
      <c r="H147" s="84"/>
      <c r="I147" s="84"/>
    </row>
    <row r="148" spans="6:9" ht="14.25">
      <c r="F148" s="84"/>
      <c r="G148" s="84"/>
      <c r="H148" s="84"/>
      <c r="I148" s="84"/>
    </row>
    <row r="149" spans="6:9" ht="14.25">
      <c r="F149" s="84"/>
      <c r="G149" s="84"/>
      <c r="H149" s="84"/>
      <c r="I149" s="84"/>
    </row>
    <row r="150" spans="6:9" ht="14.25">
      <c r="F150" s="84"/>
      <c r="G150" s="84"/>
      <c r="H150" s="84"/>
      <c r="I150" s="84"/>
    </row>
    <row r="151" spans="6:9" ht="14.25">
      <c r="F151" s="84"/>
      <c r="G151" s="84"/>
      <c r="H151" s="84"/>
      <c r="I151" s="84"/>
    </row>
    <row r="152" spans="6:9" ht="14.25">
      <c r="F152" s="84"/>
      <c r="G152" s="84"/>
      <c r="H152" s="84"/>
      <c r="I152" s="84"/>
    </row>
    <row r="153" spans="6:9" ht="14.25">
      <c r="F153" s="84"/>
      <c r="G153" s="84"/>
      <c r="H153" s="84"/>
      <c r="I153" s="84"/>
    </row>
    <row r="154" spans="6:9" ht="14.25">
      <c r="F154" s="84"/>
      <c r="G154" s="84"/>
      <c r="H154" s="84"/>
      <c r="I154" s="84"/>
    </row>
    <row r="155" spans="6:9" ht="14.25">
      <c r="F155" s="84"/>
      <c r="G155" s="84"/>
      <c r="H155" s="84"/>
      <c r="I155" s="84"/>
    </row>
    <row r="156" spans="6:9" ht="14.25">
      <c r="F156" s="84"/>
      <c r="G156" s="84"/>
      <c r="H156" s="84"/>
      <c r="I156" s="84"/>
    </row>
    <row r="157" spans="6:9" ht="14.25">
      <c r="F157" s="84"/>
      <c r="G157" s="84"/>
      <c r="H157" s="84"/>
      <c r="I157" s="84"/>
    </row>
    <row r="158" spans="6:9" ht="14.25">
      <c r="F158" s="84"/>
      <c r="G158" s="84"/>
      <c r="H158" s="84"/>
      <c r="I158" s="84"/>
    </row>
    <row r="159" spans="6:9" ht="14.25">
      <c r="F159" s="84"/>
      <c r="G159" s="84"/>
      <c r="H159" s="84"/>
      <c r="I159" s="84"/>
    </row>
    <row r="160" spans="6:9" ht="14.25">
      <c r="F160" s="84"/>
      <c r="G160" s="84"/>
      <c r="H160" s="84"/>
      <c r="I160" s="84"/>
    </row>
    <row r="161" spans="6:9" ht="14.25">
      <c r="F161" s="84"/>
      <c r="G161" s="84"/>
      <c r="H161" s="84"/>
      <c r="I161" s="84"/>
    </row>
    <row r="162" spans="6:9" ht="14.25">
      <c r="F162" s="84"/>
      <c r="G162" s="84"/>
      <c r="H162" s="84"/>
      <c r="I162" s="84"/>
    </row>
    <row r="163" spans="6:9" ht="14.25">
      <c r="F163" s="84"/>
      <c r="G163" s="84"/>
      <c r="H163" s="84"/>
      <c r="I163" s="84"/>
    </row>
    <row r="164" spans="6:9" ht="14.25">
      <c r="F164" s="84"/>
      <c r="G164" s="84"/>
      <c r="H164" s="84"/>
      <c r="I164" s="84"/>
    </row>
    <row r="165" spans="6:9" ht="14.25">
      <c r="F165" s="84"/>
      <c r="G165" s="84"/>
      <c r="H165" s="84"/>
      <c r="I165" s="84"/>
    </row>
  </sheetData>
  <sheetProtection/>
  <mergeCells count="2">
    <mergeCell ref="B6:E6"/>
    <mergeCell ref="F6:I6"/>
  </mergeCells>
  <conditionalFormatting sqref="B31:I31">
    <cfRule type="cellIs" priority="2" dxfId="143" operator="notBetween">
      <formula>0.5</formula>
      <formula>-0.5</formula>
    </cfRule>
  </conditionalFormatting>
  <conditionalFormatting sqref="B30:I30">
    <cfRule type="cellIs" priority="1" dxfId="143" operator="notBetween">
      <formula>0.5</formula>
      <formula>-0.5</formula>
    </cfRule>
  </conditionalFormatting>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I1000"/>
  <sheetViews>
    <sheetView showGridLines="0" zoomScalePageLayoutView="0" workbookViewId="0" topLeftCell="A1">
      <selection activeCell="P25" sqref="P25"/>
    </sheetView>
  </sheetViews>
  <sheetFormatPr defaultColWidth="11.421875" defaultRowHeight="15"/>
  <cols>
    <col min="1" max="1" width="62.00390625" style="31" customWidth="1"/>
    <col min="2" max="16384" width="11.421875" style="31" customWidth="1"/>
  </cols>
  <sheetData>
    <row r="1" spans="1:9" ht="16.5">
      <c r="A1" s="29" t="str">
        <f>HLOOKUP(INDICE!$F$2,Nombres!$C$3:$D$636,21,FALSE)</f>
        <v>Corporate &amp; Investment Banking</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8">
        <f>+España!B6</f>
        <v>2019</v>
      </c>
      <c r="C6" s="308"/>
      <c r="D6" s="308"/>
      <c r="E6" s="309"/>
      <c r="F6" s="308">
        <f>+España!F6</f>
        <v>2020</v>
      </c>
      <c r="G6" s="308"/>
      <c r="H6" s="308"/>
      <c r="I6" s="308"/>
    </row>
    <row r="7" spans="1:9" ht="14.2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4.25">
      <c r="A8" s="41" t="str">
        <f>HLOOKUP(INDICE!$F$2,Nombres!$C$3:$D$636,33,FALSE)</f>
        <v>Margen de intereses</v>
      </c>
      <c r="B8" s="41">
        <v>367.21825190000015</v>
      </c>
      <c r="C8" s="41">
        <v>395.76021204999984</v>
      </c>
      <c r="D8" s="41">
        <v>358.25723718999996</v>
      </c>
      <c r="E8" s="42">
        <v>384.58396203999996</v>
      </c>
      <c r="F8" s="50">
        <v>388.97482375000004</v>
      </c>
      <c r="G8" s="50">
        <v>417.00548890999994</v>
      </c>
      <c r="H8" s="50">
        <v>385.64692261</v>
      </c>
      <c r="I8" s="50">
        <v>404.55270154000004</v>
      </c>
    </row>
    <row r="9" spans="1:9" ht="14.25">
      <c r="A9" s="43" t="str">
        <f>HLOOKUP(INDICE!$F$2,Nombres!$C$3:$D$636,34,FALSE)</f>
        <v>Comisiones netas</v>
      </c>
      <c r="B9" s="44">
        <v>172.61290168</v>
      </c>
      <c r="C9" s="44">
        <v>177.79750205</v>
      </c>
      <c r="D9" s="44">
        <v>194.51326661000002</v>
      </c>
      <c r="E9" s="45">
        <v>193.70670015000002</v>
      </c>
      <c r="F9" s="44">
        <v>195.72944238</v>
      </c>
      <c r="G9" s="44">
        <v>206.43489423</v>
      </c>
      <c r="H9" s="44">
        <v>211.52073836</v>
      </c>
      <c r="I9" s="44">
        <v>188.14232624000005</v>
      </c>
    </row>
    <row r="10" spans="1:9" ht="14.25">
      <c r="A10" s="43" t="str">
        <f>HLOOKUP(INDICE!$F$2,Nombres!$C$3:$D$636,35,FALSE)</f>
        <v>Resultados de operaciones financieras</v>
      </c>
      <c r="B10" s="44">
        <v>215.32212168999996</v>
      </c>
      <c r="C10" s="44">
        <v>153.84738506999997</v>
      </c>
      <c r="D10" s="44">
        <v>204.39237042999997</v>
      </c>
      <c r="E10" s="45">
        <v>270.48434582000004</v>
      </c>
      <c r="F10" s="44">
        <v>182.08801836</v>
      </c>
      <c r="G10" s="44">
        <v>235.09881226</v>
      </c>
      <c r="H10" s="44">
        <v>204.17674488999998</v>
      </c>
      <c r="I10" s="44">
        <v>158.91182437</v>
      </c>
    </row>
    <row r="11" spans="1:9" ht="14.25">
      <c r="A11" s="43" t="str">
        <f>HLOOKUP(INDICE!$F$2,Nombres!$C$3:$D$636,36,FALSE)</f>
        <v>Otros ingresos y cargas de explotación</v>
      </c>
      <c r="B11" s="44">
        <v>-15.010605589999999</v>
      </c>
      <c r="C11" s="44">
        <v>-11.72339546</v>
      </c>
      <c r="D11" s="44">
        <v>-15.031768709999998</v>
      </c>
      <c r="E11" s="45">
        <v>-14.022853880000003</v>
      </c>
      <c r="F11" s="44">
        <v>-13.024833819999998</v>
      </c>
      <c r="G11" s="44">
        <v>-10.35039996</v>
      </c>
      <c r="H11" s="44">
        <v>-9.471520159999997</v>
      </c>
      <c r="I11" s="44">
        <v>-10.903457180000004</v>
      </c>
    </row>
    <row r="12" spans="1:9" ht="14.25">
      <c r="A12" s="41" t="str">
        <f>HLOOKUP(INDICE!$F$2,Nombres!$C$3:$D$636,37,FALSE)</f>
        <v>Margen bruto</v>
      </c>
      <c r="B12" s="41">
        <f>+SUM(B8:B11)</f>
        <v>740.14266968</v>
      </c>
      <c r="C12" s="41">
        <f aca="true" t="shared" si="0" ref="C12:I12">+SUM(C8:C11)</f>
        <v>715.6817037099999</v>
      </c>
      <c r="D12" s="41">
        <f t="shared" si="0"/>
        <v>742.1311055199999</v>
      </c>
      <c r="E12" s="42">
        <f t="shared" si="0"/>
        <v>834.75215413</v>
      </c>
      <c r="F12" s="50">
        <f t="shared" si="0"/>
        <v>753.76745067</v>
      </c>
      <c r="G12" s="50">
        <f t="shared" si="0"/>
        <v>848.1887954399999</v>
      </c>
      <c r="H12" s="50">
        <f t="shared" si="0"/>
        <v>791.8728857000001</v>
      </c>
      <c r="I12" s="50">
        <f t="shared" si="0"/>
        <v>740.7033949700001</v>
      </c>
    </row>
    <row r="13" spans="1:9" ht="14.25">
      <c r="A13" s="43" t="str">
        <f>HLOOKUP(INDICE!$F$2,Nombres!$C$3:$D$636,38,FALSE)</f>
        <v>Gastos de explotación</v>
      </c>
      <c r="B13" s="44">
        <v>-261.11825661</v>
      </c>
      <c r="C13" s="44">
        <v>-264.32993254999997</v>
      </c>
      <c r="D13" s="44">
        <v>-264.73798808</v>
      </c>
      <c r="E13" s="45">
        <v>-277.23768027999995</v>
      </c>
      <c r="F13" s="44">
        <v>-271.81702471000006</v>
      </c>
      <c r="G13" s="44">
        <v>-214.07411639999998</v>
      </c>
      <c r="H13" s="44">
        <v>-234.57897843</v>
      </c>
      <c r="I13" s="44">
        <v>-271.43772519000004</v>
      </c>
    </row>
    <row r="14" spans="1:9" ht="14.25">
      <c r="A14" s="43" t="str">
        <f>HLOOKUP(INDICE!$F$2,Nombres!$C$3:$D$636,39,FALSE)</f>
        <v>  Gastos de administración</v>
      </c>
      <c r="B14" s="44">
        <v>-229.30957564</v>
      </c>
      <c r="C14" s="44">
        <v>-232.61690496</v>
      </c>
      <c r="D14" s="44">
        <v>-233.29877556000005</v>
      </c>
      <c r="E14" s="45">
        <v>-246.67995505</v>
      </c>
      <c r="F14" s="44">
        <v>-241.77054399000002</v>
      </c>
      <c r="G14" s="44">
        <v>-184.23152594</v>
      </c>
      <c r="H14" s="44">
        <v>-204.88132363</v>
      </c>
      <c r="I14" s="44">
        <v>-242.88279256</v>
      </c>
    </row>
    <row r="15" spans="1:9" ht="14.25">
      <c r="A15" s="46" t="str">
        <f>HLOOKUP(INDICE!$F$2,Nombres!$C$3:$D$636,40,FALSE)</f>
        <v>  Gastos de personal</v>
      </c>
      <c r="B15" s="44">
        <v>-120.16406260000001</v>
      </c>
      <c r="C15" s="44">
        <v>-116.30060559</v>
      </c>
      <c r="D15" s="44">
        <v>-117.95517267000001</v>
      </c>
      <c r="E15" s="45">
        <v>-124.34400779</v>
      </c>
      <c r="F15" s="44">
        <v>-124.78176178999999</v>
      </c>
      <c r="G15" s="44">
        <v>-77.59380011</v>
      </c>
      <c r="H15" s="44">
        <v>-92.68177664000001</v>
      </c>
      <c r="I15" s="44">
        <v>-130.06427602</v>
      </c>
    </row>
    <row r="16" spans="1:9" ht="14.25">
      <c r="A16" s="46" t="str">
        <f>HLOOKUP(INDICE!$F$2,Nombres!$C$3:$D$636,41,FALSE)</f>
        <v>  Otros gastos de administración</v>
      </c>
      <c r="B16" s="44">
        <v>-109.14551303999998</v>
      </c>
      <c r="C16" s="44">
        <v>-116.31629937</v>
      </c>
      <c r="D16" s="44">
        <v>-115.34360289000003</v>
      </c>
      <c r="E16" s="45">
        <v>-122.33594725999998</v>
      </c>
      <c r="F16" s="44">
        <v>-116.9887822</v>
      </c>
      <c r="G16" s="44">
        <v>-106.63772583000001</v>
      </c>
      <c r="H16" s="44">
        <v>-112.19954699000002</v>
      </c>
      <c r="I16" s="44">
        <v>-112.81851654000002</v>
      </c>
    </row>
    <row r="17" spans="1:9" ht="14.25">
      <c r="A17" s="43" t="str">
        <f>HLOOKUP(INDICE!$F$2,Nombres!$C$3:$D$636,42,FALSE)</f>
        <v>  Amortización</v>
      </c>
      <c r="B17" s="44">
        <v>-31.80868097</v>
      </c>
      <c r="C17" s="44">
        <v>-31.713027589999996</v>
      </c>
      <c r="D17" s="44">
        <v>-31.439212519999998</v>
      </c>
      <c r="E17" s="45">
        <v>-30.55772523</v>
      </c>
      <c r="F17" s="44">
        <v>-30.046480719999998</v>
      </c>
      <c r="G17" s="44">
        <v>-29.84259046</v>
      </c>
      <c r="H17" s="44">
        <v>-29.697654800000002</v>
      </c>
      <c r="I17" s="44">
        <v>-28.55493263</v>
      </c>
    </row>
    <row r="18" spans="1:9" ht="14.25">
      <c r="A18" s="41" t="str">
        <f>HLOOKUP(INDICE!$F$2,Nombres!$C$3:$D$636,43,FALSE)</f>
        <v>Margen neto</v>
      </c>
      <c r="B18" s="41">
        <f>+B12+B13</f>
        <v>479.02441307000004</v>
      </c>
      <c r="C18" s="41">
        <f aca="true" t="shared" si="1" ref="C18:I18">+C12+C13</f>
        <v>451.3517711599999</v>
      </c>
      <c r="D18" s="41">
        <f t="shared" si="1"/>
        <v>477.3931174399999</v>
      </c>
      <c r="E18" s="42">
        <f t="shared" si="1"/>
        <v>557.5144738500001</v>
      </c>
      <c r="F18" s="50">
        <f t="shared" si="1"/>
        <v>481.95042595999996</v>
      </c>
      <c r="G18" s="50">
        <f t="shared" si="1"/>
        <v>634.1146790399999</v>
      </c>
      <c r="H18" s="50">
        <f t="shared" si="1"/>
        <v>557.2939072700001</v>
      </c>
      <c r="I18" s="50">
        <f t="shared" si="1"/>
        <v>469.26566978000005</v>
      </c>
    </row>
    <row r="19" spans="1:9" ht="14.25">
      <c r="A19" s="43" t="str">
        <f>HLOOKUP(INDICE!$F$2,Nombres!$C$3:$D$636,44,FALSE)</f>
        <v>Deterioro de activos financieros no valorados a valor razonable con cambios en resultados</v>
      </c>
      <c r="B19" s="44">
        <v>-55.107655030000004</v>
      </c>
      <c r="C19" s="44">
        <v>-23.582571719999997</v>
      </c>
      <c r="D19" s="44">
        <v>-76.82694065</v>
      </c>
      <c r="E19" s="45">
        <v>-83.82694447</v>
      </c>
      <c r="F19" s="44">
        <v>-310.89375508</v>
      </c>
      <c r="G19" s="44">
        <v>-114.87594740000002</v>
      </c>
      <c r="H19" s="44">
        <v>-28.898556129999996</v>
      </c>
      <c r="I19" s="44">
        <v>-115.06608275</v>
      </c>
    </row>
    <row r="20" spans="1:9" ht="14.25">
      <c r="A20" s="43" t="str">
        <f>HLOOKUP(INDICE!$F$2,Nombres!$C$3:$D$636,45,FALSE)</f>
        <v>Provisiones o reversión de provisiones y otros resultados</v>
      </c>
      <c r="B20" s="44">
        <v>4.5376118399999985</v>
      </c>
      <c r="C20" s="44">
        <v>13.67019294</v>
      </c>
      <c r="D20" s="44">
        <v>7.05097864</v>
      </c>
      <c r="E20" s="45">
        <v>-16.031783339999997</v>
      </c>
      <c r="F20" s="44">
        <v>-10.565768010000008</v>
      </c>
      <c r="G20" s="44">
        <v>-25.167227019999995</v>
      </c>
      <c r="H20" s="44">
        <v>-27.740778660000004</v>
      </c>
      <c r="I20" s="44">
        <v>-17.170163629999998</v>
      </c>
    </row>
    <row r="21" spans="1:9" ht="14.25">
      <c r="A21" s="41" t="str">
        <f>HLOOKUP(INDICE!$F$2,Nombres!$C$3:$D$636,46,FALSE)</f>
        <v>Resultado antes de impuestos</v>
      </c>
      <c r="B21" s="41">
        <f>+B18+B19+B20</f>
        <v>428.45436988000006</v>
      </c>
      <c r="C21" s="41">
        <f aca="true" t="shared" si="2" ref="C21:I21">+C18+C19+C20</f>
        <v>441.4393923799999</v>
      </c>
      <c r="D21" s="41">
        <f t="shared" si="2"/>
        <v>407.6171554299999</v>
      </c>
      <c r="E21" s="42">
        <f t="shared" si="2"/>
        <v>457.65574604000005</v>
      </c>
      <c r="F21" s="50">
        <f t="shared" si="2"/>
        <v>160.49090286999996</v>
      </c>
      <c r="G21" s="50">
        <f t="shared" si="2"/>
        <v>494.07150462</v>
      </c>
      <c r="H21" s="50">
        <f t="shared" si="2"/>
        <v>500.6545724800001</v>
      </c>
      <c r="I21" s="50">
        <f t="shared" si="2"/>
        <v>337.02942340000004</v>
      </c>
    </row>
    <row r="22" spans="1:9" ht="14.25">
      <c r="A22" s="43" t="str">
        <f>HLOOKUP(INDICE!$F$2,Nombres!$C$3:$D$636,47,FALSE)</f>
        <v>Impuesto sobre beneficios</v>
      </c>
      <c r="B22" s="44">
        <v>-107.04812041</v>
      </c>
      <c r="C22" s="44">
        <v>-106.04869968</v>
      </c>
      <c r="D22" s="44">
        <v>-107.22576282999998</v>
      </c>
      <c r="E22" s="45">
        <v>-106.57128685999999</v>
      </c>
      <c r="F22" s="44">
        <v>-43.68219014999998</v>
      </c>
      <c r="G22" s="44">
        <v>-138.12815146999998</v>
      </c>
      <c r="H22" s="44">
        <v>-134.74241209999997</v>
      </c>
      <c r="I22" s="44">
        <v>-78.7164296</v>
      </c>
    </row>
    <row r="23" spans="1:9" ht="14.25">
      <c r="A23" s="41" t="str">
        <f>HLOOKUP(INDICE!$F$2,Nombres!$C$3:$D$636,48,FALSE)</f>
        <v>Resultado del ejercicio</v>
      </c>
      <c r="B23" s="41">
        <f>+B21+B22</f>
        <v>321.40624947000003</v>
      </c>
      <c r="C23" s="41">
        <f aca="true" t="shared" si="3" ref="C23:I23">+C21+C22</f>
        <v>335.39069269999993</v>
      </c>
      <c r="D23" s="41">
        <f t="shared" si="3"/>
        <v>300.3913925999999</v>
      </c>
      <c r="E23" s="42">
        <f t="shared" si="3"/>
        <v>351.08445918000007</v>
      </c>
      <c r="F23" s="50">
        <f t="shared" si="3"/>
        <v>116.80871271999997</v>
      </c>
      <c r="G23" s="50">
        <f t="shared" si="3"/>
        <v>355.94335315</v>
      </c>
      <c r="H23" s="50">
        <f t="shared" si="3"/>
        <v>365.91216038000016</v>
      </c>
      <c r="I23" s="50">
        <f t="shared" si="3"/>
        <v>258.3129938000001</v>
      </c>
    </row>
    <row r="24" spans="1:9" ht="14.25">
      <c r="A24" s="43" t="str">
        <f>HLOOKUP(INDICE!$F$2,Nombres!$C$3:$D$636,49,FALSE)</f>
        <v>Minoritarios</v>
      </c>
      <c r="B24" s="44">
        <v>-87.29714023</v>
      </c>
      <c r="C24" s="44">
        <v>-73.443279</v>
      </c>
      <c r="D24" s="44">
        <v>-53.85229236000001</v>
      </c>
      <c r="E24" s="45">
        <v>-75.19344365999999</v>
      </c>
      <c r="F24" s="44">
        <v>-24.066227299999998</v>
      </c>
      <c r="G24" s="44">
        <v>-63.83088278999999</v>
      </c>
      <c r="H24" s="44">
        <v>-83.11271177</v>
      </c>
      <c r="I24" s="44">
        <v>-49.151207299999996</v>
      </c>
    </row>
    <row r="25" spans="1:9" ht="14.25">
      <c r="A25" s="47" t="str">
        <f>HLOOKUP(INDICE!$F$2,Nombres!$C$3:$D$636,50,FALSE)</f>
        <v>Resultado atribuido</v>
      </c>
      <c r="B25" s="47">
        <f>+B23+B24</f>
        <v>234.10910924000004</v>
      </c>
      <c r="C25" s="47">
        <f aca="true" t="shared" si="4" ref="C25:I25">+C23+C24</f>
        <v>261.9474136999999</v>
      </c>
      <c r="D25" s="47">
        <f t="shared" si="4"/>
        <v>246.5391002399999</v>
      </c>
      <c r="E25" s="47">
        <f t="shared" si="4"/>
        <v>275.8910155200001</v>
      </c>
      <c r="F25" s="51">
        <f t="shared" si="4"/>
        <v>92.74248541999998</v>
      </c>
      <c r="G25" s="51">
        <f t="shared" si="4"/>
        <v>292.11247036000003</v>
      </c>
      <c r="H25" s="51">
        <f t="shared" si="4"/>
        <v>282.7994486100001</v>
      </c>
      <c r="I25" s="51">
        <f t="shared" si="4"/>
        <v>209.16178650000006</v>
      </c>
    </row>
    <row r="26" spans="1:9" ht="14.25">
      <c r="A26" s="63"/>
      <c r="B26" s="64">
        <v>0</v>
      </c>
      <c r="C26" s="64">
        <v>0</v>
      </c>
      <c r="D26" s="64">
        <v>0</v>
      </c>
      <c r="E26" s="64">
        <v>0</v>
      </c>
      <c r="F26" s="64">
        <v>0</v>
      </c>
      <c r="G26" s="64">
        <v>0</v>
      </c>
      <c r="H26" s="64">
        <v>0</v>
      </c>
      <c r="I26" s="64">
        <v>0</v>
      </c>
    </row>
    <row r="27" spans="1:9" ht="14.25">
      <c r="A27" s="41"/>
      <c r="B27" s="41"/>
      <c r="C27" s="41"/>
      <c r="D27" s="41"/>
      <c r="E27" s="41"/>
      <c r="F27" s="41"/>
      <c r="G27" s="41"/>
      <c r="H27" s="41"/>
      <c r="I27" s="41"/>
    </row>
    <row r="28" spans="1:9" ht="16.5">
      <c r="A28" s="33" t="str">
        <f>HLOOKUP(INDICE!$F$2,Nombres!$C$3:$D$636,51,FALSE)</f>
        <v>Balances</v>
      </c>
      <c r="B28" s="34"/>
      <c r="C28" s="34"/>
      <c r="D28" s="34"/>
      <c r="E28" s="34"/>
      <c r="F28" s="34"/>
      <c r="G28" s="34"/>
      <c r="H28" s="34"/>
      <c r="I28" s="34"/>
    </row>
    <row r="29" spans="1:9" ht="14.25">
      <c r="A29" s="35" t="str">
        <f>HLOOKUP(INDICE!$F$2,Nombres!$C$3:$D$636,32,FALSE)</f>
        <v>(Millones de euros)</v>
      </c>
      <c r="B29" s="30"/>
      <c r="C29" s="52"/>
      <c r="D29" s="52"/>
      <c r="E29" s="52"/>
      <c r="F29" s="30"/>
      <c r="G29" s="58"/>
      <c r="H29" s="58"/>
      <c r="I29" s="58"/>
    </row>
    <row r="30" spans="1:9" ht="14.25">
      <c r="A30" s="30"/>
      <c r="B30" s="53">
        <f>+España!B30</f>
        <v>43555</v>
      </c>
      <c r="C30" s="53">
        <f>+España!C30</f>
        <v>43646</v>
      </c>
      <c r="D30" s="53">
        <f>+España!D30</f>
        <v>43738</v>
      </c>
      <c r="E30" s="69">
        <f>+España!E30</f>
        <v>43830</v>
      </c>
      <c r="F30" s="78">
        <f>+España!F30</f>
        <v>43921</v>
      </c>
      <c r="G30" s="78">
        <f>+España!G30</f>
        <v>44012</v>
      </c>
      <c r="H30" s="78">
        <f>+España!H30</f>
        <v>44104</v>
      </c>
      <c r="I30" s="78">
        <f>+España!I30</f>
        <v>44196</v>
      </c>
    </row>
    <row r="31" spans="1:9" ht="14.25">
      <c r="A31" s="43" t="str">
        <f>HLOOKUP(INDICE!$F$2,Nombres!$C$3:$D$636,52,FALSE)</f>
        <v>Efectivo, saldos en efectivo en bancos centrales y otros depósitos a la vista</v>
      </c>
      <c r="B31" s="44">
        <v>3959.601068649996</v>
      </c>
      <c r="C31" s="44">
        <v>3556.5153895199983</v>
      </c>
      <c r="D31" s="44">
        <v>2831.3831171299953</v>
      </c>
      <c r="E31" s="45">
        <v>3512.947722099998</v>
      </c>
      <c r="F31" s="44">
        <v>5952.42145749</v>
      </c>
      <c r="G31" s="44">
        <v>4204.11151737</v>
      </c>
      <c r="H31" s="44">
        <v>5902.52700482</v>
      </c>
      <c r="I31" s="44">
        <v>7502.793036659998</v>
      </c>
    </row>
    <row r="32" spans="1:9" ht="14.25">
      <c r="A32" s="43" t="str">
        <f>HLOOKUP(INDICE!$F$2,Nombres!$C$3:$D$636,53,FALSE)</f>
        <v>Activos financieros a valor razonable</v>
      </c>
      <c r="B32" s="58">
        <v>93813.01769296</v>
      </c>
      <c r="C32" s="58">
        <v>107333.97260393998</v>
      </c>
      <c r="D32" s="58">
        <v>111667.06284763999</v>
      </c>
      <c r="E32" s="66">
        <v>104432.31779066</v>
      </c>
      <c r="F32" s="44">
        <v>137231.94585428998</v>
      </c>
      <c r="G32" s="44">
        <v>121655.85209988996</v>
      </c>
      <c r="H32" s="44">
        <v>110231.8286672</v>
      </c>
      <c r="I32" s="44">
        <v>110631.64993227</v>
      </c>
    </row>
    <row r="33" spans="1:9" ht="14.25">
      <c r="A33" s="43" t="str">
        <f>HLOOKUP(INDICE!$F$2,Nombres!$C$3:$D$636,54,FALSE)</f>
        <v>Activos financieros a coste amortizado</v>
      </c>
      <c r="B33" s="44">
        <v>72232.81894433999</v>
      </c>
      <c r="C33" s="44">
        <v>71212.47087769</v>
      </c>
      <c r="D33" s="44">
        <v>74903.51814248001</v>
      </c>
      <c r="E33" s="45">
        <v>76169.23174762001</v>
      </c>
      <c r="F33" s="44">
        <v>87370.21388713</v>
      </c>
      <c r="G33" s="44">
        <v>87077.22567652</v>
      </c>
      <c r="H33" s="44">
        <v>76204.99303802</v>
      </c>
      <c r="I33" s="44">
        <v>74588.76624665</v>
      </c>
    </row>
    <row r="34" spans="1:9" ht="14.25">
      <c r="A34" s="43" t="str">
        <f>HLOOKUP(INDICE!$F$2,Nombres!$C$3:$D$636,55,FALSE)</f>
        <v>    de los que préstamos y anticipos a la clientela</v>
      </c>
      <c r="B34" s="44">
        <v>65027.10986874</v>
      </c>
      <c r="C34" s="44">
        <v>61982.680927190006</v>
      </c>
      <c r="D34" s="44">
        <v>62465.857927360004</v>
      </c>
      <c r="E34" s="45">
        <v>65915.1195148</v>
      </c>
      <c r="F34" s="44">
        <v>74561.31854012</v>
      </c>
      <c r="G34" s="44">
        <v>74335.19178386</v>
      </c>
      <c r="H34" s="44">
        <v>66010.50513696</v>
      </c>
      <c r="I34" s="44">
        <v>62782.16380920001</v>
      </c>
    </row>
    <row r="35" spans="1:9" ht="14.25">
      <c r="A35" s="43" t="str">
        <f>HLOOKUP(INDICE!$F$2,Nombres!$C$3:$D$636,121,FALSE)</f>
        <v>Posiciones inter-áreas activo</v>
      </c>
      <c r="B35" s="44">
        <v>0</v>
      </c>
      <c r="C35" s="44">
        <v>0</v>
      </c>
      <c r="D35" s="44">
        <v>0</v>
      </c>
      <c r="E35" s="45">
        <v>0</v>
      </c>
      <c r="F35" s="44">
        <v>0</v>
      </c>
      <c r="G35" s="44">
        <v>0</v>
      </c>
      <c r="H35" s="44">
        <v>0</v>
      </c>
      <c r="I35" s="44">
        <v>0</v>
      </c>
    </row>
    <row r="36" spans="1:9" ht="14.25">
      <c r="A36" s="43" t="str">
        <f>HLOOKUP(INDICE!$F$2,Nombres!$C$3:$D$636,56,FALSE)</f>
        <v>Activos tangibles</v>
      </c>
      <c r="B36" s="44">
        <v>82.59882487</v>
      </c>
      <c r="C36" s="44">
        <v>75.79579665</v>
      </c>
      <c r="D36" s="44">
        <v>79.90882658000001</v>
      </c>
      <c r="E36" s="45">
        <v>63.454635520000004</v>
      </c>
      <c r="F36" s="44">
        <v>57.36236175</v>
      </c>
      <c r="G36" s="44">
        <v>55.047222579999996</v>
      </c>
      <c r="H36" s="44">
        <v>34.940553890000004</v>
      </c>
      <c r="I36" s="44">
        <v>-51.27667527999998</v>
      </c>
    </row>
    <row r="37" spans="1:9" ht="14.25">
      <c r="A37" s="43" t="str">
        <f>HLOOKUP(INDICE!$F$2,Nombres!$C$3:$D$636,57,FALSE)</f>
        <v>Otros activos</v>
      </c>
      <c r="B37" s="58">
        <f>+B38-B36-B33-B32-B31-B35</f>
        <v>3547.7769669300596</v>
      </c>
      <c r="C37" s="58">
        <f aca="true" t="shared" si="5" ref="C37:I37">+C38-C36-C33-C32-C31-C35</f>
        <v>2957.448521829974</v>
      </c>
      <c r="D37" s="58">
        <f t="shared" si="5"/>
        <v>15686.081227570003</v>
      </c>
      <c r="E37" s="66">
        <f t="shared" si="5"/>
        <v>2505.809068260074</v>
      </c>
      <c r="F37" s="58">
        <f t="shared" si="5"/>
        <v>1641.1662651600018</v>
      </c>
      <c r="G37" s="58">
        <f t="shared" si="5"/>
        <v>1522.7891910400303</v>
      </c>
      <c r="H37" s="58">
        <f t="shared" si="5"/>
        <v>1226.5377231600178</v>
      </c>
      <c r="I37" s="58">
        <f t="shared" si="5"/>
        <v>853.7658291599873</v>
      </c>
    </row>
    <row r="38" spans="1:9" ht="14.25">
      <c r="A38" s="47" t="str">
        <f>HLOOKUP(INDICE!$F$2,Nombres!$C$3:$D$636,58,FALSE)</f>
        <v>Total activo / pasivo</v>
      </c>
      <c r="B38" s="47">
        <v>173635.81349775003</v>
      </c>
      <c r="C38" s="47">
        <v>185136.20318962994</v>
      </c>
      <c r="D38" s="47">
        <v>205167.9541614</v>
      </c>
      <c r="E38" s="72">
        <v>186683.7609641601</v>
      </c>
      <c r="F38" s="51">
        <v>232253.10982582</v>
      </c>
      <c r="G38" s="51">
        <v>214515.0257074</v>
      </c>
      <c r="H38" s="51">
        <v>193600.82698709</v>
      </c>
      <c r="I38" s="51">
        <v>193525.69836945998</v>
      </c>
    </row>
    <row r="39" spans="1:9" ht="14.25">
      <c r="A39" s="43" t="str">
        <f>HLOOKUP(INDICE!$F$2,Nombres!$C$3:$D$636,59,FALSE)</f>
        <v>Pasivos financieros mantenidos para negociar y designados a valor razonable con cambios en resultados</v>
      </c>
      <c r="B39" s="58">
        <v>80844.79685511999</v>
      </c>
      <c r="C39" s="58">
        <v>93000.54404425998</v>
      </c>
      <c r="D39" s="58">
        <v>93208.86491281998</v>
      </c>
      <c r="E39" s="66">
        <v>90704.11360181002</v>
      </c>
      <c r="F39" s="44">
        <v>118822.07307565001</v>
      </c>
      <c r="G39" s="44">
        <v>109016.93442281</v>
      </c>
      <c r="H39" s="44">
        <v>94840.18135892</v>
      </c>
      <c r="I39" s="44">
        <v>87641.01046527001</v>
      </c>
    </row>
    <row r="40" spans="1:9" ht="14.25">
      <c r="A40" s="43" t="str">
        <f>HLOOKUP(INDICE!$F$2,Nombres!$C$3:$D$636,60,FALSE)</f>
        <v>Depósitos de bancos centrales y entidades de crédito</v>
      </c>
      <c r="B40" s="58">
        <v>15390.899698739999</v>
      </c>
      <c r="C40" s="58">
        <v>16397.39851249</v>
      </c>
      <c r="D40" s="58">
        <v>16915.66370779</v>
      </c>
      <c r="E40" s="66">
        <v>15425.90979637</v>
      </c>
      <c r="F40" s="44">
        <v>19483.979263630004</v>
      </c>
      <c r="G40" s="44">
        <v>15168.51874217</v>
      </c>
      <c r="H40" s="44">
        <v>12193.15378082</v>
      </c>
      <c r="I40" s="44">
        <v>16217.732202879999</v>
      </c>
    </row>
    <row r="41" spans="1:9" ht="15.75" customHeight="1">
      <c r="A41" s="43" t="str">
        <f>HLOOKUP(INDICE!$F$2,Nombres!$C$3:$D$636,61,FALSE)</f>
        <v>Depósitos de la clientela</v>
      </c>
      <c r="B41" s="58">
        <v>37408.746672780006</v>
      </c>
      <c r="C41" s="58">
        <v>35347.25112216</v>
      </c>
      <c r="D41" s="58">
        <v>37358.43942491001</v>
      </c>
      <c r="E41" s="66">
        <v>39166.35440305</v>
      </c>
      <c r="F41" s="44">
        <v>40930.94844902</v>
      </c>
      <c r="G41" s="44">
        <v>43993.68519638</v>
      </c>
      <c r="H41" s="44">
        <v>44000.24340747</v>
      </c>
      <c r="I41" s="44">
        <v>47470.64696405</v>
      </c>
    </row>
    <row r="42" spans="1:9" ht="14.25">
      <c r="A42" s="43" t="str">
        <f>HLOOKUP(INDICE!$F$2,Nombres!$C$3:$D$636,62,FALSE)</f>
        <v>Valores representativos de deuda emitidos</v>
      </c>
      <c r="B42" s="44">
        <v>2023.69311082</v>
      </c>
      <c r="C42" s="44">
        <v>2986.05844456</v>
      </c>
      <c r="D42" s="44">
        <v>2430.76057837</v>
      </c>
      <c r="E42" s="45">
        <v>2625.16484926</v>
      </c>
      <c r="F42" s="44">
        <v>2183.18460059</v>
      </c>
      <c r="G42" s="44">
        <v>1855.0227352500003</v>
      </c>
      <c r="H42" s="44">
        <v>1860.6350731300004</v>
      </c>
      <c r="I42" s="44">
        <v>2095.74526486</v>
      </c>
    </row>
    <row r="43" spans="1:9" ht="14.25">
      <c r="A43" s="43" t="str">
        <f>HLOOKUP(INDICE!$F$2,Nombres!$C$3:$D$636,122,FALSE)</f>
        <v>Posiciones inter-áreas pasivo</v>
      </c>
      <c r="B43" s="44">
        <v>30937.42832064003</v>
      </c>
      <c r="C43" s="44">
        <v>29448.090001719887</v>
      </c>
      <c r="D43" s="44">
        <v>46903.87509386995</v>
      </c>
      <c r="E43" s="45">
        <v>31315.628403240145</v>
      </c>
      <c r="F43" s="44">
        <v>42319.77554482999</v>
      </c>
      <c r="G43" s="44">
        <v>35544.57533219995</v>
      </c>
      <c r="H43" s="44">
        <v>31523.10055938005</v>
      </c>
      <c r="I43" s="44">
        <v>31430.167427709966</v>
      </c>
    </row>
    <row r="44" spans="1:9" ht="14.25">
      <c r="A44" s="43" t="str">
        <f>HLOOKUP(INDICE!$F$2,Nombres!$C$3:$D$636,63,FALSE)</f>
        <v>Otros pasivos</v>
      </c>
      <c r="B44" s="58">
        <f>+B38-B39-B40-B41-B42-B45-B43</f>
        <v>2808.4777485300074</v>
      </c>
      <c r="C44" s="58">
        <f aca="true" t="shared" si="6" ref="C44:I44">+C38-C39-C40-C41-C42-C45-C43</f>
        <v>4269.864511220083</v>
      </c>
      <c r="D44" s="58">
        <f t="shared" si="6"/>
        <v>4269.98709624006</v>
      </c>
      <c r="E44" s="66">
        <f t="shared" si="6"/>
        <v>2959.380672799918</v>
      </c>
      <c r="F44" s="58">
        <f t="shared" si="6"/>
        <v>3816.6589162199816</v>
      </c>
      <c r="G44" s="58">
        <f t="shared" si="6"/>
        <v>4464.331468590055</v>
      </c>
      <c r="H44" s="58">
        <f t="shared" si="6"/>
        <v>4709.9498269799515</v>
      </c>
      <c r="I44" s="58">
        <f t="shared" si="6"/>
        <v>4265.001625360004</v>
      </c>
    </row>
    <row r="45" spans="1:9" ht="14.25">
      <c r="A45" s="43" t="str">
        <f>HLOOKUP(INDICE!$F$2,Nombres!$C$3:$D$636,64,FALSE)</f>
        <v>Dotación de capital económico</v>
      </c>
      <c r="B45" s="44">
        <v>4221.771091119999</v>
      </c>
      <c r="C45" s="44">
        <v>3686.9965532199985</v>
      </c>
      <c r="D45" s="44">
        <v>4080.3633474</v>
      </c>
      <c r="E45" s="45">
        <v>4487.209237630001</v>
      </c>
      <c r="F45" s="44">
        <v>4696.489975879999</v>
      </c>
      <c r="G45" s="44">
        <v>4471.95781</v>
      </c>
      <c r="H45" s="44">
        <v>4473.56298039</v>
      </c>
      <c r="I45" s="44">
        <v>4405.39441933</v>
      </c>
    </row>
    <row r="46" spans="1:9" ht="14.25">
      <c r="A46" s="63"/>
      <c r="B46" s="58"/>
      <c r="C46" s="58"/>
      <c r="D46" s="58"/>
      <c r="E46" s="58"/>
      <c r="F46" s="79"/>
      <c r="G46" s="79"/>
      <c r="H46" s="79"/>
      <c r="I46" s="79"/>
    </row>
    <row r="47" spans="1:9" ht="14.25">
      <c r="A47" s="43"/>
      <c r="B47" s="58"/>
      <c r="C47" s="58"/>
      <c r="D47" s="58"/>
      <c r="E47" s="58"/>
      <c r="F47" s="79"/>
      <c r="G47" s="79"/>
      <c r="H47" s="79"/>
      <c r="I47" s="79"/>
    </row>
    <row r="48" spans="1:9" ht="16.5">
      <c r="A48" s="33" t="str">
        <f>HLOOKUP(INDICE!$F$2,Nombres!$C$3:$D$636,65,FALSE)</f>
        <v>Indicadores relevantes y de gestión</v>
      </c>
      <c r="B48" s="34"/>
      <c r="C48" s="34"/>
      <c r="D48" s="34"/>
      <c r="E48" s="34"/>
      <c r="F48" s="83"/>
      <c r="G48" s="83"/>
      <c r="H48" s="83"/>
      <c r="I48" s="83"/>
    </row>
    <row r="49" spans="1:9" ht="14.25">
      <c r="A49" s="35" t="str">
        <f>HLOOKUP(INDICE!$F$2,Nombres!$C$3:$D$636,32,FALSE)</f>
        <v>(Millones de euros)</v>
      </c>
      <c r="B49" s="30"/>
      <c r="C49" s="30"/>
      <c r="D49" s="30"/>
      <c r="E49" s="30"/>
      <c r="F49" s="81"/>
      <c r="G49" s="79"/>
      <c r="H49" s="79"/>
      <c r="I49" s="79"/>
    </row>
    <row r="50" spans="1:9" ht="14.25">
      <c r="A50" s="30"/>
      <c r="B50" s="53">
        <f aca="true" t="shared" si="7" ref="B50:I50">+B$30</f>
        <v>43555</v>
      </c>
      <c r="C50" s="53">
        <f t="shared" si="7"/>
        <v>43646</v>
      </c>
      <c r="D50" s="53">
        <f t="shared" si="7"/>
        <v>43738</v>
      </c>
      <c r="E50" s="69">
        <f t="shared" si="7"/>
        <v>43830</v>
      </c>
      <c r="F50" s="78">
        <f t="shared" si="7"/>
        <v>43921</v>
      </c>
      <c r="G50" s="78">
        <f t="shared" si="7"/>
        <v>44012</v>
      </c>
      <c r="H50" s="78">
        <f t="shared" si="7"/>
        <v>44104</v>
      </c>
      <c r="I50" s="78">
        <f t="shared" si="7"/>
        <v>44196</v>
      </c>
    </row>
    <row r="51" spans="1:9" ht="15" customHeight="1">
      <c r="A51" s="43" t="str">
        <f>HLOOKUP(INDICE!$F$2,Nombres!$C$3:$D$636,66,FALSE)</f>
        <v>Préstamos y anticipos a la clientela bruto (*)</v>
      </c>
      <c r="B51" s="44">
        <v>65479.455809240004</v>
      </c>
      <c r="C51" s="44">
        <v>62179.09505527</v>
      </c>
      <c r="D51" s="44">
        <v>62862.02890612</v>
      </c>
      <c r="E51" s="45">
        <v>66554.28311206</v>
      </c>
      <c r="F51" s="79">
        <v>75326.01205784999</v>
      </c>
      <c r="G51" s="79">
        <v>74998.89339703</v>
      </c>
      <c r="H51" s="79">
        <v>66340.66528592001</v>
      </c>
      <c r="I51" s="79">
        <v>62473.06885483001</v>
      </c>
    </row>
    <row r="52" spans="1:9" ht="14.25">
      <c r="A52" s="43" t="str">
        <f>HLOOKUP(INDICE!$F$2,Nombres!$C$3:$D$636,67,FALSE)</f>
        <v>Depósitos de clientes en gestión (**)</v>
      </c>
      <c r="B52" s="44">
        <v>37405.514682500005</v>
      </c>
      <c r="C52" s="44">
        <v>35322.08283756</v>
      </c>
      <c r="D52" s="44">
        <v>37310.96835763</v>
      </c>
      <c r="E52" s="45">
        <v>39150.37931781999</v>
      </c>
      <c r="F52" s="44">
        <v>40607.366233559995</v>
      </c>
      <c r="G52" s="44">
        <v>43885.43093827</v>
      </c>
      <c r="H52" s="44">
        <v>43408.093027949995</v>
      </c>
      <c r="I52" s="44">
        <v>46817.75479456</v>
      </c>
    </row>
    <row r="53" spans="1:9" ht="14.25">
      <c r="A53" s="43" t="str">
        <f>HLOOKUP(INDICE!$F$2,Nombres!$C$3:$D$636,68,FALSE)</f>
        <v>Fondos de inversión</v>
      </c>
      <c r="B53" s="44">
        <v>847.5814779299999</v>
      </c>
      <c r="C53" s="44">
        <v>756.0795136500001</v>
      </c>
      <c r="D53" s="44">
        <v>738.9313007200001</v>
      </c>
      <c r="E53" s="45">
        <v>634.9319168100001</v>
      </c>
      <c r="F53" s="44">
        <v>593.74191791</v>
      </c>
      <c r="G53" s="44">
        <v>1241.6800483700001</v>
      </c>
      <c r="H53" s="44">
        <v>993.9543257399998</v>
      </c>
      <c r="I53" s="44">
        <v>948.6530913400001</v>
      </c>
    </row>
    <row r="54" spans="1:9" ht="14.25">
      <c r="A54" s="43" t="str">
        <f>HLOOKUP(INDICE!$F$2,Nombres!$C$3:$D$636,69,FALSE)</f>
        <v>Fondos de pensiones</v>
      </c>
      <c r="B54" s="44">
        <v>0</v>
      </c>
      <c r="C54" s="44">
        <v>0</v>
      </c>
      <c r="D54" s="44">
        <v>0</v>
      </c>
      <c r="E54" s="45">
        <v>0</v>
      </c>
      <c r="F54" s="44">
        <v>0</v>
      </c>
      <c r="G54" s="44">
        <v>0</v>
      </c>
      <c r="H54" s="44">
        <v>0</v>
      </c>
      <c r="I54" s="44">
        <v>0</v>
      </c>
    </row>
    <row r="55" spans="1:9" ht="14.25">
      <c r="A55" s="43" t="str">
        <f>HLOOKUP(INDICE!$F$2,Nombres!$C$3:$D$636,70,FALSE)</f>
        <v>Otros recursos fuera de balance</v>
      </c>
      <c r="B55" s="44">
        <v>540.15913798</v>
      </c>
      <c r="C55" s="44">
        <v>544.8320786200001</v>
      </c>
      <c r="D55" s="44">
        <v>384.79271908000004</v>
      </c>
      <c r="E55" s="45">
        <v>401.88187617</v>
      </c>
      <c r="F55" s="44">
        <v>129.95471164</v>
      </c>
      <c r="G55" s="44">
        <v>155.2092641</v>
      </c>
      <c r="H55" s="44">
        <v>101.69233328</v>
      </c>
      <c r="I55" s="44">
        <v>80.88990516999999</v>
      </c>
    </row>
    <row r="56" spans="1:9" ht="14.25">
      <c r="A56" s="63" t="str">
        <f>HLOOKUP(INDICE!$F$2,Nombres!$C$3:$D$636,71,FALSE)</f>
        <v>(*) No incluye las adquisiciones temporales de activos.</v>
      </c>
      <c r="B56" s="58"/>
      <c r="C56" s="58"/>
      <c r="D56" s="58"/>
      <c r="E56" s="58"/>
      <c r="F56" s="58"/>
      <c r="G56" s="58"/>
      <c r="H56" s="58"/>
      <c r="I56" s="58"/>
    </row>
    <row r="57" spans="1:9" ht="14.25">
      <c r="A57" s="63" t="str">
        <f>HLOOKUP(INDICE!$F$2,Nombres!$C$3:$D$636,72,FALSE)</f>
        <v>(**) No incluye las cesiones temporales de activos.</v>
      </c>
      <c r="B57" s="30"/>
      <c r="C57" s="30"/>
      <c r="D57" s="30"/>
      <c r="E57" s="30"/>
      <c r="F57" s="30"/>
      <c r="G57" s="30"/>
      <c r="H57" s="30"/>
      <c r="I57" s="30"/>
    </row>
    <row r="58" spans="1:9" ht="14.25">
      <c r="A58" s="63"/>
      <c r="B58" s="30"/>
      <c r="C58" s="30"/>
      <c r="D58" s="30"/>
      <c r="E58" s="30"/>
      <c r="F58" s="30"/>
      <c r="G58" s="30"/>
      <c r="H58" s="30"/>
      <c r="I58" s="30"/>
    </row>
    <row r="59" spans="1:9" ht="16.5">
      <c r="A59" s="33" t="str">
        <f>HLOOKUP(INDICE!$F$2,Nombres!$C$3:$D$636,31,FALSE)</f>
        <v>Cuenta de resultados  </v>
      </c>
      <c r="B59" s="34"/>
      <c r="C59" s="34"/>
      <c r="D59" s="34"/>
      <c r="E59" s="34"/>
      <c r="F59" s="34"/>
      <c r="G59" s="34"/>
      <c r="H59" s="34"/>
      <c r="I59" s="34"/>
    </row>
    <row r="60" spans="1:9" ht="14.25">
      <c r="A60" s="35" t="str">
        <f>HLOOKUP(INDICE!$F$2,Nombres!$C$3:$D$636,73,FALSE)</f>
        <v>(Millones de euros constantes)</v>
      </c>
      <c r="B60" s="30"/>
      <c r="C60" s="36"/>
      <c r="D60" s="36"/>
      <c r="E60" s="36"/>
      <c r="F60" s="30"/>
      <c r="G60" s="30"/>
      <c r="H60" s="30"/>
      <c r="I60" s="30"/>
    </row>
    <row r="61" spans="1:9" ht="14.25">
      <c r="A61" s="37"/>
      <c r="B61" s="30"/>
      <c r="C61" s="36"/>
      <c r="D61" s="36"/>
      <c r="E61" s="36"/>
      <c r="F61" s="30"/>
      <c r="G61" s="30"/>
      <c r="H61" s="30"/>
      <c r="I61" s="30"/>
    </row>
    <row r="62" spans="1:9" ht="14.25">
      <c r="A62" s="38"/>
      <c r="B62" s="308">
        <f>+B$6</f>
        <v>2019</v>
      </c>
      <c r="C62" s="308"/>
      <c r="D62" s="308"/>
      <c r="E62" s="309"/>
      <c r="F62" s="308">
        <f>+F$6</f>
        <v>2020</v>
      </c>
      <c r="G62" s="308"/>
      <c r="H62" s="308"/>
      <c r="I62" s="308"/>
    </row>
    <row r="63" spans="1:9" ht="14.2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4.25">
      <c r="A64" s="41" t="str">
        <f>HLOOKUP(INDICE!$F$2,Nombres!$C$3:$D$636,33,FALSE)</f>
        <v>Margen de intereses</v>
      </c>
      <c r="B64" s="41">
        <v>320.418737965644</v>
      </c>
      <c r="C64" s="41">
        <v>347.2151022719505</v>
      </c>
      <c r="D64" s="41">
        <v>319.8341571701571</v>
      </c>
      <c r="E64" s="42">
        <v>344.0120254221243</v>
      </c>
      <c r="F64" s="50">
        <v>354.83263474424035</v>
      </c>
      <c r="G64" s="50">
        <v>406.7453409445834</v>
      </c>
      <c r="H64" s="50">
        <v>400.8936926995916</v>
      </c>
      <c r="I64" s="50">
        <v>433.7082684215847</v>
      </c>
    </row>
    <row r="65" spans="1:9" ht="14.25">
      <c r="A65" s="43" t="str">
        <f>HLOOKUP(INDICE!$F$2,Nombres!$C$3:$D$636,34,FALSE)</f>
        <v>Comisiones netas</v>
      </c>
      <c r="B65" s="44">
        <v>156.6462609694182</v>
      </c>
      <c r="C65" s="44">
        <v>161.72946958245916</v>
      </c>
      <c r="D65" s="44">
        <v>180.5082425989024</v>
      </c>
      <c r="E65" s="45">
        <v>179.5809922599218</v>
      </c>
      <c r="F65" s="44">
        <v>181.48028530306124</v>
      </c>
      <c r="G65" s="44">
        <v>204.1417146222386</v>
      </c>
      <c r="H65" s="44">
        <v>216.32691676932265</v>
      </c>
      <c r="I65" s="44">
        <v>199.87848451537752</v>
      </c>
    </row>
    <row r="66" spans="1:9" ht="14.25">
      <c r="A66" s="43" t="str">
        <f>HLOOKUP(INDICE!$F$2,Nombres!$C$3:$D$636,35,FALSE)</f>
        <v>Resultados de operaciones financieras</v>
      </c>
      <c r="B66" s="44">
        <v>190.2825914084982</v>
      </c>
      <c r="C66" s="44">
        <v>137.53326020048078</v>
      </c>
      <c r="D66" s="44">
        <v>188.2532374488727</v>
      </c>
      <c r="E66" s="45">
        <v>243.69441750455414</v>
      </c>
      <c r="F66" s="44">
        <v>166.25891788770065</v>
      </c>
      <c r="G66" s="44">
        <v>227.392406774042</v>
      </c>
      <c r="H66" s="44">
        <v>211.8513198996173</v>
      </c>
      <c r="I66" s="44">
        <v>174.77275531864012</v>
      </c>
    </row>
    <row r="67" spans="1:9" ht="14.25">
      <c r="A67" s="43" t="str">
        <f>HLOOKUP(INDICE!$F$2,Nombres!$C$3:$D$636,36,FALSE)</f>
        <v>Otros ingresos y cargas de explotación</v>
      </c>
      <c r="B67" s="44">
        <v>-12.286880345273852</v>
      </c>
      <c r="C67" s="44">
        <v>-10.260652210243876</v>
      </c>
      <c r="D67" s="44">
        <v>-12.482643734495737</v>
      </c>
      <c r="E67" s="45">
        <v>-11.517101867706184</v>
      </c>
      <c r="F67" s="44">
        <v>-11.242304405643335</v>
      </c>
      <c r="G67" s="44">
        <v>-11.077898749716786</v>
      </c>
      <c r="H67" s="44">
        <v>-9.962295608087722</v>
      </c>
      <c r="I67" s="44">
        <v>-11.467712356552164</v>
      </c>
    </row>
    <row r="68" spans="1:9" ht="14.25">
      <c r="A68" s="41" t="str">
        <f>HLOOKUP(INDICE!$F$2,Nombres!$C$3:$D$636,37,FALSE)</f>
        <v>Margen bruto</v>
      </c>
      <c r="B68" s="41">
        <f>+SUM(B64:B67)</f>
        <v>655.0607099982866</v>
      </c>
      <c r="C68" s="41">
        <f aca="true" t="shared" si="9" ref="C68:I68">+SUM(C64:C67)</f>
        <v>636.2171798446466</v>
      </c>
      <c r="D68" s="41">
        <f t="shared" si="9"/>
        <v>676.1129934834365</v>
      </c>
      <c r="E68" s="42">
        <f t="shared" si="9"/>
        <v>755.7703333188941</v>
      </c>
      <c r="F68" s="50">
        <f t="shared" si="9"/>
        <v>691.3295335293587</v>
      </c>
      <c r="G68" s="50">
        <f t="shared" si="9"/>
        <v>827.2015635911472</v>
      </c>
      <c r="H68" s="50">
        <f t="shared" si="9"/>
        <v>819.1096337604438</v>
      </c>
      <c r="I68" s="50">
        <f t="shared" si="9"/>
        <v>796.8917958990502</v>
      </c>
    </row>
    <row r="69" spans="1:9" ht="14.25">
      <c r="A69" s="43" t="str">
        <f>HLOOKUP(INDICE!$F$2,Nombres!$C$3:$D$636,38,FALSE)</f>
        <v>Gastos de explotación</v>
      </c>
      <c r="B69" s="44">
        <v>-245.57493177350423</v>
      </c>
      <c r="C69" s="44">
        <v>-247.09607970195333</v>
      </c>
      <c r="D69" s="44">
        <v>-252.12087629205462</v>
      </c>
      <c r="E69" s="45">
        <v>-264.97430601803217</v>
      </c>
      <c r="F69" s="44">
        <v>-257.8697983677001</v>
      </c>
      <c r="G69" s="44">
        <v>-212.76219525788156</v>
      </c>
      <c r="H69" s="44">
        <v>-240.06671359601515</v>
      </c>
      <c r="I69" s="44">
        <v>-281.2091375084033</v>
      </c>
    </row>
    <row r="70" spans="1:9" ht="14.25">
      <c r="A70" s="43" t="str">
        <f>HLOOKUP(INDICE!$F$2,Nombres!$C$3:$D$636,39,FALSE)</f>
        <v>  Gastos de administración</v>
      </c>
      <c r="B70" s="44">
        <v>-214.38196759324902</v>
      </c>
      <c r="C70" s="44">
        <v>-216.1171183683492</v>
      </c>
      <c r="D70" s="44">
        <v>-221.50658989322778</v>
      </c>
      <c r="E70" s="45">
        <v>-235.04468167698047</v>
      </c>
      <c r="F70" s="44">
        <v>-228.37615530231022</v>
      </c>
      <c r="G70" s="44">
        <v>-182.85033249029414</v>
      </c>
      <c r="H70" s="44">
        <v>-210.09851495018478</v>
      </c>
      <c r="I70" s="44">
        <v>-252.44118337721085</v>
      </c>
    </row>
    <row r="71" spans="1:9" ht="14.25">
      <c r="A71" s="46" t="str">
        <f>HLOOKUP(INDICE!$F$2,Nombres!$C$3:$D$636,40,FALSE)</f>
        <v>  Gastos de personal</v>
      </c>
      <c r="B71" s="44">
        <v>-114.86976404800407</v>
      </c>
      <c r="C71" s="44">
        <v>-111.27916484713657</v>
      </c>
      <c r="D71" s="44">
        <v>-113.03560701150634</v>
      </c>
      <c r="E71" s="45">
        <v>-120.55129052043719</v>
      </c>
      <c r="F71" s="44">
        <v>-119.88123264696627</v>
      </c>
      <c r="G71" s="44">
        <v>-77.48304032696231</v>
      </c>
      <c r="H71" s="44">
        <v>-94.63168839369527</v>
      </c>
      <c r="I71" s="44">
        <v>-133.12565319237615</v>
      </c>
    </row>
    <row r="72" spans="1:9" ht="14.25">
      <c r="A72" s="46" t="str">
        <f>HLOOKUP(INDICE!$F$2,Nombres!$C$3:$D$636,41,FALSE)</f>
        <v>  Otros gastos de administración</v>
      </c>
      <c r="B72" s="44">
        <v>-99.5122035452449</v>
      </c>
      <c r="C72" s="44">
        <v>-104.83795352121267</v>
      </c>
      <c r="D72" s="44">
        <v>-108.47098288172145</v>
      </c>
      <c r="E72" s="45">
        <v>-114.49339115654331</v>
      </c>
      <c r="F72" s="44">
        <v>-108.49492265534394</v>
      </c>
      <c r="G72" s="44">
        <v>-105.36729216333184</v>
      </c>
      <c r="H72" s="44">
        <v>-115.46682655648956</v>
      </c>
      <c r="I72" s="44">
        <v>-119.31553018483467</v>
      </c>
    </row>
    <row r="73" spans="1:9" ht="14.25">
      <c r="A73" s="43" t="str">
        <f>HLOOKUP(INDICE!$F$2,Nombres!$C$3:$D$636,42,FALSE)</f>
        <v>  Amortización</v>
      </c>
      <c r="B73" s="44">
        <v>-31.192964180255235</v>
      </c>
      <c r="C73" s="44">
        <v>-30.97896133360413</v>
      </c>
      <c r="D73" s="44">
        <v>-30.6142863988268</v>
      </c>
      <c r="E73" s="45">
        <v>-29.92962434105172</v>
      </c>
      <c r="F73" s="44">
        <v>-29.493643065389918</v>
      </c>
      <c r="G73" s="44">
        <v>-29.91186276758735</v>
      </c>
      <c r="H73" s="44">
        <v>-29.968198645830313</v>
      </c>
      <c r="I73" s="44">
        <v>-28.76795413119242</v>
      </c>
    </row>
    <row r="74" spans="1:9" ht="14.25">
      <c r="A74" s="41" t="str">
        <f>HLOOKUP(INDICE!$F$2,Nombres!$C$3:$D$636,43,FALSE)</f>
        <v>Margen neto</v>
      </c>
      <c r="B74" s="41">
        <f>+B68+B69</f>
        <v>409.4857782247824</v>
      </c>
      <c r="C74" s="41">
        <f aca="true" t="shared" si="10" ref="C74:I74">+C68+C69</f>
        <v>389.12110014269325</v>
      </c>
      <c r="D74" s="41">
        <f t="shared" si="10"/>
        <v>423.9921171913819</v>
      </c>
      <c r="E74" s="42">
        <f t="shared" si="10"/>
        <v>490.79602730086197</v>
      </c>
      <c r="F74" s="50">
        <f t="shared" si="10"/>
        <v>433.4597351616586</v>
      </c>
      <c r="G74" s="50">
        <f t="shared" si="10"/>
        <v>614.4393683332656</v>
      </c>
      <c r="H74" s="50">
        <f t="shared" si="10"/>
        <v>579.0429201644287</v>
      </c>
      <c r="I74" s="50">
        <f t="shared" si="10"/>
        <v>515.6826583906469</v>
      </c>
    </row>
    <row r="75" spans="1:9" ht="14.25">
      <c r="A75" s="43" t="str">
        <f>HLOOKUP(INDICE!$F$2,Nombres!$C$3:$D$636,44,FALSE)</f>
        <v>Deterioro de activos financieros no valorados a valor razonable con cambios en resultados</v>
      </c>
      <c r="B75" s="44">
        <v>-52.1318887523968</v>
      </c>
      <c r="C75" s="44">
        <v>-19.564671849220165</v>
      </c>
      <c r="D75" s="44">
        <v>-59.2849552176376</v>
      </c>
      <c r="E75" s="45">
        <v>-69.15098314102573</v>
      </c>
      <c r="F75" s="44">
        <v>-274.05676654397143</v>
      </c>
      <c r="G75" s="44">
        <v>-120.49089766277044</v>
      </c>
      <c r="H75" s="44">
        <v>-45.43476667018071</v>
      </c>
      <c r="I75" s="44">
        <v>-129.7519104830775</v>
      </c>
    </row>
    <row r="76" spans="1:9" ht="14.25">
      <c r="A76" s="43" t="str">
        <f>HLOOKUP(INDICE!$F$2,Nombres!$C$3:$D$636,45,FALSE)</f>
        <v>Provisiones o reversión de provisiones y otros resultados</v>
      </c>
      <c r="B76" s="44">
        <v>4.552291364488499</v>
      </c>
      <c r="C76" s="44">
        <v>13.415104237307654</v>
      </c>
      <c r="D76" s="44">
        <v>6.592397362896325</v>
      </c>
      <c r="E76" s="45">
        <v>-15.109171578794315</v>
      </c>
      <c r="F76" s="44">
        <v>-9.90874840242342</v>
      </c>
      <c r="G76" s="44">
        <v>-24.877204718393923</v>
      </c>
      <c r="H76" s="44">
        <v>-27.891027315117217</v>
      </c>
      <c r="I76" s="44">
        <v>-17.966956884065446</v>
      </c>
    </row>
    <row r="77" spans="1:9" ht="14.25">
      <c r="A77" s="41" t="str">
        <f>HLOOKUP(INDICE!$F$2,Nombres!$C$3:$D$636,46,FALSE)</f>
        <v>Resultado antes de impuestos</v>
      </c>
      <c r="B77" s="41">
        <f>+B74+B75+B76</f>
        <v>361.9061808368741</v>
      </c>
      <c r="C77" s="41">
        <f aca="true" t="shared" si="11" ref="C77:I77">+C74+C75+C76</f>
        <v>382.97153253078073</v>
      </c>
      <c r="D77" s="41">
        <f t="shared" si="11"/>
        <v>371.29955933664064</v>
      </c>
      <c r="E77" s="42">
        <f t="shared" si="11"/>
        <v>406.53587258104193</v>
      </c>
      <c r="F77" s="50">
        <f t="shared" si="11"/>
        <v>149.49422021526377</v>
      </c>
      <c r="G77" s="50">
        <f t="shared" si="11"/>
        <v>469.0712659521013</v>
      </c>
      <c r="H77" s="50">
        <f t="shared" si="11"/>
        <v>505.71712617913073</v>
      </c>
      <c r="I77" s="50">
        <f t="shared" si="11"/>
        <v>367.963791023504</v>
      </c>
    </row>
    <row r="78" spans="1:9" ht="14.25">
      <c r="A78" s="43" t="str">
        <f>HLOOKUP(INDICE!$F$2,Nombres!$C$3:$D$636,47,FALSE)</f>
        <v>Impuesto sobre beneficios</v>
      </c>
      <c r="B78" s="44">
        <v>-90.93872955924749</v>
      </c>
      <c r="C78" s="44">
        <v>-89.77355193810358</v>
      </c>
      <c r="D78" s="44">
        <v>-97.82069497050566</v>
      </c>
      <c r="E78" s="45">
        <v>-93.30105848736173</v>
      </c>
      <c r="F78" s="44">
        <v>-40.62249114287498</v>
      </c>
      <c r="G78" s="44">
        <v>-131.070220923143</v>
      </c>
      <c r="H78" s="44">
        <v>-136.53145523533195</v>
      </c>
      <c r="I78" s="44">
        <v>-87.04501601864999</v>
      </c>
    </row>
    <row r="79" spans="1:9" ht="14.25">
      <c r="A79" s="41" t="str">
        <f>HLOOKUP(INDICE!$F$2,Nombres!$C$3:$D$636,48,FALSE)</f>
        <v>Resultado del ejercicio</v>
      </c>
      <c r="B79" s="41">
        <f>+B77+B78</f>
        <v>270.96745127762665</v>
      </c>
      <c r="C79" s="41">
        <f aca="true" t="shared" si="12" ref="C79:I79">+C77+C78</f>
        <v>293.19798059267714</v>
      </c>
      <c r="D79" s="41">
        <f t="shared" si="12"/>
        <v>273.478864366135</v>
      </c>
      <c r="E79" s="42">
        <f t="shared" si="12"/>
        <v>313.2348140936802</v>
      </c>
      <c r="F79" s="50">
        <f t="shared" si="12"/>
        <v>108.87172907238879</v>
      </c>
      <c r="G79" s="50">
        <f t="shared" si="12"/>
        <v>338.0010450289583</v>
      </c>
      <c r="H79" s="50">
        <f t="shared" si="12"/>
        <v>369.18567094379875</v>
      </c>
      <c r="I79" s="50">
        <f t="shared" si="12"/>
        <v>280.91877500485396</v>
      </c>
    </row>
    <row r="80" spans="1:9" ht="14.25">
      <c r="A80" s="43" t="str">
        <f>HLOOKUP(INDICE!$F$2,Nombres!$C$3:$D$636,49,FALSE)</f>
        <v>Minoritarios</v>
      </c>
      <c r="B80" s="44">
        <v>-68.52823581908514</v>
      </c>
      <c r="C80" s="44">
        <v>-60.5910485099968</v>
      </c>
      <c r="D80" s="44">
        <v>-47.07940815575089</v>
      </c>
      <c r="E80" s="45">
        <v>-63.4534768975946</v>
      </c>
      <c r="F80" s="44">
        <v>-22.77767477550251</v>
      </c>
      <c r="G80" s="44">
        <v>-56.49930588785186</v>
      </c>
      <c r="H80" s="44">
        <v>-82.61145173312745</v>
      </c>
      <c r="I80" s="44">
        <v>-58.272596763518166</v>
      </c>
    </row>
    <row r="81" spans="1:9" ht="14.25">
      <c r="A81" s="47" t="str">
        <f>HLOOKUP(INDICE!$F$2,Nombres!$C$3:$D$636,50,FALSE)</f>
        <v>Resultado atribuido</v>
      </c>
      <c r="B81" s="47">
        <f>+B79+B80</f>
        <v>202.43921545854153</v>
      </c>
      <c r="C81" s="47">
        <f aca="true" t="shared" si="13" ref="C81:I81">+C79+C80</f>
        <v>232.60693208268034</v>
      </c>
      <c r="D81" s="47">
        <f t="shared" si="13"/>
        <v>226.3994562103841</v>
      </c>
      <c r="E81" s="47">
        <f t="shared" si="13"/>
        <v>249.7813371960856</v>
      </c>
      <c r="F81" s="51">
        <f t="shared" si="13"/>
        <v>86.09405429688627</v>
      </c>
      <c r="G81" s="51">
        <f t="shared" si="13"/>
        <v>281.50173914110644</v>
      </c>
      <c r="H81" s="51">
        <f t="shared" si="13"/>
        <v>286.5742192106713</v>
      </c>
      <c r="I81" s="51">
        <f t="shared" si="13"/>
        <v>222.6461782413358</v>
      </c>
    </row>
    <row r="82" spans="1:9" ht="14.25">
      <c r="A82" s="63"/>
      <c r="B82" s="64">
        <v>0</v>
      </c>
      <c r="C82" s="64">
        <v>0</v>
      </c>
      <c r="D82" s="64">
        <v>0</v>
      </c>
      <c r="E82" s="64">
        <v>0</v>
      </c>
      <c r="F82" s="64">
        <v>-1.5631940186722204E-13</v>
      </c>
      <c r="G82" s="64">
        <v>0</v>
      </c>
      <c r="H82" s="64">
        <v>0</v>
      </c>
      <c r="I82" s="64">
        <v>0</v>
      </c>
    </row>
    <row r="83" spans="1:9" ht="14.25">
      <c r="A83" s="41"/>
      <c r="B83" s="41"/>
      <c r="C83" s="41"/>
      <c r="D83" s="41"/>
      <c r="E83" s="41"/>
      <c r="F83" s="50"/>
      <c r="G83" s="50"/>
      <c r="H83" s="50"/>
      <c r="I83" s="50"/>
    </row>
    <row r="84" spans="1:9" ht="16.5">
      <c r="A84" s="33" t="str">
        <f>HLOOKUP(INDICE!$F$2,Nombres!$C$3:$D$636,51,FALSE)</f>
        <v>Balances</v>
      </c>
      <c r="B84" s="34"/>
      <c r="C84" s="34"/>
      <c r="D84" s="34"/>
      <c r="E84" s="34"/>
      <c r="F84" s="70"/>
      <c r="G84" s="70"/>
      <c r="H84" s="70"/>
      <c r="I84" s="70"/>
    </row>
    <row r="85" spans="1:9" ht="14.25">
      <c r="A85" s="35" t="str">
        <f>HLOOKUP(INDICE!$F$2,Nombres!$C$3:$D$636,73,FALSE)</f>
        <v>(Millones de euros constantes)</v>
      </c>
      <c r="B85" s="30"/>
      <c r="C85" s="52"/>
      <c r="D85" s="52"/>
      <c r="E85" s="52"/>
      <c r="F85" s="71"/>
      <c r="G85" s="44"/>
      <c r="H85" s="44"/>
      <c r="I85" s="44"/>
    </row>
    <row r="86" spans="1:9" ht="14.25">
      <c r="A86" s="30"/>
      <c r="B86" s="53">
        <f aca="true" t="shared" si="14" ref="B86:I86">+B$30</f>
        <v>43555</v>
      </c>
      <c r="C86" s="53">
        <f t="shared" si="14"/>
        <v>43646</v>
      </c>
      <c r="D86" s="53">
        <f t="shared" si="14"/>
        <v>43738</v>
      </c>
      <c r="E86" s="69">
        <f t="shared" si="14"/>
        <v>43830</v>
      </c>
      <c r="F86" s="53">
        <f t="shared" si="14"/>
        <v>43921</v>
      </c>
      <c r="G86" s="53">
        <f t="shared" si="14"/>
        <v>44012</v>
      </c>
      <c r="H86" s="53">
        <f t="shared" si="14"/>
        <v>44104</v>
      </c>
      <c r="I86" s="53">
        <f t="shared" si="14"/>
        <v>44196</v>
      </c>
    </row>
    <row r="87" spans="1:9" ht="14.25">
      <c r="A87" s="43" t="str">
        <f>HLOOKUP(INDICE!$F$2,Nombres!$C$3:$D$636,52,FALSE)</f>
        <v>Efectivo, saldos en efectivo en bancos centrales y otros depósitos a la vista</v>
      </c>
      <c r="B87" s="44">
        <v>3499.273288481554</v>
      </c>
      <c r="C87" s="44">
        <v>3291.7403746272485</v>
      </c>
      <c r="D87" s="44">
        <v>2507.9838999727635</v>
      </c>
      <c r="E87" s="45">
        <v>3175.419259674267</v>
      </c>
      <c r="F87" s="44">
        <v>5200.290786933991</v>
      </c>
      <c r="G87" s="44">
        <v>3849.5929109297667</v>
      </c>
      <c r="H87" s="44">
        <v>5607.7595091698695</v>
      </c>
      <c r="I87" s="44">
        <v>7502.793036659998</v>
      </c>
    </row>
    <row r="88" spans="1:9" ht="14.25">
      <c r="A88" s="43" t="str">
        <f>HLOOKUP(INDICE!$F$2,Nombres!$C$3:$D$636,53,FALSE)</f>
        <v>Activos financieros a valor razonable</v>
      </c>
      <c r="B88" s="58">
        <v>91780.28197082844</v>
      </c>
      <c r="C88" s="58">
        <v>105191.67001514054</v>
      </c>
      <c r="D88" s="58">
        <v>109393.13342947462</v>
      </c>
      <c r="E88" s="66">
        <v>102039.56156317331</v>
      </c>
      <c r="F88" s="44">
        <v>137667.457896979</v>
      </c>
      <c r="G88" s="44">
        <v>121884.97829664244</v>
      </c>
      <c r="H88" s="44">
        <v>111057.61511969064</v>
      </c>
      <c r="I88" s="44">
        <v>110631.64993227</v>
      </c>
    </row>
    <row r="89" spans="1:9" ht="14.25">
      <c r="A89" s="43" t="str">
        <f>HLOOKUP(INDICE!$F$2,Nombres!$C$3:$D$636,54,FALSE)</f>
        <v>Activos financieros a coste amortizado</v>
      </c>
      <c r="B89" s="44">
        <v>65939.00172443883</v>
      </c>
      <c r="C89" s="44">
        <v>65591.44462145794</v>
      </c>
      <c r="D89" s="44">
        <v>68234.95738109568</v>
      </c>
      <c r="E89" s="45">
        <v>70290.06412683899</v>
      </c>
      <c r="F89" s="44">
        <v>84149.22805242654</v>
      </c>
      <c r="G89" s="44">
        <v>84721.99563736547</v>
      </c>
      <c r="H89" s="44">
        <v>76400.02428180154</v>
      </c>
      <c r="I89" s="44">
        <v>74588.76624665</v>
      </c>
    </row>
    <row r="90" spans="1:9" ht="14.25">
      <c r="A90" s="43" t="str">
        <f>HLOOKUP(INDICE!$F$2,Nombres!$C$3:$D$636,55,FALSE)</f>
        <v>    de los que préstamos y anticipos a la clientela</v>
      </c>
      <c r="B90" s="44">
        <v>59086.465266513864</v>
      </c>
      <c r="C90" s="44">
        <v>56787.86515646829</v>
      </c>
      <c r="D90" s="44">
        <v>56418.73149118822</v>
      </c>
      <c r="E90" s="45">
        <v>60497.565853105094</v>
      </c>
      <c r="F90" s="44">
        <v>71287.03411320662</v>
      </c>
      <c r="G90" s="44">
        <v>71896.877939411</v>
      </c>
      <c r="H90" s="44">
        <v>66126.27875428803</v>
      </c>
      <c r="I90" s="44">
        <v>62782.16380920001</v>
      </c>
    </row>
    <row r="91" spans="1:9" ht="14.25">
      <c r="A91" s="43" t="str">
        <f>HLOOKUP(INDICE!$F$2,Nombres!$C$3:$D$636,121,FALSE)</f>
        <v>Posiciones inter-áreas activo</v>
      </c>
      <c r="B91" s="44">
        <v>0</v>
      </c>
      <c r="C91" s="44">
        <v>0</v>
      </c>
      <c r="D91" s="44">
        <v>0</v>
      </c>
      <c r="E91" s="45">
        <v>0</v>
      </c>
      <c r="F91" s="44">
        <v>0</v>
      </c>
      <c r="G91" s="44">
        <v>0</v>
      </c>
      <c r="H91" s="44">
        <v>0</v>
      </c>
      <c r="I91" s="44">
        <v>0</v>
      </c>
    </row>
    <row r="92" spans="1:9" ht="14.25">
      <c r="A92" s="43" t="str">
        <f>HLOOKUP(INDICE!$F$2,Nombres!$C$3:$D$636,56,FALSE)</f>
        <v>Activos tangibles</v>
      </c>
      <c r="B92" s="44">
        <v>75.26984852329201</v>
      </c>
      <c r="C92" s="44">
        <v>69.69521923878877</v>
      </c>
      <c r="D92" s="44">
        <v>71.9384818054415</v>
      </c>
      <c r="E92" s="45">
        <v>58.08153015011192</v>
      </c>
      <c r="F92" s="44">
        <v>54.65660949638911</v>
      </c>
      <c r="G92" s="44">
        <v>53.29290213584484</v>
      </c>
      <c r="H92" s="44">
        <v>37.22523155138786</v>
      </c>
      <c r="I92" s="44">
        <v>-51.27667527999998</v>
      </c>
    </row>
    <row r="93" spans="1:9" ht="14.25">
      <c r="A93" s="43" t="str">
        <f>HLOOKUP(INDICE!$F$2,Nombres!$C$3:$D$636,57,FALSE)</f>
        <v>Otros activos</v>
      </c>
      <c r="B93" s="58">
        <f>+B94-B92-B89-B88-B87-B91</f>
        <v>3135.6964150197255</v>
      </c>
      <c r="C93" s="58">
        <f aca="true" t="shared" si="15" ref="C93:I93">+C94-C92-C89-C88-C87-C91</f>
        <v>2577.9345654472836</v>
      </c>
      <c r="D93" s="58">
        <f t="shared" si="15"/>
        <v>15292.711594776689</v>
      </c>
      <c r="E93" s="66">
        <f t="shared" si="15"/>
        <v>2230.621974188076</v>
      </c>
      <c r="F93" s="58">
        <f t="shared" si="15"/>
        <v>1179.0229897327445</v>
      </c>
      <c r="G93" s="58">
        <f t="shared" si="15"/>
        <v>1286.5093532803348</v>
      </c>
      <c r="H93" s="58">
        <f t="shared" si="15"/>
        <v>1086.7472035921728</v>
      </c>
      <c r="I93" s="58">
        <f t="shared" si="15"/>
        <v>853.7658291599873</v>
      </c>
    </row>
    <row r="94" spans="1:9" ht="14.25">
      <c r="A94" s="47" t="str">
        <f>HLOOKUP(INDICE!$F$2,Nombres!$C$3:$D$636,58,FALSE)</f>
        <v>Total activo / pasivo</v>
      </c>
      <c r="B94" s="47">
        <v>164429.52324729183</v>
      </c>
      <c r="C94" s="47">
        <v>176722.4847959118</v>
      </c>
      <c r="D94" s="47">
        <v>195500.7247871252</v>
      </c>
      <c r="E94" s="72">
        <v>177793.74845402475</v>
      </c>
      <c r="F94" s="51">
        <v>228250.65633556867</v>
      </c>
      <c r="G94" s="51">
        <v>211796.36910035386</v>
      </c>
      <c r="H94" s="51">
        <v>194189.37134580562</v>
      </c>
      <c r="I94" s="51">
        <v>193525.69836945998</v>
      </c>
    </row>
    <row r="95" spans="1:9" ht="14.25">
      <c r="A95" s="43" t="str">
        <f>HLOOKUP(INDICE!$F$2,Nombres!$C$3:$D$636,59,FALSE)</f>
        <v>Pasivos financieros mantenidos para negociar y designados a valor razonable con cambios en resultados</v>
      </c>
      <c r="B95" s="58">
        <v>79362.41598548647</v>
      </c>
      <c r="C95" s="58">
        <v>91430.90942298972</v>
      </c>
      <c r="D95" s="58">
        <v>91455.92626495563</v>
      </c>
      <c r="E95" s="66">
        <v>88936.04385271395</v>
      </c>
      <c r="F95" s="44">
        <v>119301.72715668347</v>
      </c>
      <c r="G95" s="44">
        <v>109582.27397781017</v>
      </c>
      <c r="H95" s="44">
        <v>95478.64916469608</v>
      </c>
      <c r="I95" s="44">
        <v>87641.01046527001</v>
      </c>
    </row>
    <row r="96" spans="1:9" ht="14.25">
      <c r="A96" s="43" t="str">
        <f>HLOOKUP(INDICE!$F$2,Nombres!$C$3:$D$636,60,FALSE)</f>
        <v>Depósitos de bancos centrales y entidades de crédito</v>
      </c>
      <c r="B96" s="58">
        <v>15113.225345001028</v>
      </c>
      <c r="C96" s="58">
        <v>16162.161403323307</v>
      </c>
      <c r="D96" s="58">
        <v>16618.11046545746</v>
      </c>
      <c r="E96" s="66">
        <v>15113.373331804578</v>
      </c>
      <c r="F96" s="44">
        <v>19384.91616071479</v>
      </c>
      <c r="G96" s="44">
        <v>15074.363819185397</v>
      </c>
      <c r="H96" s="44">
        <v>12170.838314320405</v>
      </c>
      <c r="I96" s="44">
        <v>16217.732202879999</v>
      </c>
    </row>
    <row r="97" spans="1:9" ht="14.25">
      <c r="A97" s="43" t="str">
        <f>HLOOKUP(INDICE!$F$2,Nombres!$C$3:$D$636,61,FALSE)</f>
        <v>Depósitos de la clientela</v>
      </c>
      <c r="B97" s="58">
        <v>33904.78672272912</v>
      </c>
      <c r="C97" s="58">
        <v>32271.01486500508</v>
      </c>
      <c r="D97" s="58">
        <v>33670.70376658668</v>
      </c>
      <c r="E97" s="66">
        <v>35529.41652493946</v>
      </c>
      <c r="F97" s="44">
        <v>39281.1719653948</v>
      </c>
      <c r="G97" s="44">
        <v>42664.01360889168</v>
      </c>
      <c r="H97" s="44">
        <v>44005.396841440466</v>
      </c>
      <c r="I97" s="44">
        <v>47470.64696405</v>
      </c>
    </row>
    <row r="98" spans="1:9" ht="14.25">
      <c r="A98" s="43" t="str">
        <f>HLOOKUP(INDICE!$F$2,Nombres!$C$3:$D$636,62,FALSE)</f>
        <v>Valores representativos de deuda emitidos</v>
      </c>
      <c r="B98" s="44">
        <v>1904.655491572943</v>
      </c>
      <c r="C98" s="44">
        <v>2855.0602632014848</v>
      </c>
      <c r="D98" s="44">
        <v>2318.3029437773334</v>
      </c>
      <c r="E98" s="45">
        <v>2512.5060879233715</v>
      </c>
      <c r="F98" s="44">
        <v>2202.716770120511</v>
      </c>
      <c r="G98" s="44">
        <v>1825.8631598508464</v>
      </c>
      <c r="H98" s="44">
        <v>1870.2626518455922</v>
      </c>
      <c r="I98" s="44">
        <v>2095.74526486</v>
      </c>
    </row>
    <row r="99" spans="1:9" ht="14.25">
      <c r="A99" s="43" t="str">
        <f>HLOOKUP(INDICE!$F$2,Nombres!$C$3:$D$636,122,FALSE)</f>
        <v>Posiciones inter-áreas pasivo</v>
      </c>
      <c r="B99" s="44">
        <v>27563.516892144748</v>
      </c>
      <c r="C99" s="44">
        <v>26592.505176746054</v>
      </c>
      <c r="D99" s="44">
        <v>43593.13595779671</v>
      </c>
      <c r="E99" s="45">
        <v>28728.10817498516</v>
      </c>
      <c r="F99" s="44">
        <v>39577.0771155321</v>
      </c>
      <c r="G99" s="44">
        <v>33828.88436303256</v>
      </c>
      <c r="H99" s="44">
        <v>31385.694312022126</v>
      </c>
      <c r="I99" s="44">
        <v>31430.167427709966</v>
      </c>
    </row>
    <row r="100" spans="1:9" ht="14.25">
      <c r="A100" s="43" t="str">
        <f>HLOOKUP(INDICE!$F$2,Nombres!$C$3:$D$636,63,FALSE)</f>
        <v>Otros pasivos</v>
      </c>
      <c r="B100" s="58">
        <f>+B94-B95-B96-B97-B98-B101-B99</f>
        <v>2712.698505499131</v>
      </c>
      <c r="C100" s="58">
        <f aca="true" t="shared" si="16" ref="C100:I100">+C94-C95-C96-C97-C98-C101-C99</f>
        <v>4015.2362963010783</v>
      </c>
      <c r="D100" s="58">
        <f t="shared" si="16"/>
        <v>4101.55288190399</v>
      </c>
      <c r="E100" s="66">
        <f t="shared" si="16"/>
        <v>2856.06019069373</v>
      </c>
      <c r="F100" s="58">
        <f t="shared" si="16"/>
        <v>3968.4116960489846</v>
      </c>
      <c r="G100" s="58">
        <f t="shared" si="16"/>
        <v>4461.166482770306</v>
      </c>
      <c r="H100" s="58">
        <f t="shared" si="16"/>
        <v>4791.2635084099165</v>
      </c>
      <c r="I100" s="58">
        <f t="shared" si="16"/>
        <v>4265.001625360004</v>
      </c>
    </row>
    <row r="101" spans="1:9" ht="14.25">
      <c r="A101" s="43" t="str">
        <f>HLOOKUP(INDICE!$F$2,Nombres!$C$3:$D$636,64,FALSE)</f>
        <v>Dotación de capital económico</v>
      </c>
      <c r="B101" s="44">
        <v>3868.224304858384</v>
      </c>
      <c r="C101" s="44">
        <v>3395.597368345069</v>
      </c>
      <c r="D101" s="44">
        <v>3742.9925066473797</v>
      </c>
      <c r="E101" s="45">
        <v>4118.240290964503</v>
      </c>
      <c r="F101" s="44">
        <v>4534.635471074008</v>
      </c>
      <c r="G101" s="44">
        <v>4359.803688812906</v>
      </c>
      <c r="H101" s="44">
        <v>4487.266553071033</v>
      </c>
      <c r="I101" s="44">
        <v>4405.39441933</v>
      </c>
    </row>
    <row r="102" spans="1:9" ht="14.25">
      <c r="A102" s="63"/>
      <c r="B102" s="58"/>
      <c r="C102" s="58"/>
      <c r="D102" s="58"/>
      <c r="E102" s="58"/>
      <c r="F102" s="44"/>
      <c r="G102" s="44"/>
      <c r="H102" s="44"/>
      <c r="I102" s="44"/>
    </row>
    <row r="103" spans="1:9" ht="14.25">
      <c r="A103" s="43"/>
      <c r="B103" s="58"/>
      <c r="C103" s="58"/>
      <c r="D103" s="58"/>
      <c r="E103" s="58"/>
      <c r="F103" s="44"/>
      <c r="G103" s="44"/>
      <c r="H103" s="44"/>
      <c r="I103" s="44"/>
    </row>
    <row r="104" spans="1:9" ht="16.5">
      <c r="A104" s="33" t="str">
        <f>HLOOKUP(INDICE!$F$2,Nombres!$C$3:$D$636,65,FALSE)</f>
        <v>Indicadores relevantes y de gestión</v>
      </c>
      <c r="B104" s="34"/>
      <c r="C104" s="34"/>
      <c r="D104" s="34"/>
      <c r="E104" s="34"/>
      <c r="F104" s="70"/>
      <c r="G104" s="70"/>
      <c r="H104" s="70"/>
      <c r="I104" s="70"/>
    </row>
    <row r="105" spans="1:9" ht="14.25">
      <c r="A105" s="35" t="str">
        <f>HLOOKUP(INDICE!$F$2,Nombres!$C$3:$D$636,73,FALSE)</f>
        <v>(Millones de euros constantes)</v>
      </c>
      <c r="B105" s="30"/>
      <c r="C105" s="30"/>
      <c r="D105" s="30"/>
      <c r="E105" s="30"/>
      <c r="F105" s="71"/>
      <c r="G105" s="44"/>
      <c r="H105" s="44"/>
      <c r="I105" s="44"/>
    </row>
    <row r="106" spans="1:9" ht="14.25">
      <c r="A106" s="30"/>
      <c r="B106" s="53">
        <f aca="true" t="shared" si="17" ref="B106:I106">+B$30</f>
        <v>43555</v>
      </c>
      <c r="C106" s="53">
        <f t="shared" si="17"/>
        <v>43646</v>
      </c>
      <c r="D106" s="53">
        <f t="shared" si="17"/>
        <v>43738</v>
      </c>
      <c r="E106" s="69">
        <f t="shared" si="17"/>
        <v>43830</v>
      </c>
      <c r="F106" s="53">
        <f t="shared" si="17"/>
        <v>43921</v>
      </c>
      <c r="G106" s="53">
        <f t="shared" si="17"/>
        <v>44012</v>
      </c>
      <c r="H106" s="53">
        <f t="shared" si="17"/>
        <v>44104</v>
      </c>
      <c r="I106" s="53">
        <f t="shared" si="17"/>
        <v>44196</v>
      </c>
    </row>
    <row r="107" spans="1:9" ht="14.25">
      <c r="A107" s="43" t="str">
        <f>HLOOKUP(INDICE!$F$2,Nombres!$C$3:$D$636,66,FALSE)</f>
        <v>Préstamos y anticipos a la clientela bruto (*)</v>
      </c>
      <c r="B107" s="44">
        <v>59457.34678266641</v>
      </c>
      <c r="C107" s="44">
        <v>56936.065446716406</v>
      </c>
      <c r="D107" s="44">
        <v>56716.5869386729</v>
      </c>
      <c r="E107" s="45">
        <v>61030.34186617865</v>
      </c>
      <c r="F107" s="44">
        <v>71945.2179634612</v>
      </c>
      <c r="G107" s="44">
        <v>72420.91050720426</v>
      </c>
      <c r="H107" s="44">
        <v>66389.85722825128</v>
      </c>
      <c r="I107" s="44">
        <v>62473.06885483001</v>
      </c>
    </row>
    <row r="108" spans="1:9" ht="14.25">
      <c r="A108" s="43" t="str">
        <f>HLOOKUP(INDICE!$F$2,Nombres!$C$3:$D$636,67,FALSE)</f>
        <v>Depósitos de clientes en gestión (**)</v>
      </c>
      <c r="B108" s="44">
        <v>33902.031710460265</v>
      </c>
      <c r="C108" s="44">
        <v>32249.273975999</v>
      </c>
      <c r="D108" s="44">
        <v>33628.21688964424</v>
      </c>
      <c r="E108" s="45">
        <v>35515.45341698125</v>
      </c>
      <c r="F108" s="44">
        <v>38934.60637271309</v>
      </c>
      <c r="G108" s="44">
        <v>42550.69141216405</v>
      </c>
      <c r="H108" s="44">
        <v>43370.159752037376</v>
      </c>
      <c r="I108" s="44">
        <v>46817.75479456</v>
      </c>
    </row>
    <row r="109" spans="1:9" ht="14.25">
      <c r="A109" s="43" t="str">
        <f>HLOOKUP(INDICE!$F$2,Nombres!$C$3:$D$636,68,FALSE)</f>
        <v>Fondos de inversión</v>
      </c>
      <c r="B109" s="44">
        <v>637.6017861757977</v>
      </c>
      <c r="C109" s="44">
        <v>574.5034737297922</v>
      </c>
      <c r="D109" s="44">
        <v>597.2202767563754</v>
      </c>
      <c r="E109" s="45">
        <v>513.3552830333958</v>
      </c>
      <c r="F109" s="44">
        <v>503.0229559329824</v>
      </c>
      <c r="G109" s="44">
        <v>1065.038619047886</v>
      </c>
      <c r="H109" s="44">
        <v>953.27103901147</v>
      </c>
      <c r="I109" s="44">
        <v>948.6530913400001</v>
      </c>
    </row>
    <row r="110" spans="1:9" ht="14.25">
      <c r="A110" s="43" t="str">
        <f>HLOOKUP(INDICE!$F$2,Nombres!$C$3:$D$636,69,FALSE)</f>
        <v>Fondos de pensiones</v>
      </c>
      <c r="B110" s="44">
        <v>0</v>
      </c>
      <c r="C110" s="44">
        <v>0</v>
      </c>
      <c r="D110" s="44">
        <v>0</v>
      </c>
      <c r="E110" s="45">
        <v>0</v>
      </c>
      <c r="F110" s="44">
        <v>0</v>
      </c>
      <c r="G110" s="44">
        <v>0</v>
      </c>
      <c r="H110" s="44">
        <v>0</v>
      </c>
      <c r="I110" s="44">
        <v>0</v>
      </c>
    </row>
    <row r="111" spans="1:9" ht="14.25">
      <c r="A111" s="43" t="str">
        <f>HLOOKUP(INDICE!$F$2,Nombres!$C$3:$D$636,70,FALSE)</f>
        <v>Otros recursos fuera de balance</v>
      </c>
      <c r="B111" s="44">
        <v>479.8735198972197</v>
      </c>
      <c r="C111" s="44">
        <v>486.90573552225806</v>
      </c>
      <c r="D111" s="44">
        <v>338.08364876343296</v>
      </c>
      <c r="E111" s="45">
        <v>349.27972593992</v>
      </c>
      <c r="F111" s="44">
        <v>139.32873842888813</v>
      </c>
      <c r="G111" s="44">
        <v>164.94162744001574</v>
      </c>
      <c r="H111" s="44">
        <v>109.05936305883883</v>
      </c>
      <c r="I111" s="44">
        <v>80.88990516999999</v>
      </c>
    </row>
    <row r="112" spans="1:9" ht="14.25">
      <c r="A112" s="63" t="str">
        <f>HLOOKUP(INDICE!$F$2,Nombres!$C$3:$D$636,71,FALSE)</f>
        <v>(*) No incluye las adquisiciones temporales de activos.</v>
      </c>
      <c r="B112" s="58"/>
      <c r="C112" s="58"/>
      <c r="D112" s="58"/>
      <c r="E112" s="58"/>
      <c r="F112" s="58"/>
      <c r="G112" s="58"/>
      <c r="H112" s="58"/>
      <c r="I112" s="58"/>
    </row>
    <row r="113" spans="1:9" ht="14.25">
      <c r="A113" s="63" t="str">
        <f>HLOOKUP(INDICE!$F$2,Nombres!$C$3:$D$636,72,FALSE)</f>
        <v>(**) No incluye las cesiones temporales de activos.</v>
      </c>
      <c r="B113" s="30"/>
      <c r="C113" s="30"/>
      <c r="D113" s="30"/>
      <c r="E113" s="30"/>
      <c r="F113" s="30"/>
      <c r="G113" s="30"/>
      <c r="H113" s="30"/>
      <c r="I113" s="30"/>
    </row>
    <row r="114" spans="1:9" ht="14.25">
      <c r="A114" s="63"/>
      <c r="B114" s="58"/>
      <c r="C114" s="44"/>
      <c r="D114" s="44"/>
      <c r="E114" s="44"/>
      <c r="F114" s="44"/>
      <c r="G114" s="30"/>
      <c r="H114" s="30"/>
      <c r="I114" s="30"/>
    </row>
    <row r="119" spans="2:9" ht="14.25">
      <c r="B119" s="54"/>
      <c r="C119" s="54"/>
      <c r="D119" s="54"/>
      <c r="E119" s="54"/>
      <c r="F119" s="54"/>
      <c r="G119" s="54"/>
      <c r="H119" s="54"/>
      <c r="I119" s="54"/>
    </row>
    <row r="120" spans="6:9" ht="14.25">
      <c r="F120" s="84"/>
      <c r="G120" s="84"/>
      <c r="H120" s="84"/>
      <c r="I120" s="84"/>
    </row>
    <row r="121" spans="6:9" ht="14.25">
      <c r="F121" s="84"/>
      <c r="G121" s="84"/>
      <c r="H121" s="84"/>
      <c r="I121" s="84"/>
    </row>
    <row r="122" spans="6:9" ht="14.25">
      <c r="F122" s="84"/>
      <c r="G122" s="84"/>
      <c r="H122" s="84"/>
      <c r="I122" s="84"/>
    </row>
    <row r="123" spans="6:9" ht="14.25">
      <c r="F123" s="84"/>
      <c r="G123" s="84"/>
      <c r="H123" s="84"/>
      <c r="I123" s="84"/>
    </row>
    <row r="124" spans="6:9" ht="14.25">
      <c r="F124" s="84"/>
      <c r="G124" s="84"/>
      <c r="H124" s="84"/>
      <c r="I124" s="84"/>
    </row>
    <row r="125" spans="6:9" ht="14.25">
      <c r="F125" s="84"/>
      <c r="G125" s="84"/>
      <c r="H125" s="84"/>
      <c r="I125" s="84"/>
    </row>
    <row r="126" spans="6:9" ht="14.25">
      <c r="F126" s="84"/>
      <c r="G126" s="84"/>
      <c r="H126" s="84"/>
      <c r="I126" s="84"/>
    </row>
    <row r="127" spans="6:9" ht="14.25">
      <c r="F127" s="84"/>
      <c r="G127" s="84"/>
      <c r="H127" s="84"/>
      <c r="I127" s="84"/>
    </row>
    <row r="128" spans="6:9" ht="14.25">
      <c r="F128" s="84"/>
      <c r="G128" s="84"/>
      <c r="H128" s="84"/>
      <c r="I128" s="84"/>
    </row>
    <row r="129" spans="6:9" ht="14.25">
      <c r="F129" s="84"/>
      <c r="G129" s="84"/>
      <c r="H129" s="84"/>
      <c r="I129" s="84"/>
    </row>
    <row r="130" spans="6:9" ht="14.25">
      <c r="F130" s="84"/>
      <c r="G130" s="84"/>
      <c r="H130" s="84"/>
      <c r="I130" s="84"/>
    </row>
    <row r="131" spans="6:9" ht="14.25">
      <c r="F131" s="84"/>
      <c r="G131" s="84"/>
      <c r="H131" s="84"/>
      <c r="I131" s="84"/>
    </row>
    <row r="132" spans="6:9" ht="14.25">
      <c r="F132" s="84"/>
      <c r="G132" s="84"/>
      <c r="H132" s="84"/>
      <c r="I132" s="84"/>
    </row>
    <row r="133" spans="6:9" ht="14.25">
      <c r="F133" s="84"/>
      <c r="G133" s="84"/>
      <c r="H133" s="84"/>
      <c r="I133" s="84"/>
    </row>
    <row r="134" spans="6:9" ht="14.25">
      <c r="F134" s="84"/>
      <c r="G134" s="84"/>
      <c r="H134" s="84"/>
      <c r="I134" s="84"/>
    </row>
    <row r="135" spans="6:9" ht="14.25">
      <c r="F135" s="84"/>
      <c r="G135" s="84"/>
      <c r="H135" s="84"/>
      <c r="I135" s="84"/>
    </row>
    <row r="136" spans="6:9" ht="14.25">
      <c r="F136" s="84"/>
      <c r="G136" s="84"/>
      <c r="H136" s="84"/>
      <c r="I136" s="84"/>
    </row>
    <row r="137" spans="6:9" ht="14.25">
      <c r="F137" s="84"/>
      <c r="G137" s="84"/>
      <c r="H137" s="84"/>
      <c r="I137" s="84"/>
    </row>
    <row r="138" spans="6:9" ht="14.25">
      <c r="F138" s="84"/>
      <c r="G138" s="84"/>
      <c r="H138" s="84"/>
      <c r="I138" s="84"/>
    </row>
    <row r="139" spans="6:9" ht="14.25">
      <c r="F139" s="84"/>
      <c r="G139" s="84"/>
      <c r="H139" s="84"/>
      <c r="I139" s="84"/>
    </row>
    <row r="140" spans="6:9" ht="14.25">
      <c r="F140" s="84"/>
      <c r="G140" s="84"/>
      <c r="H140" s="84"/>
      <c r="I140" s="84"/>
    </row>
    <row r="141" spans="6:9" ht="14.25">
      <c r="F141" s="84"/>
      <c r="G141" s="84"/>
      <c r="H141" s="84"/>
      <c r="I141" s="84"/>
    </row>
    <row r="142" spans="6:9" ht="14.25">
      <c r="F142" s="84"/>
      <c r="G142" s="84"/>
      <c r="H142" s="84"/>
      <c r="I142" s="84"/>
    </row>
    <row r="143" spans="6:9" ht="14.25">
      <c r="F143" s="84"/>
      <c r="G143" s="84"/>
      <c r="H143" s="84"/>
      <c r="I143" s="84"/>
    </row>
    <row r="144" spans="6:9" ht="14.25">
      <c r="F144" s="84"/>
      <c r="G144" s="84"/>
      <c r="H144" s="84"/>
      <c r="I144" s="84"/>
    </row>
    <row r="145" spans="6:9" ht="14.25">
      <c r="F145" s="84"/>
      <c r="G145" s="84"/>
      <c r="H145" s="84"/>
      <c r="I145" s="84"/>
    </row>
    <row r="146" spans="6:9" ht="14.25">
      <c r="F146" s="84"/>
      <c r="G146" s="84"/>
      <c r="H146" s="84"/>
      <c r="I146" s="84"/>
    </row>
    <row r="147" spans="6:9" ht="14.25">
      <c r="F147" s="84"/>
      <c r="G147" s="84"/>
      <c r="H147" s="84"/>
      <c r="I147" s="84"/>
    </row>
    <row r="148" spans="6:9" ht="14.25">
      <c r="F148" s="84"/>
      <c r="G148" s="84"/>
      <c r="H148" s="84"/>
      <c r="I148" s="84"/>
    </row>
    <row r="149" spans="6:9" ht="14.25">
      <c r="F149" s="84"/>
      <c r="G149" s="84"/>
      <c r="H149" s="84"/>
      <c r="I149" s="84"/>
    </row>
    <row r="150" spans="6:9" ht="14.25">
      <c r="F150" s="84"/>
      <c r="G150" s="84"/>
      <c r="H150" s="84"/>
      <c r="I150" s="84"/>
    </row>
    <row r="151" spans="6:9" ht="14.25">
      <c r="F151" s="84"/>
      <c r="G151" s="84"/>
      <c r="H151" s="84"/>
      <c r="I151" s="84"/>
    </row>
    <row r="152" spans="6:9" ht="14.25">
      <c r="F152" s="84"/>
      <c r="G152" s="84"/>
      <c r="H152" s="84"/>
      <c r="I152" s="84"/>
    </row>
    <row r="153" spans="6:9" ht="14.25">
      <c r="F153" s="84"/>
      <c r="G153" s="84"/>
      <c r="H153" s="84"/>
      <c r="I153" s="84"/>
    </row>
    <row r="154" spans="6:9" ht="14.25">
      <c r="F154" s="84"/>
      <c r="G154" s="84"/>
      <c r="H154" s="84"/>
      <c r="I154" s="84"/>
    </row>
    <row r="155" spans="6:9" ht="14.25">
      <c r="F155" s="84"/>
      <c r="G155" s="84"/>
      <c r="H155" s="84"/>
      <c r="I155" s="84"/>
    </row>
    <row r="156" spans="6:9" ht="14.25">
      <c r="F156" s="84"/>
      <c r="G156" s="84"/>
      <c r="H156" s="84"/>
      <c r="I156" s="84"/>
    </row>
    <row r="157" spans="6:9" ht="14.25">
      <c r="F157" s="84"/>
      <c r="G157" s="84"/>
      <c r="H157" s="84"/>
      <c r="I157" s="84"/>
    </row>
    <row r="158" spans="6:9" ht="14.25">
      <c r="F158" s="84"/>
      <c r="G158" s="84"/>
      <c r="H158" s="84"/>
      <c r="I158" s="84"/>
    </row>
    <row r="159" spans="6:9" ht="14.25">
      <c r="F159" s="84"/>
      <c r="G159" s="84"/>
      <c r="H159" s="84"/>
      <c r="I159" s="84"/>
    </row>
    <row r="160" spans="6:9" ht="14.25">
      <c r="F160" s="84"/>
      <c r="G160" s="84"/>
      <c r="H160" s="84"/>
      <c r="I160" s="84"/>
    </row>
    <row r="161" spans="6:9" ht="14.25">
      <c r="F161" s="84"/>
      <c r="G161" s="84"/>
      <c r="H161" s="84"/>
      <c r="I161" s="84"/>
    </row>
    <row r="162" spans="6:9" ht="14.25">
      <c r="F162" s="84"/>
      <c r="G162" s="84"/>
      <c r="H162" s="84"/>
      <c r="I162" s="84"/>
    </row>
    <row r="163" spans="6:9" ht="14.25">
      <c r="F163" s="84"/>
      <c r="G163" s="84"/>
      <c r="H163" s="84"/>
      <c r="I163" s="84"/>
    </row>
    <row r="164" spans="6:9" ht="14.25">
      <c r="F164" s="84"/>
      <c r="G164" s="84"/>
      <c r="H164" s="84"/>
      <c r="I164" s="84"/>
    </row>
    <row r="165" spans="6:9" ht="14.25">
      <c r="F165" s="84"/>
      <c r="G165" s="84"/>
      <c r="H165" s="84"/>
      <c r="I165" s="84"/>
    </row>
    <row r="166" spans="6:9" ht="14.25">
      <c r="F166" s="84"/>
      <c r="G166" s="84"/>
      <c r="H166" s="84"/>
      <c r="I166" s="84"/>
    </row>
    <row r="1000" ht="14.25">
      <c r="A1000" s="31" t="s">
        <v>397</v>
      </c>
    </row>
  </sheetData>
  <sheetProtection/>
  <mergeCells count="4">
    <mergeCell ref="B6:E6"/>
    <mergeCell ref="B62:E62"/>
    <mergeCell ref="F6:I6"/>
    <mergeCell ref="F62:I62"/>
  </mergeCells>
  <conditionalFormatting sqref="B26:I26">
    <cfRule type="cellIs" priority="2" dxfId="143" operator="notBetween">
      <formula>0.5</formula>
      <formula>-0.5</formula>
    </cfRule>
  </conditionalFormatting>
  <conditionalFormatting sqref="B82:I82">
    <cfRule type="cellIs" priority="1" dxfId="143" operator="notBetween">
      <formula>0.5</formula>
      <formula>-0.5</formula>
    </cfRule>
  </conditionalFormatting>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O1001"/>
  <sheetViews>
    <sheetView showGridLines="0" zoomScalePageLayoutView="0" workbookViewId="0" topLeftCell="A1">
      <selection activeCell="M24" sqref="M24"/>
    </sheetView>
  </sheetViews>
  <sheetFormatPr defaultColWidth="11.421875" defaultRowHeight="15"/>
  <cols>
    <col min="1" max="1" width="62.00390625" style="31" customWidth="1"/>
    <col min="2" max="16384" width="11.421875" style="31" customWidth="1"/>
  </cols>
  <sheetData>
    <row r="1" spans="1:9" ht="16.5">
      <c r="A1" s="85" t="str">
        <f>HLOOKUP(INDICE!$F$2,Nombres!$C$3:$D$636,263,FALSE)</f>
        <v>Resto de Negocios</v>
      </c>
      <c r="B1" s="30"/>
      <c r="C1" s="30"/>
      <c r="D1" s="30"/>
      <c r="E1" s="30"/>
      <c r="F1" s="30"/>
      <c r="G1" s="30"/>
      <c r="H1" s="30"/>
      <c r="I1" s="30"/>
    </row>
    <row r="2" spans="1:9" ht="52.5" customHeight="1">
      <c r="A2" s="311" t="str">
        <f>HLOOKUP(INDICE!$F$2,Nombres!$C$3:$D$636,268,FALSE)</f>
        <v>A partir del 1T21, a efectos de información de gestión, el negocio de EE.UU. vendido a PNC se mostrará como una rúbrica del balance y de la cuenta de resultados, en línea con la reclasificación contable a "Activo no corriente disponible para la venta" que tuvo lugar en el 4T20. A efectos informativos, ofrecemos a continuación una agregación del negocio de CIB en EE.UU. que no está incluido en el acuerdo con PNC y la información que se presenta actualmente como Resto de Eurasia.,</v>
      </c>
      <c r="B2" s="311"/>
      <c r="C2" s="311"/>
      <c r="D2" s="311"/>
      <c r="E2" s="311"/>
      <c r="F2" s="311"/>
      <c r="G2" s="311"/>
      <c r="H2" s="311"/>
      <c r="I2" s="311"/>
    </row>
    <row r="3" spans="1:9" ht="19.5">
      <c r="A3" s="32"/>
      <c r="B3" s="30"/>
      <c r="C3" s="30"/>
      <c r="D3" s="30"/>
      <c r="E3" s="30"/>
      <c r="F3" s="30"/>
      <c r="G3" s="30"/>
      <c r="H3" s="30"/>
      <c r="I3" s="30"/>
    </row>
    <row r="4" spans="1:9" ht="16.5">
      <c r="A4" s="33" t="str">
        <f>HLOOKUP(INDICE!$F$2,Nombres!$C$3:$D$636,31,FALSE)</f>
        <v>Cuenta de resultados  </v>
      </c>
      <c r="B4" s="34"/>
      <c r="C4" s="34"/>
      <c r="D4" s="34"/>
      <c r="E4" s="34"/>
      <c r="F4" s="34"/>
      <c r="G4" s="34"/>
      <c r="H4" s="34"/>
      <c r="I4" s="34"/>
    </row>
    <row r="5" spans="1:9" ht="14.25">
      <c r="A5" s="86" t="str">
        <f>HLOOKUP(INDICE!$F$2,Nombres!$C$3:$D$636,32,FALSE)</f>
        <v>(Millones de euros)</v>
      </c>
      <c r="B5" s="30"/>
      <c r="C5" s="36"/>
      <c r="D5" s="36"/>
      <c r="E5" s="36"/>
      <c r="F5" s="30"/>
      <c r="G5" s="30"/>
      <c r="H5" s="30"/>
      <c r="I5" s="30"/>
    </row>
    <row r="6" spans="1:9" ht="14.25">
      <c r="A6" s="37"/>
      <c r="B6" s="30"/>
      <c r="C6" s="36"/>
      <c r="D6" s="36"/>
      <c r="E6" s="36"/>
      <c r="F6" s="30"/>
      <c r="G6" s="30"/>
      <c r="H6" s="30"/>
      <c r="I6" s="30"/>
    </row>
    <row r="7" spans="1:9" ht="14.25">
      <c r="A7" s="38"/>
      <c r="B7" s="308">
        <f>+España!B6</f>
        <v>2019</v>
      </c>
      <c r="C7" s="308"/>
      <c r="D7" s="308"/>
      <c r="E7" s="309"/>
      <c r="F7" s="308">
        <f>+España!F6</f>
        <v>2020</v>
      </c>
      <c r="G7" s="308"/>
      <c r="H7" s="308"/>
      <c r="I7" s="308"/>
    </row>
    <row r="8" spans="1:15" ht="14.25">
      <c r="A8" s="38"/>
      <c r="B8" s="87" t="str">
        <f>+España!B7</f>
        <v>1er Trim.</v>
      </c>
      <c r="C8" s="87" t="str">
        <f>+España!C7</f>
        <v>2º Trim.</v>
      </c>
      <c r="D8" s="87" t="str">
        <f>+España!D7</f>
        <v>3er Trim.</v>
      </c>
      <c r="E8" s="88" t="str">
        <f>+España!E7</f>
        <v>4º Trim.</v>
      </c>
      <c r="F8" s="87" t="str">
        <f>+España!F7</f>
        <v>1er Trim.</v>
      </c>
      <c r="G8" s="87" t="str">
        <f>+España!G7</f>
        <v>2º Trim.</v>
      </c>
      <c r="H8" s="87" t="str">
        <f>+España!H7</f>
        <v>3er Trim.</v>
      </c>
      <c r="I8" s="87" t="str">
        <f>+España!I7</f>
        <v>4º Trim.</v>
      </c>
      <c r="K8" s="89"/>
      <c r="L8" s="89"/>
      <c r="M8" s="89"/>
      <c r="N8" s="89"/>
      <c r="O8" s="89"/>
    </row>
    <row r="9" spans="1:10" ht="14.25">
      <c r="A9" s="41" t="str">
        <f>HLOOKUP(INDICE!$F$2,Nombres!$C$3:$D$636,33,FALSE)</f>
        <v>Margen de intereses</v>
      </c>
      <c r="B9" s="41">
        <v>52.50129839</v>
      </c>
      <c r="C9" s="41">
        <v>60.30473958</v>
      </c>
      <c r="D9" s="41">
        <v>63.69356625</v>
      </c>
      <c r="E9" s="42">
        <v>58.8294047</v>
      </c>
      <c r="F9" s="50">
        <v>64.06440420999999</v>
      </c>
      <c r="G9" s="247">
        <v>79.58698304999999</v>
      </c>
      <c r="H9" s="247">
        <v>75.27156826000001</v>
      </c>
      <c r="I9" s="247">
        <v>70.95971893000004</v>
      </c>
      <c r="J9" s="89"/>
    </row>
    <row r="10" spans="1:9" ht="14.25">
      <c r="A10" s="90" t="str">
        <f>HLOOKUP(INDICE!$F$2,Nombres!$C$3:$D$636,34,FALSE)</f>
        <v>Comisiones netas</v>
      </c>
      <c r="B10" s="44">
        <v>65.967412</v>
      </c>
      <c r="C10" s="44">
        <v>68.20138534</v>
      </c>
      <c r="D10" s="44">
        <v>77.82924166999999</v>
      </c>
      <c r="E10" s="45">
        <v>65.37977230000001</v>
      </c>
      <c r="F10" s="44">
        <v>83.70778100000001</v>
      </c>
      <c r="G10" s="44">
        <v>96.51713118</v>
      </c>
      <c r="H10" s="44">
        <v>82.93294128</v>
      </c>
      <c r="I10" s="44">
        <v>68.69284372000001</v>
      </c>
    </row>
    <row r="11" spans="1:9" ht="14.25">
      <c r="A11" s="90" t="str">
        <f>HLOOKUP(INDICE!$F$2,Nombres!$C$3:$D$636,35,FALSE)</f>
        <v>Resultados de operaciones financieras</v>
      </c>
      <c r="B11" s="44">
        <v>34.91156599</v>
      </c>
      <c r="C11" s="44">
        <v>45.77406218000001</v>
      </c>
      <c r="D11" s="44">
        <v>40.46020772999999</v>
      </c>
      <c r="E11" s="45">
        <v>47.837365549999994</v>
      </c>
      <c r="F11" s="44">
        <v>49.90112140000001</v>
      </c>
      <c r="G11" s="44">
        <v>53.66331476</v>
      </c>
      <c r="H11" s="44">
        <v>29.362716579999997</v>
      </c>
      <c r="I11" s="44">
        <v>38.26450061999999</v>
      </c>
    </row>
    <row r="12" spans="1:9" ht="14.25">
      <c r="A12" s="90" t="str">
        <f>HLOOKUP(INDICE!$F$2,Nombres!$C$3:$D$636,36,FALSE)</f>
        <v>Otros ingresos y cargas de explotación</v>
      </c>
      <c r="B12" s="44">
        <v>12.283979</v>
      </c>
      <c r="C12" s="44">
        <v>14.700850130000003</v>
      </c>
      <c r="D12" s="44">
        <v>13.335858909999999</v>
      </c>
      <c r="E12" s="45">
        <v>14.13795536</v>
      </c>
      <c r="F12" s="44">
        <v>14.072524729999998</v>
      </c>
      <c r="G12" s="44">
        <v>12.091501880000001</v>
      </c>
      <c r="H12" s="44">
        <v>13.46354895</v>
      </c>
      <c r="I12" s="44">
        <v>11.89937806</v>
      </c>
    </row>
    <row r="13" spans="1:9" ht="14.25">
      <c r="A13" s="41" t="str">
        <f>HLOOKUP(INDICE!$F$2,Nombres!$C$3:$D$636,37,FALSE)</f>
        <v>Margen bruto</v>
      </c>
      <c r="B13" s="41">
        <f aca="true" t="shared" si="0" ref="B13:I13">+SUM(B9:B12)</f>
        <v>165.66425538</v>
      </c>
      <c r="C13" s="41">
        <f t="shared" si="0"/>
        <v>188.98103723</v>
      </c>
      <c r="D13" s="41">
        <f t="shared" si="0"/>
        <v>195.31887455999998</v>
      </c>
      <c r="E13" s="42">
        <f t="shared" si="0"/>
        <v>186.18449791</v>
      </c>
      <c r="F13" s="50">
        <f t="shared" si="0"/>
        <v>211.74583134</v>
      </c>
      <c r="G13" s="50">
        <f t="shared" si="0"/>
        <v>241.85893087</v>
      </c>
      <c r="H13" s="50">
        <f t="shared" si="0"/>
        <v>201.03077506999998</v>
      </c>
      <c r="I13" s="50">
        <f t="shared" si="0"/>
        <v>189.81644133000003</v>
      </c>
    </row>
    <row r="14" spans="1:9" ht="14.25">
      <c r="A14" s="90" t="str">
        <f>HLOOKUP(INDICE!$F$2,Nombres!$C$3:$D$636,38,FALSE)</f>
        <v>Gastos de explotación</v>
      </c>
      <c r="B14" s="44">
        <v>-114.15948801</v>
      </c>
      <c r="C14" s="44">
        <v>-119.22683585</v>
      </c>
      <c r="D14" s="44">
        <v>-123.34820633999999</v>
      </c>
      <c r="E14" s="45">
        <v>-130.5329049</v>
      </c>
      <c r="F14" s="44">
        <v>-126.18018161</v>
      </c>
      <c r="G14" s="44">
        <v>-107.06634127000001</v>
      </c>
      <c r="H14" s="44">
        <v>-112.12919863</v>
      </c>
      <c r="I14" s="44">
        <v>-126.9959032</v>
      </c>
    </row>
    <row r="15" spans="1:9" ht="14.25">
      <c r="A15" s="90" t="str">
        <f>HLOOKUP(INDICE!$F$2,Nombres!$C$3:$D$636,39,FALSE)</f>
        <v>  Gastos de administración</v>
      </c>
      <c r="B15" s="44">
        <v>-108.36224701</v>
      </c>
      <c r="C15" s="44">
        <v>-113.69762985</v>
      </c>
      <c r="D15" s="44">
        <v>-117.12025034000001</v>
      </c>
      <c r="E15" s="45">
        <v>-124.5633369</v>
      </c>
      <c r="F15" s="44">
        <v>-120.86558061</v>
      </c>
      <c r="G15" s="44">
        <v>-101.81498226999999</v>
      </c>
      <c r="H15" s="44">
        <v>-107.16190363000001</v>
      </c>
      <c r="I15" s="44">
        <v>-122.20182484</v>
      </c>
    </row>
    <row r="16" spans="1:9" ht="14.25">
      <c r="A16" s="91" t="str">
        <f>HLOOKUP(INDICE!$F$2,Nombres!$C$3:$D$636,40,FALSE)</f>
        <v>  Gastos de personal</v>
      </c>
      <c r="B16" s="44">
        <v>-64.62663596</v>
      </c>
      <c r="C16" s="44">
        <v>-67.53039037</v>
      </c>
      <c r="D16" s="44">
        <v>-69.07214117</v>
      </c>
      <c r="E16" s="45">
        <v>-72.1778799</v>
      </c>
      <c r="F16" s="44">
        <v>-73.82951498</v>
      </c>
      <c r="G16" s="44">
        <v>-56.06612199</v>
      </c>
      <c r="H16" s="44">
        <v>-57.01958322</v>
      </c>
      <c r="I16" s="44">
        <v>-72.39363211999999</v>
      </c>
    </row>
    <row r="17" spans="1:9" ht="14.25">
      <c r="A17" s="91" t="str">
        <f>HLOOKUP(INDICE!$F$2,Nombres!$C$3:$D$636,41,FALSE)</f>
        <v>  Otros gastos de administración</v>
      </c>
      <c r="B17" s="44">
        <v>-43.735611049999996</v>
      </c>
      <c r="C17" s="44">
        <v>-46.16723948</v>
      </c>
      <c r="D17" s="44">
        <v>-48.04810917</v>
      </c>
      <c r="E17" s="45">
        <v>-52.385457</v>
      </c>
      <c r="F17" s="44">
        <v>-47.036065629999996</v>
      </c>
      <c r="G17" s="44">
        <v>-45.74886028</v>
      </c>
      <c r="H17" s="44">
        <v>-50.142320409999996</v>
      </c>
      <c r="I17" s="44">
        <v>-49.80819272</v>
      </c>
    </row>
    <row r="18" spans="1:9" ht="14.25">
      <c r="A18" s="90" t="str">
        <f>HLOOKUP(INDICE!$F$2,Nombres!$C$3:$D$636,42,FALSE)</f>
        <v>  Amortización</v>
      </c>
      <c r="B18" s="44">
        <v>-5.797241</v>
      </c>
      <c r="C18" s="44">
        <v>-5.529206</v>
      </c>
      <c r="D18" s="44">
        <v>-6.227956</v>
      </c>
      <c r="E18" s="45">
        <v>-5.969568</v>
      </c>
      <c r="F18" s="44">
        <v>-5.314601</v>
      </c>
      <c r="G18" s="44">
        <v>-5.251359</v>
      </c>
      <c r="H18" s="44">
        <v>-4.967295</v>
      </c>
      <c r="I18" s="44">
        <v>-4.79407836</v>
      </c>
    </row>
    <row r="19" spans="1:9" ht="14.25">
      <c r="A19" s="41" t="str">
        <f>HLOOKUP(INDICE!$F$2,Nombres!$C$3:$D$636,43,FALSE)</f>
        <v>Margen neto</v>
      </c>
      <c r="B19" s="41">
        <f aca="true" t="shared" si="1" ref="B19:I19">+B13+B14</f>
        <v>51.50476736999998</v>
      </c>
      <c r="C19" s="41">
        <f t="shared" si="1"/>
        <v>69.75420138</v>
      </c>
      <c r="D19" s="41">
        <f t="shared" si="1"/>
        <v>71.97066822</v>
      </c>
      <c r="E19" s="42">
        <f t="shared" si="1"/>
        <v>55.65159301</v>
      </c>
      <c r="F19" s="50">
        <f t="shared" si="1"/>
        <v>85.56564972999999</v>
      </c>
      <c r="G19" s="50">
        <f t="shared" si="1"/>
        <v>134.79258959999999</v>
      </c>
      <c r="H19" s="50">
        <f t="shared" si="1"/>
        <v>88.90157643999997</v>
      </c>
      <c r="I19" s="50">
        <f t="shared" si="1"/>
        <v>62.82053813000003</v>
      </c>
    </row>
    <row r="20" spans="1:9" ht="14.25">
      <c r="A20" s="90" t="str">
        <f>HLOOKUP(INDICE!$F$2,Nombres!$C$3:$D$636,44,FALSE)</f>
        <v>Deterioro de activos financieros no valorados a valor razonable con cambios en resultados</v>
      </c>
      <c r="B20" s="44">
        <v>-7.0804789999999995</v>
      </c>
      <c r="C20" s="44">
        <v>-2.815591000000005</v>
      </c>
      <c r="D20" s="44">
        <v>3.1595460000000006</v>
      </c>
      <c r="E20" s="45">
        <v>-27.079538999999997</v>
      </c>
      <c r="F20" s="44">
        <v>-9.131987000000004</v>
      </c>
      <c r="G20" s="44">
        <v>-65.187398</v>
      </c>
      <c r="H20" s="44">
        <v>-25.470979000000003</v>
      </c>
      <c r="I20" s="44">
        <v>15.15767845000001</v>
      </c>
    </row>
    <row r="21" spans="1:9" ht="14.25">
      <c r="A21" s="90" t="str">
        <f>HLOOKUP(INDICE!$F$2,Nombres!$C$3:$D$636,45,FALSE)</f>
        <v>Provisiones o reversión de provisiones y otros resultados</v>
      </c>
      <c r="B21" s="44">
        <v>-1.20115909</v>
      </c>
      <c r="C21" s="44">
        <v>6.130726999999999</v>
      </c>
      <c r="D21" s="44">
        <v>11.986429</v>
      </c>
      <c r="E21" s="45">
        <v>-10.243382999999998</v>
      </c>
      <c r="F21" s="44">
        <v>11.101726999999999</v>
      </c>
      <c r="G21" s="44">
        <v>-17.054603</v>
      </c>
      <c r="H21" s="44">
        <v>-5.040946</v>
      </c>
      <c r="I21" s="44">
        <v>2.948495000000001</v>
      </c>
    </row>
    <row r="22" spans="1:9" ht="14.25">
      <c r="A22" s="92" t="str">
        <f>HLOOKUP(INDICE!$F$2,Nombres!$C$3:$D$636,46,FALSE)</f>
        <v>Resultado antes de impuestos</v>
      </c>
      <c r="B22" s="41">
        <f aca="true" t="shared" si="2" ref="B22:I22">+B19+B20+B21</f>
        <v>43.22312927999999</v>
      </c>
      <c r="C22" s="41">
        <f t="shared" si="2"/>
        <v>73.06933738</v>
      </c>
      <c r="D22" s="41">
        <f t="shared" si="2"/>
        <v>87.11664322</v>
      </c>
      <c r="E22" s="42">
        <f t="shared" si="2"/>
        <v>18.328671010000004</v>
      </c>
      <c r="F22" s="50">
        <f t="shared" si="2"/>
        <v>87.53538972999998</v>
      </c>
      <c r="G22" s="50">
        <f t="shared" si="2"/>
        <v>52.55058859999998</v>
      </c>
      <c r="H22" s="50">
        <f t="shared" si="2"/>
        <v>58.38965143999997</v>
      </c>
      <c r="I22" s="50">
        <f t="shared" si="2"/>
        <v>80.92671158000005</v>
      </c>
    </row>
    <row r="23" spans="1:9" ht="14.25">
      <c r="A23" s="43" t="str">
        <f>HLOOKUP(INDICE!$F$2,Nombres!$C$3:$D$636,47,FALSE)</f>
        <v>Impuesto sobre beneficios</v>
      </c>
      <c r="B23" s="44">
        <v>-11.382848509999999</v>
      </c>
      <c r="C23" s="44">
        <v>-14.046033930000002</v>
      </c>
      <c r="D23" s="44">
        <v>-21.22869356</v>
      </c>
      <c r="E23" s="45">
        <v>1.1471463800000024</v>
      </c>
      <c r="F23" s="44">
        <v>-21.638350300000003</v>
      </c>
      <c r="G23" s="44">
        <v>-13.400257730000003</v>
      </c>
      <c r="H23" s="44">
        <v>-12.18311366</v>
      </c>
      <c r="I23" s="44">
        <v>-17.996171389999997</v>
      </c>
    </row>
    <row r="24" spans="1:9" ht="14.25">
      <c r="A24" s="92" t="str">
        <f>HLOOKUP(INDICE!$F$2,Nombres!$C$3:$D$636,48,FALSE)</f>
        <v>Resultado del ejercicio</v>
      </c>
      <c r="B24" s="41">
        <f aca="true" t="shared" si="3" ref="B24:I24">+B22+B23</f>
        <v>31.84028076999999</v>
      </c>
      <c r="C24" s="41">
        <f t="shared" si="3"/>
        <v>59.02330344999999</v>
      </c>
      <c r="D24" s="41">
        <f t="shared" si="3"/>
        <v>65.88794966</v>
      </c>
      <c r="E24" s="42">
        <f t="shared" si="3"/>
        <v>19.475817390000007</v>
      </c>
      <c r="F24" s="50">
        <f t="shared" si="3"/>
        <v>65.89703942999998</v>
      </c>
      <c r="G24" s="50">
        <f t="shared" si="3"/>
        <v>39.150330869999976</v>
      </c>
      <c r="H24" s="50">
        <f t="shared" si="3"/>
        <v>46.20653777999998</v>
      </c>
      <c r="I24" s="50">
        <f t="shared" si="3"/>
        <v>62.930540190000045</v>
      </c>
    </row>
    <row r="25" spans="1:9" ht="14.25">
      <c r="A25" s="90" t="str">
        <f>HLOOKUP(INDICE!$F$2,Nombres!$C$3:$D$636,49,FALSE)</f>
        <v>Minoritarios</v>
      </c>
      <c r="B25" s="44">
        <v>0</v>
      </c>
      <c r="C25" s="44">
        <v>0</v>
      </c>
      <c r="D25" s="44">
        <v>0</v>
      </c>
      <c r="E25" s="45">
        <v>0</v>
      </c>
      <c r="F25" s="44">
        <v>0</v>
      </c>
      <c r="G25" s="44">
        <v>0</v>
      </c>
      <c r="H25" s="44">
        <v>0</v>
      </c>
      <c r="I25" s="44">
        <v>0</v>
      </c>
    </row>
    <row r="26" spans="1:9" ht="14.25">
      <c r="A26" s="93" t="str">
        <f>HLOOKUP(INDICE!$F$2,Nombres!$C$3:$D$636,50,FALSE)</f>
        <v>Resultado atribuido</v>
      </c>
      <c r="B26" s="47">
        <f aca="true" t="shared" si="4" ref="B26:I26">+B24+B25</f>
        <v>31.84028076999999</v>
      </c>
      <c r="C26" s="47">
        <f t="shared" si="4"/>
        <v>59.02330344999999</v>
      </c>
      <c r="D26" s="47">
        <f t="shared" si="4"/>
        <v>65.88794966</v>
      </c>
      <c r="E26" s="47">
        <f t="shared" si="4"/>
        <v>19.475817390000007</v>
      </c>
      <c r="F26" s="51">
        <f t="shared" si="4"/>
        <v>65.89703942999998</v>
      </c>
      <c r="G26" s="51">
        <f t="shared" si="4"/>
        <v>39.150330869999976</v>
      </c>
      <c r="H26" s="51">
        <f t="shared" si="4"/>
        <v>46.20653777999998</v>
      </c>
      <c r="I26" s="51">
        <f t="shared" si="4"/>
        <v>62.930540190000045</v>
      </c>
    </row>
    <row r="27" spans="1:9" ht="22.5" customHeight="1">
      <c r="A27" s="94"/>
      <c r="B27" s="64">
        <v>0</v>
      </c>
      <c r="C27" s="64">
        <v>0</v>
      </c>
      <c r="D27" s="64">
        <v>0</v>
      </c>
      <c r="E27" s="64">
        <v>0</v>
      </c>
      <c r="F27" s="64">
        <v>0</v>
      </c>
      <c r="G27" s="64">
        <v>0</v>
      </c>
      <c r="H27" s="64">
        <v>0</v>
      </c>
      <c r="I27" s="64">
        <v>0</v>
      </c>
    </row>
    <row r="28" spans="1:9" ht="14.25">
      <c r="A28" s="41"/>
      <c r="B28" s="41"/>
      <c r="C28" s="41"/>
      <c r="D28" s="41"/>
      <c r="E28" s="41"/>
      <c r="F28" s="41"/>
      <c r="G28" s="41"/>
      <c r="H28" s="41"/>
      <c r="I28" s="41"/>
    </row>
    <row r="29" spans="1:9" ht="16.5">
      <c r="A29" s="95" t="str">
        <f>HLOOKUP(INDICE!$F$2,Nombres!$C$3:$D$636,51,FALSE)</f>
        <v>Balances</v>
      </c>
      <c r="B29" s="34"/>
      <c r="C29" s="34"/>
      <c r="D29" s="34"/>
      <c r="E29" s="34"/>
      <c r="F29" s="34"/>
      <c r="G29" s="34"/>
      <c r="H29" s="34"/>
      <c r="I29" s="34"/>
    </row>
    <row r="30" spans="1:9" ht="14.25">
      <c r="A30" s="86" t="str">
        <f>HLOOKUP(INDICE!$F$2,Nombres!$C$3:$D$636,32,FALSE)</f>
        <v>(Millones de euros)</v>
      </c>
      <c r="B30" s="30"/>
      <c r="C30" s="52"/>
      <c r="D30" s="52"/>
      <c r="E30" s="52"/>
      <c r="F30" s="30"/>
      <c r="G30" s="58"/>
      <c r="H30" s="58"/>
      <c r="I30" s="58"/>
    </row>
    <row r="31" spans="1:9" ht="14.25">
      <c r="A31" s="30"/>
      <c r="B31" s="53">
        <f>+España!B30</f>
        <v>43555</v>
      </c>
      <c r="C31" s="53">
        <f>+España!C30</f>
        <v>43646</v>
      </c>
      <c r="D31" s="53">
        <f>+España!D30</f>
        <v>43738</v>
      </c>
      <c r="E31" s="69">
        <f>+España!E30</f>
        <v>43830</v>
      </c>
      <c r="F31" s="78">
        <f>+España!F30</f>
        <v>43921</v>
      </c>
      <c r="G31" s="78">
        <f>+España!G30</f>
        <v>44012</v>
      </c>
      <c r="H31" s="78">
        <f>+España!H30</f>
        <v>44104</v>
      </c>
      <c r="I31" s="78">
        <f>+España!I30</f>
        <v>44196</v>
      </c>
    </row>
    <row r="32" spans="1:9" ht="14.25">
      <c r="A32" s="90" t="str">
        <f>HLOOKUP(INDICE!$F$2,Nombres!$C$3:$D$636,52,FALSE)</f>
        <v>Efectivo, saldos en efectivo en bancos centrales y otros depósitos a la vista</v>
      </c>
      <c r="B32" s="44">
        <v>2066.0773219999987</v>
      </c>
      <c r="C32" s="44">
        <v>3271.7799170000003</v>
      </c>
      <c r="D32" s="44">
        <v>2672.180651999998</v>
      </c>
      <c r="E32" s="45">
        <v>2856.6320039999982</v>
      </c>
      <c r="F32" s="44">
        <v>6205.941830000002</v>
      </c>
      <c r="G32" s="44">
        <v>3312.608973000001</v>
      </c>
      <c r="H32" s="44">
        <v>5062.772775</v>
      </c>
      <c r="I32" s="44">
        <v>6125.639941000001</v>
      </c>
    </row>
    <row r="33" spans="1:9" ht="14.25">
      <c r="A33" s="90" t="str">
        <f>HLOOKUP(INDICE!$F$2,Nombres!$C$3:$D$636,53,FALSE)</f>
        <v>Activos financieros a valor razonable</v>
      </c>
      <c r="B33" s="58">
        <v>677.10840139</v>
      </c>
      <c r="C33" s="58">
        <v>1882.0955473899999</v>
      </c>
      <c r="D33" s="58">
        <v>637.2041613900001</v>
      </c>
      <c r="E33" s="66">
        <v>649.95692939</v>
      </c>
      <c r="F33" s="44">
        <v>801.10511039</v>
      </c>
      <c r="G33" s="44">
        <v>736.33652239</v>
      </c>
      <c r="H33" s="44">
        <v>678.33118839</v>
      </c>
      <c r="I33" s="44">
        <v>1331.14899239</v>
      </c>
    </row>
    <row r="34" spans="1:9" ht="14.25">
      <c r="A34" s="43" t="str">
        <f>HLOOKUP(INDICE!$F$2,Nombres!$C$3:$D$636,54,FALSE)</f>
        <v>Activos financieros a coste amortizado</v>
      </c>
      <c r="B34" s="44">
        <v>23489.853519999997</v>
      </c>
      <c r="C34" s="44">
        <v>24182.646406</v>
      </c>
      <c r="D34" s="44">
        <v>26034.459979000003</v>
      </c>
      <c r="E34" s="45">
        <v>28881.480206</v>
      </c>
      <c r="F34" s="44">
        <v>34212.100124000004</v>
      </c>
      <c r="G34" s="44">
        <v>34230.28191799999</v>
      </c>
      <c r="H34" s="44">
        <v>30259.825950000002</v>
      </c>
      <c r="I34" s="44">
        <v>27213.156282</v>
      </c>
    </row>
    <row r="35" spans="1:9" ht="14.25">
      <c r="A35" s="90" t="str">
        <f>HLOOKUP(INDICE!$F$2,Nombres!$C$3:$D$636,55,FALSE)</f>
        <v>    de los que préstamos y anticipos a la clientela</v>
      </c>
      <c r="B35" s="44">
        <v>22157.746069999997</v>
      </c>
      <c r="C35" s="44">
        <v>22502.278712</v>
      </c>
      <c r="D35" s="44">
        <v>23744.788333</v>
      </c>
      <c r="E35" s="45">
        <v>26142.947709</v>
      </c>
      <c r="F35" s="44">
        <v>30816.04376</v>
      </c>
      <c r="G35" s="44">
        <v>30796.114730000005</v>
      </c>
      <c r="H35" s="44">
        <v>27076.811182999998</v>
      </c>
      <c r="I35" s="44">
        <v>24015.194186</v>
      </c>
    </row>
    <row r="36" spans="1:9" ht="14.25">
      <c r="A36" s="90" t="str">
        <f>HLOOKUP(INDICE!$F$2,Nombres!$C$3:$D$636,121,FALSE)</f>
        <v>Posiciones inter-áreas activo</v>
      </c>
      <c r="B36" s="44">
        <v>0</v>
      </c>
      <c r="C36" s="44">
        <v>0</v>
      </c>
      <c r="D36" s="44">
        <v>0</v>
      </c>
      <c r="E36" s="45">
        <v>0</v>
      </c>
      <c r="F36" s="44">
        <v>0</v>
      </c>
      <c r="G36" s="44">
        <v>0</v>
      </c>
      <c r="H36" s="44">
        <v>0</v>
      </c>
      <c r="I36" s="44">
        <v>0</v>
      </c>
    </row>
    <row r="37" spans="1:9" ht="14.25">
      <c r="A37" s="43" t="str">
        <f>HLOOKUP(INDICE!$F$2,Nombres!$C$3:$D$636,56,FALSE)</f>
        <v>Activos tangibles</v>
      </c>
      <c r="B37" s="44">
        <v>124.644279</v>
      </c>
      <c r="C37" s="44">
        <v>118.25728299999999</v>
      </c>
      <c r="D37" s="44">
        <v>101.71854300000001</v>
      </c>
      <c r="E37" s="45">
        <v>85.616155</v>
      </c>
      <c r="F37" s="44">
        <v>82.273145</v>
      </c>
      <c r="G37" s="44">
        <v>81.53639600000001</v>
      </c>
      <c r="H37" s="44">
        <v>77.226108</v>
      </c>
      <c r="I37" s="44">
        <v>75.062099</v>
      </c>
    </row>
    <row r="38" spans="1:9" ht="14.25">
      <c r="A38" s="90" t="str">
        <f>HLOOKUP(INDICE!$F$2,Nombres!$C$3:$D$636,57,FALSE)</f>
        <v>Otros activos</v>
      </c>
      <c r="B38" s="58">
        <f>+B39-B37-B34-B33-B32-B36</f>
        <v>562.5530209999984</v>
      </c>
      <c r="C38" s="58">
        <f aca="true" t="shared" si="5" ref="C38:I38">+C39-C37-C34-C33-C32</f>
        <v>529.8792409999978</v>
      </c>
      <c r="D38" s="58">
        <f t="shared" si="5"/>
        <v>407.3543120000186</v>
      </c>
      <c r="E38" s="66">
        <f t="shared" si="5"/>
        <v>276.3174030000114</v>
      </c>
      <c r="F38" s="44">
        <f t="shared" si="5"/>
        <v>721.0541829999902</v>
      </c>
      <c r="G38" s="44">
        <f t="shared" si="5"/>
        <v>525.1017449999977</v>
      </c>
      <c r="H38" s="44">
        <f t="shared" si="5"/>
        <v>421.89801100000113</v>
      </c>
      <c r="I38" s="44">
        <f t="shared" si="5"/>
        <v>293.45187700000406</v>
      </c>
    </row>
    <row r="39" spans="1:9" ht="14.25">
      <c r="A39" s="93" t="str">
        <f>HLOOKUP(INDICE!$F$2,Nombres!$C$3:$D$636,58,FALSE)</f>
        <v>Total activo / pasivo</v>
      </c>
      <c r="B39" s="47">
        <v>26920.236543389994</v>
      </c>
      <c r="C39" s="47">
        <v>29984.658394389997</v>
      </c>
      <c r="D39" s="47">
        <v>29852.91764739002</v>
      </c>
      <c r="E39" s="72">
        <v>32750.00269739001</v>
      </c>
      <c r="F39" s="47">
        <v>42022.474392389995</v>
      </c>
      <c r="G39" s="47">
        <v>38885.865554389995</v>
      </c>
      <c r="H39" s="47">
        <v>36500.054032390006</v>
      </c>
      <c r="I39" s="47">
        <v>35038.45919139001</v>
      </c>
    </row>
    <row r="40" spans="1:9" ht="14.25">
      <c r="A40" s="90" t="str">
        <f>HLOOKUP(INDICE!$F$2,Nombres!$C$3:$D$636,59,FALSE)</f>
        <v>Pasivos financieros mantenidos para negociar y designados a valor razonable con cambios en resultados</v>
      </c>
      <c r="B40" s="58">
        <v>241.816512</v>
      </c>
      <c r="C40" s="58">
        <v>1410.8078540000001</v>
      </c>
      <c r="D40" s="58">
        <v>158.893706</v>
      </c>
      <c r="E40" s="66">
        <v>219.899134</v>
      </c>
      <c r="F40" s="44">
        <v>438.96618900000004</v>
      </c>
      <c r="G40" s="44">
        <v>291.00328499999995</v>
      </c>
      <c r="H40" s="44">
        <v>207.707479</v>
      </c>
      <c r="I40" s="44">
        <v>848.626516</v>
      </c>
    </row>
    <row r="41" spans="1:9" ht="14.25">
      <c r="A41" s="90" t="str">
        <f>HLOOKUP(INDICE!$F$2,Nombres!$C$3:$D$636,60,FALSE)</f>
        <v>Depósitos de bancos centrales y entidades de crédito</v>
      </c>
      <c r="B41" s="58">
        <v>1622.0491080000002</v>
      </c>
      <c r="C41" s="58">
        <v>1595.9200440000002</v>
      </c>
      <c r="D41" s="58">
        <v>1681.515507</v>
      </c>
      <c r="E41" s="66">
        <v>1983.8594779999999</v>
      </c>
      <c r="F41" s="44">
        <v>1445.090423</v>
      </c>
      <c r="G41" s="44">
        <v>1941.42895</v>
      </c>
      <c r="H41" s="44">
        <v>1831.693015</v>
      </c>
      <c r="I41" s="44">
        <v>1702.3833370000002</v>
      </c>
    </row>
    <row r="42" spans="1:9" ht="14.25">
      <c r="A42" s="90" t="str">
        <f>HLOOKUP(INDICE!$F$2,Nombres!$C$3:$D$636,61,FALSE)</f>
        <v>Depósitos de la clientela</v>
      </c>
      <c r="B42" s="58">
        <v>7683.619984999999</v>
      </c>
      <c r="C42" s="58">
        <v>7184.219338999999</v>
      </c>
      <c r="D42" s="58">
        <v>7522.695555</v>
      </c>
      <c r="E42" s="66">
        <v>8603.16881</v>
      </c>
      <c r="F42" s="44">
        <v>9352.503787</v>
      </c>
      <c r="G42" s="44">
        <v>9382.881923</v>
      </c>
      <c r="H42" s="44">
        <v>9209.631687000001</v>
      </c>
      <c r="I42" s="44">
        <v>9333.238973</v>
      </c>
    </row>
    <row r="43" spans="1:9" ht="14.25">
      <c r="A43" s="43" t="str">
        <f>HLOOKUP(INDICE!$F$2,Nombres!$C$3:$D$636,62,FALSE)</f>
        <v>Valores representativos de deuda emitidos</v>
      </c>
      <c r="B43" s="44">
        <v>411.94998592</v>
      </c>
      <c r="C43" s="44">
        <v>1238.76565282</v>
      </c>
      <c r="D43" s="44">
        <v>1038.72260914</v>
      </c>
      <c r="E43" s="45">
        <v>1229.10757085</v>
      </c>
      <c r="F43" s="44">
        <v>916.5463360599998</v>
      </c>
      <c r="G43" s="44">
        <v>495.81695467</v>
      </c>
      <c r="H43" s="44">
        <v>535.5564842900001</v>
      </c>
      <c r="I43" s="44">
        <v>809.3501225999998</v>
      </c>
    </row>
    <row r="44" spans="1:9" ht="15.75" customHeight="1">
      <c r="A44" s="90" t="str">
        <f>HLOOKUP(INDICE!$F$2,Nombres!$C$3:$D$636,122,FALSE)</f>
        <v>Posiciones inter-áreas pasivo</v>
      </c>
      <c r="B44" s="44">
        <v>14971.02750221</v>
      </c>
      <c r="C44" s="44">
        <v>16426.322975240022</v>
      </c>
      <c r="D44" s="44">
        <v>17489.976156519988</v>
      </c>
      <c r="E44" s="45">
        <v>18822.951028010044</v>
      </c>
      <c r="F44" s="44">
        <v>27859.299282700023</v>
      </c>
      <c r="G44" s="44">
        <v>24416.611396790024</v>
      </c>
      <c r="H44" s="44">
        <v>22663.61176114002</v>
      </c>
      <c r="I44" s="44">
        <v>20341.24222364001</v>
      </c>
    </row>
    <row r="45" spans="1:9" ht="14.25">
      <c r="A45" s="43" t="str">
        <f>HLOOKUP(INDICE!$F$2,Nombres!$C$3:$D$636,63,FALSE)</f>
        <v>Otros pasivos</v>
      </c>
      <c r="B45" s="58">
        <f aca="true" t="shared" si="6" ref="B45:I45">+B39-B40-B41-B42-B43-B46-B44</f>
        <v>807.840799259995</v>
      </c>
      <c r="C45" s="58">
        <f t="shared" si="6"/>
        <v>868.2966283299793</v>
      </c>
      <c r="D45" s="58">
        <f t="shared" si="6"/>
        <v>670.4245425300287</v>
      </c>
      <c r="E45" s="66">
        <f t="shared" si="6"/>
        <v>547.9393960099696</v>
      </c>
      <c r="F45" s="58">
        <f t="shared" si="6"/>
        <v>592.6241346299685</v>
      </c>
      <c r="G45" s="58">
        <f t="shared" si="6"/>
        <v>855.6967249299705</v>
      </c>
      <c r="H45" s="58">
        <f t="shared" si="6"/>
        <v>609.5609354999942</v>
      </c>
      <c r="I45" s="58">
        <f t="shared" si="6"/>
        <v>610.5353929400044</v>
      </c>
    </row>
    <row r="46" spans="1:9" ht="14.25">
      <c r="A46" s="90" t="str">
        <f>HLOOKUP(INDICE!$F$2,Nombres!$C$3:$D$636,64,FALSE)</f>
        <v>Dotación de capital económico</v>
      </c>
      <c r="B46" s="44">
        <v>1181.9326510000005</v>
      </c>
      <c r="C46" s="44">
        <v>1260.3259010000002</v>
      </c>
      <c r="D46" s="44">
        <v>1290.6895711999996</v>
      </c>
      <c r="E46" s="45">
        <v>1343.0772805200004</v>
      </c>
      <c r="F46" s="44">
        <v>1417.4442400000003</v>
      </c>
      <c r="G46" s="44">
        <v>1502.42632</v>
      </c>
      <c r="H46" s="44">
        <v>1442.29267046</v>
      </c>
      <c r="I46" s="44">
        <v>1393.0826262099995</v>
      </c>
    </row>
    <row r="47" spans="1:9" ht="14.25">
      <c r="A47" s="63"/>
      <c r="B47" s="58"/>
      <c r="C47" s="58"/>
      <c r="D47" s="58"/>
      <c r="E47" s="58"/>
      <c r="F47" s="44"/>
      <c r="G47" s="44"/>
      <c r="H47" s="44"/>
      <c r="I47" s="44"/>
    </row>
    <row r="48" spans="1:9" ht="14.25">
      <c r="A48" s="43"/>
      <c r="B48" s="58"/>
      <c r="C48" s="58"/>
      <c r="D48" s="58"/>
      <c r="E48" s="58"/>
      <c r="F48" s="44"/>
      <c r="G48" s="44"/>
      <c r="H48" s="44"/>
      <c r="I48" s="44"/>
    </row>
    <row r="49" spans="1:9" ht="16.5">
      <c r="A49" s="95" t="str">
        <f>HLOOKUP(INDICE!$F$2,Nombres!$C$3:$D$636,65,FALSE)</f>
        <v>Indicadores relevantes y de gestión</v>
      </c>
      <c r="B49" s="34"/>
      <c r="C49" s="34"/>
      <c r="D49" s="34"/>
      <c r="E49" s="34"/>
      <c r="F49" s="70"/>
      <c r="G49" s="70"/>
      <c r="H49" s="70"/>
      <c r="I49" s="70"/>
    </row>
    <row r="50" spans="1:9" ht="14.25">
      <c r="A50" s="86" t="str">
        <f>HLOOKUP(INDICE!$F$2,Nombres!$C$3:$D$636,32,FALSE)</f>
        <v>(Millones de euros)</v>
      </c>
      <c r="B50" s="30"/>
      <c r="C50" s="30"/>
      <c r="D50" s="30"/>
      <c r="E50" s="30"/>
      <c r="F50" s="71"/>
      <c r="G50" s="44"/>
      <c r="H50" s="44"/>
      <c r="I50" s="44"/>
    </row>
    <row r="51" spans="1:9" ht="14.25">
      <c r="A51" s="30"/>
      <c r="B51" s="53">
        <f aca="true" t="shared" si="7" ref="B51:I51">+B$31</f>
        <v>43555</v>
      </c>
      <c r="C51" s="53">
        <f t="shared" si="7"/>
        <v>43646</v>
      </c>
      <c r="D51" s="53">
        <f t="shared" si="7"/>
        <v>43738</v>
      </c>
      <c r="E51" s="69">
        <f t="shared" si="7"/>
        <v>43830</v>
      </c>
      <c r="F51" s="53">
        <f t="shared" si="7"/>
        <v>43921</v>
      </c>
      <c r="G51" s="53">
        <f t="shared" si="7"/>
        <v>44012</v>
      </c>
      <c r="H51" s="53">
        <f t="shared" si="7"/>
        <v>44104</v>
      </c>
      <c r="I51" s="53">
        <f t="shared" si="7"/>
        <v>44196</v>
      </c>
    </row>
    <row r="52" spans="1:9" ht="14.25">
      <c r="A52" s="90" t="str">
        <f>HLOOKUP(INDICE!$F$2,Nombres!$C$3:$D$636,66,FALSE)</f>
        <v>Préstamos y anticipos a la clientela bruto (*)</v>
      </c>
      <c r="B52" s="44">
        <v>22510.759467</v>
      </c>
      <c r="C52" s="44">
        <v>22848.80154</v>
      </c>
      <c r="D52" s="44">
        <v>24092.322088</v>
      </c>
      <c r="E52" s="45">
        <v>26509.497273</v>
      </c>
      <c r="F52" s="44">
        <v>31159.538964</v>
      </c>
      <c r="G52" s="44">
        <v>31147.586980000004</v>
      </c>
      <c r="H52" s="44">
        <v>27447.170533</v>
      </c>
      <c r="I52" s="44">
        <v>24348.612419</v>
      </c>
    </row>
    <row r="53" spans="1:9" ht="14.25">
      <c r="A53" s="90" t="str">
        <f>HLOOKUP(INDICE!$F$2,Nombres!$C$3:$D$636,67,FALSE)</f>
        <v>Depósitos de clientes en gestión (**)</v>
      </c>
      <c r="B53" s="44">
        <v>7683.619984999999</v>
      </c>
      <c r="C53" s="44">
        <v>7184.219339000001</v>
      </c>
      <c r="D53" s="44">
        <v>7522.695555</v>
      </c>
      <c r="E53" s="45">
        <v>8603.16881</v>
      </c>
      <c r="F53" s="44">
        <v>9352.503787000001</v>
      </c>
      <c r="G53" s="44">
        <v>9382.881923</v>
      </c>
      <c r="H53" s="44">
        <v>9209.631687000001</v>
      </c>
      <c r="I53" s="44">
        <v>9333.238973</v>
      </c>
    </row>
    <row r="54" spans="1:9" ht="14.25">
      <c r="A54" s="43" t="str">
        <f>HLOOKUP(INDICE!$F$2,Nombres!$C$3:$D$636,68,FALSE)</f>
        <v>Fondos de inversión</v>
      </c>
      <c r="B54" s="44">
        <v>0.013545</v>
      </c>
      <c r="C54" s="44">
        <v>0.013555</v>
      </c>
      <c r="D54" s="44">
        <v>0.013544</v>
      </c>
      <c r="E54" s="45">
        <v>0.013511</v>
      </c>
      <c r="F54" s="44">
        <v>0</v>
      </c>
      <c r="G54" s="44">
        <v>0</v>
      </c>
      <c r="H54" s="44">
        <v>0</v>
      </c>
      <c r="I54" s="44">
        <v>0</v>
      </c>
    </row>
    <row r="55" spans="1:9" ht="14.25">
      <c r="A55" s="90" t="str">
        <f>HLOOKUP(INDICE!$F$2,Nombres!$C$3:$D$636,69,FALSE)</f>
        <v>Fondos de pensiones</v>
      </c>
      <c r="B55" s="44">
        <v>407.12046328</v>
      </c>
      <c r="C55" s="44">
        <v>454.48082914</v>
      </c>
      <c r="D55" s="44">
        <v>496.67020717</v>
      </c>
      <c r="E55" s="45">
        <v>500.43861838</v>
      </c>
      <c r="F55" s="44">
        <v>494.78505432</v>
      </c>
      <c r="G55" s="44">
        <v>517.96026945</v>
      </c>
      <c r="H55" s="44">
        <v>529.31975174</v>
      </c>
      <c r="I55" s="44">
        <v>569.33256496</v>
      </c>
    </row>
    <row r="56" spans="1:9" ht="14.25">
      <c r="A56" s="90" t="str">
        <f>HLOOKUP(INDICE!$F$2,Nombres!$C$3:$D$636,70,FALSE)</f>
        <v>Otros recursos fuera de balance</v>
      </c>
      <c r="B56" s="44">
        <v>0</v>
      </c>
      <c r="C56" s="44">
        <v>0</v>
      </c>
      <c r="D56" s="44">
        <v>0</v>
      </c>
      <c r="E56" s="45">
        <v>0</v>
      </c>
      <c r="F56" s="44">
        <v>0</v>
      </c>
      <c r="G56" s="44">
        <v>0</v>
      </c>
      <c r="H56" s="44">
        <v>0</v>
      </c>
      <c r="I56" s="44">
        <v>0</v>
      </c>
    </row>
    <row r="57" spans="1:9" ht="14.25">
      <c r="A57" s="94" t="str">
        <f>HLOOKUP(INDICE!$F$2,Nombres!$C$3:$D$636,71,FALSE)</f>
        <v>(*) No incluye las adquisiciones temporales de activos.</v>
      </c>
      <c r="B57" s="58"/>
      <c r="C57" s="58"/>
      <c r="D57" s="58"/>
      <c r="E57" s="58"/>
      <c r="F57" s="44"/>
      <c r="G57" s="44"/>
      <c r="H57" s="44"/>
      <c r="I57" s="44"/>
    </row>
    <row r="58" spans="1:9" ht="14.25">
      <c r="A58" s="94" t="str">
        <f>HLOOKUP(INDICE!$F$2,Nombres!$C$3:$D$636,72,FALSE)</f>
        <v>(**) No incluye las cesiones temporales de activos.</v>
      </c>
      <c r="B58" s="30"/>
      <c r="C58" s="30"/>
      <c r="D58" s="30"/>
      <c r="E58" s="30"/>
      <c r="F58" s="71"/>
      <c r="G58" s="71"/>
      <c r="H58" s="71"/>
      <c r="I58" s="71"/>
    </row>
    <row r="59" spans="1:9" ht="14.25">
      <c r="A59" s="63"/>
      <c r="B59" s="30"/>
      <c r="C59" s="30"/>
      <c r="D59" s="30"/>
      <c r="E59" s="30"/>
      <c r="F59" s="71"/>
      <c r="G59" s="71"/>
      <c r="H59" s="71"/>
      <c r="I59" s="71"/>
    </row>
    <row r="60" spans="1:9" ht="16.5">
      <c r="A60" s="95" t="str">
        <f>HLOOKUP(INDICE!$F$2,Nombres!$C$3:$D$636,31,FALSE)</f>
        <v>Cuenta de resultados  </v>
      </c>
      <c r="B60" s="34"/>
      <c r="C60" s="34"/>
      <c r="D60" s="34"/>
      <c r="E60" s="34"/>
      <c r="F60" s="70"/>
      <c r="G60" s="70"/>
      <c r="H60" s="70"/>
      <c r="I60" s="70"/>
    </row>
    <row r="61" spans="1:9" ht="14.25">
      <c r="A61" s="86" t="str">
        <f>HLOOKUP(INDICE!$F$2,Nombres!$C$3:$D$636,73,FALSE)</f>
        <v>(Millones de euros constantes)</v>
      </c>
      <c r="B61" s="30"/>
      <c r="C61" s="36"/>
      <c r="D61" s="36"/>
      <c r="E61" s="36"/>
      <c r="F61" s="71"/>
      <c r="G61" s="71"/>
      <c r="H61" s="71"/>
      <c r="I61" s="71"/>
    </row>
    <row r="62" spans="1:9" ht="14.25">
      <c r="A62" s="37"/>
      <c r="B62" s="30"/>
      <c r="C62" s="36"/>
      <c r="D62" s="36"/>
      <c r="E62" s="36"/>
      <c r="F62" s="30"/>
      <c r="G62" s="30"/>
      <c r="H62" s="30"/>
      <c r="I62" s="30"/>
    </row>
    <row r="63" spans="1:9" ht="14.25">
      <c r="A63" s="38"/>
      <c r="B63" s="308">
        <f>+B$7</f>
        <v>2019</v>
      </c>
      <c r="C63" s="308"/>
      <c r="D63" s="308"/>
      <c r="E63" s="309"/>
      <c r="F63" s="308">
        <f>+F$7</f>
        <v>2020</v>
      </c>
      <c r="G63" s="308"/>
      <c r="H63" s="308"/>
      <c r="I63" s="308"/>
    </row>
    <row r="64" spans="1:9" ht="14.25">
      <c r="A64" s="38"/>
      <c r="B64" s="87" t="str">
        <f aca="true" t="shared" si="8" ref="B64:I64">+B$8</f>
        <v>1er Trim.</v>
      </c>
      <c r="C64" s="87" t="str">
        <f t="shared" si="8"/>
        <v>2º Trim.</v>
      </c>
      <c r="D64" s="87" t="str">
        <f t="shared" si="8"/>
        <v>3er Trim.</v>
      </c>
      <c r="E64" s="88" t="str">
        <f t="shared" si="8"/>
        <v>4º Trim.</v>
      </c>
      <c r="F64" s="87" t="str">
        <f t="shared" si="8"/>
        <v>1er Trim.</v>
      </c>
      <c r="G64" s="87" t="str">
        <f t="shared" si="8"/>
        <v>2º Trim.</v>
      </c>
      <c r="H64" s="87" t="str">
        <f t="shared" si="8"/>
        <v>3er Trim.</v>
      </c>
      <c r="I64" s="87" t="str">
        <f t="shared" si="8"/>
        <v>4º Trim.</v>
      </c>
    </row>
    <row r="65" spans="1:9" ht="14.25">
      <c r="A65" s="41" t="str">
        <f>HLOOKUP(INDICE!$F$2,Nombres!$C$3:$D$636,33,FALSE)</f>
        <v>Margen de intereses</v>
      </c>
      <c r="B65" s="41">
        <v>51.54885431163676</v>
      </c>
      <c r="C65" s="41">
        <v>59.533069636957855</v>
      </c>
      <c r="D65" s="41">
        <v>60.70909712560366</v>
      </c>
      <c r="E65" s="42">
        <v>59.107812782067676</v>
      </c>
      <c r="F65" s="50">
        <v>62.2942426695494</v>
      </c>
      <c r="G65" s="50">
        <v>77.66514051175905</v>
      </c>
      <c r="H65" s="50">
        <v>76.13282468209238</v>
      </c>
      <c r="I65" s="50">
        <v>73.79046658659918</v>
      </c>
    </row>
    <row r="66" spans="1:9" ht="14.25">
      <c r="A66" s="90" t="str">
        <f>HLOOKUP(INDICE!$F$2,Nombres!$C$3:$D$636,34,FALSE)</f>
        <v>Comisiones netas</v>
      </c>
      <c r="B66" s="44">
        <v>65.77430726599883</v>
      </c>
      <c r="C66" s="44">
        <v>67.80625377695779</v>
      </c>
      <c r="D66" s="44">
        <v>75.92830944499188</v>
      </c>
      <c r="E66" s="45">
        <v>64.77355243945118</v>
      </c>
      <c r="F66" s="44">
        <v>81.68602580471324</v>
      </c>
      <c r="G66" s="44">
        <v>94.03597664680231</v>
      </c>
      <c r="H66" s="44">
        <v>84.2728990934776</v>
      </c>
      <c r="I66" s="44">
        <v>71.85579563500684</v>
      </c>
    </row>
    <row r="67" spans="1:9" ht="14.25">
      <c r="A67" s="90" t="str">
        <f>HLOOKUP(INDICE!$F$2,Nombres!$C$3:$D$636,35,FALSE)</f>
        <v>Resultados de operaciones financieras</v>
      </c>
      <c r="B67" s="44">
        <v>34.23086084775507</v>
      </c>
      <c r="C67" s="44">
        <v>45.00587749116865</v>
      </c>
      <c r="D67" s="44">
        <v>38.89164255381292</v>
      </c>
      <c r="E67" s="45">
        <v>47.677094063300096</v>
      </c>
      <c r="F67" s="44">
        <v>48.61459395697447</v>
      </c>
      <c r="G67" s="44">
        <v>52.882254462766106</v>
      </c>
      <c r="H67" s="44">
        <v>30.22383269889192</v>
      </c>
      <c r="I67" s="44">
        <v>39.4709722413675</v>
      </c>
    </row>
    <row r="68" spans="1:9" ht="14.25">
      <c r="A68" s="90" t="str">
        <f>HLOOKUP(INDICE!$F$2,Nombres!$C$3:$D$636,36,FALSE)</f>
        <v>Otros ingresos y cargas de explotación</v>
      </c>
      <c r="B68" s="44">
        <v>12.067012329505115</v>
      </c>
      <c r="C68" s="44">
        <v>14.438010833315737</v>
      </c>
      <c r="D68" s="44">
        <v>12.694953636486566</v>
      </c>
      <c r="E68" s="45">
        <v>13.604767144396096</v>
      </c>
      <c r="F68" s="44">
        <v>13.46138086563429</v>
      </c>
      <c r="G68" s="44">
        <v>11.672479958803299</v>
      </c>
      <c r="H68" s="44">
        <v>13.771256316452591</v>
      </c>
      <c r="I68" s="44">
        <v>12.62183647910982</v>
      </c>
    </row>
    <row r="69" spans="1:9" ht="14.25">
      <c r="A69" s="41" t="str">
        <f>HLOOKUP(INDICE!$F$2,Nombres!$C$3:$D$636,37,FALSE)</f>
        <v>Margen bruto</v>
      </c>
      <c r="B69" s="41">
        <f aca="true" t="shared" si="9" ref="B69:I69">+SUM(B65:B68)</f>
        <v>163.62103475489576</v>
      </c>
      <c r="C69" s="41">
        <f t="shared" si="9"/>
        <v>186.78321173840004</v>
      </c>
      <c r="D69" s="41">
        <f t="shared" si="9"/>
        <v>188.22400276089502</v>
      </c>
      <c r="E69" s="42">
        <f t="shared" si="9"/>
        <v>185.16322642921506</v>
      </c>
      <c r="F69" s="50">
        <f t="shared" si="9"/>
        <v>206.05624329687137</v>
      </c>
      <c r="G69" s="50">
        <f t="shared" si="9"/>
        <v>236.25585158013078</v>
      </c>
      <c r="H69" s="50">
        <f t="shared" si="9"/>
        <v>204.4008127909145</v>
      </c>
      <c r="I69" s="50">
        <f t="shared" si="9"/>
        <v>197.73907094208334</v>
      </c>
    </row>
    <row r="70" spans="1:9" ht="14.25">
      <c r="A70" s="90" t="str">
        <f>HLOOKUP(INDICE!$F$2,Nombres!$C$3:$D$636,38,FALSE)</f>
        <v>Gastos de explotación</v>
      </c>
      <c r="B70" s="44">
        <v>-113.34847912858933</v>
      </c>
      <c r="C70" s="44">
        <v>-118.3102481262163</v>
      </c>
      <c r="D70" s="44">
        <v>-119.48640334873038</v>
      </c>
      <c r="E70" s="45">
        <v>-129.86534848311302</v>
      </c>
      <c r="F70" s="44">
        <v>-123.23405677886947</v>
      </c>
      <c r="G70" s="44">
        <v>-105.15164527015186</v>
      </c>
      <c r="H70" s="44">
        <v>-113.58256915148957</v>
      </c>
      <c r="I70" s="44">
        <v>-130.40335350948908</v>
      </c>
    </row>
    <row r="71" spans="1:9" ht="14.25">
      <c r="A71" s="90" t="str">
        <f>HLOOKUP(INDICE!$F$2,Nombres!$C$3:$D$636,39,FALSE)</f>
        <v>  Gastos de administración</v>
      </c>
      <c r="B71" s="44">
        <v>-107.59437020942119</v>
      </c>
      <c r="C71" s="44">
        <v>-112.80005579771492</v>
      </c>
      <c r="D71" s="44">
        <v>-113.46174148159984</v>
      </c>
      <c r="E71" s="45">
        <v>-123.85325813418224</v>
      </c>
      <c r="F71" s="44">
        <v>-117.9920868090024</v>
      </c>
      <c r="G71" s="44">
        <v>-99.95364166261845</v>
      </c>
      <c r="H71" s="44">
        <v>-108.58052316556464</v>
      </c>
      <c r="I71" s="44">
        <v>-125.5180397128145</v>
      </c>
    </row>
    <row r="72" spans="1:9" ht="14.25">
      <c r="A72" s="91" t="str">
        <f>HLOOKUP(INDICE!$F$2,Nombres!$C$3:$D$636,40,FALSE)</f>
        <v>  Gastos de personal</v>
      </c>
      <c r="B72" s="44">
        <v>-64.08680280566116</v>
      </c>
      <c r="C72" s="44">
        <v>-66.9586000398327</v>
      </c>
      <c r="D72" s="44">
        <v>-66.67342328887962</v>
      </c>
      <c r="E72" s="45">
        <v>-71.77590221576054</v>
      </c>
      <c r="F72" s="44">
        <v>-71.87069101232984</v>
      </c>
      <c r="G72" s="44">
        <v>-54.89729095326618</v>
      </c>
      <c r="H72" s="44">
        <v>-58.01121205565497</v>
      </c>
      <c r="I72" s="44">
        <v>-74.52965828874903</v>
      </c>
    </row>
    <row r="73" spans="1:9" ht="14.25">
      <c r="A73" s="91" t="str">
        <f>HLOOKUP(INDICE!$F$2,Nombres!$C$3:$D$636,41,FALSE)</f>
        <v>  Otros gastos de administración</v>
      </c>
      <c r="B73" s="44">
        <v>-43.50756740376002</v>
      </c>
      <c r="C73" s="44">
        <v>-45.8414557578822</v>
      </c>
      <c r="D73" s="44">
        <v>-46.78831819272022</v>
      </c>
      <c r="E73" s="45">
        <v>-52.0773559184217</v>
      </c>
      <c r="F73" s="44">
        <v>-46.12139579667258</v>
      </c>
      <c r="G73" s="44">
        <v>-45.05635070935228</v>
      </c>
      <c r="H73" s="44">
        <v>-50.569311109909684</v>
      </c>
      <c r="I73" s="44">
        <v>-50.98838142406545</v>
      </c>
    </row>
    <row r="74" spans="1:9" ht="14.25">
      <c r="A74" s="90" t="str">
        <f>HLOOKUP(INDICE!$F$2,Nombres!$C$3:$D$636,42,FALSE)</f>
        <v>  Amortización</v>
      </c>
      <c r="B74" s="44">
        <v>-5.754108919168152</v>
      </c>
      <c r="C74" s="44">
        <v>-5.510192328501396</v>
      </c>
      <c r="D74" s="44">
        <v>-6.024661867130541</v>
      </c>
      <c r="E74" s="45">
        <v>-6.012090348930769</v>
      </c>
      <c r="F74" s="44">
        <v>-5.241969969867077</v>
      </c>
      <c r="G74" s="44">
        <v>-5.1980036075334155</v>
      </c>
      <c r="H74" s="44">
        <v>-5.0020459859249105</v>
      </c>
      <c r="I74" s="44">
        <v>-4.8853137966745965</v>
      </c>
    </row>
    <row r="75" spans="1:9" ht="14.25">
      <c r="A75" s="41" t="str">
        <f>HLOOKUP(INDICE!$F$2,Nombres!$C$3:$D$636,43,FALSE)</f>
        <v>Margen neto</v>
      </c>
      <c r="B75" s="41">
        <f aca="true" t="shared" si="10" ref="B75:I75">+B69+B70</f>
        <v>50.27255562630643</v>
      </c>
      <c r="C75" s="41">
        <f t="shared" si="10"/>
        <v>68.47296361218375</v>
      </c>
      <c r="D75" s="41">
        <f t="shared" si="10"/>
        <v>68.73759941216464</v>
      </c>
      <c r="E75" s="42">
        <f t="shared" si="10"/>
        <v>55.297877946102034</v>
      </c>
      <c r="F75" s="50">
        <f t="shared" si="10"/>
        <v>82.8221865180019</v>
      </c>
      <c r="G75" s="50">
        <f t="shared" si="10"/>
        <v>131.1042063099789</v>
      </c>
      <c r="H75" s="50">
        <f t="shared" si="10"/>
        <v>90.81824363942494</v>
      </c>
      <c r="I75" s="50">
        <f t="shared" si="10"/>
        <v>67.33571743259427</v>
      </c>
    </row>
    <row r="76" spans="1:9" ht="14.25">
      <c r="A76" s="90" t="str">
        <f>HLOOKUP(INDICE!$F$2,Nombres!$C$3:$D$636,44,FALSE)</f>
        <v>Deterioro de activos financieros no valorados a valor razonable con cambios en resultados</v>
      </c>
      <c r="B76" s="44">
        <v>-7.350190403473198</v>
      </c>
      <c r="C76" s="44">
        <v>-2.6043334318777407</v>
      </c>
      <c r="D76" s="44">
        <v>3.2432919385943673</v>
      </c>
      <c r="E76" s="45">
        <v>-24.610270296767652</v>
      </c>
      <c r="F76" s="44">
        <v>-7.481960686708639</v>
      </c>
      <c r="G76" s="44">
        <v>-63.34116873597286</v>
      </c>
      <c r="H76" s="44">
        <v>-26.596693507510984</v>
      </c>
      <c r="I76" s="44">
        <v>12.787137380192483</v>
      </c>
    </row>
    <row r="77" spans="1:9" ht="14.25">
      <c r="A77" s="90" t="str">
        <f>HLOOKUP(INDICE!$F$2,Nombres!$C$3:$D$636,45,FALSE)</f>
        <v>Provisiones o reversión de provisiones y otros resultados</v>
      </c>
      <c r="B77" s="44">
        <v>-1.1586178281633228</v>
      </c>
      <c r="C77" s="44">
        <v>5.8289774936054055</v>
      </c>
      <c r="D77" s="44">
        <v>11.453739719233027</v>
      </c>
      <c r="E77" s="45">
        <v>-9.485737360605954</v>
      </c>
      <c r="F77" s="44">
        <v>9.863627548457178</v>
      </c>
      <c r="G77" s="44">
        <v>-15.958533736705085</v>
      </c>
      <c r="H77" s="44">
        <v>-4.764543297370766</v>
      </c>
      <c r="I77" s="44">
        <v>2.8141224856186717</v>
      </c>
    </row>
    <row r="78" spans="1:9" ht="14.25">
      <c r="A78" s="92" t="str">
        <f>HLOOKUP(INDICE!$F$2,Nombres!$C$3:$D$636,46,FALSE)</f>
        <v>Resultado antes de impuestos</v>
      </c>
      <c r="B78" s="41">
        <f aca="true" t="shared" si="11" ref="B78:I78">+B75+B76+B77</f>
        <v>41.763747394669906</v>
      </c>
      <c r="C78" s="41">
        <f t="shared" si="11"/>
        <v>71.69760767391142</v>
      </c>
      <c r="D78" s="41">
        <f t="shared" si="11"/>
        <v>83.43463106999204</v>
      </c>
      <c r="E78" s="42">
        <f t="shared" si="11"/>
        <v>21.20187028872843</v>
      </c>
      <c r="F78" s="50">
        <f t="shared" si="11"/>
        <v>85.20385337975043</v>
      </c>
      <c r="G78" s="50">
        <f t="shared" si="11"/>
        <v>51.80450383730096</v>
      </c>
      <c r="H78" s="50">
        <f t="shared" si="11"/>
        <v>59.45700683454318</v>
      </c>
      <c r="I78" s="50">
        <f t="shared" si="11"/>
        <v>82.93697729840542</v>
      </c>
    </row>
    <row r="79" spans="1:9" ht="14.25">
      <c r="A79" s="43" t="str">
        <f>HLOOKUP(INDICE!$F$2,Nombres!$C$3:$D$636,47,FALSE)</f>
        <v>Impuesto sobre beneficios</v>
      </c>
      <c r="B79" s="44">
        <v>-11.046827234093865</v>
      </c>
      <c r="C79" s="44">
        <v>-13.622457688604548</v>
      </c>
      <c r="D79" s="44">
        <v>-20.13365647832754</v>
      </c>
      <c r="E79" s="45">
        <v>-0.17173819061079953</v>
      </c>
      <c r="F79" s="44">
        <v>-21.119813636865977</v>
      </c>
      <c r="G79" s="44">
        <v>-13.166207225424131</v>
      </c>
      <c r="H79" s="44">
        <v>-12.475625893875444</v>
      </c>
      <c r="I79" s="44">
        <v>-18.45624632383445</v>
      </c>
    </row>
    <row r="80" spans="1:9" ht="14.25">
      <c r="A80" s="92" t="str">
        <f>HLOOKUP(INDICE!$F$2,Nombres!$C$3:$D$636,48,FALSE)</f>
        <v>Resultado del ejercicio</v>
      </c>
      <c r="B80" s="41">
        <f aca="true" t="shared" si="12" ref="B80:I80">+B78+B79</f>
        <v>30.71692016057604</v>
      </c>
      <c r="C80" s="41">
        <f t="shared" si="12"/>
        <v>58.07514998530687</v>
      </c>
      <c r="D80" s="41">
        <f t="shared" si="12"/>
        <v>63.3009745916645</v>
      </c>
      <c r="E80" s="42">
        <f t="shared" si="12"/>
        <v>21.03013209811763</v>
      </c>
      <c r="F80" s="50">
        <f t="shared" si="12"/>
        <v>64.08403974288444</v>
      </c>
      <c r="G80" s="50">
        <f t="shared" si="12"/>
        <v>38.63829661187683</v>
      </c>
      <c r="H80" s="50">
        <f t="shared" si="12"/>
        <v>46.981380940667734</v>
      </c>
      <c r="I80" s="50">
        <f t="shared" si="12"/>
        <v>64.48073097457097</v>
      </c>
    </row>
    <row r="81" spans="1:9" ht="14.25">
      <c r="A81" s="90" t="str">
        <f>HLOOKUP(INDICE!$F$2,Nombres!$C$3:$D$636,49,FALSE)</f>
        <v>Minoritarios</v>
      </c>
      <c r="B81" s="44">
        <v>0</v>
      </c>
      <c r="C81" s="44">
        <v>0</v>
      </c>
      <c r="D81" s="44">
        <v>0</v>
      </c>
      <c r="E81" s="45">
        <v>0</v>
      </c>
      <c r="F81" s="44">
        <v>0</v>
      </c>
      <c r="G81" s="44">
        <v>0</v>
      </c>
      <c r="H81" s="44">
        <v>0</v>
      </c>
      <c r="I81" s="44">
        <v>0</v>
      </c>
    </row>
    <row r="82" spans="1:9" ht="14.25">
      <c r="A82" s="93" t="str">
        <f>HLOOKUP(INDICE!$F$2,Nombres!$C$3:$D$636,50,FALSE)</f>
        <v>Resultado atribuido</v>
      </c>
      <c r="B82" s="47">
        <f aca="true" t="shared" si="13" ref="B82:I82">+B80+B81</f>
        <v>30.71692016057604</v>
      </c>
      <c r="C82" s="47">
        <f t="shared" si="13"/>
        <v>58.07514998530687</v>
      </c>
      <c r="D82" s="47">
        <f t="shared" si="13"/>
        <v>63.3009745916645</v>
      </c>
      <c r="E82" s="47">
        <f t="shared" si="13"/>
        <v>21.03013209811763</v>
      </c>
      <c r="F82" s="51">
        <f t="shared" si="13"/>
        <v>64.08403974288444</v>
      </c>
      <c r="G82" s="51">
        <f t="shared" si="13"/>
        <v>38.63829661187683</v>
      </c>
      <c r="H82" s="51">
        <f t="shared" si="13"/>
        <v>46.981380940667734</v>
      </c>
      <c r="I82" s="51">
        <f t="shared" si="13"/>
        <v>64.48073097457097</v>
      </c>
    </row>
    <row r="83" spans="1:9" ht="14.25">
      <c r="A83" s="94" t="s">
        <v>5</v>
      </c>
      <c r="B83" s="64">
        <v>0</v>
      </c>
      <c r="C83" s="64">
        <v>0</v>
      </c>
      <c r="D83" s="64">
        <v>0</v>
      </c>
      <c r="E83" s="64">
        <v>0</v>
      </c>
      <c r="F83" s="64">
        <v>0</v>
      </c>
      <c r="G83" s="64">
        <v>0</v>
      </c>
      <c r="H83" s="64">
        <v>0</v>
      </c>
      <c r="I83" s="64">
        <v>0</v>
      </c>
    </row>
    <row r="84" spans="1:9" ht="14.25">
      <c r="A84" s="41"/>
      <c r="B84" s="41"/>
      <c r="C84" s="41"/>
      <c r="D84" s="41"/>
      <c r="E84" s="41"/>
      <c r="F84" s="50"/>
      <c r="G84" s="50"/>
      <c r="H84" s="50"/>
      <c r="I84" s="50"/>
    </row>
    <row r="85" spans="1:9" ht="16.5">
      <c r="A85" s="95" t="str">
        <f>HLOOKUP(INDICE!$F$2,Nombres!$C$3:$D$636,51,FALSE)</f>
        <v>Balances</v>
      </c>
      <c r="B85" s="34"/>
      <c r="C85" s="34"/>
      <c r="D85" s="34"/>
      <c r="E85" s="34"/>
      <c r="F85" s="70"/>
      <c r="G85" s="70"/>
      <c r="H85" s="70"/>
      <c r="I85" s="70"/>
    </row>
    <row r="86" spans="1:9" ht="14.25">
      <c r="A86" s="86" t="str">
        <f>HLOOKUP(INDICE!$F$2,Nombres!$C$3:$D$636,73,FALSE)</f>
        <v>(Millones de euros constantes)</v>
      </c>
      <c r="B86" s="30"/>
      <c r="C86" s="52"/>
      <c r="D86" s="52"/>
      <c r="E86" s="52"/>
      <c r="F86" s="71"/>
      <c r="G86" s="44"/>
      <c r="H86" s="44"/>
      <c r="I86" s="44"/>
    </row>
    <row r="87" spans="1:9" ht="14.25">
      <c r="A87" s="30"/>
      <c r="B87" s="53">
        <f aca="true" t="shared" si="14" ref="B87:I87">+B$31</f>
        <v>43555</v>
      </c>
      <c r="C87" s="53">
        <f t="shared" si="14"/>
        <v>43646</v>
      </c>
      <c r="D87" s="53">
        <f t="shared" si="14"/>
        <v>43738</v>
      </c>
      <c r="E87" s="69">
        <f t="shared" si="14"/>
        <v>43830</v>
      </c>
      <c r="F87" s="53">
        <f t="shared" si="14"/>
        <v>43921</v>
      </c>
      <c r="G87" s="53">
        <f t="shared" si="14"/>
        <v>44012</v>
      </c>
      <c r="H87" s="53">
        <f t="shared" si="14"/>
        <v>44104</v>
      </c>
      <c r="I87" s="53">
        <f t="shared" si="14"/>
        <v>44196</v>
      </c>
    </row>
    <row r="88" spans="1:9" ht="14.25">
      <c r="A88" s="90" t="str">
        <f>HLOOKUP(INDICE!$F$2,Nombres!$C$3:$D$636,52,FALSE)</f>
        <v>Efectivo, saldos en efectivo en bancos centrales y otros depósitos a la vista</v>
      </c>
      <c r="B88" s="44">
        <v>1913.3623946766022</v>
      </c>
      <c r="C88" s="44">
        <v>3052.310965302592</v>
      </c>
      <c r="D88" s="44">
        <v>2397.383232051343</v>
      </c>
      <c r="E88" s="45">
        <v>2636.6858016962765</v>
      </c>
      <c r="F88" s="44">
        <v>5568.46098476215</v>
      </c>
      <c r="G88" s="44">
        <v>3047.436586958534</v>
      </c>
      <c r="H88" s="44">
        <v>4844.577476737759</v>
      </c>
      <c r="I88" s="44">
        <v>6125.639941000001</v>
      </c>
    </row>
    <row r="89" spans="1:9" ht="14.25">
      <c r="A89" s="90" t="str">
        <f>HLOOKUP(INDICE!$F$2,Nombres!$C$3:$D$636,53,FALSE)</f>
        <v>Activos financieros a valor razonable</v>
      </c>
      <c r="B89" s="58">
        <v>663.2490450471832</v>
      </c>
      <c r="C89" s="58">
        <v>1783.1488768642932</v>
      </c>
      <c r="D89" s="58">
        <v>621.2205895184616</v>
      </c>
      <c r="E89" s="66">
        <v>635.490313624949</v>
      </c>
      <c r="F89" s="44">
        <v>768.9494732926563</v>
      </c>
      <c r="G89" s="44">
        <v>714.8740442104875</v>
      </c>
      <c r="H89" s="44">
        <v>668.9577367194602</v>
      </c>
      <c r="I89" s="44">
        <v>1331.14899239</v>
      </c>
    </row>
    <row r="90" spans="1:9" ht="14.25">
      <c r="A90" s="43" t="str">
        <f>HLOOKUP(INDICE!$F$2,Nombres!$C$3:$D$636,54,FALSE)</f>
        <v>Activos financieros a coste amortizado</v>
      </c>
      <c r="B90" s="44">
        <v>23179.43255892297</v>
      </c>
      <c r="C90" s="44">
        <v>23835.28497348629</v>
      </c>
      <c r="D90" s="44">
        <v>25432.18269659984</v>
      </c>
      <c r="E90" s="45">
        <v>28322.56055119093</v>
      </c>
      <c r="F90" s="44">
        <v>33248.10823799507</v>
      </c>
      <c r="G90" s="44">
        <v>33471.568230970144</v>
      </c>
      <c r="H90" s="44">
        <v>29964.18055349574</v>
      </c>
      <c r="I90" s="44">
        <v>27213.156282</v>
      </c>
    </row>
    <row r="91" spans="1:9" ht="14.25">
      <c r="A91" s="90" t="str">
        <f>HLOOKUP(INDICE!$F$2,Nombres!$C$3:$D$636,55,FALSE)</f>
        <v>    de los que préstamos y anticipos a la clientela</v>
      </c>
      <c r="B91" s="44">
        <v>21842.70487543619</v>
      </c>
      <c r="C91" s="44">
        <v>22154.163778500846</v>
      </c>
      <c r="D91" s="44">
        <v>23153.84246247405</v>
      </c>
      <c r="E91" s="45">
        <v>25597.699624344154</v>
      </c>
      <c r="F91" s="44">
        <v>29889.70139168695</v>
      </c>
      <c r="G91" s="44">
        <v>30067.267461394786</v>
      </c>
      <c r="H91" s="44">
        <v>26795.227721106035</v>
      </c>
      <c r="I91" s="44">
        <v>24015.194186</v>
      </c>
    </row>
    <row r="92" spans="1:9" ht="14.25">
      <c r="A92" s="90" t="str">
        <f>HLOOKUP(INDICE!$F$2,Nombres!$C$3:$D$636,121,FALSE)</f>
        <v>Posiciones inter-áreas activo</v>
      </c>
      <c r="B92" s="44">
        <v>0</v>
      </c>
      <c r="C92" s="44">
        <v>0</v>
      </c>
      <c r="D92" s="44">
        <v>0</v>
      </c>
      <c r="E92" s="45">
        <v>0</v>
      </c>
      <c r="F92" s="44">
        <v>0</v>
      </c>
      <c r="G92" s="44">
        <v>0</v>
      </c>
      <c r="H92" s="44">
        <v>0</v>
      </c>
      <c r="I92" s="44">
        <v>0</v>
      </c>
    </row>
    <row r="93" spans="1:9" ht="14.25">
      <c r="A93" s="43" t="str">
        <f>HLOOKUP(INDICE!$F$2,Nombres!$C$3:$D$636,56,FALSE)</f>
        <v>Activos tangibles</v>
      </c>
      <c r="B93" s="44">
        <v>122.72016472008603</v>
      </c>
      <c r="C93" s="44">
        <v>116.67480206694275</v>
      </c>
      <c r="D93" s="44">
        <v>98.62778860715876</v>
      </c>
      <c r="E93" s="45">
        <v>84.45809720358568</v>
      </c>
      <c r="F93" s="44">
        <v>80.69070707333368</v>
      </c>
      <c r="G93" s="44">
        <v>80.3590107472479</v>
      </c>
      <c r="H93" s="44">
        <v>76.70460350443823</v>
      </c>
      <c r="I93" s="44">
        <v>75.062099</v>
      </c>
    </row>
    <row r="94" spans="1:9" ht="14.25">
      <c r="A94" s="90" t="str">
        <f>HLOOKUP(INDICE!$F$2,Nombres!$C$3:$D$636,57,FALSE)</f>
        <v>Otros activos</v>
      </c>
      <c r="B94" s="58">
        <f>+B95-B93-B90-B89-B88-B92</f>
        <v>536.5262115266648</v>
      </c>
      <c r="C94" s="58">
        <f aca="true" t="shared" si="15" ref="C94:I94">+C95-C93-C90-C89-C88</f>
        <v>509.49787312007174</v>
      </c>
      <c r="D94" s="58">
        <f t="shared" si="15"/>
        <v>388.50783662270806</v>
      </c>
      <c r="E94" s="66">
        <f t="shared" si="15"/>
        <v>272.26602563846154</v>
      </c>
      <c r="F94" s="44">
        <f t="shared" si="15"/>
        <v>671.4812723294772</v>
      </c>
      <c r="G94" s="44">
        <f t="shared" si="15"/>
        <v>499.92131143549295</v>
      </c>
      <c r="H94" s="44">
        <f t="shared" si="15"/>
        <v>413.06437245747475</v>
      </c>
      <c r="I94" s="44">
        <f t="shared" si="15"/>
        <v>293.45187700000406</v>
      </c>
    </row>
    <row r="95" spans="1:9" ht="14.25">
      <c r="A95" s="93" t="str">
        <f>HLOOKUP(INDICE!$F$2,Nombres!$C$3:$D$636,58,FALSE)</f>
        <v>Total activo / pasivo</v>
      </c>
      <c r="B95" s="47">
        <v>26415.290374893506</v>
      </c>
      <c r="C95" s="47">
        <v>29296.91749084019</v>
      </c>
      <c r="D95" s="47">
        <v>28937.92214339951</v>
      </c>
      <c r="E95" s="72">
        <v>31951.460789354205</v>
      </c>
      <c r="F95" s="51">
        <v>40337.690675452686</v>
      </c>
      <c r="G95" s="51">
        <v>37814.15918432191</v>
      </c>
      <c r="H95" s="51">
        <v>35967.48474291487</v>
      </c>
      <c r="I95" s="51">
        <v>35038.45919139001</v>
      </c>
    </row>
    <row r="96" spans="1:9" ht="14.25">
      <c r="A96" s="90" t="str">
        <f>HLOOKUP(INDICE!$F$2,Nombres!$C$3:$D$636,59,FALSE)</f>
        <v>Pasivos financieros mantenidos para negociar y designados a valor razonable con cambios en resultados</v>
      </c>
      <c r="B96" s="58">
        <v>225.00580980007868</v>
      </c>
      <c r="C96" s="58">
        <v>1311.519556682793</v>
      </c>
      <c r="D96" s="58">
        <v>146.33492787316874</v>
      </c>
      <c r="E96" s="66">
        <v>206.15440684525174</v>
      </c>
      <c r="F96" s="44">
        <v>396.6088490614471</v>
      </c>
      <c r="G96" s="44">
        <v>269.6865123206837</v>
      </c>
      <c r="H96" s="44">
        <v>200.16657582900206</v>
      </c>
      <c r="I96" s="44">
        <v>848.626516</v>
      </c>
    </row>
    <row r="97" spans="1:9" ht="14.25">
      <c r="A97" s="90" t="str">
        <f>HLOOKUP(INDICE!$F$2,Nombres!$C$3:$D$636,60,FALSE)</f>
        <v>Depósitos de bancos centrales y entidades de crédito</v>
      </c>
      <c r="B97" s="58">
        <v>1567.8159283700213</v>
      </c>
      <c r="C97" s="58">
        <v>1546.45820296227</v>
      </c>
      <c r="D97" s="58">
        <v>1595.8638077552998</v>
      </c>
      <c r="E97" s="66">
        <v>1904.022217626315</v>
      </c>
      <c r="F97" s="44">
        <v>1374.6502602228861</v>
      </c>
      <c r="G97" s="44">
        <v>1863.8252331785482</v>
      </c>
      <c r="H97" s="44">
        <v>1786.9870270375786</v>
      </c>
      <c r="I97" s="44">
        <v>1702.3833370000002</v>
      </c>
    </row>
    <row r="98" spans="1:9" ht="14.25">
      <c r="A98" s="90" t="str">
        <f>HLOOKUP(INDICE!$F$2,Nombres!$C$3:$D$636,61,FALSE)</f>
        <v>Depósitos de la clientela</v>
      </c>
      <c r="B98" s="58">
        <v>7482.90033437921</v>
      </c>
      <c r="C98" s="58">
        <v>6989.213305303193</v>
      </c>
      <c r="D98" s="58">
        <v>7169.959167763216</v>
      </c>
      <c r="E98" s="66">
        <v>8276.994288463764</v>
      </c>
      <c r="F98" s="44">
        <v>8878.882179981782</v>
      </c>
      <c r="G98" s="44">
        <v>8948.508270314762</v>
      </c>
      <c r="H98" s="44">
        <v>8998.181764462814</v>
      </c>
      <c r="I98" s="44">
        <v>9333.238973</v>
      </c>
    </row>
    <row r="99" spans="1:9" ht="14.25">
      <c r="A99" s="43" t="str">
        <f>HLOOKUP(INDICE!$F$2,Nombres!$C$3:$D$636,62,FALSE)</f>
        <v>Valores representativos de deuda emitidos</v>
      </c>
      <c r="B99" s="44">
        <v>394.0672713134763</v>
      </c>
      <c r="C99" s="44">
        <v>1220.5907430219997</v>
      </c>
      <c r="D99" s="44">
        <v>992.0632547122459</v>
      </c>
      <c r="E99" s="45">
        <v>1196.0984792130066</v>
      </c>
      <c r="F99" s="44">
        <v>904.6561421621219</v>
      </c>
      <c r="G99" s="44">
        <v>485.62988083178107</v>
      </c>
      <c r="H99" s="44">
        <v>528.047476903547</v>
      </c>
      <c r="I99" s="44">
        <v>809.3501225999998</v>
      </c>
    </row>
    <row r="100" spans="1:9" ht="14.25">
      <c r="A100" s="90" t="str">
        <f>HLOOKUP(INDICE!$F$2,Nombres!$C$3:$D$636,122,FALSE)</f>
        <v>Posiciones inter-áreas pasivo</v>
      </c>
      <c r="B100" s="44">
        <v>14827.482882960909</v>
      </c>
      <c r="C100" s="44">
        <v>16156.088860596417</v>
      </c>
      <c r="D100" s="44">
        <v>17150.991451924907</v>
      </c>
      <c r="E100" s="45">
        <v>18529.991308651</v>
      </c>
      <c r="F100" s="44">
        <v>26849.073433918253</v>
      </c>
      <c r="G100" s="44">
        <v>23978.69345531128</v>
      </c>
      <c r="H100" s="44">
        <v>22436.161625400273</v>
      </c>
      <c r="I100" s="44">
        <v>20341.24222364001</v>
      </c>
    </row>
    <row r="101" spans="1:9" ht="14.25">
      <c r="A101" s="43" t="str">
        <f>HLOOKUP(INDICE!$F$2,Nombres!$C$3:$D$636,63,FALSE)</f>
        <v>Otros pasivos</v>
      </c>
      <c r="B101" s="58">
        <f aca="true" t="shared" si="16" ref="B101:I101">+B95-B96-B97-B98-B99-B102-B100</f>
        <v>769.1479063948482</v>
      </c>
      <c r="C101" s="58">
        <f t="shared" si="16"/>
        <v>844.7510495110328</v>
      </c>
      <c r="D101" s="58">
        <f t="shared" si="16"/>
        <v>642.3965532311377</v>
      </c>
      <c r="E101" s="66">
        <f t="shared" si="16"/>
        <v>535.5161734868743</v>
      </c>
      <c r="F101" s="58">
        <f t="shared" si="16"/>
        <v>570.8963550317276</v>
      </c>
      <c r="G101" s="58">
        <f t="shared" si="16"/>
        <v>814.8490233818848</v>
      </c>
      <c r="H101" s="58">
        <f t="shared" si="16"/>
        <v>600.1805763039629</v>
      </c>
      <c r="I101" s="58">
        <f t="shared" si="16"/>
        <v>610.5353929400044</v>
      </c>
    </row>
    <row r="102" spans="1:9" ht="14.25">
      <c r="A102" s="90" t="str">
        <f>HLOOKUP(INDICE!$F$2,Nombres!$C$3:$D$636,64,FALSE)</f>
        <v>Dotación de capital económico</v>
      </c>
      <c r="B102" s="44">
        <v>1148.8702416749616</v>
      </c>
      <c r="C102" s="44">
        <v>1228.2957727624866</v>
      </c>
      <c r="D102" s="44">
        <v>1240.312980139538</v>
      </c>
      <c r="E102" s="45">
        <v>1302.6839150679923</v>
      </c>
      <c r="F102" s="44">
        <v>1362.923455074465</v>
      </c>
      <c r="G102" s="44">
        <v>1452.966808982967</v>
      </c>
      <c r="H102" s="44">
        <v>1417.7596969776962</v>
      </c>
      <c r="I102" s="44">
        <v>1393.0826262099995</v>
      </c>
    </row>
    <row r="103" spans="1:9" ht="14.25">
      <c r="A103" s="63"/>
      <c r="B103" s="58"/>
      <c r="C103" s="58"/>
      <c r="D103" s="58"/>
      <c r="E103" s="58"/>
      <c r="F103" s="44"/>
      <c r="G103" s="44"/>
      <c r="H103" s="44"/>
      <c r="I103" s="44"/>
    </row>
    <row r="104" spans="1:9" ht="14.25">
      <c r="A104" s="43"/>
      <c r="B104" s="58"/>
      <c r="C104" s="58"/>
      <c r="D104" s="58"/>
      <c r="E104" s="58"/>
      <c r="F104" s="44"/>
      <c r="G104" s="44"/>
      <c r="H104" s="44"/>
      <c r="I104" s="44"/>
    </row>
    <row r="105" spans="1:9" ht="16.5">
      <c r="A105" s="95" t="str">
        <f>HLOOKUP(INDICE!$F$2,Nombres!$C$3:$D$636,65,FALSE)</f>
        <v>Indicadores relevantes y de gestión</v>
      </c>
      <c r="B105" s="34"/>
      <c r="C105" s="34"/>
      <c r="D105" s="34"/>
      <c r="E105" s="34"/>
      <c r="F105" s="70"/>
      <c r="G105" s="70"/>
      <c r="H105" s="70"/>
      <c r="I105" s="70"/>
    </row>
    <row r="106" spans="1:9" ht="14.25">
      <c r="A106" s="86" t="str">
        <f>HLOOKUP(INDICE!$F$2,Nombres!$C$3:$D$636,73,FALSE)</f>
        <v>(Millones de euros constantes)</v>
      </c>
      <c r="B106" s="30"/>
      <c r="C106" s="30"/>
      <c r="D106" s="30"/>
      <c r="E106" s="30"/>
      <c r="F106" s="71"/>
      <c r="G106" s="44"/>
      <c r="H106" s="44"/>
      <c r="I106" s="44"/>
    </row>
    <row r="107" spans="1:9" ht="14.25">
      <c r="A107" s="30"/>
      <c r="B107" s="53">
        <f aca="true" t="shared" si="17" ref="B107:I107">+B$31</f>
        <v>43555</v>
      </c>
      <c r="C107" s="53">
        <f t="shared" si="17"/>
        <v>43646</v>
      </c>
      <c r="D107" s="53">
        <f t="shared" si="17"/>
        <v>43738</v>
      </c>
      <c r="E107" s="69">
        <f t="shared" si="17"/>
        <v>43830</v>
      </c>
      <c r="F107" s="53">
        <f t="shared" si="17"/>
        <v>43921</v>
      </c>
      <c r="G107" s="53">
        <f t="shared" si="17"/>
        <v>44012</v>
      </c>
      <c r="H107" s="53">
        <f t="shared" si="17"/>
        <v>44104</v>
      </c>
      <c r="I107" s="53">
        <f t="shared" si="17"/>
        <v>44196</v>
      </c>
    </row>
    <row r="108" spans="1:9" ht="14.25">
      <c r="A108" s="90" t="str">
        <f>HLOOKUP(INDICE!$F$2,Nombres!$C$3:$D$636,66,FALSE)</f>
        <v>Préstamos y anticipos a la clientela bruto (*)</v>
      </c>
      <c r="B108" s="44">
        <v>22194.973014257066</v>
      </c>
      <c r="C108" s="44">
        <v>22499.998554169255</v>
      </c>
      <c r="D108" s="44">
        <v>23500.16307048408</v>
      </c>
      <c r="E108" s="45">
        <v>25960.865093536428</v>
      </c>
      <c r="F108" s="44">
        <v>30230.624226679152</v>
      </c>
      <c r="G108" s="44">
        <v>30414.50242171573</v>
      </c>
      <c r="H108" s="44">
        <v>27162.81905630297</v>
      </c>
      <c r="I108" s="44">
        <v>24348.612419</v>
      </c>
    </row>
    <row r="109" spans="1:9" ht="14.25">
      <c r="A109" s="90" t="str">
        <f>HLOOKUP(INDICE!$F$2,Nombres!$C$3:$D$636,67,FALSE)</f>
        <v>Depósitos de clientes en gestión (**)</v>
      </c>
      <c r="B109" s="44">
        <v>7482.900334379209</v>
      </c>
      <c r="C109" s="44">
        <v>6989.213305303193</v>
      </c>
      <c r="D109" s="44">
        <v>7169.959167763216</v>
      </c>
      <c r="E109" s="45">
        <v>8276.994288463764</v>
      </c>
      <c r="F109" s="44">
        <v>8878.88217998178</v>
      </c>
      <c r="G109" s="44">
        <v>8948.50827031476</v>
      </c>
      <c r="H109" s="44">
        <v>8998.181764462814</v>
      </c>
      <c r="I109" s="44">
        <v>9333.238973</v>
      </c>
    </row>
    <row r="110" spans="1:9" ht="14.25">
      <c r="A110" s="43" t="str">
        <f>HLOOKUP(INDICE!$F$2,Nombres!$C$3:$D$636,68,FALSE)</f>
        <v>Fondos de inversión</v>
      </c>
      <c r="B110" s="44">
        <v>0.013545</v>
      </c>
      <c r="C110" s="44">
        <v>0.013555</v>
      </c>
      <c r="D110" s="44">
        <v>0.013544</v>
      </c>
      <c r="E110" s="45">
        <v>0.013511</v>
      </c>
      <c r="F110" s="44">
        <v>0</v>
      </c>
      <c r="G110" s="44">
        <v>0</v>
      </c>
      <c r="H110" s="44">
        <v>0</v>
      </c>
      <c r="I110" s="44">
        <v>0</v>
      </c>
    </row>
    <row r="111" spans="1:9" ht="14.25">
      <c r="A111" s="90" t="str">
        <f>HLOOKUP(INDICE!$F$2,Nombres!$C$3:$D$636,69,FALSE)</f>
        <v>Fondos de pensiones</v>
      </c>
      <c r="B111" s="44">
        <v>407.12046328</v>
      </c>
      <c r="C111" s="44">
        <v>454.48082914</v>
      </c>
      <c r="D111" s="44">
        <v>496.67020717</v>
      </c>
      <c r="E111" s="45">
        <v>500.43861838</v>
      </c>
      <c r="F111" s="44">
        <v>494.78505432</v>
      </c>
      <c r="G111" s="44">
        <v>517.96026945</v>
      </c>
      <c r="H111" s="44">
        <v>529.31975174</v>
      </c>
      <c r="I111" s="44">
        <v>569.33256496</v>
      </c>
    </row>
    <row r="112" spans="1:9" ht="14.25">
      <c r="A112" s="90" t="str">
        <f>HLOOKUP(INDICE!$F$2,Nombres!$C$3:$D$636,70,FALSE)</f>
        <v>Otros recursos fuera de balance</v>
      </c>
      <c r="B112" s="44">
        <v>0</v>
      </c>
      <c r="C112" s="44">
        <v>0</v>
      </c>
      <c r="D112" s="44">
        <v>0</v>
      </c>
      <c r="E112" s="45">
        <v>0</v>
      </c>
      <c r="F112" s="44">
        <v>0</v>
      </c>
      <c r="G112" s="44">
        <v>0</v>
      </c>
      <c r="H112" s="44">
        <v>0</v>
      </c>
      <c r="I112" s="44">
        <v>0</v>
      </c>
    </row>
    <row r="113" spans="1:9" ht="14.25">
      <c r="A113" s="94" t="str">
        <f>HLOOKUP(INDICE!$F$2,Nombres!$C$3:$D$636,71,FALSE)</f>
        <v>(*) No incluye las adquisiciones temporales de activos.</v>
      </c>
      <c r="B113" s="58"/>
      <c r="C113" s="58"/>
      <c r="D113" s="58"/>
      <c r="E113" s="58"/>
      <c r="F113" s="58"/>
      <c r="G113" s="58"/>
      <c r="H113" s="58"/>
      <c r="I113" s="58"/>
    </row>
    <row r="114" spans="1:9" ht="14.25">
      <c r="A114" s="94" t="str">
        <f>HLOOKUP(INDICE!$F$2,Nombres!$C$3:$D$636,72,FALSE)</f>
        <v>(**) No incluye las cesiones temporales de activos.</v>
      </c>
      <c r="B114" s="30"/>
      <c r="C114" s="30"/>
      <c r="D114" s="30"/>
      <c r="E114" s="30"/>
      <c r="F114" s="30"/>
      <c r="G114" s="30"/>
      <c r="H114" s="30"/>
      <c r="I114" s="30"/>
    </row>
    <row r="115" spans="1:9" ht="14.25">
      <c r="A115" s="63"/>
      <c r="B115" s="58"/>
      <c r="C115" s="44"/>
      <c r="D115" s="44"/>
      <c r="E115" s="44"/>
      <c r="F115" s="44"/>
      <c r="G115" s="30"/>
      <c r="H115" s="30"/>
      <c r="I115" s="30"/>
    </row>
    <row r="121" spans="6:9" ht="14.25">
      <c r="F121" s="84"/>
      <c r="G121" s="84"/>
      <c r="H121" s="84"/>
      <c r="I121" s="84"/>
    </row>
    <row r="122" spans="6:9" ht="14.25">
      <c r="F122" s="84"/>
      <c r="G122" s="84"/>
      <c r="H122" s="84"/>
      <c r="I122" s="84"/>
    </row>
    <row r="123" spans="6:9" ht="14.25">
      <c r="F123" s="84"/>
      <c r="G123" s="84"/>
      <c r="H123" s="84"/>
      <c r="I123" s="84"/>
    </row>
    <row r="124" spans="6:9" ht="14.25">
      <c r="F124" s="84"/>
      <c r="G124" s="84"/>
      <c r="H124" s="84"/>
      <c r="I124" s="84"/>
    </row>
    <row r="125" spans="6:9" ht="14.25">
      <c r="F125" s="84"/>
      <c r="G125" s="84"/>
      <c r="H125" s="84"/>
      <c r="I125" s="84"/>
    </row>
    <row r="126" spans="6:9" ht="14.25">
      <c r="F126" s="84"/>
      <c r="G126" s="84"/>
      <c r="H126" s="84"/>
      <c r="I126" s="84"/>
    </row>
    <row r="127" spans="6:9" ht="14.25">
      <c r="F127" s="84"/>
      <c r="G127" s="84"/>
      <c r="H127" s="84"/>
      <c r="I127" s="84"/>
    </row>
    <row r="128" spans="6:9" ht="14.25">
      <c r="F128" s="84"/>
      <c r="G128" s="84"/>
      <c r="H128" s="84"/>
      <c r="I128" s="84"/>
    </row>
    <row r="129" spans="6:9" ht="14.25">
      <c r="F129" s="84"/>
      <c r="G129" s="84"/>
      <c r="H129" s="84"/>
      <c r="I129" s="84"/>
    </row>
    <row r="130" spans="6:9" ht="14.25">
      <c r="F130" s="84"/>
      <c r="G130" s="84"/>
      <c r="H130" s="84"/>
      <c r="I130" s="84"/>
    </row>
    <row r="131" spans="6:9" ht="14.25">
      <c r="F131" s="84"/>
      <c r="G131" s="84"/>
      <c r="H131" s="84"/>
      <c r="I131" s="84"/>
    </row>
    <row r="132" spans="6:9" ht="14.25">
      <c r="F132" s="84"/>
      <c r="G132" s="84"/>
      <c r="H132" s="84"/>
      <c r="I132" s="84"/>
    </row>
    <row r="133" spans="6:9" ht="14.25">
      <c r="F133" s="84"/>
      <c r="G133" s="84"/>
      <c r="H133" s="84"/>
      <c r="I133" s="84"/>
    </row>
    <row r="134" spans="6:9" ht="14.25">
      <c r="F134" s="84"/>
      <c r="G134" s="84"/>
      <c r="H134" s="84"/>
      <c r="I134" s="84"/>
    </row>
    <row r="135" spans="6:9" ht="14.25">
      <c r="F135" s="84"/>
      <c r="G135" s="84"/>
      <c r="H135" s="84"/>
      <c r="I135" s="84"/>
    </row>
    <row r="136" spans="6:9" ht="14.25">
      <c r="F136" s="84"/>
      <c r="G136" s="84"/>
      <c r="H136" s="84"/>
      <c r="I136" s="84"/>
    </row>
    <row r="137" spans="6:9" ht="14.25">
      <c r="F137" s="84"/>
      <c r="G137" s="84"/>
      <c r="H137" s="84"/>
      <c r="I137" s="84"/>
    </row>
    <row r="138" spans="6:9" ht="14.25">
      <c r="F138" s="84"/>
      <c r="G138" s="84"/>
      <c r="H138" s="84"/>
      <c r="I138" s="84"/>
    </row>
    <row r="139" spans="6:9" ht="14.25">
      <c r="F139" s="84"/>
      <c r="G139" s="84"/>
      <c r="H139" s="84"/>
      <c r="I139" s="84"/>
    </row>
    <row r="140" spans="6:9" ht="14.25">
      <c r="F140" s="84"/>
      <c r="G140" s="84"/>
      <c r="H140" s="84"/>
      <c r="I140" s="84"/>
    </row>
    <row r="141" spans="6:9" ht="14.25">
      <c r="F141" s="84"/>
      <c r="G141" s="84"/>
      <c r="H141" s="84"/>
      <c r="I141" s="84"/>
    </row>
    <row r="142" spans="6:9" ht="14.25">
      <c r="F142" s="84"/>
      <c r="G142" s="84"/>
      <c r="H142" s="84"/>
      <c r="I142" s="84"/>
    </row>
    <row r="143" spans="6:9" ht="14.25">
      <c r="F143" s="84"/>
      <c r="G143" s="84"/>
      <c r="H143" s="84"/>
      <c r="I143" s="84"/>
    </row>
    <row r="144" spans="6:9" ht="14.25">
      <c r="F144" s="84"/>
      <c r="G144" s="84"/>
      <c r="H144" s="84"/>
      <c r="I144" s="84"/>
    </row>
    <row r="145" spans="6:9" ht="14.25">
      <c r="F145" s="84"/>
      <c r="G145" s="84"/>
      <c r="H145" s="84"/>
      <c r="I145" s="84"/>
    </row>
    <row r="146" spans="6:9" ht="14.25">
      <c r="F146" s="84"/>
      <c r="G146" s="84"/>
      <c r="H146" s="84"/>
      <c r="I146" s="84"/>
    </row>
    <row r="147" spans="6:9" ht="14.25">
      <c r="F147" s="84"/>
      <c r="G147" s="84"/>
      <c r="H147" s="84"/>
      <c r="I147" s="84"/>
    </row>
    <row r="148" spans="6:9" ht="14.25">
      <c r="F148" s="84"/>
      <c r="G148" s="84"/>
      <c r="H148" s="84"/>
      <c r="I148" s="84"/>
    </row>
    <row r="149" spans="6:9" ht="14.25">
      <c r="F149" s="84"/>
      <c r="G149" s="84"/>
      <c r="H149" s="84"/>
      <c r="I149" s="84"/>
    </row>
    <row r="150" spans="6:9" ht="14.25">
      <c r="F150" s="84"/>
      <c r="G150" s="84"/>
      <c r="H150" s="84"/>
      <c r="I150" s="84"/>
    </row>
    <row r="151" spans="6:9" ht="14.25">
      <c r="F151" s="84"/>
      <c r="G151" s="84"/>
      <c r="H151" s="84"/>
      <c r="I151" s="84"/>
    </row>
    <row r="152" spans="6:9" ht="14.25">
      <c r="F152" s="84"/>
      <c r="G152" s="84"/>
      <c r="H152" s="84"/>
      <c r="I152" s="84"/>
    </row>
    <row r="153" spans="6:9" ht="14.25">
      <c r="F153" s="84"/>
      <c r="G153" s="84"/>
      <c r="H153" s="84"/>
      <c r="I153" s="84"/>
    </row>
    <row r="154" spans="6:9" ht="14.25">
      <c r="F154" s="84"/>
      <c r="G154" s="84"/>
      <c r="H154" s="84"/>
      <c r="I154" s="84"/>
    </row>
    <row r="155" spans="6:9" ht="14.25">
      <c r="F155" s="84"/>
      <c r="G155" s="84"/>
      <c r="H155" s="84"/>
      <c r="I155" s="84"/>
    </row>
    <row r="156" spans="6:9" ht="14.25">
      <c r="F156" s="84"/>
      <c r="G156" s="84"/>
      <c r="H156" s="84"/>
      <c r="I156" s="84"/>
    </row>
    <row r="157" spans="6:9" ht="14.25">
      <c r="F157" s="84"/>
      <c r="G157" s="84"/>
      <c r="H157" s="84"/>
      <c r="I157" s="84"/>
    </row>
    <row r="158" spans="6:9" ht="14.25">
      <c r="F158" s="84"/>
      <c r="G158" s="84"/>
      <c r="H158" s="84"/>
      <c r="I158" s="84"/>
    </row>
    <row r="159" spans="6:9" ht="14.25">
      <c r="F159" s="84"/>
      <c r="G159" s="84"/>
      <c r="H159" s="84"/>
      <c r="I159" s="84"/>
    </row>
    <row r="160" spans="6:9" ht="14.25">
      <c r="F160" s="84"/>
      <c r="G160" s="84"/>
      <c r="H160" s="84"/>
      <c r="I160" s="84"/>
    </row>
    <row r="161" spans="6:9" ht="14.25">
      <c r="F161" s="84"/>
      <c r="G161" s="84"/>
      <c r="H161" s="84"/>
      <c r="I161" s="84"/>
    </row>
    <row r="162" spans="6:9" ht="14.25">
      <c r="F162" s="84"/>
      <c r="G162" s="84"/>
      <c r="H162" s="84"/>
      <c r="I162" s="84"/>
    </row>
    <row r="163" spans="6:9" ht="14.25">
      <c r="F163" s="84"/>
      <c r="G163" s="84"/>
      <c r="H163" s="84"/>
      <c r="I163" s="84"/>
    </row>
    <row r="164" spans="6:9" ht="14.25">
      <c r="F164" s="84"/>
      <c r="G164" s="84"/>
      <c r="H164" s="84"/>
      <c r="I164" s="84"/>
    </row>
    <row r="165" spans="6:9" ht="14.25">
      <c r="F165" s="84"/>
      <c r="G165" s="84"/>
      <c r="H165" s="84"/>
      <c r="I165" s="84"/>
    </row>
    <row r="166" spans="6:9" ht="14.25">
      <c r="F166" s="84"/>
      <c r="G166" s="84"/>
      <c r="H166" s="84"/>
      <c r="I166" s="84"/>
    </row>
    <row r="167" spans="6:9" ht="14.25">
      <c r="F167" s="84"/>
      <c r="G167" s="84"/>
      <c r="H167" s="84"/>
      <c r="I167" s="84"/>
    </row>
    <row r="1001" ht="14.25">
      <c r="A1001" s="31" t="s">
        <v>397</v>
      </c>
    </row>
  </sheetData>
  <sheetProtection/>
  <mergeCells count="5">
    <mergeCell ref="B63:E63"/>
    <mergeCell ref="F63:I63"/>
    <mergeCell ref="A2:I2"/>
    <mergeCell ref="B7:E7"/>
    <mergeCell ref="F7:I7"/>
  </mergeCells>
  <conditionalFormatting sqref="B27:I27">
    <cfRule type="cellIs" priority="2" dxfId="143" operator="notBetween">
      <formula>0.5</formula>
      <formula>-0.5</formula>
    </cfRule>
  </conditionalFormatting>
  <conditionalFormatting sqref="B83:I83">
    <cfRule type="cellIs" priority="1" dxfId="143" operator="notBetween">
      <formula>0.5</formula>
      <formula>-0.5</formula>
    </cfRule>
  </conditionalFormatting>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O166"/>
  <sheetViews>
    <sheetView showGridLines="0" zoomScalePageLayoutView="0" workbookViewId="0" topLeftCell="A1">
      <selection activeCell="M22" sqref="M22"/>
    </sheetView>
  </sheetViews>
  <sheetFormatPr defaultColWidth="11.421875" defaultRowHeight="15"/>
  <cols>
    <col min="1" max="1" width="96.7109375" style="31" customWidth="1"/>
    <col min="2" max="2" width="10.421875" style="31" customWidth="1"/>
    <col min="3" max="16384" width="11.421875" style="31" customWidth="1"/>
  </cols>
  <sheetData>
    <row r="1" spans="1:9" ht="16.5">
      <c r="A1" s="85" t="str">
        <f>HLOOKUP(INDICE!$F$2,Nombres!$C$3:$D$636,266,FALSE)</f>
        <v>Centro Corporativo (para resto de negocios)</v>
      </c>
      <c r="B1" s="30"/>
      <c r="C1" s="30"/>
      <c r="D1" s="30"/>
      <c r="E1" s="30"/>
      <c r="F1" s="30"/>
      <c r="G1" s="30"/>
      <c r="H1" s="30"/>
      <c r="I1" s="30"/>
    </row>
    <row r="2" spans="1:9" ht="39" customHeight="1">
      <c r="A2" s="311" t="str">
        <f>HLOOKUP(INDICE!$F$2,Nombres!$C$3:$D$636,269,FALSE)</f>
        <v>A partir del 1T21, a efectos de información de gestión, el negocio de EE.UU. vendido a PNC se mostrará como una rúbrica del balance y de la cuenta de resultados, en línea con la reclasificación contable a "Activo no corriente disponible para la venta" que tuvo lugar en el 4T20. En consecuencia, se presenta a continuación a efectos informativos una agregación del Centro Corporativo y de todos los demás negocios de EE.UU. que no están incluidos en el acuerdo con PNC y que no han sido agregados al Resto de Eurasia en la página anterior.</v>
      </c>
      <c r="B2" s="311"/>
      <c r="C2" s="311"/>
      <c r="D2" s="311"/>
      <c r="E2" s="311"/>
      <c r="F2" s="311"/>
      <c r="G2" s="311"/>
      <c r="H2" s="311"/>
      <c r="I2" s="311"/>
    </row>
    <row r="3" spans="1:9" ht="19.5">
      <c r="A3" s="32"/>
      <c r="B3" s="30"/>
      <c r="C3" s="30"/>
      <c r="D3" s="30"/>
      <c r="E3" s="30"/>
      <c r="F3" s="30"/>
      <c r="G3" s="30"/>
      <c r="H3" s="30"/>
      <c r="I3" s="30"/>
    </row>
    <row r="4" spans="1:9" ht="16.5">
      <c r="A4" s="95" t="str">
        <f>HLOOKUP(INDICE!$F$2,Nombres!$C$3:$D$636,31,FALSE)</f>
        <v>Cuenta de resultados  </v>
      </c>
      <c r="B4" s="34"/>
      <c r="C4" s="34"/>
      <c r="D4" s="34"/>
      <c r="E4" s="34"/>
      <c r="F4" s="34"/>
      <c r="G4" s="34"/>
      <c r="H4" s="34"/>
      <c r="I4" s="34"/>
    </row>
    <row r="5" spans="1:9" ht="14.25">
      <c r="A5" s="86" t="str">
        <f>HLOOKUP(INDICE!$F$2,Nombres!$C$3:$D$636,32,FALSE)</f>
        <v>(Millones de euros)</v>
      </c>
      <c r="B5" s="30"/>
      <c r="C5" s="36"/>
      <c r="D5" s="36"/>
      <c r="E5" s="36"/>
      <c r="F5" s="30"/>
      <c r="G5" s="30"/>
      <c r="H5" s="30"/>
      <c r="I5" s="30"/>
    </row>
    <row r="6" spans="1:9" ht="14.25">
      <c r="A6" s="37"/>
      <c r="B6" s="30"/>
      <c r="C6" s="36"/>
      <c r="D6" s="36"/>
      <c r="E6" s="36"/>
      <c r="F6" s="30"/>
      <c r="G6" s="30"/>
      <c r="H6" s="30"/>
      <c r="I6" s="30"/>
    </row>
    <row r="7" spans="1:9" ht="14.25">
      <c r="A7" s="38"/>
      <c r="B7" s="308">
        <f>+España!B6</f>
        <v>2019</v>
      </c>
      <c r="C7" s="308"/>
      <c r="D7" s="308"/>
      <c r="E7" s="309"/>
      <c r="F7" s="308">
        <f>+España!F6</f>
        <v>2020</v>
      </c>
      <c r="G7" s="308"/>
      <c r="H7" s="308"/>
      <c r="I7" s="308"/>
    </row>
    <row r="8" spans="1:15" ht="14.25">
      <c r="A8" s="38"/>
      <c r="B8" s="87" t="str">
        <f>+España!B7</f>
        <v>1er Trim.</v>
      </c>
      <c r="C8" s="87" t="str">
        <f>+España!C7</f>
        <v>2º Trim.</v>
      </c>
      <c r="D8" s="87" t="str">
        <f>+España!D7</f>
        <v>3er Trim.</v>
      </c>
      <c r="E8" s="88" t="str">
        <f>+España!E7</f>
        <v>4º Trim.</v>
      </c>
      <c r="F8" s="87" t="str">
        <f>+España!F7</f>
        <v>1er Trim.</v>
      </c>
      <c r="G8" s="87" t="str">
        <f>+España!G7</f>
        <v>2º Trim.</v>
      </c>
      <c r="H8" s="87" t="str">
        <f>+España!H7</f>
        <v>3er Trim.</v>
      </c>
      <c r="I8" s="87" t="str">
        <f>+España!I7</f>
        <v>4º Trim.</v>
      </c>
      <c r="K8" s="89"/>
      <c r="L8" s="89"/>
      <c r="M8" s="89"/>
      <c r="N8" s="89"/>
      <c r="O8" s="89"/>
    </row>
    <row r="9" spans="1:10" ht="14.25">
      <c r="A9" s="41" t="str">
        <f>HLOOKUP(INDICE!$F$2,Nombres!$C$3:$D$636,33,FALSE)</f>
        <v>Margen de intereses</v>
      </c>
      <c r="B9" s="41">
        <v>-70.70719143999997</v>
      </c>
      <c r="C9" s="41">
        <v>-61.00187250000013</v>
      </c>
      <c r="D9" s="41">
        <v>-60.8212865199999</v>
      </c>
      <c r="E9" s="41">
        <v>-40.612198029999895</v>
      </c>
      <c r="F9" s="41">
        <v>-41.48767608</v>
      </c>
      <c r="G9" s="41">
        <v>-27.967264969999988</v>
      </c>
      <c r="H9" s="41">
        <v>-33.202606599999996</v>
      </c>
      <c r="I9" s="41">
        <v>-46.60173289999999</v>
      </c>
      <c r="J9" s="89"/>
    </row>
    <row r="10" spans="1:9" ht="14.25">
      <c r="A10" s="90" t="str">
        <f>HLOOKUP(INDICE!$F$2,Nombres!$C$3:$D$636,34,FALSE)</f>
        <v>Comisiones netas</v>
      </c>
      <c r="B10" s="44">
        <v>-15.142876690000001</v>
      </c>
      <c r="C10" s="44">
        <v>-28.937423479999996</v>
      </c>
      <c r="D10" s="44">
        <v>-17.39855074000001</v>
      </c>
      <c r="E10" s="44">
        <v>-11.278417909999995</v>
      </c>
      <c r="F10" s="44">
        <v>-8.584232459999997</v>
      </c>
      <c r="G10" s="44">
        <v>-26.27234979</v>
      </c>
      <c r="H10" s="44">
        <v>-14.85250109</v>
      </c>
      <c r="I10" s="44">
        <v>-9.483337140000003</v>
      </c>
    </row>
    <row r="11" spans="1:9" ht="14.25">
      <c r="A11" s="90" t="str">
        <f>HLOOKUP(INDICE!$F$2,Nombres!$C$3:$D$636,35,FALSE)</f>
        <v>Resultados de operaciones financieras</v>
      </c>
      <c r="B11" s="44">
        <v>-0.4084271100000052</v>
      </c>
      <c r="C11" s="44">
        <v>-60.83153275000001</v>
      </c>
      <c r="D11" s="44">
        <v>29.439750069999988</v>
      </c>
      <c r="E11" s="44">
        <v>-2.694461769999984</v>
      </c>
      <c r="F11" s="44">
        <v>204.57451779000002</v>
      </c>
      <c r="G11" s="44">
        <v>0.846163330000028</v>
      </c>
      <c r="H11" s="44">
        <v>-2.6061170399999707</v>
      </c>
      <c r="I11" s="44">
        <v>-73.94781057</v>
      </c>
    </row>
    <row r="12" spans="1:9" ht="14.25">
      <c r="A12" s="90" t="str">
        <f>HLOOKUP(INDICE!$F$2,Nombres!$C$3:$D$636,36,FALSE)</f>
        <v>Otros ingresos y cargas de explotación</v>
      </c>
      <c r="B12" s="44">
        <v>-12.979246229999912</v>
      </c>
      <c r="C12" s="44">
        <v>28.908930409999982</v>
      </c>
      <c r="D12" s="44">
        <v>-12.666165129999756</v>
      </c>
      <c r="E12" s="44">
        <v>23.019947039999813</v>
      </c>
      <c r="F12" s="44">
        <v>-17.257007720000022</v>
      </c>
      <c r="G12" s="44">
        <v>37.6855149500001</v>
      </c>
      <c r="H12" s="44">
        <v>-14.40104326000004</v>
      </c>
      <c r="I12" s="44">
        <v>45.6279616300001</v>
      </c>
    </row>
    <row r="13" spans="1:9" ht="14.25">
      <c r="A13" s="41" t="str">
        <f>HLOOKUP(INDICE!$F$2,Nombres!$C$3:$D$636,37,FALSE)</f>
        <v>Margen bruto</v>
      </c>
      <c r="B13" s="41">
        <f>+SUM(B9:B12)</f>
        <v>-99.2377414699999</v>
      </c>
      <c r="C13" s="41">
        <f aca="true" t="shared" si="0" ref="C13:I13">+SUM(C9:C12)</f>
        <v>-121.86189832000014</v>
      </c>
      <c r="D13" s="41">
        <f t="shared" si="0"/>
        <v>-61.44625231999967</v>
      </c>
      <c r="E13" s="41">
        <f t="shared" si="0"/>
        <v>-31.56513067000006</v>
      </c>
      <c r="F13" s="41">
        <f t="shared" si="0"/>
        <v>137.24560153000002</v>
      </c>
      <c r="G13" s="41">
        <f t="shared" si="0"/>
        <v>-15.707936479999859</v>
      </c>
      <c r="H13" s="41">
        <f t="shared" si="0"/>
        <v>-65.06226799000001</v>
      </c>
      <c r="I13" s="41">
        <f t="shared" si="0"/>
        <v>-84.4049189799999</v>
      </c>
    </row>
    <row r="14" spans="1:9" ht="14.25">
      <c r="A14" s="90" t="str">
        <f>HLOOKUP(INDICE!$F$2,Nombres!$C$3:$D$636,38,FALSE)</f>
        <v>Gastos de explotación</v>
      </c>
      <c r="B14" s="44">
        <v>-240.46567236999994</v>
      </c>
      <c r="C14" s="44">
        <v>-244.8112522300001</v>
      </c>
      <c r="D14" s="44">
        <v>-237.75946481</v>
      </c>
      <c r="E14" s="44">
        <v>-239.27502722000003</v>
      </c>
      <c r="F14" s="44">
        <v>-209.79772448</v>
      </c>
      <c r="G14" s="44">
        <v>-199.37464655000002</v>
      </c>
      <c r="H14" s="44">
        <v>-205.82193246</v>
      </c>
      <c r="I14" s="44">
        <v>-210.3165805199999</v>
      </c>
    </row>
    <row r="15" spans="1:9" ht="14.25">
      <c r="A15" s="90" t="str">
        <f>HLOOKUP(INDICE!$F$2,Nombres!$C$3:$D$636,39,FALSE)</f>
        <v>  Gastos de administración</v>
      </c>
      <c r="B15" s="44">
        <v>-197.10637584999995</v>
      </c>
      <c r="C15" s="44">
        <v>-197.32612272000003</v>
      </c>
      <c r="D15" s="44">
        <v>-188.21732530000003</v>
      </c>
      <c r="E15" s="44">
        <v>-189.33599971</v>
      </c>
      <c r="F15" s="44">
        <v>-162.12072697</v>
      </c>
      <c r="G15" s="44">
        <v>-151.32758604</v>
      </c>
      <c r="H15" s="44">
        <v>-157.13115493</v>
      </c>
      <c r="I15" s="44">
        <v>-161.1506554299999</v>
      </c>
    </row>
    <row r="16" spans="1:9" ht="14.25">
      <c r="A16" s="91" t="str">
        <f>HLOOKUP(INDICE!$F$2,Nombres!$C$3:$D$636,40,FALSE)</f>
        <v>  Gastos de personal</v>
      </c>
      <c r="B16" s="44">
        <v>-134.20356863</v>
      </c>
      <c r="C16" s="44">
        <v>-148.50282106</v>
      </c>
      <c r="D16" s="44">
        <v>-145.41775862</v>
      </c>
      <c r="E16" s="44">
        <v>-167.74607220999997</v>
      </c>
      <c r="F16" s="44">
        <v>-118.11786519</v>
      </c>
      <c r="G16" s="44">
        <v>-116.43785703</v>
      </c>
      <c r="H16" s="44">
        <v>-126.86511096999999</v>
      </c>
      <c r="I16" s="44">
        <v>-137.3208331</v>
      </c>
    </row>
    <row r="17" spans="1:9" ht="14.25">
      <c r="A17" s="91" t="str">
        <f>HLOOKUP(INDICE!$F$2,Nombres!$C$3:$D$636,41,FALSE)</f>
        <v>  Otros gastos de administración</v>
      </c>
      <c r="B17" s="44">
        <v>-62.902807219999985</v>
      </c>
      <c r="C17" s="44">
        <v>-48.82330166000001</v>
      </c>
      <c r="D17" s="44">
        <v>-42.79956668</v>
      </c>
      <c r="E17" s="44">
        <v>-21.58992749999999</v>
      </c>
      <c r="F17" s="44">
        <v>-44.00286177999998</v>
      </c>
      <c r="G17" s="44">
        <v>-34.88972901000001</v>
      </c>
      <c r="H17" s="44">
        <v>-30.266043960000015</v>
      </c>
      <c r="I17" s="44">
        <v>-23.82982232999989</v>
      </c>
    </row>
    <row r="18" spans="1:9" ht="14.25">
      <c r="A18" s="90" t="str">
        <f>HLOOKUP(INDICE!$F$2,Nombres!$C$3:$D$636,42,FALSE)</f>
        <v>  Amortización</v>
      </c>
      <c r="B18" s="44">
        <v>-43.35929652</v>
      </c>
      <c r="C18" s="44">
        <v>-47.48512950999999</v>
      </c>
      <c r="D18" s="44">
        <v>-49.54213950999999</v>
      </c>
      <c r="E18" s="44">
        <v>-49.93902751000002</v>
      </c>
      <c r="F18" s="44">
        <v>-47.67699751000001</v>
      </c>
      <c r="G18" s="44">
        <v>-48.04706051</v>
      </c>
      <c r="H18" s="44">
        <v>-48.69077753000001</v>
      </c>
      <c r="I18" s="44">
        <v>-49.16592509</v>
      </c>
    </row>
    <row r="19" spans="1:9" ht="14.25">
      <c r="A19" s="41" t="str">
        <f>HLOOKUP(INDICE!$F$2,Nombres!$C$3:$D$636,43,FALSE)</f>
        <v>Margen neto</v>
      </c>
      <c r="B19" s="41">
        <f aca="true" t="shared" si="1" ref="B19:I19">+B13+B14</f>
        <v>-339.7034138399998</v>
      </c>
      <c r="C19" s="41">
        <f t="shared" si="1"/>
        <v>-366.67315055000023</v>
      </c>
      <c r="D19" s="41">
        <f t="shared" si="1"/>
        <v>-299.2057171299997</v>
      </c>
      <c r="E19" s="41">
        <f t="shared" si="1"/>
        <v>-270.8401578900001</v>
      </c>
      <c r="F19" s="41">
        <f t="shared" si="1"/>
        <v>-72.55212294999998</v>
      </c>
      <c r="G19" s="41">
        <f t="shared" si="1"/>
        <v>-215.08258302999988</v>
      </c>
      <c r="H19" s="41">
        <f t="shared" si="1"/>
        <v>-270.88420045</v>
      </c>
      <c r="I19" s="41">
        <f t="shared" si="1"/>
        <v>-294.7214994999998</v>
      </c>
    </row>
    <row r="20" spans="1:9" ht="14.25">
      <c r="A20" s="90" t="str">
        <f>HLOOKUP(INDICE!$F$2,Nombres!$C$3:$D$636,44,FALSE)</f>
        <v>Deterioro de activos financieros no valorados a valor razonable con cambios en resultados</v>
      </c>
      <c r="B20" s="44">
        <v>-0.5973598299999883</v>
      </c>
      <c r="C20" s="44">
        <v>0.3061079799999843</v>
      </c>
      <c r="D20" s="44">
        <v>0.6034018499999794</v>
      </c>
      <c r="E20" s="44">
        <v>-0.3501092100000318</v>
      </c>
      <c r="F20" s="44">
        <v>-0.025039080000000262</v>
      </c>
      <c r="G20" s="44">
        <v>0.43924342000000044</v>
      </c>
      <c r="H20" s="44">
        <v>-0.002546639999999814</v>
      </c>
      <c r="I20" s="44">
        <v>4.058145260000001</v>
      </c>
    </row>
    <row r="21" spans="1:9" ht="14.25">
      <c r="A21" s="90" t="str">
        <f>HLOOKUP(INDICE!$F$2,Nombres!$C$3:$D$636,45,FALSE)</f>
        <v>Provisiones o reversión de provisiones y otros resultados</v>
      </c>
      <c r="B21" s="44">
        <v>-22.88187191</v>
      </c>
      <c r="C21" s="44">
        <v>-20.91864622000001</v>
      </c>
      <c r="D21" s="44">
        <v>-19.961632140000006</v>
      </c>
      <c r="E21" s="44">
        <v>-99.4072021700001</v>
      </c>
      <c r="F21" s="44">
        <v>-24.601524879999815</v>
      </c>
      <c r="G21" s="44">
        <v>-84.41909053</v>
      </c>
      <c r="H21" s="44">
        <v>-122.92274700999998</v>
      </c>
      <c r="I21" s="44">
        <v>-56.99554161000006</v>
      </c>
    </row>
    <row r="22" spans="1:9" ht="14.25">
      <c r="A22" s="92" t="str">
        <f>HLOOKUP(INDICE!$F$2,Nombres!$C$3:$D$636,46,FALSE)</f>
        <v>Resultado antes de impuestos</v>
      </c>
      <c r="B22" s="41">
        <f aca="true" t="shared" si="2" ref="B22:I22">+B19+B20+B21</f>
        <v>-363.18264557999987</v>
      </c>
      <c r="C22" s="41">
        <f t="shared" si="2"/>
        <v>-387.2856887900003</v>
      </c>
      <c r="D22" s="41">
        <f t="shared" si="2"/>
        <v>-318.56394741999975</v>
      </c>
      <c r="E22" s="41">
        <f t="shared" si="2"/>
        <v>-370.59746927000026</v>
      </c>
      <c r="F22" s="41">
        <f t="shared" si="2"/>
        <v>-97.1786869099998</v>
      </c>
      <c r="G22" s="41">
        <f t="shared" si="2"/>
        <v>-299.0624301399999</v>
      </c>
      <c r="H22" s="41">
        <f t="shared" si="2"/>
        <v>-393.80949409999994</v>
      </c>
      <c r="I22" s="41">
        <f t="shared" si="2"/>
        <v>-347.6588958499999</v>
      </c>
    </row>
    <row r="23" spans="1:9" ht="14.25">
      <c r="A23" s="43" t="str">
        <f>HLOOKUP(INDICE!$F$2,Nombres!$C$3:$D$636,47,FALSE)</f>
        <v>Impuesto sobre beneficios</v>
      </c>
      <c r="B23" s="44">
        <v>102.00834372000001</v>
      </c>
      <c r="C23" s="44">
        <v>54.03997994999998</v>
      </c>
      <c r="D23" s="44">
        <v>46.78426347999998</v>
      </c>
      <c r="E23" s="44">
        <v>55.00797263</v>
      </c>
      <c r="F23" s="44">
        <v>40.64429118000001</v>
      </c>
      <c r="G23" s="44">
        <v>44.37804021000004</v>
      </c>
      <c r="H23" s="44">
        <v>115.84351007999999</v>
      </c>
      <c r="I23" s="44">
        <v>103.70378039999997</v>
      </c>
    </row>
    <row r="24" spans="1:9" ht="14.25">
      <c r="A24" s="92" t="str">
        <f>HLOOKUP(INDICE!$F$2,Nombres!$C$3:$D$636,99,FALSE)</f>
        <v>Resultado después de impuestos de operaciones continuadas</v>
      </c>
      <c r="B24" s="41">
        <f aca="true" t="shared" si="3" ref="B24:I24">+B22+B23</f>
        <v>-261.17430185999984</v>
      </c>
      <c r="C24" s="41">
        <f t="shared" si="3"/>
        <v>-333.2457088400003</v>
      </c>
      <c r="D24" s="41">
        <f t="shared" si="3"/>
        <v>-271.77968393999976</v>
      </c>
      <c r="E24" s="41">
        <f t="shared" si="3"/>
        <v>-315.5894966400003</v>
      </c>
      <c r="F24" s="41">
        <f t="shared" si="3"/>
        <v>-56.53439572999979</v>
      </c>
      <c r="G24" s="41">
        <f t="shared" si="3"/>
        <v>-254.68438992999984</v>
      </c>
      <c r="H24" s="41">
        <f t="shared" si="3"/>
        <v>-277.96598401999995</v>
      </c>
      <c r="I24" s="41">
        <f t="shared" si="3"/>
        <v>-243.95511544999994</v>
      </c>
    </row>
    <row r="25" spans="1:9" ht="14.25">
      <c r="A25" s="43" t="str">
        <f>HLOOKUP(INDICE!$F$2,Nombres!$C$3:$D$636,100,FALSE)</f>
        <v>Resultado de operaciones corporativas</v>
      </c>
      <c r="B25" s="44">
        <v>0</v>
      </c>
      <c r="C25" s="44">
        <v>0</v>
      </c>
      <c r="D25" s="44">
        <v>0</v>
      </c>
      <c r="E25" s="44">
        <v>-1317.9119873</v>
      </c>
      <c r="F25" s="44">
        <v>-2084.157</v>
      </c>
      <c r="G25" s="44">
        <v>0</v>
      </c>
      <c r="H25" s="44">
        <v>0</v>
      </c>
      <c r="I25" s="44">
        <v>304.4685058600003</v>
      </c>
    </row>
    <row r="26" spans="1:9" ht="14.25">
      <c r="A26" s="92" t="str">
        <f>HLOOKUP(INDICE!$F$2,Nombres!$C$3:$D$636,48,FALSE)</f>
        <v>Resultado del ejercicio</v>
      </c>
      <c r="B26" s="41">
        <f aca="true" t="shared" si="4" ref="B26:I26">+B24+B25</f>
        <v>-261.17430185999984</v>
      </c>
      <c r="C26" s="41">
        <f t="shared" si="4"/>
        <v>-333.2457088400003</v>
      </c>
      <c r="D26" s="41">
        <f t="shared" si="4"/>
        <v>-271.77968393999976</v>
      </c>
      <c r="E26" s="41">
        <f t="shared" si="4"/>
        <v>-1633.5014839400003</v>
      </c>
      <c r="F26" s="41">
        <f t="shared" si="4"/>
        <v>-2140.69139573</v>
      </c>
      <c r="G26" s="41">
        <f t="shared" si="4"/>
        <v>-254.68438992999984</v>
      </c>
      <c r="H26" s="41">
        <f t="shared" si="4"/>
        <v>-277.96598401999995</v>
      </c>
      <c r="I26" s="41">
        <f t="shared" si="4"/>
        <v>60.51339041000034</v>
      </c>
    </row>
    <row r="27" spans="1:9" ht="14.25">
      <c r="A27" s="90" t="str">
        <f>HLOOKUP(INDICE!$F$2,Nombres!$C$3:$D$636,49,FALSE)</f>
        <v>Minoritarios</v>
      </c>
      <c r="B27" s="44">
        <v>-0.013468560000000074</v>
      </c>
      <c r="C27" s="44">
        <v>-10.470184240000002</v>
      </c>
      <c r="D27" s="44">
        <v>5.36667078</v>
      </c>
      <c r="E27" s="44">
        <v>5.335344</v>
      </c>
      <c r="F27" s="44">
        <v>-0.28234462999999976</v>
      </c>
      <c r="G27" s="44">
        <v>-0.51301793</v>
      </c>
      <c r="H27" s="44">
        <v>0.75410717</v>
      </c>
      <c r="I27" s="44">
        <v>0.1258005299999999</v>
      </c>
    </row>
    <row r="28" spans="1:9" ht="14.25">
      <c r="A28" s="93" t="str">
        <f>HLOOKUP(INDICE!$F$2,Nombres!$C$3:$D$636,50,FALSE)</f>
        <v>Resultado atribuido</v>
      </c>
      <c r="B28" s="47">
        <f aca="true" t="shared" si="5" ref="B28:I28">+B26+B27</f>
        <v>-261.1877704199998</v>
      </c>
      <c r="C28" s="47">
        <f t="shared" si="5"/>
        <v>-343.7158930800003</v>
      </c>
      <c r="D28" s="47">
        <f t="shared" si="5"/>
        <v>-266.41301315999976</v>
      </c>
      <c r="E28" s="47">
        <f t="shared" si="5"/>
        <v>-1628.1661399400002</v>
      </c>
      <c r="F28" s="47">
        <f t="shared" si="5"/>
        <v>-2140.9737403599997</v>
      </c>
      <c r="G28" s="47">
        <f t="shared" si="5"/>
        <v>-255.19740785999983</v>
      </c>
      <c r="H28" s="47">
        <f t="shared" si="5"/>
        <v>-277.21187684999995</v>
      </c>
      <c r="I28" s="47">
        <f t="shared" si="5"/>
        <v>60.63919094000034</v>
      </c>
    </row>
    <row r="29" spans="1:9" ht="14.25">
      <c r="A29" s="288" t="s">
        <v>5</v>
      </c>
      <c r="B29" s="48"/>
      <c r="C29" s="48"/>
      <c r="D29" s="48"/>
      <c r="E29" s="48"/>
      <c r="F29" s="48"/>
      <c r="G29" s="48"/>
      <c r="H29" s="48"/>
      <c r="I29" s="48"/>
    </row>
    <row r="30" spans="1:9" ht="14.25">
      <c r="A30" s="47" t="str">
        <f>HLOOKUP(INDICE!$F$2,Nombres!$C$3:$D$636,262,FALSE)</f>
        <v>Resultado atribuido sin el deterioro del fondo de comercio de Estados Unidos y sin operaciones corporativas</v>
      </c>
      <c r="B30" s="47">
        <f aca="true" t="shared" si="6" ref="B30:I30">+B28-B25</f>
        <v>-261.1877704199998</v>
      </c>
      <c r="C30" s="47">
        <f t="shared" si="6"/>
        <v>-343.7158930800003</v>
      </c>
      <c r="D30" s="47">
        <f t="shared" si="6"/>
        <v>-266.41301315999976</v>
      </c>
      <c r="E30" s="47">
        <f t="shared" si="6"/>
        <v>-310.25415264000026</v>
      </c>
      <c r="F30" s="47">
        <f t="shared" si="6"/>
        <v>-56.816740359999585</v>
      </c>
      <c r="G30" s="47">
        <f t="shared" si="6"/>
        <v>-255.19740785999983</v>
      </c>
      <c r="H30" s="47">
        <f t="shared" si="6"/>
        <v>-277.21187684999995</v>
      </c>
      <c r="I30" s="47">
        <f t="shared" si="6"/>
        <v>-243.82931491999994</v>
      </c>
    </row>
    <row r="31" spans="1:9" ht="24.75" customHeight="1">
      <c r="A31" s="48"/>
      <c r="B31" s="64">
        <v>0</v>
      </c>
      <c r="C31" s="64">
        <v>0</v>
      </c>
      <c r="D31" s="64">
        <v>0</v>
      </c>
      <c r="E31" s="64">
        <v>0</v>
      </c>
      <c r="F31" s="64">
        <v>0</v>
      </c>
      <c r="G31" s="64">
        <v>0</v>
      </c>
      <c r="H31" s="64">
        <v>0</v>
      </c>
      <c r="I31" s="64">
        <v>-2.2026824808563106E-13</v>
      </c>
    </row>
    <row r="32" spans="1:9" ht="14.25">
      <c r="A32" s="41"/>
      <c r="B32" s="64">
        <v>0</v>
      </c>
      <c r="C32" s="64">
        <v>0</v>
      </c>
      <c r="D32" s="64">
        <v>0</v>
      </c>
      <c r="E32" s="64">
        <v>0</v>
      </c>
      <c r="F32" s="64">
        <v>8.242295734817162E-13</v>
      </c>
      <c r="G32" s="64">
        <v>0</v>
      </c>
      <c r="H32" s="64">
        <v>0</v>
      </c>
      <c r="I32" s="64">
        <v>-2.8421709430404007E-13</v>
      </c>
    </row>
    <row r="33" spans="1:9" ht="14.25">
      <c r="A33" s="41"/>
      <c r="B33" s="41"/>
      <c r="C33" s="41"/>
      <c r="D33" s="41"/>
      <c r="E33" s="41"/>
      <c r="F33" s="41"/>
      <c r="G33" s="41"/>
      <c r="H33" s="41"/>
      <c r="I33" s="41"/>
    </row>
    <row r="34" spans="1:9" ht="16.5">
      <c r="A34" s="95" t="str">
        <f>HLOOKUP(INDICE!$F$2,Nombres!$C$3:$D$636,51,FALSE)</f>
        <v>Balances</v>
      </c>
      <c r="B34" s="34"/>
      <c r="C34" s="34"/>
      <c r="D34" s="34"/>
      <c r="E34" s="34"/>
      <c r="F34" s="83"/>
      <c r="G34" s="83"/>
      <c r="H34" s="83"/>
      <c r="I34" s="83"/>
    </row>
    <row r="35" spans="1:9" ht="14.25">
      <c r="A35" s="86" t="str">
        <f>HLOOKUP(INDICE!$F$2,Nombres!$C$3:$D$636,32,FALSE)</f>
        <v>(Millones de euros)</v>
      </c>
      <c r="B35" s="30"/>
      <c r="C35" s="52"/>
      <c r="D35" s="52"/>
      <c r="E35" s="52"/>
      <c r="F35" s="81"/>
      <c r="G35" s="79"/>
      <c r="H35" s="79"/>
      <c r="I35" s="79"/>
    </row>
    <row r="36" spans="1:9" ht="14.25">
      <c r="A36" s="30"/>
      <c r="B36" s="53">
        <f>+España!B30</f>
        <v>43555</v>
      </c>
      <c r="C36" s="53">
        <f>+España!C30</f>
        <v>43646</v>
      </c>
      <c r="D36" s="53">
        <f>+España!D30</f>
        <v>43738</v>
      </c>
      <c r="E36" s="69">
        <f>+España!E30</f>
        <v>43830</v>
      </c>
      <c r="F36" s="53">
        <f>+España!F30</f>
        <v>43921</v>
      </c>
      <c r="G36" s="53">
        <f>+España!G30</f>
        <v>44012</v>
      </c>
      <c r="H36" s="53">
        <f>+España!H30</f>
        <v>44104</v>
      </c>
      <c r="I36" s="53">
        <f>+España!I30</f>
        <v>44196</v>
      </c>
    </row>
    <row r="37" spans="1:9" ht="14.25">
      <c r="A37" s="90" t="str">
        <f>HLOOKUP(INDICE!$F$2,Nombres!$C$3:$D$636,52,FALSE)</f>
        <v>Efectivo, saldos en efectivo en bancos centrales y otros depósitos a la vista</v>
      </c>
      <c r="B37" s="44">
        <v>746.049697</v>
      </c>
      <c r="C37" s="44">
        <v>933.5133789999999</v>
      </c>
      <c r="D37" s="44">
        <v>813.516436</v>
      </c>
      <c r="E37" s="45">
        <v>837.3213989999998</v>
      </c>
      <c r="F37" s="44">
        <v>768.074283</v>
      </c>
      <c r="G37" s="44">
        <v>837.72779</v>
      </c>
      <c r="H37" s="44">
        <v>772.197184</v>
      </c>
      <c r="I37" s="44">
        <v>829.8595569999999</v>
      </c>
    </row>
    <row r="38" spans="1:9" ht="14.25">
      <c r="A38" s="90" t="str">
        <f>HLOOKUP(INDICE!$F$2,Nombres!$C$3:$D$636,53,FALSE)</f>
        <v>Activos financieros a valor razonable</v>
      </c>
      <c r="B38" s="58">
        <v>2812.8621304400003</v>
      </c>
      <c r="C38" s="58">
        <v>2702.4116536399997</v>
      </c>
      <c r="D38" s="58">
        <v>2718.70143387</v>
      </c>
      <c r="E38" s="66">
        <v>2562.71369337</v>
      </c>
      <c r="F38" s="58">
        <v>2108.48154664</v>
      </c>
      <c r="G38" s="58">
        <v>1999.00005406</v>
      </c>
      <c r="H38" s="58">
        <v>1575.30500046</v>
      </c>
      <c r="I38" s="58">
        <v>1588.22553755</v>
      </c>
    </row>
    <row r="39" spans="1:9" ht="14.25">
      <c r="A39" s="43" t="str">
        <f>HLOOKUP(INDICE!$F$2,Nombres!$C$3:$D$636,54,FALSE)</f>
        <v>Activos financieros a coste amortizado</v>
      </c>
      <c r="B39" s="44">
        <v>2293.294945</v>
      </c>
      <c r="C39" s="44">
        <v>2034.1105749999997</v>
      </c>
      <c r="D39" s="44">
        <v>1838.6541380000003</v>
      </c>
      <c r="E39" s="45">
        <v>2481.580819</v>
      </c>
      <c r="F39" s="44">
        <v>2053.16537</v>
      </c>
      <c r="G39" s="44">
        <v>2089.71059643</v>
      </c>
      <c r="H39" s="44">
        <v>1953.6693</v>
      </c>
      <c r="I39" s="44">
        <v>2096.160835</v>
      </c>
    </row>
    <row r="40" spans="1:9" ht="14.25">
      <c r="A40" s="90" t="str">
        <f>HLOOKUP(INDICE!$F$2,Nombres!$C$3:$D$636,55,FALSE)</f>
        <v>    de los que préstamos y anticipos a la clientela</v>
      </c>
      <c r="B40" s="44">
        <v>551.234774</v>
      </c>
      <c r="C40" s="44">
        <v>348.55393200000003</v>
      </c>
      <c r="D40" s="44">
        <v>125.283401</v>
      </c>
      <c r="E40" s="45">
        <v>814.1408549999999</v>
      </c>
      <c r="F40" s="44">
        <v>354.742773</v>
      </c>
      <c r="G40" s="44">
        <v>427.70761243</v>
      </c>
      <c r="H40" s="44">
        <v>288.275984</v>
      </c>
      <c r="I40" s="44">
        <v>504.5246399999999</v>
      </c>
    </row>
    <row r="41" spans="1:9" ht="14.25">
      <c r="A41" s="90" t="str">
        <f>HLOOKUP(INDICE!$F$2,Nombres!$C$3:$D$636,121,FALSE)</f>
        <v>Posiciones inter-áreas activo</v>
      </c>
      <c r="B41" s="44">
        <v>19919.67022908001</v>
      </c>
      <c r="C41" s="44">
        <v>18393.13173137991</v>
      </c>
      <c r="D41" s="44">
        <v>20926.61622064009</v>
      </c>
      <c r="E41" s="45">
        <v>21477.364824280023</v>
      </c>
      <c r="F41" s="44">
        <v>15432.905243399968</v>
      </c>
      <c r="G41" s="44">
        <v>15675.928065</v>
      </c>
      <c r="H41" s="44">
        <v>16721.27522114</v>
      </c>
      <c r="I41" s="44">
        <v>17536.124060559992</v>
      </c>
    </row>
    <row r="42" spans="1:9" ht="14.25">
      <c r="A42" s="43" t="str">
        <f>HLOOKUP(INDICE!$F$2,Nombres!$C$3:$D$636,56,FALSE)</f>
        <v>Activos tangibles</v>
      </c>
      <c r="B42" s="44">
        <v>2253.623345</v>
      </c>
      <c r="C42" s="44">
        <v>2232.247159</v>
      </c>
      <c r="D42" s="44">
        <v>2217.0669860000003</v>
      </c>
      <c r="E42" s="45">
        <v>2240.451533</v>
      </c>
      <c r="F42" s="44">
        <v>2176.8377530000002</v>
      </c>
      <c r="G42" s="44">
        <v>2126.446539</v>
      </c>
      <c r="H42" s="44">
        <v>2121.304177</v>
      </c>
      <c r="I42" s="44">
        <v>2063.0158280000005</v>
      </c>
    </row>
    <row r="43" spans="1:9" ht="15.75" customHeight="1">
      <c r="A43" s="90" t="str">
        <f>HLOOKUP(INDICE!$F$2,Nombres!$C$3:$D$636,57,FALSE)</f>
        <v>Otros activos</v>
      </c>
      <c r="B43" s="44">
        <v>21233.012243790003</v>
      </c>
      <c r="C43" s="44">
        <v>21548.67521457</v>
      </c>
      <c r="D43" s="44">
        <v>22054.813763569997</v>
      </c>
      <c r="E43" s="45">
        <v>20394.35368737</v>
      </c>
      <c r="F43" s="44">
        <v>18831.827752589998</v>
      </c>
      <c r="G43" s="44">
        <v>17953.531365939998</v>
      </c>
      <c r="H43" s="44">
        <v>17793.438996540004</v>
      </c>
      <c r="I43" s="44">
        <v>17705.289325849997</v>
      </c>
    </row>
    <row r="44" spans="1:9" ht="14.25">
      <c r="A44" s="93" t="str">
        <f>HLOOKUP(INDICE!$F$2,Nombres!$C$3:$D$636,58,FALSE)</f>
        <v>Total activo / pasivo</v>
      </c>
      <c r="B44" s="51">
        <f aca="true" t="shared" si="7" ref="B44:I44">+B37+B38+B39+B41+B42+B43</f>
        <v>49258.51259031001</v>
      </c>
      <c r="C44" s="51">
        <f t="shared" si="7"/>
        <v>47844.08971258991</v>
      </c>
      <c r="D44" s="51">
        <f t="shared" si="7"/>
        <v>50569.36897808009</v>
      </c>
      <c r="E44" s="82">
        <f t="shared" si="7"/>
        <v>49993.78595602002</v>
      </c>
      <c r="F44" s="51">
        <f t="shared" si="7"/>
        <v>41371.291948629965</v>
      </c>
      <c r="G44" s="51">
        <f t="shared" si="7"/>
        <v>40682.34441043</v>
      </c>
      <c r="H44" s="51">
        <f t="shared" si="7"/>
        <v>40937.18987914</v>
      </c>
      <c r="I44" s="51">
        <f t="shared" si="7"/>
        <v>41818.67514395999</v>
      </c>
    </row>
    <row r="45" spans="1:9" ht="14.25">
      <c r="A45" s="90" t="str">
        <f>HLOOKUP(INDICE!$F$2,Nombres!$C$3:$D$636,59,FALSE)</f>
        <v>Pasivos financieros mantenidos para negociar y designados a valor razonable con cambios en resultados</v>
      </c>
      <c r="B45" s="44">
        <v>18.371876000000004</v>
      </c>
      <c r="C45" s="44">
        <v>15.533834999999998</v>
      </c>
      <c r="D45" s="44">
        <v>16.43706</v>
      </c>
      <c r="E45" s="45">
        <v>13.631288</v>
      </c>
      <c r="F45" s="44">
        <v>93.19763200000001</v>
      </c>
      <c r="G45" s="44">
        <v>25.941499</v>
      </c>
      <c r="H45" s="44">
        <v>25.695251999999996</v>
      </c>
      <c r="I45" s="44">
        <v>20.218224</v>
      </c>
    </row>
    <row r="46" spans="1:9" ht="14.25">
      <c r="A46" s="90" t="str">
        <f>HLOOKUP(INDICE!$F$2,Nombres!$C$3:$D$636,60,FALSE)</f>
        <v>Depósitos de bancos centrales y entidades de crédito</v>
      </c>
      <c r="B46" s="44">
        <v>740.9120859999999</v>
      </c>
      <c r="C46" s="44">
        <v>873.9512100000001</v>
      </c>
      <c r="D46" s="44">
        <v>738.4457179999998</v>
      </c>
      <c r="E46" s="45">
        <v>717.619929</v>
      </c>
      <c r="F46" s="44">
        <v>850.5306330000001</v>
      </c>
      <c r="G46" s="44">
        <v>870.126812</v>
      </c>
      <c r="H46" s="44">
        <v>861.3275210000002</v>
      </c>
      <c r="I46" s="44">
        <v>820.360423</v>
      </c>
    </row>
    <row r="47" spans="1:9" ht="14.25">
      <c r="A47" s="90" t="str">
        <f>HLOOKUP(INDICE!$F$2,Nombres!$C$3:$D$636,61,FALSE)</f>
        <v>Depósitos de la clientela</v>
      </c>
      <c r="B47" s="44">
        <v>280.45407700000004</v>
      </c>
      <c r="C47" s="44">
        <v>302.49584699999997</v>
      </c>
      <c r="D47" s="44">
        <v>311.15812400000004</v>
      </c>
      <c r="E47" s="45">
        <v>307.93291500000004</v>
      </c>
      <c r="F47" s="44">
        <v>323.058317</v>
      </c>
      <c r="G47" s="44">
        <v>308.463854</v>
      </c>
      <c r="H47" s="44">
        <v>297.68499699999995</v>
      </c>
      <c r="I47" s="44">
        <v>362.75179199999997</v>
      </c>
    </row>
    <row r="48" spans="1:9" ht="14.25">
      <c r="A48" s="43" t="str">
        <f>HLOOKUP(INDICE!$F$2,Nombres!$C$3:$D$636,62,FALSE)</f>
        <v>Valores representativos de deuda emitidos</v>
      </c>
      <c r="B48" s="44">
        <v>8520.50442907</v>
      </c>
      <c r="C48" s="44">
        <v>6944.87871581</v>
      </c>
      <c r="D48" s="44">
        <v>7985.237321109998</v>
      </c>
      <c r="E48" s="45">
        <v>7763.6457979000015</v>
      </c>
      <c r="F48" s="44">
        <v>7168.7442124</v>
      </c>
      <c r="G48" s="44">
        <v>7078.95323022</v>
      </c>
      <c r="H48" s="44">
        <v>8232.24657078</v>
      </c>
      <c r="I48" s="44">
        <v>8179.27495055</v>
      </c>
    </row>
    <row r="49" spans="1:9" ht="14.25">
      <c r="A49" s="90" t="str">
        <f>HLOOKUP(INDICE!$F$2,Nombres!$C$3:$D$636,122,FALSE)</f>
        <v>Posiciones inter-áreas pasivo</v>
      </c>
      <c r="B49" s="44">
        <v>0</v>
      </c>
      <c r="C49" s="44">
        <v>0</v>
      </c>
      <c r="D49" s="44">
        <v>0</v>
      </c>
      <c r="E49" s="45">
        <v>0</v>
      </c>
      <c r="F49" s="44">
        <v>0</v>
      </c>
      <c r="G49" s="44">
        <v>0</v>
      </c>
      <c r="H49" s="44">
        <v>0</v>
      </c>
      <c r="I49" s="44">
        <v>2.599999987751289E-06</v>
      </c>
    </row>
    <row r="50" spans="1:9" ht="14.25">
      <c r="A50" s="43" t="str">
        <f>HLOOKUP(INDICE!$F$2,Nombres!$C$3:$D$636,63,FALSE)</f>
        <v>Otros pasivos</v>
      </c>
      <c r="B50" s="44">
        <f>+B44-B45-B46-B47-B48-B49-B52-B51</f>
        <v>8295.444809230044</v>
      </c>
      <c r="C50" s="44">
        <f>+C44-C45-C46-C47-C48-C49-C52-C51</f>
        <v>7439.708635970015</v>
      </c>
      <c r="D50" s="44">
        <f>+D44-D45-D46-D47-D48-D49-D52-D51</f>
        <v>7258.459527210052</v>
      </c>
      <c r="E50" s="45">
        <f>+E44-E45-E46-E47-E48-E49-E52-E51+0.3</f>
        <v>10230.508234949997</v>
      </c>
      <c r="F50" s="44">
        <f>+F44-F45-F46-F47-F48-F49-F52-F51</f>
        <v>9054.931310159951</v>
      </c>
      <c r="G50" s="44">
        <f>+G44-G45-G46-G47-G48-G49-G52-G51</f>
        <v>7942.137692190008</v>
      </c>
      <c r="H50" s="44">
        <f>+H44-H45-H46-H47-H48-H49-H52-H51</f>
        <v>7608.571676689993</v>
      </c>
      <c r="I50" s="44">
        <f>+I44-I45-I46-I47-I48-I49-I52-I51</f>
        <v>7377.763890790004</v>
      </c>
    </row>
    <row r="51" spans="1:9" ht="14.25">
      <c r="A51" s="90" t="str">
        <f>HLOOKUP(INDICE!$F$2,Nombres!$C$3:$D$636,64,FALSE)</f>
        <v>Dotación de capital económico</v>
      </c>
      <c r="B51" s="44">
        <v>-22144.212691</v>
      </c>
      <c r="C51" s="44">
        <v>-22422.31752619</v>
      </c>
      <c r="D51" s="44">
        <v>-22769.214770220005</v>
      </c>
      <c r="E51" s="45">
        <v>-23964.1782028</v>
      </c>
      <c r="F51" s="44">
        <v>-25293.41514999</v>
      </c>
      <c r="G51" s="44">
        <v>-25098.098683</v>
      </c>
      <c r="H51" s="44">
        <v>-24609.8611323</v>
      </c>
      <c r="I51" s="44">
        <v>-24961.52413487</v>
      </c>
    </row>
    <row r="52" spans="1:9" ht="14.25">
      <c r="A52" s="90" t="str">
        <f>HLOOKUP(INDICE!$F$2,Nombres!$C$3:$D$636,150,FALSE)</f>
        <v>Patrimonio neto</v>
      </c>
      <c r="B52" s="44">
        <v>53547.03800400997</v>
      </c>
      <c r="C52" s="44">
        <v>54689.83899499989</v>
      </c>
      <c r="D52" s="44">
        <v>57028.84599798005</v>
      </c>
      <c r="E52" s="45">
        <v>54924.92599397003</v>
      </c>
      <c r="F52" s="44">
        <v>49174.244994060005</v>
      </c>
      <c r="G52" s="44">
        <v>49554.82000601999</v>
      </c>
      <c r="H52" s="44">
        <v>48521.524993970015</v>
      </c>
      <c r="I52" s="44">
        <v>50019.82999588999</v>
      </c>
    </row>
    <row r="53" spans="1:9" ht="14.25">
      <c r="A53" s="43"/>
      <c r="B53" s="58"/>
      <c r="C53" s="58"/>
      <c r="D53" s="58"/>
      <c r="E53" s="58"/>
      <c r="F53" s="58"/>
      <c r="G53" s="58"/>
      <c r="H53" s="58"/>
      <c r="I53" s="58"/>
    </row>
    <row r="54" spans="1:9" ht="14.25">
      <c r="A54" s="43"/>
      <c r="B54" s="58"/>
      <c r="C54" s="58"/>
      <c r="D54" s="58"/>
      <c r="E54" s="58"/>
      <c r="F54" s="58"/>
      <c r="G54" s="58"/>
      <c r="H54" s="58"/>
      <c r="I54" s="58"/>
    </row>
    <row r="55" spans="1:9" ht="14.25">
      <c r="A55" s="43"/>
      <c r="B55" s="58"/>
      <c r="C55" s="58"/>
      <c r="D55" s="58"/>
      <c r="E55" s="58"/>
      <c r="F55" s="44"/>
      <c r="G55" s="44"/>
      <c r="H55" s="44"/>
      <c r="I55" s="44"/>
    </row>
    <row r="56" spans="1:9" ht="14.25">
      <c r="A56" s="43"/>
      <c r="B56" s="30"/>
      <c r="C56" s="289"/>
      <c r="D56" s="30"/>
      <c r="E56" s="30"/>
      <c r="F56" s="71"/>
      <c r="G56" s="44"/>
      <c r="H56" s="44"/>
      <c r="I56" s="44"/>
    </row>
    <row r="57" spans="1:9" ht="14.25">
      <c r="A57" s="43"/>
      <c r="B57" s="30"/>
      <c r="C57" s="53"/>
      <c r="D57" s="53"/>
      <c r="E57" s="53"/>
      <c r="F57" s="53"/>
      <c r="G57" s="53"/>
      <c r="H57" s="53"/>
      <c r="I57" s="53"/>
    </row>
    <row r="58" spans="1:9" ht="14.25">
      <c r="A58" s="43"/>
      <c r="B58" s="44"/>
      <c r="C58" s="44"/>
      <c r="D58" s="44"/>
      <c r="E58" s="44"/>
      <c r="F58" s="44"/>
      <c r="G58" s="44"/>
      <c r="H58" s="44"/>
      <c r="I58" s="44"/>
    </row>
    <row r="59" spans="1:9" ht="14.25">
      <c r="A59" s="41"/>
      <c r="B59" s="44"/>
      <c r="C59" s="44"/>
      <c r="D59" s="44"/>
      <c r="E59" s="44"/>
      <c r="F59" s="44"/>
      <c r="G59" s="44"/>
      <c r="H59" s="44"/>
      <c r="I59" s="44"/>
    </row>
    <row r="60" spans="1:9" ht="14.25">
      <c r="A60" s="43"/>
      <c r="B60" s="44"/>
      <c r="C60" s="44"/>
      <c r="D60" s="44"/>
      <c r="E60" s="44"/>
      <c r="F60" s="44"/>
      <c r="G60" s="44"/>
      <c r="H60" s="44"/>
      <c r="I60" s="44"/>
    </row>
    <row r="61" spans="1:9" ht="14.25">
      <c r="A61" s="43"/>
      <c r="B61" s="44"/>
      <c r="D61" s="44"/>
      <c r="E61" s="44"/>
      <c r="F61" s="44"/>
      <c r="G61" s="44"/>
      <c r="H61" s="44"/>
      <c r="I61" s="44"/>
    </row>
    <row r="62" spans="1:9" ht="14.25">
      <c r="A62" s="43"/>
      <c r="B62" s="44"/>
      <c r="D62" s="44"/>
      <c r="E62" s="44"/>
      <c r="F62" s="44"/>
      <c r="G62" s="44"/>
      <c r="H62" s="44"/>
      <c r="I62" s="44"/>
    </row>
    <row r="63" spans="1:9" ht="14.25">
      <c r="A63" s="63"/>
      <c r="B63" s="58"/>
      <c r="D63" s="58"/>
      <c r="E63" s="58"/>
      <c r="F63" s="44"/>
      <c r="G63" s="44"/>
      <c r="H63" s="44"/>
      <c r="I63" s="44"/>
    </row>
    <row r="64" spans="1:9" ht="14.25">
      <c r="A64" s="63"/>
      <c r="B64" s="58"/>
      <c r="D64" s="30"/>
      <c r="E64" s="30"/>
      <c r="F64" s="71"/>
      <c r="G64" s="71"/>
      <c r="H64" s="71"/>
      <c r="I64" s="71"/>
    </row>
    <row r="65" spans="1:9" ht="14.25">
      <c r="A65" s="63"/>
      <c r="B65" s="58"/>
      <c r="D65" s="30"/>
      <c r="E65" s="30"/>
      <c r="F65" s="71"/>
      <c r="G65" s="71"/>
      <c r="H65" s="71"/>
      <c r="I65" s="71"/>
    </row>
    <row r="66" spans="2:9" ht="14.25">
      <c r="B66" s="54"/>
      <c r="C66" s="54"/>
      <c r="D66" s="54"/>
      <c r="E66" s="76"/>
      <c r="F66" s="96"/>
      <c r="G66" s="84"/>
      <c r="H66" s="84"/>
      <c r="I66" s="84"/>
    </row>
    <row r="67" spans="2:9" ht="14.25">
      <c r="B67" s="54"/>
      <c r="F67" s="84"/>
      <c r="G67" s="84"/>
      <c r="H67" s="84"/>
      <c r="I67" s="84"/>
    </row>
    <row r="68" spans="2:9" ht="14.25">
      <c r="B68" s="54"/>
      <c r="F68" s="84"/>
      <c r="G68" s="84"/>
      <c r="H68" s="84"/>
      <c r="I68" s="84"/>
    </row>
    <row r="69" spans="2:9" ht="14.25">
      <c r="B69" s="54"/>
      <c r="F69" s="84"/>
      <c r="G69" s="84"/>
      <c r="H69" s="84"/>
      <c r="I69" s="84"/>
    </row>
    <row r="70" spans="2:9" ht="14.25">
      <c r="B70" s="54"/>
      <c r="F70" s="84"/>
      <c r="G70" s="84"/>
      <c r="H70" s="84"/>
      <c r="I70" s="84"/>
    </row>
    <row r="71" spans="2:9" ht="14.25">
      <c r="B71" s="54"/>
      <c r="F71" s="84"/>
      <c r="G71" s="84"/>
      <c r="H71" s="84"/>
      <c r="I71" s="84"/>
    </row>
    <row r="72" spans="2:9" ht="14.25">
      <c r="B72" s="54"/>
      <c r="F72" s="84"/>
      <c r="G72" s="84"/>
      <c r="H72" s="84"/>
      <c r="I72" s="84"/>
    </row>
    <row r="73" spans="2:9" ht="14.25">
      <c r="B73" s="54"/>
      <c r="F73" s="84"/>
      <c r="G73" s="84"/>
      <c r="H73" s="84"/>
      <c r="I73" s="84"/>
    </row>
    <row r="74" spans="6:9" ht="14.25">
      <c r="F74" s="84"/>
      <c r="G74" s="84"/>
      <c r="H74" s="84"/>
      <c r="I74" s="84"/>
    </row>
    <row r="75" spans="6:9" ht="14.25">
      <c r="F75" s="84"/>
      <c r="G75" s="84"/>
      <c r="H75" s="84"/>
      <c r="I75" s="84"/>
    </row>
    <row r="76" spans="6:9" ht="14.25">
      <c r="F76" s="84"/>
      <c r="G76" s="84"/>
      <c r="H76" s="84"/>
      <c r="I76" s="84"/>
    </row>
    <row r="77" spans="6:9" ht="14.25">
      <c r="F77" s="84"/>
      <c r="G77" s="84"/>
      <c r="H77" s="84"/>
      <c r="I77" s="84"/>
    </row>
    <row r="78" spans="6:9" ht="14.25">
      <c r="F78" s="84"/>
      <c r="G78" s="84"/>
      <c r="H78" s="84"/>
      <c r="I78" s="84"/>
    </row>
    <row r="79" spans="6:9" ht="14.25">
      <c r="F79" s="84"/>
      <c r="G79" s="84"/>
      <c r="H79" s="84"/>
      <c r="I79" s="84"/>
    </row>
    <row r="80" spans="6:9" ht="14.25">
      <c r="F80" s="84"/>
      <c r="G80" s="84"/>
      <c r="H80" s="84"/>
      <c r="I80" s="84"/>
    </row>
    <row r="81" spans="6:9" ht="14.25">
      <c r="F81" s="84"/>
      <c r="G81" s="84"/>
      <c r="H81" s="84"/>
      <c r="I81" s="84"/>
    </row>
    <row r="82" spans="6:9" ht="14.25">
      <c r="F82" s="84"/>
      <c r="G82" s="84"/>
      <c r="H82" s="84"/>
      <c r="I82" s="84"/>
    </row>
    <row r="83" spans="6:9" ht="14.25">
      <c r="F83" s="84"/>
      <c r="G83" s="84"/>
      <c r="H83" s="84"/>
      <c r="I83" s="84"/>
    </row>
    <row r="84" spans="6:9" ht="14.25">
      <c r="F84" s="84"/>
      <c r="G84" s="84"/>
      <c r="H84" s="84"/>
      <c r="I84" s="84"/>
    </row>
    <row r="85" spans="6:9" ht="14.25">
      <c r="F85" s="84"/>
      <c r="G85" s="84"/>
      <c r="H85" s="84"/>
      <c r="I85" s="84"/>
    </row>
    <row r="86" spans="6:9" ht="14.25">
      <c r="F86" s="84"/>
      <c r="G86" s="84"/>
      <c r="H86" s="84"/>
      <c r="I86" s="84"/>
    </row>
    <row r="87" spans="6:9" ht="14.25">
      <c r="F87" s="84"/>
      <c r="G87" s="84"/>
      <c r="H87" s="84"/>
      <c r="I87" s="84"/>
    </row>
    <row r="88" spans="6:9" ht="14.25">
      <c r="F88" s="84"/>
      <c r="G88" s="84"/>
      <c r="H88" s="84"/>
      <c r="I88" s="84"/>
    </row>
    <row r="89" spans="6:9" ht="14.25">
      <c r="F89" s="84"/>
      <c r="G89" s="84"/>
      <c r="H89" s="84"/>
      <c r="I89" s="84"/>
    </row>
    <row r="90" spans="6:9" ht="14.25">
      <c r="F90" s="84"/>
      <c r="G90" s="84"/>
      <c r="H90" s="84"/>
      <c r="I90" s="84"/>
    </row>
    <row r="91" spans="6:9" ht="14.25">
      <c r="F91" s="84"/>
      <c r="G91" s="84"/>
      <c r="H91" s="84"/>
      <c r="I91" s="84"/>
    </row>
    <row r="92" spans="6:9" ht="14.25">
      <c r="F92" s="84"/>
      <c r="G92" s="84"/>
      <c r="H92" s="84"/>
      <c r="I92" s="84"/>
    </row>
    <row r="93" spans="6:9" ht="14.25">
      <c r="F93" s="84"/>
      <c r="G93" s="84"/>
      <c r="H93" s="84"/>
      <c r="I93" s="84"/>
    </row>
    <row r="94" spans="6:9" ht="14.25">
      <c r="F94" s="84"/>
      <c r="G94" s="84"/>
      <c r="H94" s="84"/>
      <c r="I94" s="84"/>
    </row>
    <row r="95" spans="6:9" ht="14.25">
      <c r="F95" s="84"/>
      <c r="G95" s="84"/>
      <c r="H95" s="84"/>
      <c r="I95" s="84"/>
    </row>
    <row r="96" spans="6:9" ht="14.25">
      <c r="F96" s="84"/>
      <c r="G96" s="84"/>
      <c r="H96" s="84"/>
      <c r="I96" s="84"/>
    </row>
    <row r="97" spans="6:9" ht="14.25">
      <c r="F97" s="84"/>
      <c r="G97" s="84"/>
      <c r="H97" s="84"/>
      <c r="I97" s="84"/>
    </row>
    <row r="98" spans="6:9" ht="14.25">
      <c r="F98" s="84"/>
      <c r="G98" s="84"/>
      <c r="H98" s="84"/>
      <c r="I98" s="84"/>
    </row>
    <row r="99" spans="6:9" ht="14.25">
      <c r="F99" s="84"/>
      <c r="G99" s="84"/>
      <c r="H99" s="84"/>
      <c r="I99" s="84"/>
    </row>
    <row r="100" spans="6:9" ht="14.25">
      <c r="F100" s="84"/>
      <c r="G100" s="84"/>
      <c r="H100" s="84"/>
      <c r="I100" s="84"/>
    </row>
    <row r="101" spans="6:9" ht="14.25">
      <c r="F101" s="84"/>
      <c r="G101" s="84"/>
      <c r="H101" s="84"/>
      <c r="I101" s="84"/>
    </row>
    <row r="102" spans="6:9" ht="14.25">
      <c r="F102" s="84"/>
      <c r="G102" s="84"/>
      <c r="H102" s="84"/>
      <c r="I102" s="84"/>
    </row>
    <row r="103" spans="6:9" ht="14.25">
      <c r="F103" s="84"/>
      <c r="G103" s="84"/>
      <c r="H103" s="84"/>
      <c r="I103" s="84"/>
    </row>
    <row r="104" spans="6:9" ht="14.25">
      <c r="F104" s="84"/>
      <c r="G104" s="84"/>
      <c r="H104" s="84"/>
      <c r="I104" s="84"/>
    </row>
    <row r="105" spans="6:9" ht="14.25">
      <c r="F105" s="84"/>
      <c r="G105" s="84"/>
      <c r="H105" s="84"/>
      <c r="I105" s="84"/>
    </row>
    <row r="106" spans="6:9" ht="14.25">
      <c r="F106" s="84"/>
      <c r="G106" s="84"/>
      <c r="H106" s="84"/>
      <c r="I106" s="84"/>
    </row>
    <row r="107" spans="6:9" ht="14.25">
      <c r="F107" s="84"/>
      <c r="G107" s="84"/>
      <c r="H107" s="84"/>
      <c r="I107" s="84"/>
    </row>
    <row r="108" spans="6:9" ht="14.25">
      <c r="F108" s="84"/>
      <c r="G108" s="84"/>
      <c r="H108" s="84"/>
      <c r="I108" s="84"/>
    </row>
    <row r="109" spans="6:9" ht="14.25">
      <c r="F109" s="84"/>
      <c r="G109" s="84"/>
      <c r="H109" s="84"/>
      <c r="I109" s="84"/>
    </row>
    <row r="110" spans="6:9" ht="14.25">
      <c r="F110" s="84"/>
      <c r="G110" s="84"/>
      <c r="H110" s="84"/>
      <c r="I110" s="84"/>
    </row>
    <row r="111" spans="6:9" ht="14.25">
      <c r="F111" s="84"/>
      <c r="G111" s="84"/>
      <c r="H111" s="84"/>
      <c r="I111" s="84"/>
    </row>
    <row r="120" spans="6:9" ht="14.25">
      <c r="F120" s="84"/>
      <c r="G120" s="84"/>
      <c r="H120" s="84"/>
      <c r="I120" s="84"/>
    </row>
    <row r="121" spans="6:9" ht="14.25">
      <c r="F121" s="84"/>
      <c r="G121" s="84"/>
      <c r="H121" s="84"/>
      <c r="I121" s="84"/>
    </row>
    <row r="122" spans="6:9" ht="14.25">
      <c r="F122" s="84"/>
      <c r="G122" s="84"/>
      <c r="H122" s="84"/>
      <c r="I122" s="84"/>
    </row>
    <row r="123" spans="6:9" ht="14.25">
      <c r="F123" s="84"/>
      <c r="G123" s="84"/>
      <c r="H123" s="84"/>
      <c r="I123" s="84"/>
    </row>
    <row r="124" spans="6:9" ht="14.25">
      <c r="F124" s="84"/>
      <c r="G124" s="84"/>
      <c r="H124" s="84"/>
      <c r="I124" s="84"/>
    </row>
    <row r="125" spans="6:9" ht="14.25">
      <c r="F125" s="84"/>
      <c r="G125" s="84"/>
      <c r="H125" s="84"/>
      <c r="I125" s="84"/>
    </row>
    <row r="126" spans="6:9" ht="14.25">
      <c r="F126" s="84"/>
      <c r="G126" s="84"/>
      <c r="H126" s="84"/>
      <c r="I126" s="84"/>
    </row>
    <row r="127" spans="6:9" ht="14.25">
      <c r="F127" s="84"/>
      <c r="G127" s="84"/>
      <c r="H127" s="84"/>
      <c r="I127" s="84"/>
    </row>
    <row r="128" spans="6:9" ht="14.25">
      <c r="F128" s="84"/>
      <c r="G128" s="84"/>
      <c r="H128" s="84"/>
      <c r="I128" s="84"/>
    </row>
    <row r="129" spans="6:9" ht="14.25">
      <c r="F129" s="84"/>
      <c r="G129" s="84"/>
      <c r="H129" s="84"/>
      <c r="I129" s="84"/>
    </row>
    <row r="130" spans="6:9" ht="14.25">
      <c r="F130" s="84"/>
      <c r="G130" s="84"/>
      <c r="H130" s="84"/>
      <c r="I130" s="84"/>
    </row>
    <row r="131" spans="6:9" ht="14.25">
      <c r="F131" s="84"/>
      <c r="G131" s="84"/>
      <c r="H131" s="84"/>
      <c r="I131" s="84"/>
    </row>
    <row r="132" spans="6:9" ht="14.25">
      <c r="F132" s="84"/>
      <c r="G132" s="84"/>
      <c r="H132" s="84"/>
      <c r="I132" s="84"/>
    </row>
    <row r="133" spans="6:9" ht="14.25">
      <c r="F133" s="84"/>
      <c r="G133" s="84"/>
      <c r="H133" s="84"/>
      <c r="I133" s="84"/>
    </row>
    <row r="134" spans="6:9" ht="14.25">
      <c r="F134" s="84"/>
      <c r="G134" s="84"/>
      <c r="H134" s="84"/>
      <c r="I134" s="84"/>
    </row>
    <row r="135" spans="6:9" ht="14.25">
      <c r="F135" s="84"/>
      <c r="G135" s="84"/>
      <c r="H135" s="84"/>
      <c r="I135" s="84"/>
    </row>
    <row r="136" spans="6:9" ht="14.25">
      <c r="F136" s="84"/>
      <c r="G136" s="84"/>
      <c r="H136" s="84"/>
      <c r="I136" s="84"/>
    </row>
    <row r="137" spans="6:9" ht="14.25">
      <c r="F137" s="84"/>
      <c r="G137" s="84"/>
      <c r="H137" s="84"/>
      <c r="I137" s="84"/>
    </row>
    <row r="138" spans="6:9" ht="14.25">
      <c r="F138" s="84"/>
      <c r="G138" s="84"/>
      <c r="H138" s="84"/>
      <c r="I138" s="84"/>
    </row>
    <row r="139" spans="6:9" ht="14.25">
      <c r="F139" s="84"/>
      <c r="G139" s="84"/>
      <c r="H139" s="84"/>
      <c r="I139" s="84"/>
    </row>
    <row r="140" spans="6:9" ht="14.25">
      <c r="F140" s="84"/>
      <c r="G140" s="84"/>
      <c r="H140" s="84"/>
      <c r="I140" s="84"/>
    </row>
    <row r="141" spans="6:9" ht="14.25">
      <c r="F141" s="84"/>
      <c r="G141" s="84"/>
      <c r="H141" s="84"/>
      <c r="I141" s="84"/>
    </row>
    <row r="142" spans="6:9" ht="14.25">
      <c r="F142" s="84"/>
      <c r="G142" s="84"/>
      <c r="H142" s="84"/>
      <c r="I142" s="84"/>
    </row>
    <row r="143" spans="6:9" ht="14.25">
      <c r="F143" s="84"/>
      <c r="G143" s="84"/>
      <c r="H143" s="84"/>
      <c r="I143" s="84"/>
    </row>
    <row r="144" spans="6:9" ht="14.25">
      <c r="F144" s="84"/>
      <c r="G144" s="84"/>
      <c r="H144" s="84"/>
      <c r="I144" s="84"/>
    </row>
    <row r="145" spans="6:9" ht="14.25">
      <c r="F145" s="84"/>
      <c r="G145" s="84"/>
      <c r="H145" s="84"/>
      <c r="I145" s="84"/>
    </row>
    <row r="146" spans="6:9" ht="14.25">
      <c r="F146" s="84"/>
      <c r="G146" s="84"/>
      <c r="H146" s="84"/>
      <c r="I146" s="84"/>
    </row>
    <row r="147" spans="6:9" ht="14.25">
      <c r="F147" s="84"/>
      <c r="G147" s="84"/>
      <c r="H147" s="84"/>
      <c r="I147" s="84"/>
    </row>
    <row r="148" spans="6:9" ht="14.25">
      <c r="F148" s="84"/>
      <c r="G148" s="84"/>
      <c r="H148" s="84"/>
      <c r="I148" s="84"/>
    </row>
    <row r="149" spans="6:9" ht="14.25">
      <c r="F149" s="84"/>
      <c r="G149" s="84"/>
      <c r="H149" s="84"/>
      <c r="I149" s="84"/>
    </row>
    <row r="150" spans="6:9" ht="14.25">
      <c r="F150" s="84"/>
      <c r="G150" s="84"/>
      <c r="H150" s="84"/>
      <c r="I150" s="84"/>
    </row>
    <row r="151" spans="6:9" ht="14.25">
      <c r="F151" s="84"/>
      <c r="G151" s="84"/>
      <c r="H151" s="84"/>
      <c r="I151" s="84"/>
    </row>
    <row r="152" spans="6:9" ht="14.25">
      <c r="F152" s="84"/>
      <c r="G152" s="84"/>
      <c r="H152" s="84"/>
      <c r="I152" s="84"/>
    </row>
    <row r="153" spans="6:9" ht="14.25">
      <c r="F153" s="84"/>
      <c r="G153" s="84"/>
      <c r="H153" s="84"/>
      <c r="I153" s="84"/>
    </row>
    <row r="154" spans="6:9" ht="14.25">
      <c r="F154" s="84"/>
      <c r="G154" s="84"/>
      <c r="H154" s="84"/>
      <c r="I154" s="84"/>
    </row>
    <row r="155" spans="6:9" ht="14.25">
      <c r="F155" s="84"/>
      <c r="G155" s="84"/>
      <c r="H155" s="84"/>
      <c r="I155" s="84"/>
    </row>
    <row r="156" spans="6:9" ht="14.25">
      <c r="F156" s="84"/>
      <c r="G156" s="84"/>
      <c r="H156" s="84"/>
      <c r="I156" s="84"/>
    </row>
    <row r="157" spans="6:9" ht="14.25">
      <c r="F157" s="84"/>
      <c r="G157" s="84"/>
      <c r="H157" s="84"/>
      <c r="I157" s="84"/>
    </row>
    <row r="158" spans="6:9" ht="14.25">
      <c r="F158" s="84"/>
      <c r="G158" s="84"/>
      <c r="H158" s="84"/>
      <c r="I158" s="84"/>
    </row>
    <row r="159" spans="6:9" ht="14.25">
      <c r="F159" s="84"/>
      <c r="G159" s="84"/>
      <c r="H159" s="84"/>
      <c r="I159" s="84"/>
    </row>
    <row r="160" spans="6:9" ht="14.25">
      <c r="F160" s="84"/>
      <c r="G160" s="84"/>
      <c r="H160" s="84"/>
      <c r="I160" s="84"/>
    </row>
    <row r="161" spans="6:9" ht="14.25">
      <c r="F161" s="84"/>
      <c r="G161" s="84"/>
      <c r="H161" s="84"/>
      <c r="I161" s="84"/>
    </row>
    <row r="162" spans="6:9" ht="14.25">
      <c r="F162" s="84"/>
      <c r="G162" s="84"/>
      <c r="H162" s="84"/>
      <c r="I162" s="84"/>
    </row>
    <row r="163" spans="6:9" ht="14.25">
      <c r="F163" s="84"/>
      <c r="G163" s="84"/>
      <c r="H163" s="84"/>
      <c r="I163" s="84"/>
    </row>
    <row r="164" spans="6:9" ht="14.25">
      <c r="F164" s="84"/>
      <c r="G164" s="84"/>
      <c r="H164" s="84"/>
      <c r="I164" s="84"/>
    </row>
    <row r="165" spans="6:9" ht="14.25">
      <c r="F165" s="84"/>
      <c r="G165" s="84"/>
      <c r="H165" s="84"/>
      <c r="I165" s="84"/>
    </row>
    <row r="166" spans="6:9" ht="14.25">
      <c r="F166" s="84"/>
      <c r="G166" s="84"/>
      <c r="H166" s="84"/>
      <c r="I166" s="84"/>
    </row>
  </sheetData>
  <sheetProtection/>
  <mergeCells count="3">
    <mergeCell ref="A2:I2"/>
    <mergeCell ref="B7:E7"/>
    <mergeCell ref="F7:I7"/>
  </mergeCells>
  <conditionalFormatting sqref="B32">
    <cfRule type="cellIs" priority="16" dxfId="143" operator="notBetween">
      <formula>0.5</formula>
      <formula>-0.5</formula>
    </cfRule>
  </conditionalFormatting>
  <conditionalFormatting sqref="B31">
    <cfRule type="cellIs" priority="15" dxfId="143" operator="notBetween">
      <formula>0.5</formula>
      <formula>-0.5</formula>
    </cfRule>
  </conditionalFormatting>
  <conditionalFormatting sqref="C32">
    <cfRule type="cellIs" priority="14" dxfId="143" operator="notBetween">
      <formula>0.5</formula>
      <formula>-0.5</formula>
    </cfRule>
  </conditionalFormatting>
  <conditionalFormatting sqref="C31">
    <cfRule type="cellIs" priority="13" dxfId="143" operator="notBetween">
      <formula>0.5</formula>
      <formula>-0.5</formula>
    </cfRule>
  </conditionalFormatting>
  <conditionalFormatting sqref="D32">
    <cfRule type="cellIs" priority="12" dxfId="143" operator="notBetween">
      <formula>0.5</formula>
      <formula>-0.5</formula>
    </cfRule>
  </conditionalFormatting>
  <conditionalFormatting sqref="D31">
    <cfRule type="cellIs" priority="11" dxfId="143" operator="notBetween">
      <formula>0.5</formula>
      <formula>-0.5</formula>
    </cfRule>
  </conditionalFormatting>
  <conditionalFormatting sqref="E32">
    <cfRule type="cellIs" priority="10" dxfId="143" operator="notBetween">
      <formula>0.5</formula>
      <formula>-0.5</formula>
    </cfRule>
  </conditionalFormatting>
  <conditionalFormatting sqref="E31">
    <cfRule type="cellIs" priority="9" dxfId="143" operator="notBetween">
      <formula>0.5</formula>
      <formula>-0.5</formula>
    </cfRule>
  </conditionalFormatting>
  <conditionalFormatting sqref="F32">
    <cfRule type="cellIs" priority="8" dxfId="143" operator="notBetween">
      <formula>0.5</formula>
      <formula>-0.5</formula>
    </cfRule>
  </conditionalFormatting>
  <conditionalFormatting sqref="F31">
    <cfRule type="cellIs" priority="7" dxfId="143" operator="notBetween">
      <formula>0.5</formula>
      <formula>-0.5</formula>
    </cfRule>
  </conditionalFormatting>
  <conditionalFormatting sqref="G32">
    <cfRule type="cellIs" priority="6" dxfId="143" operator="notBetween">
      <formula>0.5</formula>
      <formula>-0.5</formula>
    </cfRule>
  </conditionalFormatting>
  <conditionalFormatting sqref="G31">
    <cfRule type="cellIs" priority="5" dxfId="143" operator="notBetween">
      <formula>0.5</formula>
      <formula>-0.5</formula>
    </cfRule>
  </conditionalFormatting>
  <conditionalFormatting sqref="H32">
    <cfRule type="cellIs" priority="4" dxfId="143" operator="notBetween">
      <formula>0.5</formula>
      <formula>-0.5</formula>
    </cfRule>
  </conditionalFormatting>
  <conditionalFormatting sqref="H31">
    <cfRule type="cellIs" priority="3" dxfId="143" operator="notBetween">
      <formula>0.5</formula>
      <formula>-0.5</formula>
    </cfRule>
  </conditionalFormatting>
  <conditionalFormatting sqref="I32">
    <cfRule type="cellIs" priority="2" dxfId="143" operator="notBetween">
      <formula>0.5</formula>
      <formula>-0.5</formula>
    </cfRule>
  </conditionalFormatting>
  <conditionalFormatting sqref="I31">
    <cfRule type="cellIs" priority="1" dxfId="143" operator="notBetween">
      <formula>0.5</formula>
      <formula>-0.5</formula>
    </cfRule>
  </conditionalFormatting>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O1001"/>
  <sheetViews>
    <sheetView showGridLines="0" zoomScalePageLayoutView="0" workbookViewId="0" topLeftCell="A19">
      <selection activeCell="P45" sqref="P45"/>
    </sheetView>
  </sheetViews>
  <sheetFormatPr defaultColWidth="11.421875" defaultRowHeight="15"/>
  <cols>
    <col min="1" max="1" width="62.00390625" style="31" customWidth="1"/>
    <col min="2" max="16384" width="11.421875" style="31" customWidth="1"/>
  </cols>
  <sheetData>
    <row r="1" spans="1:9" ht="16.5">
      <c r="A1" s="29" t="str">
        <f>HLOOKUP(INDICE!$F$2,Nombres!$C$3:$D$636,267,FALSE)</f>
        <v>Sociedades de la filial de Estados Unidos excluidas del acuerdo de venta</v>
      </c>
      <c r="B1" s="30"/>
      <c r="C1" s="30"/>
      <c r="D1" s="30"/>
      <c r="E1" s="30"/>
      <c r="F1" s="30"/>
      <c r="G1" s="30"/>
      <c r="H1" s="30"/>
      <c r="I1" s="30"/>
    </row>
    <row r="2" spans="1:9" ht="15" customHeight="1">
      <c r="A2" s="311" t="str">
        <f>HLOOKUP(INDICE!$F$2,Nombres!$C$3:$D$636,270,FALSE)</f>
        <v>A efectos informativos, facilitamos a continuación 8 trimestres de información histórica del perímetro actualmente reportado como EE.UU. que permanecerá en BBVA una vez cerrado el acuerdo anunciado con PNC. </v>
      </c>
      <c r="B2" s="311"/>
      <c r="C2" s="311"/>
      <c r="D2" s="311"/>
      <c r="E2" s="311"/>
      <c r="F2" s="311"/>
      <c r="G2" s="311"/>
      <c r="H2" s="311"/>
      <c r="I2" s="311"/>
    </row>
    <row r="3" spans="1:9" ht="19.5">
      <c r="A3" s="32"/>
      <c r="B3" s="30"/>
      <c r="C3" s="30"/>
      <c r="D3" s="30"/>
      <c r="E3" s="30"/>
      <c r="F3" s="30"/>
      <c r="G3" s="30"/>
      <c r="H3" s="30"/>
      <c r="I3" s="30"/>
    </row>
    <row r="4" spans="1:9" ht="16.5">
      <c r="A4" s="33" t="str">
        <f>HLOOKUP(INDICE!$F$2,Nombres!$C$3:$D$636,31,FALSE)</f>
        <v>Cuenta de resultados  </v>
      </c>
      <c r="B4" s="34"/>
      <c r="C4" s="34"/>
      <c r="D4" s="34"/>
      <c r="E4" s="34"/>
      <c r="F4" s="34"/>
      <c r="G4" s="34"/>
      <c r="H4" s="34"/>
      <c r="I4" s="34"/>
    </row>
    <row r="5" spans="1:9" ht="14.25">
      <c r="A5" s="35" t="str">
        <f>HLOOKUP(INDICE!$F$2,Nombres!$C$3:$D$636,32,FALSE)</f>
        <v>(Millones de euros)</v>
      </c>
      <c r="B5" s="30"/>
      <c r="C5" s="36"/>
      <c r="D5" s="36"/>
      <c r="E5" s="36"/>
      <c r="F5" s="30"/>
      <c r="G5" s="30"/>
      <c r="H5" s="30"/>
      <c r="I5" s="30"/>
    </row>
    <row r="6" spans="1:9" ht="14.25">
      <c r="A6" s="37"/>
      <c r="B6" s="30"/>
      <c r="C6" s="36"/>
      <c r="D6" s="36"/>
      <c r="E6" s="36"/>
      <c r="F6" s="30"/>
      <c r="G6" s="30"/>
      <c r="H6" s="30"/>
      <c r="I6" s="30"/>
    </row>
    <row r="7" spans="1:9" ht="14.25">
      <c r="A7" s="38"/>
      <c r="B7" s="308">
        <f>+España!B6</f>
        <v>2019</v>
      </c>
      <c r="C7" s="308"/>
      <c r="D7" s="308"/>
      <c r="E7" s="309"/>
      <c r="F7" s="308">
        <f>+España!F6</f>
        <v>2020</v>
      </c>
      <c r="G7" s="308"/>
      <c r="H7" s="308"/>
      <c r="I7" s="308"/>
    </row>
    <row r="8" spans="1:15" ht="14.25">
      <c r="A8" s="38"/>
      <c r="B8" s="39" t="str">
        <f>+España!B7</f>
        <v>1er Trim.</v>
      </c>
      <c r="C8" s="39" t="str">
        <f>+España!C7</f>
        <v>2º Trim.</v>
      </c>
      <c r="D8" s="39" t="str">
        <f>+España!D7</f>
        <v>3er Trim.</v>
      </c>
      <c r="E8" s="40" t="str">
        <f>+España!E7</f>
        <v>4º Trim.</v>
      </c>
      <c r="F8" s="39" t="str">
        <f>+España!F7</f>
        <v>1er Trim.</v>
      </c>
      <c r="G8" s="39" t="str">
        <f>+España!G7</f>
        <v>2º Trim.</v>
      </c>
      <c r="H8" s="39" t="str">
        <f>+España!H7</f>
        <v>3er Trim.</v>
      </c>
      <c r="I8" s="39" t="str">
        <f>+España!I7</f>
        <v>4º Trim.</v>
      </c>
      <c r="K8" s="89"/>
      <c r="L8" s="89"/>
      <c r="M8" s="89"/>
      <c r="N8" s="89"/>
      <c r="O8" s="89"/>
    </row>
    <row r="9" spans="1:9" ht="14.25">
      <c r="A9" s="41" t="str">
        <f>HLOOKUP(INDICE!$F$2,Nombres!$C$3:$D$636,33,FALSE)</f>
        <v>Margen de intereses</v>
      </c>
      <c r="B9" s="41">
        <v>12.92211433</v>
      </c>
      <c r="C9" s="41">
        <v>15.316493280000007</v>
      </c>
      <c r="D9" s="41">
        <v>18.091822810000007</v>
      </c>
      <c r="E9" s="42">
        <v>13.913153889999986</v>
      </c>
      <c r="F9" s="50">
        <v>16.860557529999998</v>
      </c>
      <c r="G9" s="50">
        <v>24.43167215999999</v>
      </c>
      <c r="H9" s="50">
        <v>18.955597030000003</v>
      </c>
      <c r="I9" s="50">
        <v>15.331846350000017</v>
      </c>
    </row>
    <row r="10" spans="1:9" ht="14.25">
      <c r="A10" s="43" t="str">
        <f>HLOOKUP(INDICE!$F$2,Nombres!$C$3:$D$636,34,FALSE)</f>
        <v>Comisiones netas</v>
      </c>
      <c r="B10" s="44">
        <v>30.090577</v>
      </c>
      <c r="C10" s="44">
        <v>34.979523</v>
      </c>
      <c r="D10" s="44">
        <v>41.514244</v>
      </c>
      <c r="E10" s="45">
        <v>32.13093200000001</v>
      </c>
      <c r="F10" s="44">
        <v>43.20916700000001</v>
      </c>
      <c r="G10" s="44">
        <v>54.371933</v>
      </c>
      <c r="H10" s="44">
        <v>48.797879999999985</v>
      </c>
      <c r="I10" s="44">
        <v>35.371208550000006</v>
      </c>
    </row>
    <row r="11" spans="1:9" ht="14.25">
      <c r="A11" s="43" t="str">
        <f>HLOOKUP(INDICE!$F$2,Nombres!$C$3:$D$636,35,FALSE)</f>
        <v>Resultados de operaciones financieras</v>
      </c>
      <c r="B11" s="44">
        <v>14.9544095</v>
      </c>
      <c r="C11" s="44">
        <v>17.75566382</v>
      </c>
      <c r="D11" s="44">
        <v>16.31244306</v>
      </c>
      <c r="E11" s="45">
        <v>8.712054739999997</v>
      </c>
      <c r="F11" s="44">
        <v>38.92034356</v>
      </c>
      <c r="G11" s="44">
        <v>6.973721640000003</v>
      </c>
      <c r="H11" s="44">
        <v>9.409440169999996</v>
      </c>
      <c r="I11" s="44">
        <v>3.7259701799999982</v>
      </c>
    </row>
    <row r="12" spans="1:9" ht="14.25">
      <c r="A12" s="43" t="str">
        <f>HLOOKUP(INDICE!$F$2,Nombres!$C$3:$D$636,36,FALSE)</f>
        <v>Otros ingresos y cargas de explotación</v>
      </c>
      <c r="B12" s="44">
        <v>11.962177</v>
      </c>
      <c r="C12" s="44">
        <v>11.989382000000003</v>
      </c>
      <c r="D12" s="44">
        <v>11.201465999999998</v>
      </c>
      <c r="E12" s="45">
        <v>14.787555999999999</v>
      </c>
      <c r="F12" s="44">
        <v>13.370193999999998</v>
      </c>
      <c r="G12" s="44">
        <v>10.7151</v>
      </c>
      <c r="H12" s="44">
        <v>11.828766</v>
      </c>
      <c r="I12" s="44">
        <v>11.302821999999999</v>
      </c>
    </row>
    <row r="13" spans="1:9" ht="14.25">
      <c r="A13" s="41" t="str">
        <f>HLOOKUP(INDICE!$F$2,Nombres!$C$3:$D$636,37,FALSE)</f>
        <v>Margen bruto</v>
      </c>
      <c r="B13" s="41">
        <f>+SUM(B9:B12)</f>
        <v>69.92927782999999</v>
      </c>
      <c r="C13" s="41">
        <f aca="true" t="shared" si="0" ref="C13:I13">+SUM(C9:C12)</f>
        <v>80.0410621</v>
      </c>
      <c r="D13" s="41">
        <f t="shared" si="0"/>
        <v>87.11997587</v>
      </c>
      <c r="E13" s="42">
        <f t="shared" si="0"/>
        <v>69.54369662999999</v>
      </c>
      <c r="F13" s="50">
        <f t="shared" si="0"/>
        <v>112.36026208999999</v>
      </c>
      <c r="G13" s="50">
        <f t="shared" si="0"/>
        <v>96.4924268</v>
      </c>
      <c r="H13" s="50">
        <f t="shared" si="0"/>
        <v>88.99168319999998</v>
      </c>
      <c r="I13" s="50">
        <f t="shared" si="0"/>
        <v>65.73184708000002</v>
      </c>
    </row>
    <row r="14" spans="1:9" ht="14.25">
      <c r="A14" s="43" t="str">
        <f>HLOOKUP(INDICE!$F$2,Nombres!$C$3:$D$636,38,FALSE)</f>
        <v>Gastos de explotación</v>
      </c>
      <c r="B14" s="44">
        <v>-45.43500989</v>
      </c>
      <c r="C14" s="44">
        <v>-49.704725290000006</v>
      </c>
      <c r="D14" s="44">
        <v>-54.57016045</v>
      </c>
      <c r="E14" s="45">
        <v>-51.45397666999999</v>
      </c>
      <c r="F14" s="44">
        <v>-54.814253879999995</v>
      </c>
      <c r="G14" s="44">
        <v>-45.147054960000006</v>
      </c>
      <c r="H14" s="44">
        <v>-46.807169</v>
      </c>
      <c r="I14" s="44">
        <v>-46.655721920000005</v>
      </c>
    </row>
    <row r="15" spans="1:9" ht="14.25">
      <c r="A15" s="43" t="str">
        <f>HLOOKUP(INDICE!$F$2,Nombres!$C$3:$D$636,39,FALSE)</f>
        <v>  Gastos de administración</v>
      </c>
      <c r="B15" s="44">
        <v>-43.96984289</v>
      </c>
      <c r="C15" s="44">
        <v>-48.38873629</v>
      </c>
      <c r="D15" s="44">
        <v>-52.954794449999994</v>
      </c>
      <c r="E15" s="45">
        <v>-50.413290669999995</v>
      </c>
      <c r="F15" s="44">
        <v>-53.890303880000005</v>
      </c>
      <c r="G15" s="44">
        <v>-44.29104696</v>
      </c>
      <c r="H15" s="44">
        <v>-46.017201</v>
      </c>
      <c r="I15" s="44">
        <v>-45.98804392000001</v>
      </c>
    </row>
    <row r="16" spans="1:9" ht="14.25">
      <c r="A16" s="46" t="str">
        <f>HLOOKUP(INDICE!$F$2,Nombres!$C$3:$D$636,40,FALSE)</f>
        <v>  Gastos de personal</v>
      </c>
      <c r="B16" s="44">
        <v>-31.867796</v>
      </c>
      <c r="C16" s="44">
        <v>-33.780686</v>
      </c>
      <c r="D16" s="44">
        <v>-36.032475999999996</v>
      </c>
      <c r="E16" s="45">
        <v>-32.0872849</v>
      </c>
      <c r="F16" s="44">
        <v>-38.853662</v>
      </c>
      <c r="G16" s="44">
        <v>-28.761287</v>
      </c>
      <c r="H16" s="44">
        <v>-30.658537000000003</v>
      </c>
      <c r="I16" s="44">
        <v>-30.230868</v>
      </c>
    </row>
    <row r="17" spans="1:9" ht="14.25">
      <c r="A17" s="46" t="str">
        <f>HLOOKUP(INDICE!$F$2,Nombres!$C$3:$D$636,41,FALSE)</f>
        <v>  Otros gastos de administración</v>
      </c>
      <c r="B17" s="44">
        <v>-12.10204689</v>
      </c>
      <c r="C17" s="44">
        <v>-14.60805029</v>
      </c>
      <c r="D17" s="44">
        <v>-16.922318450000002</v>
      </c>
      <c r="E17" s="45">
        <v>-18.326005769999995</v>
      </c>
      <c r="F17" s="44">
        <v>-15.03664188</v>
      </c>
      <c r="G17" s="44">
        <v>-15.52975996</v>
      </c>
      <c r="H17" s="44">
        <v>-15.358664000000001</v>
      </c>
      <c r="I17" s="44">
        <v>-15.75717592</v>
      </c>
    </row>
    <row r="18" spans="1:9" ht="14.25">
      <c r="A18" s="43" t="str">
        <f>HLOOKUP(INDICE!$F$2,Nombres!$C$3:$D$636,42,FALSE)</f>
        <v>  Amortización</v>
      </c>
      <c r="B18" s="44">
        <v>-1.465167</v>
      </c>
      <c r="C18" s="44">
        <v>-1.315989</v>
      </c>
      <c r="D18" s="44">
        <v>-1.615366</v>
      </c>
      <c r="E18" s="45">
        <v>-1.0406859999999998</v>
      </c>
      <c r="F18" s="44">
        <v>-0.9239499999999999</v>
      </c>
      <c r="G18" s="44">
        <v>-0.856008</v>
      </c>
      <c r="H18" s="44">
        <v>-0.789968</v>
      </c>
      <c r="I18" s="44">
        <v>-0.6676779999999998</v>
      </c>
    </row>
    <row r="19" spans="1:9" ht="14.25">
      <c r="A19" s="41" t="str">
        <f>HLOOKUP(INDICE!$F$2,Nombres!$C$3:$D$636,43,FALSE)</f>
        <v>Margen neto</v>
      </c>
      <c r="B19" s="41">
        <f>+B13+B14</f>
        <v>24.494267939999986</v>
      </c>
      <c r="C19" s="41">
        <f aca="true" t="shared" si="1" ref="C19:I19">+C13+C14</f>
        <v>30.33633681</v>
      </c>
      <c r="D19" s="41">
        <f t="shared" si="1"/>
        <v>32.54981542</v>
      </c>
      <c r="E19" s="42">
        <f t="shared" si="1"/>
        <v>18.089719959999996</v>
      </c>
      <c r="F19" s="50">
        <f t="shared" si="1"/>
        <v>57.54600821</v>
      </c>
      <c r="G19" s="50">
        <f t="shared" si="1"/>
        <v>51.34537184</v>
      </c>
      <c r="H19" s="50">
        <f t="shared" si="1"/>
        <v>42.18451419999998</v>
      </c>
      <c r="I19" s="50">
        <f t="shared" si="1"/>
        <v>19.076125160000018</v>
      </c>
    </row>
    <row r="20" spans="1:9" ht="14.25">
      <c r="A20" s="43" t="str">
        <f>HLOOKUP(INDICE!$F$2,Nombres!$C$3:$D$636,44,FALSE)</f>
        <v>Deterioro de activos financieros no valorados a valor razonable con cambios en resultados</v>
      </c>
      <c r="B20" s="44">
        <v>3.190507</v>
      </c>
      <c r="C20" s="44">
        <v>-2.37178</v>
      </c>
      <c r="D20" s="44">
        <v>-1.0393529999999997</v>
      </c>
      <c r="E20" s="45">
        <v>-29.290505999999997</v>
      </c>
      <c r="F20" s="44">
        <v>-15.397038</v>
      </c>
      <c r="G20" s="44">
        <v>-24.585268</v>
      </c>
      <c r="H20" s="44">
        <v>-11.685076000000002</v>
      </c>
      <c r="I20" s="44">
        <v>4.928347000000007</v>
      </c>
    </row>
    <row r="21" spans="1:9" ht="14.25">
      <c r="A21" s="43" t="str">
        <f>HLOOKUP(INDICE!$F$2,Nombres!$C$3:$D$636,45,FALSE)</f>
        <v>Provisiones o reversión de provisiones y otros resultados</v>
      </c>
      <c r="B21" s="44">
        <v>-0.5038840000000002</v>
      </c>
      <c r="C21" s="44">
        <v>4.073743</v>
      </c>
      <c r="D21" s="44">
        <v>3.4619209999999994</v>
      </c>
      <c r="E21" s="45">
        <v>-6.680387</v>
      </c>
      <c r="F21" s="44">
        <v>11.553397999999998</v>
      </c>
      <c r="G21" s="44">
        <v>-9.929118</v>
      </c>
      <c r="H21" s="44">
        <v>-4.553027999999999</v>
      </c>
      <c r="I21" s="44">
        <v>-2.6738159999999995</v>
      </c>
    </row>
    <row r="22" spans="1:9" ht="14.25">
      <c r="A22" s="41" t="str">
        <f>HLOOKUP(INDICE!$F$2,Nombres!$C$3:$D$636,46,FALSE)</f>
        <v>Resultado antes de impuestos</v>
      </c>
      <c r="B22" s="41">
        <f>+B19+B20+B21</f>
        <v>27.180890939999987</v>
      </c>
      <c r="C22" s="41">
        <f aca="true" t="shared" si="2" ref="C22:I22">+C19+C20+C21</f>
        <v>32.03829981</v>
      </c>
      <c r="D22" s="41">
        <f t="shared" si="2"/>
        <v>34.97238342</v>
      </c>
      <c r="E22" s="42">
        <f t="shared" si="2"/>
        <v>-17.88117304</v>
      </c>
      <c r="F22" s="50">
        <f t="shared" si="2"/>
        <v>53.70236820999999</v>
      </c>
      <c r="G22" s="50">
        <f t="shared" si="2"/>
        <v>16.830985839999997</v>
      </c>
      <c r="H22" s="50">
        <f t="shared" si="2"/>
        <v>25.94641019999998</v>
      </c>
      <c r="I22" s="50">
        <f t="shared" si="2"/>
        <v>21.330656160000025</v>
      </c>
    </row>
    <row r="23" spans="1:9" ht="14.25">
      <c r="A23" s="43" t="str">
        <f>HLOOKUP(INDICE!$F$2,Nombres!$C$3:$D$636,47,FALSE)</f>
        <v>Impuesto sobre beneficios</v>
      </c>
      <c r="B23" s="44">
        <v>-4.632065059999999</v>
      </c>
      <c r="C23" s="44">
        <v>-7.466383609999999</v>
      </c>
      <c r="D23" s="44">
        <v>-8.046657920000001</v>
      </c>
      <c r="E23" s="45">
        <v>10.234980980000001</v>
      </c>
      <c r="F23" s="44">
        <v>-6.378062760000001</v>
      </c>
      <c r="G23" s="44">
        <v>-5.70330948</v>
      </c>
      <c r="H23" s="44">
        <v>-4.059513190000001</v>
      </c>
      <c r="I23" s="44">
        <v>-1.610263599999998</v>
      </c>
    </row>
    <row r="24" spans="1:9" ht="14.25">
      <c r="A24" s="41" t="str">
        <f>HLOOKUP(INDICE!$F$2,Nombres!$C$3:$D$636,48,FALSE)</f>
        <v>Resultado del ejercicio</v>
      </c>
      <c r="B24" s="41">
        <f>+B22+B23</f>
        <v>22.54882587999999</v>
      </c>
      <c r="C24" s="41">
        <f aca="true" t="shared" si="3" ref="C24:I24">+C22+C23</f>
        <v>24.571916199999997</v>
      </c>
      <c r="D24" s="41">
        <f t="shared" si="3"/>
        <v>26.9257255</v>
      </c>
      <c r="E24" s="42">
        <f t="shared" si="3"/>
        <v>-7.646192059999999</v>
      </c>
      <c r="F24" s="50">
        <f t="shared" si="3"/>
        <v>47.32430544999999</v>
      </c>
      <c r="G24" s="50">
        <f t="shared" si="3"/>
        <v>11.127676359999997</v>
      </c>
      <c r="H24" s="50">
        <f t="shared" si="3"/>
        <v>21.88689700999998</v>
      </c>
      <c r="I24" s="50">
        <f t="shared" si="3"/>
        <v>19.72039256000003</v>
      </c>
    </row>
    <row r="25" spans="1:9" ht="14.25">
      <c r="A25" s="43" t="str">
        <f>HLOOKUP(INDICE!$F$2,Nombres!$C$3:$D$636,49,FALSE)</f>
        <v>Minoritarios</v>
      </c>
      <c r="B25" s="44">
        <v>0</v>
      </c>
      <c r="C25" s="44">
        <v>0</v>
      </c>
      <c r="D25" s="44">
        <v>0</v>
      </c>
      <c r="E25" s="45">
        <v>0</v>
      </c>
      <c r="F25" s="44">
        <v>0</v>
      </c>
      <c r="G25" s="44">
        <v>0</v>
      </c>
      <c r="H25" s="44">
        <v>0</v>
      </c>
      <c r="I25" s="44">
        <v>0</v>
      </c>
    </row>
    <row r="26" spans="1:9" ht="14.25">
      <c r="A26" s="47" t="str">
        <f>HLOOKUP(INDICE!$F$2,Nombres!$C$3:$D$636,50,FALSE)</f>
        <v>Resultado atribuido</v>
      </c>
      <c r="B26" s="47">
        <f>+B24+B25</f>
        <v>22.54882587999999</v>
      </c>
      <c r="C26" s="47">
        <f aca="true" t="shared" si="4" ref="C26:I26">+C24+C25</f>
        <v>24.571916199999997</v>
      </c>
      <c r="D26" s="47">
        <f t="shared" si="4"/>
        <v>26.9257255</v>
      </c>
      <c r="E26" s="47">
        <f t="shared" si="4"/>
        <v>-7.646192059999999</v>
      </c>
      <c r="F26" s="51">
        <f t="shared" si="4"/>
        <v>47.32430544999999</v>
      </c>
      <c r="G26" s="51">
        <f t="shared" si="4"/>
        <v>11.127676359999997</v>
      </c>
      <c r="H26" s="51">
        <f t="shared" si="4"/>
        <v>21.88689700999998</v>
      </c>
      <c r="I26" s="51">
        <f t="shared" si="4"/>
        <v>19.72039256000003</v>
      </c>
    </row>
    <row r="27" spans="1:9" ht="14.25">
      <c r="A27" s="63"/>
      <c r="B27" s="64">
        <v>0</v>
      </c>
      <c r="C27" s="64">
        <v>0</v>
      </c>
      <c r="D27" s="64">
        <v>0</v>
      </c>
      <c r="E27" s="64">
        <v>0</v>
      </c>
      <c r="F27" s="64">
        <v>0</v>
      </c>
      <c r="G27" s="64">
        <v>0</v>
      </c>
      <c r="H27" s="64">
        <v>0</v>
      </c>
      <c r="I27" s="64">
        <v>0</v>
      </c>
    </row>
    <row r="28" spans="1:9" ht="14.25">
      <c r="A28" s="41"/>
      <c r="B28" s="41"/>
      <c r="C28" s="41"/>
      <c r="D28" s="41"/>
      <c r="E28" s="41"/>
      <c r="F28" s="50"/>
      <c r="G28" s="50"/>
      <c r="H28" s="50"/>
      <c r="I28" s="50"/>
    </row>
    <row r="29" spans="1:9" ht="16.5">
      <c r="A29" s="33" t="str">
        <f>HLOOKUP(INDICE!$F$2,Nombres!$C$3:$D$636,51,FALSE)</f>
        <v>Balances</v>
      </c>
      <c r="B29" s="34"/>
      <c r="C29" s="34"/>
      <c r="D29" s="34"/>
      <c r="E29" s="34"/>
      <c r="F29" s="70"/>
      <c r="G29" s="70"/>
      <c r="H29" s="70"/>
      <c r="I29" s="70"/>
    </row>
    <row r="30" spans="1:9" ht="14.25">
      <c r="A30" s="35" t="str">
        <f>HLOOKUP(INDICE!$F$2,Nombres!$C$3:$D$636,32,FALSE)</f>
        <v>(Millones de euros)</v>
      </c>
      <c r="B30" s="30"/>
      <c r="C30" s="52"/>
      <c r="D30" s="52"/>
      <c r="E30" s="52"/>
      <c r="F30" s="71"/>
      <c r="G30" s="44"/>
      <c r="H30" s="44"/>
      <c r="I30" s="44"/>
    </row>
    <row r="31" spans="1:9" ht="14.25">
      <c r="A31" s="30"/>
      <c r="B31" s="53">
        <f>+España!B30</f>
        <v>43555</v>
      </c>
      <c r="C31" s="53">
        <f>+España!C30</f>
        <v>43646</v>
      </c>
      <c r="D31" s="53">
        <f>+España!D30</f>
        <v>43738</v>
      </c>
      <c r="E31" s="69">
        <f>+España!E30</f>
        <v>43830</v>
      </c>
      <c r="F31" s="53">
        <f>+España!F30</f>
        <v>43921</v>
      </c>
      <c r="G31" s="53">
        <f>+España!G30</f>
        <v>44012</v>
      </c>
      <c r="H31" s="53">
        <f>+España!H30</f>
        <v>44104</v>
      </c>
      <c r="I31" s="53">
        <f>+España!I30</f>
        <v>44196</v>
      </c>
    </row>
    <row r="32" spans="1:9" ht="14.25">
      <c r="A32" s="43" t="str">
        <f>HLOOKUP(INDICE!$F$2,Nombres!$C$3:$D$636,52,FALSE)</f>
        <v>Efectivo, saldos en efectivo en bancos centrales y otros depósitos a la vista</v>
      </c>
      <c r="B32" s="44">
        <v>1856.068644</v>
      </c>
      <c r="C32" s="44">
        <v>3057.1277499999997</v>
      </c>
      <c r="D32" s="44">
        <v>2447.5912500000004</v>
      </c>
      <c r="E32" s="45">
        <v>2612.674074</v>
      </c>
      <c r="F32" s="44">
        <v>5920.754576</v>
      </c>
      <c r="G32" s="44">
        <v>3005.233122</v>
      </c>
      <c r="H32" s="44">
        <v>4759.230135</v>
      </c>
      <c r="I32" s="44">
        <v>5854.481597</v>
      </c>
    </row>
    <row r="33" spans="1:9" ht="14.25">
      <c r="A33" s="43" t="str">
        <f>HLOOKUP(INDICE!$F$2,Nombres!$C$3:$D$636,53,FALSE)</f>
        <v>Activos financieros a valor razonable</v>
      </c>
      <c r="B33" s="58">
        <v>254.683928</v>
      </c>
      <c r="C33" s="58">
        <v>1458.706889</v>
      </c>
      <c r="D33" s="58">
        <v>251.63911199999998</v>
      </c>
      <c r="E33" s="66">
        <v>277.394197</v>
      </c>
      <c r="F33" s="44">
        <v>430.9973140000001</v>
      </c>
      <c r="G33" s="44">
        <v>370.69292699999994</v>
      </c>
      <c r="H33" s="44">
        <v>335.537394</v>
      </c>
      <c r="I33" s="44">
        <v>970.074611</v>
      </c>
    </row>
    <row r="34" spans="1:9" ht="14.25">
      <c r="A34" s="43" t="str">
        <f>HLOOKUP(INDICE!$F$2,Nombres!$C$3:$D$636,54,FALSE)</f>
        <v>Activos financieros a coste amortizado</v>
      </c>
      <c r="B34" s="44">
        <v>3960.140805</v>
      </c>
      <c r="C34" s="44">
        <v>5028.426896</v>
      </c>
      <c r="D34" s="44">
        <v>5374.697065</v>
      </c>
      <c r="E34" s="45">
        <v>6650.013632</v>
      </c>
      <c r="F34" s="44">
        <v>8798.930304</v>
      </c>
      <c r="G34" s="44">
        <v>8544.685121</v>
      </c>
      <c r="H34" s="44">
        <v>6456.33676</v>
      </c>
      <c r="I34" s="44">
        <v>5375.707239999999</v>
      </c>
    </row>
    <row r="35" spans="1:9" ht="14.25">
      <c r="A35" s="43" t="str">
        <f>HLOOKUP(INDICE!$F$2,Nombres!$C$3:$D$636,55,FALSE)</f>
        <v>    de los que préstamos y anticipos a la clientela</v>
      </c>
      <c r="B35" s="44">
        <v>3890.136569</v>
      </c>
      <c r="C35" s="44">
        <v>4939.97733</v>
      </c>
      <c r="D35" s="44">
        <v>5261.445680000001</v>
      </c>
      <c r="E35" s="45">
        <v>6475.20302</v>
      </c>
      <c r="F35" s="44">
        <v>8569.893903000002</v>
      </c>
      <c r="G35" s="44">
        <v>8274.274389000002</v>
      </c>
      <c r="H35" s="44">
        <v>6148.290227</v>
      </c>
      <c r="I35" s="44">
        <v>5108.644795999999</v>
      </c>
    </row>
    <row r="36" spans="1:9" ht="14.25">
      <c r="A36" s="43" t="str">
        <f>HLOOKUP(INDICE!$F$2,Nombres!$C$3:$D$636,121,FALSE)</f>
        <v>Posiciones inter-áreas activo</v>
      </c>
      <c r="B36" s="44">
        <v>0</v>
      </c>
      <c r="C36" s="44">
        <v>0</v>
      </c>
      <c r="D36" s="44">
        <v>0</v>
      </c>
      <c r="E36" s="45">
        <v>0</v>
      </c>
      <c r="F36" s="44">
        <v>0</v>
      </c>
      <c r="G36" s="44">
        <v>0</v>
      </c>
      <c r="H36" s="44">
        <v>0</v>
      </c>
      <c r="I36" s="44">
        <v>0</v>
      </c>
    </row>
    <row r="37" spans="1:9" ht="14.25">
      <c r="A37" s="43" t="str">
        <f>HLOOKUP(INDICE!$F$2,Nombres!$C$3:$D$636,56,FALSE)</f>
        <v>Activos tangibles</v>
      </c>
      <c r="B37" s="58">
        <v>25.691105999999998</v>
      </c>
      <c r="C37" s="58">
        <v>24.327639</v>
      </c>
      <c r="D37" s="58">
        <v>27.674749000000002</v>
      </c>
      <c r="E37" s="66">
        <v>14.03218</v>
      </c>
      <c r="F37" s="44">
        <v>13.742891</v>
      </c>
      <c r="G37" s="44">
        <v>12.664482999999999</v>
      </c>
      <c r="H37" s="44">
        <v>11.384775000000001</v>
      </c>
      <c r="I37" s="44">
        <v>10.255092000000001</v>
      </c>
    </row>
    <row r="38" spans="1:9" ht="14.25">
      <c r="A38" s="43" t="str">
        <f>HLOOKUP(INDICE!$F$2,Nombres!$C$3:$D$636,57,FALSE)</f>
        <v>Otros activos</v>
      </c>
      <c r="B38" s="58">
        <f>+B39-B37-B34-B33-B32-B36</f>
        <v>319.06247400000075</v>
      </c>
      <c r="C38" s="58">
        <f aca="true" t="shared" si="5" ref="C38:I38">+C39-C37-C34-C33-C32-C36</f>
        <v>289.3886369999982</v>
      </c>
      <c r="D38" s="58">
        <f t="shared" si="5"/>
        <v>170.20709700000043</v>
      </c>
      <c r="E38" s="66">
        <f t="shared" si="5"/>
        <v>49.50466300000335</v>
      </c>
      <c r="F38" s="44">
        <f t="shared" si="5"/>
        <v>461.5859050000008</v>
      </c>
      <c r="G38" s="44">
        <f t="shared" si="5"/>
        <v>287.4295920000018</v>
      </c>
      <c r="H38" s="44">
        <f t="shared" si="5"/>
        <v>193.17837200000122</v>
      </c>
      <c r="I38" s="44">
        <f t="shared" si="5"/>
        <v>93.75015900000199</v>
      </c>
    </row>
    <row r="39" spans="1:9" ht="14.25">
      <c r="A39" s="47" t="str">
        <f>HLOOKUP(INDICE!$F$2,Nombres!$C$3:$D$636,58,FALSE)</f>
        <v>Total activo / pasivo</v>
      </c>
      <c r="B39" s="47">
        <v>6415.646957000001</v>
      </c>
      <c r="C39" s="47">
        <v>9857.977810999997</v>
      </c>
      <c r="D39" s="47">
        <v>8271.809273</v>
      </c>
      <c r="E39" s="72">
        <v>9603.618746000004</v>
      </c>
      <c r="F39" s="47">
        <v>15626.01099</v>
      </c>
      <c r="G39" s="51">
        <v>12220.705245000003</v>
      </c>
      <c r="H39" s="51">
        <v>11755.667436000002</v>
      </c>
      <c r="I39" s="51">
        <v>12304.268699</v>
      </c>
    </row>
    <row r="40" spans="1:9" ht="14.25">
      <c r="A40" s="43" t="str">
        <f>HLOOKUP(INDICE!$F$2,Nombres!$C$3:$D$636,59,FALSE)</f>
        <v>Pasivos financieros mantenidos para negociar y designados a valor razonable con cambios en resultados</v>
      </c>
      <c r="B40" s="58">
        <v>199.616727</v>
      </c>
      <c r="C40" s="58">
        <v>1367.805873</v>
      </c>
      <c r="D40" s="58">
        <v>111.57</v>
      </c>
      <c r="E40" s="66">
        <v>162.73538399999998</v>
      </c>
      <c r="F40" s="44">
        <v>394.994195</v>
      </c>
      <c r="G40" s="44">
        <v>243.71744399999997</v>
      </c>
      <c r="H40" s="44">
        <v>164.36100000000002</v>
      </c>
      <c r="I40" s="44">
        <v>802.5535749999999</v>
      </c>
    </row>
    <row r="41" spans="1:9" ht="14.25">
      <c r="A41" s="43" t="str">
        <f>HLOOKUP(INDICE!$F$2,Nombres!$C$3:$D$636,60,FALSE)</f>
        <v>Depósitos de bancos centrales y entidades de crédito</v>
      </c>
      <c r="B41" s="58">
        <v>693.2296079999999</v>
      </c>
      <c r="C41" s="58">
        <v>717.3437270000001</v>
      </c>
      <c r="D41" s="58">
        <v>763.0905270000001</v>
      </c>
      <c r="E41" s="66">
        <v>944.7660209999999</v>
      </c>
      <c r="F41" s="44">
        <v>652.731809</v>
      </c>
      <c r="G41" s="44">
        <v>887.2038259999999</v>
      </c>
      <c r="H41" s="44">
        <v>974.407754</v>
      </c>
      <c r="I41" s="44">
        <v>844.541025</v>
      </c>
    </row>
    <row r="42" spans="1:9" ht="14.25">
      <c r="A42" s="43" t="str">
        <f>HLOOKUP(INDICE!$F$2,Nombres!$C$3:$D$636,61,FALSE)</f>
        <v>Depósitos de la clientela</v>
      </c>
      <c r="B42" s="58">
        <v>2618.599724</v>
      </c>
      <c r="C42" s="58">
        <v>2889.999491</v>
      </c>
      <c r="D42" s="58">
        <v>3156.4859779999997</v>
      </c>
      <c r="E42" s="66">
        <v>3895.409449</v>
      </c>
      <c r="F42" s="44">
        <v>4214.018079</v>
      </c>
      <c r="G42" s="44">
        <v>4815.816443000001</v>
      </c>
      <c r="H42" s="44">
        <v>4612.275043</v>
      </c>
      <c r="I42" s="44">
        <v>4755.518086</v>
      </c>
    </row>
    <row r="43" spans="1:9" ht="14.25">
      <c r="A43" s="43" t="str">
        <f>HLOOKUP(INDICE!$F$2,Nombres!$C$3:$D$636,62,FALSE)</f>
        <v>Valores representativos de deuda emitidos</v>
      </c>
      <c r="B43" s="44">
        <v>214.04609384000003</v>
      </c>
      <c r="C43" s="44">
        <v>252.31180057</v>
      </c>
      <c r="D43" s="44">
        <v>414.49160136</v>
      </c>
      <c r="E43" s="45">
        <v>390.89214168000007</v>
      </c>
      <c r="F43" s="44">
        <v>109.89178674</v>
      </c>
      <c r="G43" s="44">
        <v>115.64924866999999</v>
      </c>
      <c r="H43" s="44">
        <v>163.68630544</v>
      </c>
      <c r="I43" s="44">
        <v>105.05579954</v>
      </c>
    </row>
    <row r="44" spans="1:9" ht="15.75" customHeight="1">
      <c r="A44" s="43" t="str">
        <f>HLOOKUP(INDICE!$F$2,Nombres!$C$3:$D$636,122,FALSE)</f>
        <v>Posiciones inter-áreas pasivo</v>
      </c>
      <c r="B44" s="44">
        <v>1733.9571337800007</v>
      </c>
      <c r="C44" s="44">
        <v>3752.9707024699956</v>
      </c>
      <c r="D44" s="44">
        <v>3012.978214810001</v>
      </c>
      <c r="E44" s="45">
        <v>3471.4790882700026</v>
      </c>
      <c r="F44" s="44">
        <v>9410.155864339999</v>
      </c>
      <c r="G44" s="44">
        <v>4994.064122160001</v>
      </c>
      <c r="H44" s="44">
        <v>4957.80745553</v>
      </c>
      <c r="I44" s="44">
        <v>4943.233813539999</v>
      </c>
    </row>
    <row r="45" spans="1:9" ht="14.25">
      <c r="A45" s="43" t="str">
        <f>HLOOKUP(INDICE!$F$2,Nombres!$C$3:$D$636,63,FALSE)</f>
        <v>Otros pasivos</v>
      </c>
      <c r="B45" s="44">
        <f>+B39-B40-B41-B42-B43-B46-B44</f>
        <v>538.8986703800006</v>
      </c>
      <c r="C45" s="44">
        <f aca="true" t="shared" si="6" ref="C45:I45">+C39-C40-C41-C42-C43-C46-C44</f>
        <v>408.0572669600024</v>
      </c>
      <c r="D45" s="44">
        <f t="shared" si="6"/>
        <v>340.6533115799998</v>
      </c>
      <c r="E45" s="45">
        <f t="shared" si="6"/>
        <v>233.39884435000113</v>
      </c>
      <c r="F45" s="44">
        <f t="shared" si="6"/>
        <v>312.44337592000375</v>
      </c>
      <c r="G45" s="44">
        <f t="shared" si="6"/>
        <v>567.9337111700006</v>
      </c>
      <c r="H45" s="44">
        <f t="shared" si="6"/>
        <v>315.90101873000094</v>
      </c>
      <c r="I45" s="44">
        <f t="shared" si="6"/>
        <v>305.09565490000114</v>
      </c>
    </row>
    <row r="46" spans="1:9" ht="14.25">
      <c r="A46" s="43" t="str">
        <f>HLOOKUP(INDICE!$F$2,Nombres!$C$3:$D$636,64,FALSE)</f>
        <v>Dotación de capital económico</v>
      </c>
      <c r="B46" s="44">
        <v>417.299</v>
      </c>
      <c r="C46" s="44">
        <v>469.48894999999993</v>
      </c>
      <c r="D46" s="44">
        <v>472.53964025000005</v>
      </c>
      <c r="E46" s="45">
        <v>504.9378177</v>
      </c>
      <c r="F46" s="44">
        <v>531.77588</v>
      </c>
      <c r="G46" s="44">
        <v>596.3204499999999</v>
      </c>
      <c r="H46" s="44">
        <v>567.2288593000001</v>
      </c>
      <c r="I46" s="44">
        <v>548.2707450199999</v>
      </c>
    </row>
    <row r="47" spans="1:9" ht="14.25">
      <c r="A47" s="63"/>
      <c r="B47" s="58"/>
      <c r="C47" s="58"/>
      <c r="D47" s="58"/>
      <c r="E47" s="58"/>
      <c r="F47" s="44"/>
      <c r="G47" s="44"/>
      <c r="H47" s="44"/>
      <c r="I47" s="44"/>
    </row>
    <row r="48" spans="1:9" ht="14.25">
      <c r="A48" s="43"/>
      <c r="B48" s="58"/>
      <c r="C48" s="58"/>
      <c r="D48" s="58"/>
      <c r="E48" s="58"/>
      <c r="F48" s="44"/>
      <c r="G48" s="44"/>
      <c r="H48" s="44"/>
      <c r="I48" s="44"/>
    </row>
    <row r="49" spans="1:9" ht="16.5">
      <c r="A49" s="67" t="str">
        <f>HLOOKUP(INDICE!$F$2,Nombres!$C$3:$D$636,65,FALSE)</f>
        <v>Indicadores relevantes y de gestión</v>
      </c>
      <c r="B49" s="68"/>
      <c r="C49" s="68"/>
      <c r="D49" s="68"/>
      <c r="E49" s="68"/>
      <c r="F49" s="73"/>
      <c r="G49" s="73"/>
      <c r="H49" s="73"/>
      <c r="I49" s="73"/>
    </row>
    <row r="50" spans="1:9" ht="14.25">
      <c r="A50" s="35" t="str">
        <f>HLOOKUP(INDICE!$F$2,Nombres!$C$3:$D$636,32,FALSE)</f>
        <v>(Millones de euros)</v>
      </c>
      <c r="B50" s="30"/>
      <c r="C50" s="30"/>
      <c r="D50" s="30"/>
      <c r="E50" s="30"/>
      <c r="F50" s="71"/>
      <c r="G50" s="44"/>
      <c r="H50" s="44"/>
      <c r="I50" s="44"/>
    </row>
    <row r="51" spans="1:9" ht="14.25">
      <c r="A51" s="30"/>
      <c r="B51" s="53">
        <f aca="true" t="shared" si="7" ref="B51:I51">+B$31</f>
        <v>43555</v>
      </c>
      <c r="C51" s="53">
        <f t="shared" si="7"/>
        <v>43646</v>
      </c>
      <c r="D51" s="53">
        <f t="shared" si="7"/>
        <v>43738</v>
      </c>
      <c r="E51" s="69">
        <f t="shared" si="7"/>
        <v>43830</v>
      </c>
      <c r="F51" s="53">
        <f t="shared" si="7"/>
        <v>43921</v>
      </c>
      <c r="G51" s="53">
        <f t="shared" si="7"/>
        <v>44012</v>
      </c>
      <c r="H51" s="53">
        <f t="shared" si="7"/>
        <v>44104</v>
      </c>
      <c r="I51" s="53">
        <f t="shared" si="7"/>
        <v>44196</v>
      </c>
    </row>
    <row r="52" spans="1:9" ht="14.25">
      <c r="A52" s="43" t="str">
        <f>HLOOKUP(INDICE!$F$2,Nombres!$C$3:$D$636,66,FALSE)</f>
        <v>Préstamos y anticipos a la clientela bruto (*)</v>
      </c>
      <c r="B52" s="44">
        <v>3898.96385</v>
      </c>
      <c r="C52" s="44">
        <v>4949.453301</v>
      </c>
      <c r="D52" s="44">
        <v>5272.217407</v>
      </c>
      <c r="E52" s="45">
        <v>6515.247598000001</v>
      </c>
      <c r="F52" s="44">
        <v>8593.898116</v>
      </c>
      <c r="G52" s="44">
        <v>8322.732713000001</v>
      </c>
      <c r="H52" s="44">
        <v>6208.62115</v>
      </c>
      <c r="I52" s="44">
        <v>5160.942007</v>
      </c>
    </row>
    <row r="53" spans="1:9" ht="14.25">
      <c r="A53" s="43" t="str">
        <f>HLOOKUP(INDICE!$F$2,Nombres!$C$3:$D$636,67,FALSE)</f>
        <v>Depósitos de clientes en gestión (**)</v>
      </c>
      <c r="B53" s="44">
        <v>2618.599724</v>
      </c>
      <c r="C53" s="44">
        <v>2889.999491</v>
      </c>
      <c r="D53" s="44">
        <v>3156.4859779999997</v>
      </c>
      <c r="E53" s="45">
        <v>3895.4094489999998</v>
      </c>
      <c r="F53" s="44">
        <v>4214.018079</v>
      </c>
      <c r="G53" s="44">
        <v>4815.816443000001</v>
      </c>
      <c r="H53" s="44">
        <v>4612.275043</v>
      </c>
      <c r="I53" s="44">
        <v>4755.518085999999</v>
      </c>
    </row>
    <row r="54" spans="1:9" ht="14.25">
      <c r="A54" s="43" t="str">
        <f>HLOOKUP(INDICE!$F$2,Nombres!$C$3:$D$636,68,FALSE)</f>
        <v>Fondos de inversión</v>
      </c>
      <c r="B54" s="44">
        <v>0</v>
      </c>
      <c r="C54" s="44">
        <v>0</v>
      </c>
      <c r="D54" s="44">
        <v>0</v>
      </c>
      <c r="E54" s="45">
        <v>0</v>
      </c>
      <c r="F54" s="44">
        <v>0</v>
      </c>
      <c r="G54" s="44">
        <v>0</v>
      </c>
      <c r="H54" s="44">
        <v>0</v>
      </c>
      <c r="I54" s="44">
        <v>0</v>
      </c>
    </row>
    <row r="55" spans="1:9" ht="14.25">
      <c r="A55" s="43" t="str">
        <f>HLOOKUP(INDICE!$F$2,Nombres!$C$3:$D$636,69,FALSE)</f>
        <v>Fondos de pensiones</v>
      </c>
      <c r="B55" s="44">
        <v>0</v>
      </c>
      <c r="C55" s="44">
        <v>0</v>
      </c>
      <c r="D55" s="44">
        <v>0</v>
      </c>
      <c r="E55" s="45">
        <v>0</v>
      </c>
      <c r="F55" s="44">
        <v>0</v>
      </c>
      <c r="G55" s="44">
        <v>0</v>
      </c>
      <c r="H55" s="44">
        <v>0</v>
      </c>
      <c r="I55" s="44">
        <v>0</v>
      </c>
    </row>
    <row r="56" spans="1:9" ht="14.25">
      <c r="A56" s="43" t="str">
        <f>HLOOKUP(INDICE!$F$2,Nombres!$C$3:$D$636,70,FALSE)</f>
        <v>Otros recursos fuera de balance</v>
      </c>
      <c r="B56" s="44">
        <v>0</v>
      </c>
      <c r="C56" s="44">
        <v>0</v>
      </c>
      <c r="D56" s="44">
        <v>0</v>
      </c>
      <c r="E56" s="45">
        <v>0</v>
      </c>
      <c r="F56" s="44">
        <v>0</v>
      </c>
      <c r="G56" s="44">
        <v>0</v>
      </c>
      <c r="H56" s="44">
        <v>0</v>
      </c>
      <c r="I56" s="44">
        <v>0</v>
      </c>
    </row>
    <row r="57" spans="1:9" ht="14.25">
      <c r="A57" s="63" t="str">
        <f>HLOOKUP(INDICE!$F$2,Nombres!$C$3:$D$636,71,FALSE)</f>
        <v>(*) No incluye las adquisiciones temporales de activos.</v>
      </c>
      <c r="B57" s="58"/>
      <c r="C57" s="58"/>
      <c r="D57" s="58"/>
      <c r="E57" s="58"/>
      <c r="F57" s="58"/>
      <c r="G57" s="58"/>
      <c r="H57" s="58"/>
      <c r="I57" s="58"/>
    </row>
    <row r="58" spans="1:9" ht="14.25">
      <c r="A58" s="63" t="str">
        <f>HLOOKUP(INDICE!$F$2,Nombres!$C$3:$D$636,72,FALSE)</f>
        <v>(**) No incluye las cesiones temporales de activos.</v>
      </c>
      <c r="B58" s="30"/>
      <c r="C58" s="30"/>
      <c r="D58" s="30"/>
      <c r="E58" s="30"/>
      <c r="F58" s="30"/>
      <c r="G58" s="30"/>
      <c r="H58" s="30"/>
      <c r="I58" s="30"/>
    </row>
    <row r="59" spans="1:9" ht="14.25">
      <c r="A59" s="63"/>
      <c r="B59" s="30"/>
      <c r="C59" s="30"/>
      <c r="D59" s="30"/>
      <c r="E59" s="30"/>
      <c r="F59" s="30"/>
      <c r="G59" s="30"/>
      <c r="H59" s="30"/>
      <c r="I59" s="30"/>
    </row>
    <row r="60" spans="1:9" ht="16.5">
      <c r="A60" s="33" t="str">
        <f>HLOOKUP(INDICE!$F$2,Nombres!$C$3:$D$636,31,FALSE)</f>
        <v>Cuenta de resultados  </v>
      </c>
      <c r="B60" s="34"/>
      <c r="C60" s="34"/>
      <c r="D60" s="34"/>
      <c r="E60" s="34"/>
      <c r="F60" s="34"/>
      <c r="G60" s="34"/>
      <c r="H60" s="34"/>
      <c r="I60" s="34"/>
    </row>
    <row r="61" spans="1:9" ht="14.25">
      <c r="A61" s="35" t="str">
        <f>HLOOKUP(INDICE!$F$2,Nombres!$C$3:$D$636,73,FALSE)</f>
        <v>(Millones de euros constantes)</v>
      </c>
      <c r="B61" s="30"/>
      <c r="C61" s="36"/>
      <c r="D61" s="36"/>
      <c r="E61" s="36"/>
      <c r="F61" s="30"/>
      <c r="G61" s="30"/>
      <c r="H61" s="30"/>
      <c r="I61" s="30"/>
    </row>
    <row r="62" spans="1:9" ht="14.25">
      <c r="A62" s="37"/>
      <c r="B62" s="30"/>
      <c r="C62" s="36"/>
      <c r="D62" s="36"/>
      <c r="E62" s="36"/>
      <c r="F62" s="30"/>
      <c r="G62" s="30"/>
      <c r="H62" s="30"/>
      <c r="I62" s="30"/>
    </row>
    <row r="63" spans="1:9" ht="14.25">
      <c r="A63" s="38"/>
      <c r="B63" s="308">
        <f>+B$7</f>
        <v>2019</v>
      </c>
      <c r="C63" s="308"/>
      <c r="D63" s="308"/>
      <c r="E63" s="309"/>
      <c r="F63" s="308">
        <f>+F$7</f>
        <v>2020</v>
      </c>
      <c r="G63" s="308"/>
      <c r="H63" s="308"/>
      <c r="I63" s="308"/>
    </row>
    <row r="64" spans="1:9" ht="14.25">
      <c r="A64" s="38"/>
      <c r="B64" s="39" t="str">
        <f>+B$8</f>
        <v>1er Trim.</v>
      </c>
      <c r="C64" s="39" t="str">
        <f aca="true" t="shared" si="8" ref="C64:I64">+C$8</f>
        <v>2º Trim.</v>
      </c>
      <c r="D64" s="39" t="str">
        <f t="shared" si="8"/>
        <v>3er Trim.</v>
      </c>
      <c r="E64" s="40" t="str">
        <f t="shared" si="8"/>
        <v>4º Trim.</v>
      </c>
      <c r="F64" s="39" t="str">
        <f t="shared" si="8"/>
        <v>1er Trim.</v>
      </c>
      <c r="G64" s="39" t="str">
        <f t="shared" si="8"/>
        <v>2º Trim.</v>
      </c>
      <c r="H64" s="39" t="str">
        <f t="shared" si="8"/>
        <v>3er Trim.</v>
      </c>
      <c r="I64" s="39" t="str">
        <f t="shared" si="8"/>
        <v>4º Trim.</v>
      </c>
    </row>
    <row r="65" spans="1:9" ht="14.25">
      <c r="A65" s="41" t="str">
        <f>HLOOKUP(INDICE!$F$2,Nombres!$C$3:$D$636,33,FALSE)</f>
        <v>Margen de intereses</v>
      </c>
      <c r="B65" s="41">
        <v>11.803828660202111</v>
      </c>
      <c r="C65" s="41">
        <v>14.416027411737012</v>
      </c>
      <c r="D65" s="41">
        <v>15.019214839469642</v>
      </c>
      <c r="E65" s="42">
        <v>14.137222988818333</v>
      </c>
      <c r="F65" s="50">
        <v>15.101335002616391</v>
      </c>
      <c r="G65" s="50">
        <v>22.53564281334893</v>
      </c>
      <c r="H65" s="50">
        <v>19.79900393609814</v>
      </c>
      <c r="I65" s="50">
        <v>18.143691317936558</v>
      </c>
    </row>
    <row r="66" spans="1:9" ht="14.25">
      <c r="A66" s="43" t="str">
        <f>HLOOKUP(INDICE!$F$2,Nombres!$C$3:$D$636,34,FALSE)</f>
        <v>Comisiones netas</v>
      </c>
      <c r="B66" s="44">
        <v>29.485877105650715</v>
      </c>
      <c r="C66" s="44">
        <v>34.18109413853678</v>
      </c>
      <c r="D66" s="44">
        <v>39.447807291758096</v>
      </c>
      <c r="E66" s="45">
        <v>31.34671685713914</v>
      </c>
      <c r="F66" s="44">
        <v>41.216418625472386</v>
      </c>
      <c r="G66" s="44">
        <v>51.95396572969891</v>
      </c>
      <c r="H66" s="44">
        <v>50.09623286305697</v>
      </c>
      <c r="I66" s="44">
        <v>38.48357133177174</v>
      </c>
    </row>
    <row r="67" spans="1:9" ht="14.25">
      <c r="A67" s="43" t="str">
        <f>HLOOKUP(INDICE!$F$2,Nombres!$C$3:$D$636,35,FALSE)</f>
        <v>Resultados de operaciones financieras</v>
      </c>
      <c r="B67" s="44">
        <v>14.232204971103023</v>
      </c>
      <c r="C67" s="44">
        <v>16.893474507168747</v>
      </c>
      <c r="D67" s="44">
        <v>14.522518678813995</v>
      </c>
      <c r="E67" s="45">
        <v>8.499635367183153</v>
      </c>
      <c r="F67" s="44">
        <v>36.76798703967848</v>
      </c>
      <c r="G67" s="44">
        <v>6.337318716658846</v>
      </c>
      <c r="H67" s="44">
        <v>10.584674681428353</v>
      </c>
      <c r="I67" s="44">
        <v>5.339495112234319</v>
      </c>
    </row>
    <row r="68" spans="1:9" ht="14.25">
      <c r="A68" s="43" t="str">
        <f>HLOOKUP(INDICE!$F$2,Nombres!$C$3:$D$636,36,FALSE)</f>
        <v>Otros ingresos y cargas de explotación</v>
      </c>
      <c r="B68" s="44">
        <v>11.73660396626645</v>
      </c>
      <c r="C68" s="44">
        <v>11.707088780104963</v>
      </c>
      <c r="D68" s="44">
        <v>10.528503132145257</v>
      </c>
      <c r="E68" s="45">
        <v>14.217696483531256</v>
      </c>
      <c r="F68" s="44">
        <v>12.713803975378797</v>
      </c>
      <c r="G68" s="44">
        <v>10.24858366443859</v>
      </c>
      <c r="H68" s="44">
        <v>12.175286060500706</v>
      </c>
      <c r="I68" s="44">
        <v>12.079208299681904</v>
      </c>
    </row>
    <row r="69" spans="1:9" ht="14.25">
      <c r="A69" s="41" t="str">
        <f>HLOOKUP(INDICE!$F$2,Nombres!$C$3:$D$636,37,FALSE)</f>
        <v>Margen bruto</v>
      </c>
      <c r="B69" s="41">
        <f>+SUM(B65:B68)</f>
        <v>67.2585147032223</v>
      </c>
      <c r="C69" s="41">
        <f aca="true" t="shared" si="9" ref="C69:I69">+SUM(C65:C68)</f>
        <v>77.1976848375475</v>
      </c>
      <c r="D69" s="41">
        <f t="shared" si="9"/>
        <v>79.51804394218699</v>
      </c>
      <c r="E69" s="42">
        <f t="shared" si="9"/>
        <v>68.20127169667188</v>
      </c>
      <c r="F69" s="50">
        <f t="shared" si="9"/>
        <v>105.79954464314605</v>
      </c>
      <c r="G69" s="50">
        <f t="shared" si="9"/>
        <v>91.07551092414526</v>
      </c>
      <c r="H69" s="50">
        <f t="shared" si="9"/>
        <v>92.65519754108416</v>
      </c>
      <c r="I69" s="50">
        <f t="shared" si="9"/>
        <v>74.04596606162453</v>
      </c>
    </row>
    <row r="70" spans="1:9" ht="14.25">
      <c r="A70" s="43" t="str">
        <f>HLOOKUP(INDICE!$F$2,Nombres!$C$3:$D$636,38,FALSE)</f>
        <v>Gastos de explotación</v>
      </c>
      <c r="B70" s="44">
        <v>-44.15411126791483</v>
      </c>
      <c r="C70" s="44">
        <v>-48.29144634106989</v>
      </c>
      <c r="D70" s="44">
        <v>-50.45844814320846</v>
      </c>
      <c r="E70" s="45">
        <v>-50.46055630082577</v>
      </c>
      <c r="F70" s="44">
        <v>-51.84886798911349</v>
      </c>
      <c r="G70" s="44">
        <v>-43.226905689176604</v>
      </c>
      <c r="H70" s="44">
        <v>-48.26361594561263</v>
      </c>
      <c r="I70" s="44">
        <v>-50.08481013609728</v>
      </c>
    </row>
    <row r="71" spans="1:9" ht="14.25">
      <c r="A71" s="43" t="str">
        <f>HLOOKUP(INDICE!$F$2,Nombres!$C$3:$D$636,39,FALSE)</f>
        <v>  Gastos de administración</v>
      </c>
      <c r="B71" s="44">
        <v>-42.77915384809432</v>
      </c>
      <c r="C71" s="44">
        <v>-47.03653218638222</v>
      </c>
      <c r="D71" s="44">
        <v>-49.06564732480611</v>
      </c>
      <c r="E71" s="45">
        <v>-49.39722162821877</v>
      </c>
      <c r="F71" s="44">
        <v>-50.99491385268841</v>
      </c>
      <c r="G71" s="44">
        <v>-42.41752475069562</v>
      </c>
      <c r="H71" s="44">
        <v>-47.44276112469469</v>
      </c>
      <c r="I71" s="44">
        <v>-49.33139603192127</v>
      </c>
    </row>
    <row r="72" spans="1:9" ht="14.25">
      <c r="A72" s="46" t="str">
        <f>HLOOKUP(INDICE!$F$2,Nombres!$C$3:$D$636,40,FALSE)</f>
        <v>  Gastos de personal</v>
      </c>
      <c r="B72" s="44">
        <v>-31.033879672599078</v>
      </c>
      <c r="C72" s="44">
        <v>-32.87361178328331</v>
      </c>
      <c r="D72" s="44">
        <v>-33.46997714825066</v>
      </c>
      <c r="E72" s="45">
        <v>-31.4580855418735</v>
      </c>
      <c r="F72" s="44">
        <v>-36.86914173655307</v>
      </c>
      <c r="G72" s="44">
        <v>-27.598918722070174</v>
      </c>
      <c r="H72" s="44">
        <v>-31.657506848547747</v>
      </c>
      <c r="I72" s="44">
        <v>-32.37878669282901</v>
      </c>
    </row>
    <row r="73" spans="1:9" ht="14.25">
      <c r="A73" s="46" t="str">
        <f>HLOOKUP(INDICE!$F$2,Nombres!$C$3:$D$636,41,FALSE)</f>
        <v>  Otros gastos de administración</v>
      </c>
      <c r="B73" s="44">
        <v>-11.745274175495243</v>
      </c>
      <c r="C73" s="44">
        <v>-14.162920403098905</v>
      </c>
      <c r="D73" s="44">
        <v>-15.595670176555437</v>
      </c>
      <c r="E73" s="45">
        <v>-17.939136086345272</v>
      </c>
      <c r="F73" s="44">
        <v>-14.125772116135344</v>
      </c>
      <c r="G73" s="44">
        <v>-14.818606028625451</v>
      </c>
      <c r="H73" s="44">
        <v>-15.78525427614694</v>
      </c>
      <c r="I73" s="44">
        <v>-16.952609339092266</v>
      </c>
    </row>
    <row r="74" spans="1:9" ht="14.25">
      <c r="A74" s="43" t="str">
        <f>HLOOKUP(INDICE!$F$2,Nombres!$C$3:$D$636,42,FALSE)</f>
        <v>  Amortización</v>
      </c>
      <c r="B74" s="44">
        <v>-1.374957419820512</v>
      </c>
      <c r="C74" s="44">
        <v>-1.2549141546876736</v>
      </c>
      <c r="D74" s="44">
        <v>-1.3928008184023473</v>
      </c>
      <c r="E74" s="45">
        <v>-1.0633346726069977</v>
      </c>
      <c r="F74" s="44">
        <v>-0.8539541364250747</v>
      </c>
      <c r="G74" s="44">
        <v>-0.8093809384809753</v>
      </c>
      <c r="H74" s="44">
        <v>-0.8208548209179389</v>
      </c>
      <c r="I74" s="44">
        <v>-0.7534141041760112</v>
      </c>
    </row>
    <row r="75" spans="1:9" ht="14.25">
      <c r="A75" s="41" t="str">
        <f>HLOOKUP(INDICE!$F$2,Nombres!$C$3:$D$636,43,FALSE)</f>
        <v>Margen neto</v>
      </c>
      <c r="B75" s="41">
        <f>+B69+B70</f>
        <v>23.104403435307475</v>
      </c>
      <c r="C75" s="41">
        <f aca="true" t="shared" si="10" ref="C75:I75">+C69+C70</f>
        <v>28.906238496477606</v>
      </c>
      <c r="D75" s="41">
        <f t="shared" si="10"/>
        <v>29.059595798978535</v>
      </c>
      <c r="E75" s="42">
        <f t="shared" si="10"/>
        <v>17.74071539584611</v>
      </c>
      <c r="F75" s="50">
        <f t="shared" si="10"/>
        <v>53.95067665403256</v>
      </c>
      <c r="G75" s="50">
        <f t="shared" si="10"/>
        <v>47.84860523496866</v>
      </c>
      <c r="H75" s="50">
        <f t="shared" si="10"/>
        <v>44.391581595471536</v>
      </c>
      <c r="I75" s="50">
        <f t="shared" si="10"/>
        <v>23.961155925527244</v>
      </c>
    </row>
    <row r="76" spans="1:9" ht="14.25">
      <c r="A76" s="43" t="str">
        <f>HLOOKUP(INDICE!$F$2,Nombres!$C$3:$D$636,44,FALSE)</f>
        <v>Deterioro de activos financieros no valorados a valor razonable con cambios en resultados</v>
      </c>
      <c r="B76" s="44">
        <v>2.9211430319463387</v>
      </c>
      <c r="C76" s="44">
        <v>-2.1618639788938707</v>
      </c>
      <c r="D76" s="44">
        <v>-0.9550574341136292</v>
      </c>
      <c r="E76" s="45">
        <v>-26.821421267567594</v>
      </c>
      <c r="F76" s="44">
        <v>-13.747041669640396</v>
      </c>
      <c r="G76" s="44">
        <v>-22.739134077099493</v>
      </c>
      <c r="H76" s="44">
        <v>-12.8106793144997</v>
      </c>
      <c r="I76" s="44">
        <v>2.5578200612395854</v>
      </c>
    </row>
    <row r="77" spans="1:9" ht="14.25">
      <c r="A77" s="43" t="str">
        <f>HLOOKUP(INDICE!$F$2,Nombres!$C$3:$D$636,45,FALSE)</f>
        <v>Provisiones o reversión de provisiones y otros resultados</v>
      </c>
      <c r="B77" s="44">
        <v>-0.46134273816332294</v>
      </c>
      <c r="C77" s="44">
        <v>3.771993493605407</v>
      </c>
      <c r="D77" s="44">
        <v>2.9291872708025686</v>
      </c>
      <c r="E77" s="45">
        <v>-5.918140612667613</v>
      </c>
      <c r="F77" s="44">
        <v>10.315298548457177</v>
      </c>
      <c r="G77" s="44">
        <v>-8.833048736705084</v>
      </c>
      <c r="H77" s="44">
        <v>-4.276625297370765</v>
      </c>
      <c r="I77" s="44">
        <v>-2.808188514381329</v>
      </c>
    </row>
    <row r="78" spans="1:9" ht="14.25">
      <c r="A78" s="41" t="str">
        <f>HLOOKUP(INDICE!$F$2,Nombres!$C$3:$D$636,46,FALSE)</f>
        <v>Resultado antes de impuestos</v>
      </c>
      <c r="B78" s="41">
        <f>+B75+B76+B77</f>
        <v>25.56420372909049</v>
      </c>
      <c r="C78" s="41">
        <f aca="true" t="shared" si="11" ref="C78:I78">+C75+C76+C77</f>
        <v>30.516368011189144</v>
      </c>
      <c r="D78" s="41">
        <f t="shared" si="11"/>
        <v>31.033725635667473</v>
      </c>
      <c r="E78" s="42">
        <f t="shared" si="11"/>
        <v>-14.998846484389098</v>
      </c>
      <c r="F78" s="50">
        <f t="shared" si="11"/>
        <v>50.518933532849346</v>
      </c>
      <c r="G78" s="50">
        <f t="shared" si="11"/>
        <v>16.27642242116408</v>
      </c>
      <c r="H78" s="50">
        <f t="shared" si="11"/>
        <v>27.30427698360107</v>
      </c>
      <c r="I78" s="50">
        <f t="shared" si="11"/>
        <v>23.7107874723855</v>
      </c>
    </row>
    <row r="79" spans="1:9" ht="14.25">
      <c r="A79" s="43" t="str">
        <f>HLOOKUP(INDICE!$F$2,Nombres!$C$3:$D$636,47,FALSE)</f>
        <v>Impuesto sobre beneficios</v>
      </c>
      <c r="B79" s="44">
        <v>-4.267121768225442</v>
      </c>
      <c r="C79" s="44">
        <v>-7.056775024429679</v>
      </c>
      <c r="D79" s="44">
        <v>-6.939714302769108</v>
      </c>
      <c r="E79" s="45">
        <v>8.910606580303766</v>
      </c>
      <c r="F79" s="44">
        <v>-5.862185708877869</v>
      </c>
      <c r="G79" s="44">
        <v>-5.472830488812983</v>
      </c>
      <c r="H79" s="44">
        <v>-4.348301302497541</v>
      </c>
      <c r="I79" s="44">
        <v>-2.0678315298116052</v>
      </c>
    </row>
    <row r="80" spans="1:9" ht="14.25">
      <c r="A80" s="41" t="str">
        <f>HLOOKUP(INDICE!$F$2,Nombres!$C$3:$D$636,48,FALSE)</f>
        <v>Resultado del ejercicio</v>
      </c>
      <c r="B80" s="41">
        <f>+B78+B79</f>
        <v>21.29708196086505</v>
      </c>
      <c r="C80" s="41">
        <f aca="true" t="shared" si="12" ref="C80:I80">+C78+C79</f>
        <v>23.459592986759464</v>
      </c>
      <c r="D80" s="41">
        <f t="shared" si="12"/>
        <v>24.094011332898365</v>
      </c>
      <c r="E80" s="42">
        <f t="shared" si="12"/>
        <v>-6.0882399040853326</v>
      </c>
      <c r="F80" s="50">
        <f t="shared" si="12"/>
        <v>44.65674782397148</v>
      </c>
      <c r="G80" s="50">
        <f t="shared" si="12"/>
        <v>10.803591932351098</v>
      </c>
      <c r="H80" s="50">
        <f t="shared" si="12"/>
        <v>22.95597568110353</v>
      </c>
      <c r="I80" s="50">
        <f t="shared" si="12"/>
        <v>21.642955942573895</v>
      </c>
    </row>
    <row r="81" spans="1:9" ht="14.25">
      <c r="A81" s="43" t="str">
        <f>HLOOKUP(INDICE!$F$2,Nombres!$C$3:$D$636,49,FALSE)</f>
        <v>Minoritarios</v>
      </c>
      <c r="B81" s="44">
        <v>0</v>
      </c>
      <c r="C81" s="44">
        <v>0</v>
      </c>
      <c r="D81" s="44">
        <v>0</v>
      </c>
      <c r="E81" s="45">
        <v>0</v>
      </c>
      <c r="F81" s="44">
        <v>0</v>
      </c>
      <c r="G81" s="44">
        <v>0</v>
      </c>
      <c r="H81" s="44">
        <v>0</v>
      </c>
      <c r="I81" s="44">
        <v>0</v>
      </c>
    </row>
    <row r="82" spans="1:9" ht="14.25">
      <c r="A82" s="47" t="str">
        <f>HLOOKUP(INDICE!$F$2,Nombres!$C$3:$D$636,50,FALSE)</f>
        <v>Resultado atribuido</v>
      </c>
      <c r="B82" s="47">
        <f>+B80+B81</f>
        <v>21.29708196086505</v>
      </c>
      <c r="C82" s="47">
        <f aca="true" t="shared" si="13" ref="C82:I82">+C80+C81</f>
        <v>23.459592986759464</v>
      </c>
      <c r="D82" s="47">
        <f t="shared" si="13"/>
        <v>24.094011332898365</v>
      </c>
      <c r="E82" s="47">
        <f t="shared" si="13"/>
        <v>-6.0882399040853326</v>
      </c>
      <c r="F82" s="51">
        <f t="shared" si="13"/>
        <v>44.65674782397148</v>
      </c>
      <c r="G82" s="51">
        <f t="shared" si="13"/>
        <v>10.803591932351098</v>
      </c>
      <c r="H82" s="51">
        <f t="shared" si="13"/>
        <v>22.95597568110353</v>
      </c>
      <c r="I82" s="51">
        <f t="shared" si="13"/>
        <v>21.642955942573895</v>
      </c>
    </row>
    <row r="83" spans="1:9" ht="14.25">
      <c r="A83" s="63"/>
      <c r="B83" s="64">
        <v>0</v>
      </c>
      <c r="C83" s="64">
        <v>0</v>
      </c>
      <c r="D83" s="64">
        <v>0</v>
      </c>
      <c r="E83" s="64">
        <v>0</v>
      </c>
      <c r="F83" s="64">
        <v>0</v>
      </c>
      <c r="G83" s="64">
        <v>0</v>
      </c>
      <c r="H83" s="64">
        <v>0</v>
      </c>
      <c r="I83" s="64">
        <v>0</v>
      </c>
    </row>
    <row r="84" spans="1:9" ht="14.25">
      <c r="A84" s="41"/>
      <c r="B84" s="41"/>
      <c r="C84" s="41"/>
      <c r="D84" s="41"/>
      <c r="E84" s="41"/>
      <c r="F84" s="50"/>
      <c r="G84" s="50"/>
      <c r="H84" s="50"/>
      <c r="I84" s="50"/>
    </row>
    <row r="85" spans="1:9" ht="16.5">
      <c r="A85" s="33" t="str">
        <f>HLOOKUP(INDICE!$F$2,Nombres!$C$3:$D$636,51,FALSE)</f>
        <v>Balances</v>
      </c>
      <c r="B85" s="34"/>
      <c r="C85" s="34"/>
      <c r="D85" s="34"/>
      <c r="E85" s="34"/>
      <c r="F85" s="70"/>
      <c r="G85" s="70"/>
      <c r="H85" s="70"/>
      <c r="I85" s="70"/>
    </row>
    <row r="86" spans="1:9" ht="14.25">
      <c r="A86" s="35" t="str">
        <f>HLOOKUP(INDICE!$F$2,Nombres!$C$3:$D$636,73,FALSE)</f>
        <v>(Millones de euros constantes)</v>
      </c>
      <c r="B86" s="30"/>
      <c r="C86" s="52"/>
      <c r="D86" s="52"/>
      <c r="E86" s="52"/>
      <c r="F86" s="71"/>
      <c r="G86" s="44"/>
      <c r="H86" s="44"/>
      <c r="I86" s="44"/>
    </row>
    <row r="87" spans="1:9" ht="14.25">
      <c r="A87" s="30"/>
      <c r="B87" s="53">
        <f aca="true" t="shared" si="14" ref="B87:I87">+B$31</f>
        <v>43555</v>
      </c>
      <c r="C87" s="53">
        <f t="shared" si="14"/>
        <v>43646</v>
      </c>
      <c r="D87" s="53">
        <f t="shared" si="14"/>
        <v>43738</v>
      </c>
      <c r="E87" s="69">
        <f t="shared" si="14"/>
        <v>43830</v>
      </c>
      <c r="F87" s="53">
        <f t="shared" si="14"/>
        <v>43921</v>
      </c>
      <c r="G87" s="53">
        <f t="shared" si="14"/>
        <v>44012</v>
      </c>
      <c r="H87" s="53">
        <f t="shared" si="14"/>
        <v>44104</v>
      </c>
      <c r="I87" s="53">
        <f t="shared" si="14"/>
        <v>44196</v>
      </c>
    </row>
    <row r="88" spans="1:9" ht="14.25">
      <c r="A88" s="43" t="str">
        <f>HLOOKUP(INDICE!$F$2,Nombres!$C$3:$D$636,52,FALSE)</f>
        <v>Efectivo, saldos en efectivo en bancos centrales y otros depósitos a la vista</v>
      </c>
      <c r="B88" s="44">
        <v>1699.366898814104</v>
      </c>
      <c r="C88" s="44">
        <v>2835.149033903148</v>
      </c>
      <c r="D88" s="44">
        <v>2171.935548958256</v>
      </c>
      <c r="E88" s="45">
        <v>2391.881716840081</v>
      </c>
      <c r="F88" s="44">
        <v>5286.267389350214</v>
      </c>
      <c r="G88" s="44">
        <v>2742.4497188635337</v>
      </c>
      <c r="H88" s="44">
        <v>4540.8741276687615</v>
      </c>
      <c r="I88" s="44">
        <v>5854.481597</v>
      </c>
    </row>
    <row r="89" spans="1:9" ht="14.25">
      <c r="A89" s="43" t="str">
        <f>HLOOKUP(INDICE!$F$2,Nombres!$C$3:$D$636,53,FALSE)</f>
        <v>Activos financieros a valor razonable</v>
      </c>
      <c r="B89" s="58">
        <v>233.1818051569619</v>
      </c>
      <c r="C89" s="58">
        <v>1352.7898620187577</v>
      </c>
      <c r="D89" s="58">
        <v>223.2986953442851</v>
      </c>
      <c r="E89" s="66">
        <v>253.95211548374547</v>
      </c>
      <c r="F89" s="44">
        <v>384.8102495467691</v>
      </c>
      <c r="G89" s="44">
        <v>338.2788197007801</v>
      </c>
      <c r="H89" s="44">
        <v>320.1427600810903</v>
      </c>
      <c r="I89" s="44">
        <v>970.074611</v>
      </c>
    </row>
    <row r="90" spans="1:9" ht="14.25">
      <c r="A90" s="43" t="str">
        <f>HLOOKUP(INDICE!$F$2,Nombres!$C$3:$D$636,54,FALSE)</f>
        <v>Activos financieros a coste amortizado</v>
      </c>
      <c r="B90" s="44">
        <v>3625.7991968211054</v>
      </c>
      <c r="C90" s="44">
        <v>4663.311716773041</v>
      </c>
      <c r="D90" s="44">
        <v>4769.3811703057445</v>
      </c>
      <c r="E90" s="45">
        <v>6088.03301621391</v>
      </c>
      <c r="F90" s="44">
        <v>7856.008508737178</v>
      </c>
      <c r="G90" s="44">
        <v>7797.521309185103</v>
      </c>
      <c r="H90" s="44">
        <v>6160.116598984502</v>
      </c>
      <c r="I90" s="44">
        <v>5375.707239999999</v>
      </c>
    </row>
    <row r="91" spans="1:9" ht="14.25">
      <c r="A91" s="43" t="str">
        <f>HLOOKUP(INDICE!$F$2,Nombres!$C$3:$D$636,55,FALSE)</f>
        <v>    de los que préstamos y anticipos a la clientela</v>
      </c>
      <c r="B91" s="44">
        <v>3561.705187248919</v>
      </c>
      <c r="C91" s="44">
        <v>4581.284493149804</v>
      </c>
      <c r="D91" s="44">
        <v>4668.88452526738</v>
      </c>
      <c r="E91" s="45">
        <v>5927.995332633932</v>
      </c>
      <c r="F91" s="44">
        <v>7651.516388342886</v>
      </c>
      <c r="G91" s="44">
        <v>7550.755815179914</v>
      </c>
      <c r="H91" s="44">
        <v>5866.203404593924</v>
      </c>
      <c r="I91" s="44">
        <v>5108.644795999999</v>
      </c>
    </row>
    <row r="92" spans="1:9" ht="14.25">
      <c r="A92" s="43" t="str">
        <f>HLOOKUP(INDICE!$F$2,Nombres!$C$3:$D$636,121,FALSE)</f>
        <v>Posiciones inter-áreas activo</v>
      </c>
      <c r="B92" s="44">
        <v>0</v>
      </c>
      <c r="C92" s="44">
        <v>0</v>
      </c>
      <c r="D92" s="44">
        <v>0</v>
      </c>
      <c r="E92" s="45">
        <v>0</v>
      </c>
      <c r="F92" s="44">
        <v>0</v>
      </c>
      <c r="G92" s="44">
        <v>0</v>
      </c>
      <c r="H92" s="44">
        <v>0</v>
      </c>
      <c r="I92" s="44">
        <v>0</v>
      </c>
    </row>
    <row r="93" spans="1:9" ht="14.25">
      <c r="A93" s="43" t="str">
        <f>HLOOKUP(INDICE!$F$2,Nombres!$C$3:$D$636,56,FALSE)</f>
        <v>Activos tangibles</v>
      </c>
      <c r="B93" s="58">
        <v>23.522090775821766</v>
      </c>
      <c r="C93" s="58">
        <v>22.561203799217925</v>
      </c>
      <c r="D93" s="58">
        <v>24.55792860086297</v>
      </c>
      <c r="E93" s="66">
        <v>12.846345865875136</v>
      </c>
      <c r="F93" s="44">
        <v>12.270158405683354</v>
      </c>
      <c r="G93" s="44">
        <v>11.55707608459601</v>
      </c>
      <c r="H93" s="44">
        <v>10.862435473889967</v>
      </c>
      <c r="I93" s="44">
        <v>10.255092000000001</v>
      </c>
    </row>
    <row r="94" spans="1:9" ht="14.25">
      <c r="A94" s="43" t="str">
        <f>HLOOKUP(INDICE!$F$2,Nombres!$C$3:$D$636,57,FALSE)</f>
        <v>Otros activos</v>
      </c>
      <c r="B94" s="58">
        <f>+B95-B93-B90-B89-B88-B92</f>
        <v>292.12508315470245</v>
      </c>
      <c r="C94" s="58">
        <f aca="true" t="shared" si="15" ref="C94:I94">+C95-C93-C90-C89-C88-C92</f>
        <v>268.37606462899566</v>
      </c>
      <c r="D94" s="58">
        <f t="shared" si="15"/>
        <v>151.03781918622371</v>
      </c>
      <c r="E94" s="66">
        <f t="shared" si="15"/>
        <v>45.321113531298124</v>
      </c>
      <c r="F94" s="44">
        <f t="shared" si="15"/>
        <v>412.12086832244313</v>
      </c>
      <c r="G94" s="44">
        <f t="shared" si="15"/>
        <v>262.29619193364533</v>
      </c>
      <c r="H94" s="44">
        <f t="shared" si="15"/>
        <v>184.3152456505395</v>
      </c>
      <c r="I94" s="44">
        <f t="shared" si="15"/>
        <v>93.75015900000199</v>
      </c>
    </row>
    <row r="95" spans="1:9" ht="14.25">
      <c r="A95" s="47" t="str">
        <f>HLOOKUP(INDICE!$F$2,Nombres!$C$3:$D$636,58,FALSE)</f>
        <v>Total activo / pasivo</v>
      </c>
      <c r="B95" s="47">
        <v>5873.995074722696</v>
      </c>
      <c r="C95" s="47">
        <v>9142.18788112316</v>
      </c>
      <c r="D95" s="47">
        <v>7340.211162395372</v>
      </c>
      <c r="E95" s="72">
        <v>8792.03430793491</v>
      </c>
      <c r="F95" s="47">
        <v>13951.477174362288</v>
      </c>
      <c r="G95" s="51">
        <v>11152.103115767659</v>
      </c>
      <c r="H95" s="51">
        <v>11216.311167858783</v>
      </c>
      <c r="I95" s="51">
        <v>12304.268699</v>
      </c>
    </row>
    <row r="96" spans="1:9" ht="14.25">
      <c r="A96" s="43" t="str">
        <f>HLOOKUP(INDICE!$F$2,Nombres!$C$3:$D$636,59,FALSE)</f>
        <v>Pasivos financieros mantenidos para negociar y designados a valor razonable con cambios en resultados</v>
      </c>
      <c r="B96" s="58">
        <v>182.7637460554027</v>
      </c>
      <c r="C96" s="58">
        <v>1268.489188717417</v>
      </c>
      <c r="D96" s="58">
        <v>99.0046230951645</v>
      </c>
      <c r="E96" s="66">
        <v>148.98291124258688</v>
      </c>
      <c r="F96" s="44">
        <v>352.66534108255524</v>
      </c>
      <c r="G96" s="44">
        <v>222.40631879337417</v>
      </c>
      <c r="H96" s="44">
        <v>156.82002998952802</v>
      </c>
      <c r="I96" s="44">
        <v>802.5535749999999</v>
      </c>
    </row>
    <row r="97" spans="1:9" ht="14.25">
      <c r="A97" s="43" t="str">
        <f>HLOOKUP(INDICE!$F$2,Nombres!$C$3:$D$636,60,FALSE)</f>
        <v>Depósitos de bancos centrales y entidades de crédito</v>
      </c>
      <c r="B97" s="58">
        <v>634.7025218713177</v>
      </c>
      <c r="C97" s="58">
        <v>665.2572417297686</v>
      </c>
      <c r="D97" s="58">
        <v>677.1487856334629</v>
      </c>
      <c r="E97" s="66">
        <v>864.9255545533663</v>
      </c>
      <c r="F97" s="44">
        <v>582.7829597759489</v>
      </c>
      <c r="G97" s="44">
        <v>809.6250055866219</v>
      </c>
      <c r="H97" s="44">
        <v>929.7014085111955</v>
      </c>
      <c r="I97" s="44">
        <v>844.541025</v>
      </c>
    </row>
    <row r="98" spans="1:9" ht="14.25">
      <c r="A98" s="43" t="str">
        <f>HLOOKUP(INDICE!$F$2,Nombres!$C$3:$D$636,61,FALSE)</f>
        <v>Depósitos de la clientela</v>
      </c>
      <c r="B98" s="58">
        <v>2397.5199983009616</v>
      </c>
      <c r="C98" s="58">
        <v>2680.1559944262185</v>
      </c>
      <c r="D98" s="58">
        <v>2800.99224304976</v>
      </c>
      <c r="E98" s="66">
        <v>3566.2154469976936</v>
      </c>
      <c r="F98" s="44">
        <v>3762.4302887757353</v>
      </c>
      <c r="G98" s="44">
        <v>4394.712128493483</v>
      </c>
      <c r="H98" s="44">
        <v>4400.661413371856</v>
      </c>
      <c r="I98" s="44">
        <v>4755.518086</v>
      </c>
    </row>
    <row r="99" spans="1:9" ht="14.25">
      <c r="A99" s="43" t="str">
        <f>HLOOKUP(INDICE!$F$2,Nombres!$C$3:$D$636,62,FALSE)</f>
        <v>Valores representativos de deuda emitidos</v>
      </c>
      <c r="B99" s="44">
        <v>195.9748891119964</v>
      </c>
      <c r="C99" s="44">
        <v>233.99138541999076</v>
      </c>
      <c r="D99" s="44">
        <v>367.8102067648829</v>
      </c>
      <c r="E99" s="45">
        <v>357.8585542855028</v>
      </c>
      <c r="F99" s="44">
        <v>98.11542788074017</v>
      </c>
      <c r="G99" s="44">
        <v>105.53665443789168</v>
      </c>
      <c r="H99" s="44">
        <v>156.17629077442848</v>
      </c>
      <c r="I99" s="44">
        <v>105.05579954</v>
      </c>
    </row>
    <row r="100" spans="1:9" ht="14.25">
      <c r="A100" s="43" t="str">
        <f>HLOOKUP(INDICE!$F$2,Nombres!$C$3:$D$636,122,FALSE)</f>
        <v>Posiciones inter-áreas pasivo</v>
      </c>
      <c r="B100" s="44">
        <v>1587.5648600786944</v>
      </c>
      <c r="C100" s="44">
        <v>3480.466677054841</v>
      </c>
      <c r="D100" s="44">
        <v>2673.646791711083</v>
      </c>
      <c r="E100" s="45">
        <v>3178.110673756274</v>
      </c>
      <c r="F100" s="44">
        <v>8401.733163540475</v>
      </c>
      <c r="G100" s="44">
        <v>4557.3734854517415</v>
      </c>
      <c r="H100" s="44">
        <v>4730.340615222103</v>
      </c>
      <c r="I100" s="44">
        <v>4943.233813539999</v>
      </c>
    </row>
    <row r="101" spans="1:9" ht="14.25">
      <c r="A101" s="43" t="str">
        <f>HLOOKUP(INDICE!$F$2,Nombres!$C$3:$D$636,63,FALSE)</f>
        <v>Otros pasivos</v>
      </c>
      <c r="B101" s="44">
        <f>+B95-B96-B97-B98-B99-B102-B100</f>
        <v>493.40123557343213</v>
      </c>
      <c r="C101" s="44">
        <f aca="true" t="shared" si="16" ref="C101:I101">+C95-C96-C97-C98-C99-C102-C100</f>
        <v>378.42813935361255</v>
      </c>
      <c r="D101" s="44">
        <f t="shared" si="16"/>
        <v>302.287825751524</v>
      </c>
      <c r="E101" s="45">
        <f t="shared" si="16"/>
        <v>213.67473045639872</v>
      </c>
      <c r="F101" s="44">
        <f t="shared" si="16"/>
        <v>278.96093444566213</v>
      </c>
      <c r="G101" s="44">
        <f t="shared" si="16"/>
        <v>518.272487791146</v>
      </c>
      <c r="H101" s="44">
        <f t="shared" si="16"/>
        <v>301.4073121419351</v>
      </c>
      <c r="I101" s="44">
        <f t="shared" si="16"/>
        <v>305.09565490000114</v>
      </c>
    </row>
    <row r="102" spans="1:9" ht="14.25">
      <c r="A102" s="43" t="str">
        <f>HLOOKUP(INDICE!$F$2,Nombres!$C$3:$D$636,64,FALSE)</f>
        <v>Dotación de capital económico</v>
      </c>
      <c r="B102" s="44">
        <v>382.0678237308914</v>
      </c>
      <c r="C102" s="44">
        <v>435.39925442131204</v>
      </c>
      <c r="D102" s="44">
        <v>419.3206863894943</v>
      </c>
      <c r="E102" s="45">
        <v>462.2664366430881</v>
      </c>
      <c r="F102" s="44">
        <v>474.7890588611713</v>
      </c>
      <c r="G102" s="44">
        <v>544.1770352134021</v>
      </c>
      <c r="H102" s="44">
        <v>541.2040978477361</v>
      </c>
      <c r="I102" s="44">
        <v>548.2707450199999</v>
      </c>
    </row>
    <row r="103" spans="1:9" ht="14.25">
      <c r="A103" s="63"/>
      <c r="B103" s="58"/>
      <c r="C103" s="58"/>
      <c r="D103" s="58"/>
      <c r="E103" s="58"/>
      <c r="F103" s="44"/>
      <c r="G103" s="44"/>
      <c r="H103" s="44"/>
      <c r="I103" s="44"/>
    </row>
    <row r="104" spans="1:9" ht="14.25">
      <c r="A104" s="43"/>
      <c r="B104" s="58"/>
      <c r="C104" s="58"/>
      <c r="D104" s="58"/>
      <c r="E104" s="58"/>
      <c r="F104" s="44"/>
      <c r="G104" s="44"/>
      <c r="H104" s="44"/>
      <c r="I104" s="44"/>
    </row>
    <row r="105" spans="1:9" ht="16.5">
      <c r="A105" s="67" t="str">
        <f>HLOOKUP(INDICE!$F$2,Nombres!$C$3:$D$636,65,FALSE)</f>
        <v>Indicadores relevantes y de gestión</v>
      </c>
      <c r="B105" s="68"/>
      <c r="C105" s="68"/>
      <c r="D105" s="68"/>
      <c r="E105" s="68"/>
      <c r="F105" s="73"/>
      <c r="G105" s="73"/>
      <c r="H105" s="73"/>
      <c r="I105" s="73"/>
    </row>
    <row r="106" spans="1:9" ht="14.25">
      <c r="A106" s="35" t="str">
        <f>HLOOKUP(INDICE!$F$2,Nombres!$C$3:$D$636,73,FALSE)</f>
        <v>(Millones de euros constantes)</v>
      </c>
      <c r="B106" s="30"/>
      <c r="C106" s="30"/>
      <c r="D106" s="30"/>
      <c r="E106" s="30"/>
      <c r="F106" s="71"/>
      <c r="G106" s="71"/>
      <c r="H106" s="71"/>
      <c r="I106" s="71"/>
    </row>
    <row r="107" spans="1:9" ht="14.25">
      <c r="A107" s="30"/>
      <c r="B107" s="53">
        <f aca="true" t="shared" si="17" ref="B107:I107">+B$31</f>
        <v>43555</v>
      </c>
      <c r="C107" s="53">
        <f t="shared" si="17"/>
        <v>43646</v>
      </c>
      <c r="D107" s="53">
        <f t="shared" si="17"/>
        <v>43738</v>
      </c>
      <c r="E107" s="69">
        <f t="shared" si="17"/>
        <v>43830</v>
      </c>
      <c r="F107" s="53">
        <f t="shared" si="17"/>
        <v>43921</v>
      </c>
      <c r="G107" s="53">
        <f t="shared" si="17"/>
        <v>44012</v>
      </c>
      <c r="H107" s="53">
        <f t="shared" si="17"/>
        <v>44104</v>
      </c>
      <c r="I107" s="53">
        <f t="shared" si="17"/>
        <v>44196</v>
      </c>
    </row>
    <row r="108" spans="1:9" ht="14.25">
      <c r="A108" s="43" t="str">
        <f>HLOOKUP(INDICE!$F$2,Nombres!$C$3:$D$636,66,FALSE)</f>
        <v>Préstamos y anticipos a la clientela bruto (*)</v>
      </c>
      <c r="B108" s="44">
        <v>3569.787210069801</v>
      </c>
      <c r="C108" s="44">
        <v>4590.072411818216</v>
      </c>
      <c r="D108" s="44">
        <v>4678.44310527741</v>
      </c>
      <c r="E108" s="45">
        <v>5964.65581582621</v>
      </c>
      <c r="F108" s="44">
        <v>7672.948232335083</v>
      </c>
      <c r="G108" s="44">
        <v>7594.9768495008575</v>
      </c>
      <c r="H108" s="44">
        <v>5923.766312790855</v>
      </c>
      <c r="I108" s="44">
        <v>5160.942007</v>
      </c>
    </row>
    <row r="109" spans="1:9" ht="14.25">
      <c r="A109" s="43" t="str">
        <f>HLOOKUP(INDICE!$F$2,Nombres!$C$3:$D$636,67,FALSE)</f>
        <v>Depósitos de clientes en gestión (**)</v>
      </c>
      <c r="B109" s="44">
        <v>2397.5199983009616</v>
      </c>
      <c r="C109" s="44">
        <v>2680.155994426219</v>
      </c>
      <c r="D109" s="44">
        <v>2800.99224304976</v>
      </c>
      <c r="E109" s="45">
        <v>3566.2154469976936</v>
      </c>
      <c r="F109" s="44">
        <v>3762.4302887757353</v>
      </c>
      <c r="G109" s="44">
        <v>4394.712128493482</v>
      </c>
      <c r="H109" s="44">
        <v>4400.661413371856</v>
      </c>
      <c r="I109" s="44">
        <v>4755.518085999999</v>
      </c>
    </row>
    <row r="110" spans="1:9" ht="14.25">
      <c r="A110" s="43" t="str">
        <f>HLOOKUP(INDICE!$F$2,Nombres!$C$3:$D$636,68,FALSE)</f>
        <v>Fondos de inversión</v>
      </c>
      <c r="B110" s="44">
        <v>0</v>
      </c>
      <c r="C110" s="44">
        <v>0</v>
      </c>
      <c r="D110" s="44">
        <v>0</v>
      </c>
      <c r="E110" s="45">
        <v>0</v>
      </c>
      <c r="F110" s="44">
        <v>0</v>
      </c>
      <c r="G110" s="44">
        <v>0</v>
      </c>
      <c r="H110" s="44">
        <v>0</v>
      </c>
      <c r="I110" s="44">
        <v>0</v>
      </c>
    </row>
    <row r="111" spans="1:9" ht="14.25">
      <c r="A111" s="43" t="str">
        <f>HLOOKUP(INDICE!$F$2,Nombres!$C$3:$D$636,69,FALSE)</f>
        <v>Fondos de pensiones</v>
      </c>
      <c r="B111" s="44">
        <v>0</v>
      </c>
      <c r="C111" s="44">
        <v>0</v>
      </c>
      <c r="D111" s="44">
        <v>0</v>
      </c>
      <c r="E111" s="45">
        <v>0</v>
      </c>
      <c r="F111" s="44">
        <v>0</v>
      </c>
      <c r="G111" s="44">
        <v>0</v>
      </c>
      <c r="H111" s="44">
        <v>0</v>
      </c>
      <c r="I111" s="44">
        <v>0</v>
      </c>
    </row>
    <row r="112" spans="1:9" ht="14.25">
      <c r="A112" s="43" t="str">
        <f>HLOOKUP(INDICE!$F$2,Nombres!$C$3:$D$636,70,FALSE)</f>
        <v>Otros recursos fuera de balance</v>
      </c>
      <c r="B112" s="44">
        <v>0</v>
      </c>
      <c r="C112" s="44">
        <v>0</v>
      </c>
      <c r="D112" s="44">
        <v>0</v>
      </c>
      <c r="E112" s="45">
        <v>0</v>
      </c>
      <c r="F112" s="44">
        <v>0</v>
      </c>
      <c r="G112" s="44">
        <v>0</v>
      </c>
      <c r="H112" s="44">
        <v>0</v>
      </c>
      <c r="I112" s="44">
        <v>0</v>
      </c>
    </row>
    <row r="113" spans="1:9" ht="14.25">
      <c r="A113" s="63" t="str">
        <f>HLOOKUP(INDICE!$F$2,Nombres!$C$3:$D$636,71,FALSE)</f>
        <v>(*) No incluye las adquisiciones temporales de activos.</v>
      </c>
      <c r="B113" s="58"/>
      <c r="C113" s="58"/>
      <c r="D113" s="58"/>
      <c r="E113" s="58"/>
      <c r="F113" s="58"/>
      <c r="G113" s="58"/>
      <c r="H113" s="58"/>
      <c r="I113" s="58"/>
    </row>
    <row r="114" spans="1:9" ht="14.25">
      <c r="A114" s="63" t="str">
        <f>HLOOKUP(INDICE!$F$2,Nombres!$C$3:$D$636,72,FALSE)</f>
        <v>(**) No incluye las cesiones temporales de activos.</v>
      </c>
      <c r="B114" s="30"/>
      <c r="C114" s="30"/>
      <c r="D114" s="30"/>
      <c r="E114" s="30"/>
      <c r="F114" s="30"/>
      <c r="G114" s="30"/>
      <c r="H114" s="30"/>
      <c r="I114" s="30"/>
    </row>
    <row r="115" spans="1:9" ht="14.25">
      <c r="A115" s="63"/>
      <c r="B115" s="58"/>
      <c r="C115" s="44"/>
      <c r="D115" s="44"/>
      <c r="E115" s="44"/>
      <c r="F115" s="44"/>
      <c r="G115" s="30"/>
      <c r="H115" s="30"/>
      <c r="I115" s="30"/>
    </row>
    <row r="116" spans="1:9" ht="16.5">
      <c r="A116" s="33" t="str">
        <f>HLOOKUP(INDICE!$F$2,Nombres!$C$3:$D$636,31,FALSE)</f>
        <v>Cuenta de resultados  </v>
      </c>
      <c r="B116" s="34"/>
      <c r="C116" s="34"/>
      <c r="D116" s="34"/>
      <c r="E116" s="34"/>
      <c r="F116" s="34"/>
      <c r="G116" s="34"/>
      <c r="H116" s="34"/>
      <c r="I116" s="34"/>
    </row>
    <row r="117" spans="1:9" ht="14.25">
      <c r="A117" s="35" t="str">
        <f>HLOOKUP(INDICE!$F$2,Nombres!$C$3:$D$636,76,FALSE)</f>
        <v>(Millones de dolares)</v>
      </c>
      <c r="B117" s="30"/>
      <c r="C117" s="36"/>
      <c r="D117" s="36"/>
      <c r="E117" s="36"/>
      <c r="F117" s="30"/>
      <c r="G117" s="30"/>
      <c r="H117" s="30"/>
      <c r="I117" s="30"/>
    </row>
    <row r="118" spans="1:9" ht="14.25">
      <c r="A118" s="37"/>
      <c r="B118" s="30"/>
      <c r="C118" s="36"/>
      <c r="D118" s="36"/>
      <c r="E118" s="36"/>
      <c r="F118" s="30"/>
      <c r="G118" s="30"/>
      <c r="H118" s="30"/>
      <c r="I118" s="30"/>
    </row>
    <row r="119" spans="1:9" ht="14.25">
      <c r="A119" s="38"/>
      <c r="B119" s="308">
        <f>+B$7</f>
        <v>2019</v>
      </c>
      <c r="C119" s="308"/>
      <c r="D119" s="308"/>
      <c r="E119" s="309"/>
      <c r="F119" s="308">
        <f>+F$7</f>
        <v>2020</v>
      </c>
      <c r="G119" s="308"/>
      <c r="H119" s="308"/>
      <c r="I119" s="308"/>
    </row>
    <row r="120" spans="1:9" ht="14.25">
      <c r="A120" s="38"/>
      <c r="B120" s="39" t="str">
        <f>+B$8</f>
        <v>1er Trim.</v>
      </c>
      <c r="C120" s="39" t="str">
        <f aca="true" t="shared" si="18" ref="C120:I120">+C$8</f>
        <v>2º Trim.</v>
      </c>
      <c r="D120" s="39" t="str">
        <f t="shared" si="18"/>
        <v>3er Trim.</v>
      </c>
      <c r="E120" s="40" t="str">
        <f t="shared" si="18"/>
        <v>4º Trim.</v>
      </c>
      <c r="F120" s="39" t="str">
        <f t="shared" si="18"/>
        <v>1er Trim.</v>
      </c>
      <c r="G120" s="39" t="str">
        <f t="shared" si="18"/>
        <v>2º Trim.</v>
      </c>
      <c r="H120" s="39" t="str">
        <f t="shared" si="18"/>
        <v>3er Trim.</v>
      </c>
      <c r="I120" s="39" t="str">
        <f t="shared" si="18"/>
        <v>4º Trim.</v>
      </c>
    </row>
    <row r="121" spans="1:9" ht="14.25">
      <c r="A121" s="41" t="str">
        <f>HLOOKUP(INDICE!$F$2,Nombres!$C$3:$D$636,33,FALSE)</f>
        <v>Margen de intereses</v>
      </c>
      <c r="B121" s="41">
        <v>14.51376195475158</v>
      </c>
      <c r="C121" s="41">
        <v>17.617563965432357</v>
      </c>
      <c r="D121" s="41">
        <v>18.36330137215443</v>
      </c>
      <c r="E121" s="42">
        <v>17.169411016540998</v>
      </c>
      <c r="F121" s="50">
        <v>18.477037009874152</v>
      </c>
      <c r="G121" s="50">
        <v>27.77728989698472</v>
      </c>
      <c r="H121" s="50">
        <v>24.35505349693024</v>
      </c>
      <c r="I121" s="50">
        <v>22.306118368350614</v>
      </c>
    </row>
    <row r="122" spans="1:9" ht="14.25">
      <c r="A122" s="43" t="str">
        <f>HLOOKUP(INDICE!$F$2,Nombres!$C$3:$D$636,34,FALSE)</f>
        <v>Comisiones netas</v>
      </c>
      <c r="B122" s="44">
        <v>34.10678920949936</v>
      </c>
      <c r="C122" s="44">
        <v>39.50133781249163</v>
      </c>
      <c r="D122" s="44">
        <v>45.51533596155802</v>
      </c>
      <c r="E122" s="45">
        <v>36.25523785091952</v>
      </c>
      <c r="F122" s="44">
        <v>47.59538004522123</v>
      </c>
      <c r="G122" s="44">
        <v>60.26234405081351</v>
      </c>
      <c r="H122" s="44">
        <v>58.13549824792577</v>
      </c>
      <c r="I122" s="44">
        <v>44.53472204069285</v>
      </c>
    </row>
    <row r="123" spans="1:9" ht="14.25">
      <c r="A123" s="43" t="str">
        <f>HLOOKUP(INDICE!$F$2,Nombres!$C$3:$D$636,35,FALSE)</f>
        <v>Resultados de operaciones financieras</v>
      </c>
      <c r="B123" s="44">
        <v>16.885028648248138</v>
      </c>
      <c r="C123" s="44">
        <v>20.233903591912224</v>
      </c>
      <c r="D123" s="44">
        <v>17.032359964009363</v>
      </c>
      <c r="E123" s="45">
        <v>10.629163586064147</v>
      </c>
      <c r="F123" s="44">
        <v>42.83658450435434</v>
      </c>
      <c r="G123" s="44">
        <v>8.135724522614883</v>
      </c>
      <c r="H123" s="44">
        <v>12.395927860220255</v>
      </c>
      <c r="I123" s="44">
        <v>6.756123240187074</v>
      </c>
    </row>
    <row r="124" spans="1:9" ht="14.25">
      <c r="A124" s="43" t="str">
        <f>HLOOKUP(INDICE!$F$2,Nombres!$C$3:$D$636,36,FALSE)</f>
        <v>Otros ingresos y cargas de explotación</v>
      </c>
      <c r="B124" s="44">
        <v>13.561074656499798</v>
      </c>
      <c r="C124" s="44">
        <v>13.53208964949684</v>
      </c>
      <c r="D124" s="44">
        <v>12.182330062486775</v>
      </c>
      <c r="E124" s="45">
        <v>16.677617295940937</v>
      </c>
      <c r="F124" s="44">
        <v>14.723566486406481</v>
      </c>
      <c r="G124" s="44">
        <v>11.909980178801757</v>
      </c>
      <c r="H124" s="44">
        <v>14.111953422782324</v>
      </c>
      <c r="I124" s="44">
        <v>13.979651068195809</v>
      </c>
    </row>
    <row r="125" spans="1:9" ht="14.25">
      <c r="A125" s="41" t="str">
        <f>HLOOKUP(INDICE!$F$2,Nombres!$C$3:$D$636,37,FALSE)</f>
        <v>Margen bruto</v>
      </c>
      <c r="B125" s="41">
        <f>+SUM(B121:B124)</f>
        <v>79.06665446899888</v>
      </c>
      <c r="C125" s="41">
        <f aca="true" t="shared" si="19" ref="C125:I125">+SUM(C121:C124)</f>
        <v>90.88489501933304</v>
      </c>
      <c r="D125" s="41">
        <f t="shared" si="19"/>
        <v>93.09332736020859</v>
      </c>
      <c r="E125" s="42">
        <f t="shared" si="19"/>
        <v>80.7314297494656</v>
      </c>
      <c r="F125" s="50">
        <f t="shared" si="19"/>
        <v>123.63256804585622</v>
      </c>
      <c r="G125" s="50">
        <f t="shared" si="19"/>
        <v>108.08533864921486</v>
      </c>
      <c r="H125" s="50">
        <f t="shared" si="19"/>
        <v>108.99843302785858</v>
      </c>
      <c r="I125" s="50">
        <f t="shared" si="19"/>
        <v>87.57661471742635</v>
      </c>
    </row>
    <row r="126" spans="1:9" ht="14.25">
      <c r="A126" s="43" t="str">
        <f>HLOOKUP(INDICE!$F$2,Nombres!$C$3:$D$636,38,FALSE)</f>
        <v>Gastos de explotación</v>
      </c>
      <c r="B126" s="44">
        <v>-51.4422433234127</v>
      </c>
      <c r="C126" s="44">
        <v>-56.26648553741771</v>
      </c>
      <c r="D126" s="44">
        <v>-58.92004001261711</v>
      </c>
      <c r="E126" s="45">
        <v>-58.79940075546946</v>
      </c>
      <c r="F126" s="44">
        <v>-60.33615525095398</v>
      </c>
      <c r="G126" s="44">
        <v>-50.278385514109964</v>
      </c>
      <c r="H126" s="44">
        <v>-56.28148828997439</v>
      </c>
      <c r="I126" s="44">
        <v>-58.619076867392934</v>
      </c>
    </row>
    <row r="127" spans="1:9" ht="14.25">
      <c r="A127" s="43" t="str">
        <f>HLOOKUP(INDICE!$F$2,Nombres!$C$3:$D$636,39,FALSE)</f>
        <v>  Gastos de administración</v>
      </c>
      <c r="B127" s="44">
        <v>-49.79093756591294</v>
      </c>
      <c r="C127" s="44">
        <v>-54.75957103091734</v>
      </c>
      <c r="D127" s="44">
        <v>-57.24734106681789</v>
      </c>
      <c r="E127" s="45">
        <v>-57.5287434810664</v>
      </c>
      <c r="F127" s="44">
        <v>-59.32106575095358</v>
      </c>
      <c r="G127" s="44">
        <v>-49.31365962971009</v>
      </c>
      <c r="H127" s="44">
        <v>-55.30053303357477</v>
      </c>
      <c r="I127" s="44">
        <v>-57.71884995879449</v>
      </c>
    </row>
    <row r="128" spans="1:9" ht="14.25">
      <c r="A128" s="46" t="str">
        <f>HLOOKUP(INDICE!$F$2,Nombres!$C$3:$D$636,40,FALSE)</f>
        <v>  Gastos de personal</v>
      </c>
      <c r="B128" s="44">
        <v>-36.09122375599861</v>
      </c>
      <c r="C128" s="44">
        <v>-38.21444054599411</v>
      </c>
      <c r="D128" s="44">
        <v>-38.980878086164864</v>
      </c>
      <c r="E128" s="45">
        <v>-36.60134822476727</v>
      </c>
      <c r="F128" s="44">
        <v>-42.77908842721867</v>
      </c>
      <c r="G128" s="44">
        <v>-31.987729683004506</v>
      </c>
      <c r="H128" s="44">
        <v>-36.762247218551444</v>
      </c>
      <c r="I128" s="44">
        <v>-37.69322270358639</v>
      </c>
    </row>
    <row r="129" spans="1:9" ht="14.25">
      <c r="A129" s="46" t="str">
        <f>HLOOKUP(INDICE!$F$2,Nombres!$C$3:$D$636,41,FALSE)</f>
        <v>  Otros gastos de administración</v>
      </c>
      <c r="B129" s="44">
        <v>-13.699713809914329</v>
      </c>
      <c r="C129" s="44">
        <v>-16.54513048492323</v>
      </c>
      <c r="D129" s="44">
        <v>-18.266462980653017</v>
      </c>
      <c r="E129" s="45">
        <v>-20.92739525629913</v>
      </c>
      <c r="F129" s="44">
        <v>-16.541977323734912</v>
      </c>
      <c r="G129" s="44">
        <v>-17.32592994670558</v>
      </c>
      <c r="H129" s="44">
        <v>-18.538285815023322</v>
      </c>
      <c r="I129" s="44">
        <v>-20.0256272552081</v>
      </c>
    </row>
    <row r="130" spans="1:9" ht="14.25">
      <c r="A130" s="43" t="str">
        <f>HLOOKUP(INDICE!$F$2,Nombres!$C$3:$D$636,42,FALSE)</f>
        <v>  Amortización</v>
      </c>
      <c r="B130" s="44">
        <v>-1.6513057574997463</v>
      </c>
      <c r="C130" s="44">
        <v>-1.5069145065003764</v>
      </c>
      <c r="D130" s="44">
        <v>-1.6726989457992238</v>
      </c>
      <c r="E130" s="45">
        <v>-1.2706572744030704</v>
      </c>
      <c r="F130" s="44">
        <v>-1.015089500000394</v>
      </c>
      <c r="G130" s="44">
        <v>-0.9647258843998789</v>
      </c>
      <c r="H130" s="44">
        <v>-0.98095525639963</v>
      </c>
      <c r="I130" s="44">
        <v>-0.9002269085984371</v>
      </c>
    </row>
    <row r="131" spans="1:9" ht="14.25">
      <c r="A131" s="41" t="str">
        <f>HLOOKUP(INDICE!$F$2,Nombres!$C$3:$D$636,43,FALSE)</f>
        <v>Margen neto</v>
      </c>
      <c r="B131" s="41">
        <f>+B125+B126</f>
        <v>27.62441114558618</v>
      </c>
      <c r="C131" s="41">
        <f aca="true" t="shared" si="20" ref="C131:I131">+C125+C126</f>
        <v>34.618409481915336</v>
      </c>
      <c r="D131" s="41">
        <f t="shared" si="20"/>
        <v>34.17328734759148</v>
      </c>
      <c r="E131" s="42">
        <f t="shared" si="20"/>
        <v>21.93202899399614</v>
      </c>
      <c r="F131" s="50">
        <f t="shared" si="20"/>
        <v>63.29641279490224</v>
      </c>
      <c r="G131" s="50">
        <f t="shared" si="20"/>
        <v>57.8069531351049</v>
      </c>
      <c r="H131" s="50">
        <f t="shared" si="20"/>
        <v>52.71694473788419</v>
      </c>
      <c r="I131" s="50">
        <f t="shared" si="20"/>
        <v>28.957537850033418</v>
      </c>
    </row>
    <row r="132" spans="1:9" ht="14.25">
      <c r="A132" s="43" t="str">
        <f>HLOOKUP(INDICE!$F$2,Nombres!$C$3:$D$636,44,FALSE)</f>
        <v>Deterioro de activos financieros no valorados a valor razonable con cambios en resultados</v>
      </c>
      <c r="B132" s="44">
        <v>3.5845346144991805</v>
      </c>
      <c r="C132" s="44">
        <v>-2.6528232884990626</v>
      </c>
      <c r="D132" s="44">
        <v>-1.171950977400125</v>
      </c>
      <c r="E132" s="45">
        <v>-32.91256603741226</v>
      </c>
      <c r="F132" s="44">
        <v>-16.868994832805512</v>
      </c>
      <c r="G132" s="44">
        <v>-27.903191425991874</v>
      </c>
      <c r="H132" s="44">
        <v>-15.719984586813066</v>
      </c>
      <c r="I132" s="44">
        <v>3.1387009971451922</v>
      </c>
    </row>
    <row r="133" spans="1:9" ht="14.25">
      <c r="A133" s="43" t="str">
        <f>HLOOKUP(INDICE!$F$2,Nombres!$C$3:$D$636,45,FALSE)</f>
        <v>Provisiones o reversión de provisiones y otros resultados</v>
      </c>
      <c r="B133" s="44">
        <v>-0.5661136739998706</v>
      </c>
      <c r="C133" s="44">
        <v>4.628613216000392</v>
      </c>
      <c r="D133" s="44">
        <v>3.594405699999654</v>
      </c>
      <c r="E133" s="45">
        <v>-7.262150345800029</v>
      </c>
      <c r="F133" s="44">
        <v>12.657902848804136</v>
      </c>
      <c r="G133" s="44">
        <v>-10.839034104804242</v>
      </c>
      <c r="H133" s="44">
        <v>-5.247846902400487</v>
      </c>
      <c r="I133" s="44">
        <v>-3.445928125995242</v>
      </c>
    </row>
    <row r="134" spans="1:9" ht="14.25">
      <c r="A134" s="41" t="str">
        <f>HLOOKUP(INDICE!$F$2,Nombres!$C$3:$D$636,46,FALSE)</f>
        <v>Resultado antes de impuestos</v>
      </c>
      <c r="B134" s="41">
        <f>+B131+B132+B133</f>
        <v>30.64283208608549</v>
      </c>
      <c r="C134" s="41">
        <f aca="true" t="shared" si="21" ref="C134:I134">+C131+C132+C133</f>
        <v>36.59419940941666</v>
      </c>
      <c r="D134" s="41">
        <f t="shared" si="21"/>
        <v>36.595742070191015</v>
      </c>
      <c r="E134" s="42">
        <f t="shared" si="21"/>
        <v>-18.24268738921615</v>
      </c>
      <c r="F134" s="50">
        <f t="shared" si="21"/>
        <v>59.08532081090086</v>
      </c>
      <c r="G134" s="50">
        <f t="shared" si="21"/>
        <v>19.064727604308782</v>
      </c>
      <c r="H134" s="50">
        <f t="shared" si="21"/>
        <v>31.749113248670636</v>
      </c>
      <c r="I134" s="50">
        <f t="shared" si="21"/>
        <v>28.65031072118337</v>
      </c>
    </row>
    <row r="135" spans="1:9" ht="14.25">
      <c r="A135" s="43" t="str">
        <f>HLOOKUP(INDICE!$F$2,Nombres!$C$3:$D$636,47,FALSE)</f>
        <v>Impuesto sobre beneficios</v>
      </c>
      <c r="B135" s="44">
        <v>-5.208174524908907</v>
      </c>
      <c r="C135" s="44">
        <v>-8.546042865552277</v>
      </c>
      <c r="D135" s="44">
        <v>-8.320832079387882</v>
      </c>
      <c r="E135" s="45">
        <v>10.95905824357054</v>
      </c>
      <c r="F135" s="44">
        <v>-7.004036499858651</v>
      </c>
      <c r="G135" s="44">
        <v>-6.418350902495658</v>
      </c>
      <c r="H135" s="44">
        <v>-5.052304859087537</v>
      </c>
      <c r="I135" s="44">
        <v>-2.398050244264038</v>
      </c>
    </row>
    <row r="136" spans="1:9" ht="14.25">
      <c r="A136" s="41" t="str">
        <f>HLOOKUP(INDICE!$F$2,Nombres!$C$3:$D$636,48,FALSE)</f>
        <v>Resultado del ejercicio</v>
      </c>
      <c r="B136" s="41">
        <f>+B134+B135</f>
        <v>25.434657561176586</v>
      </c>
      <c r="C136" s="41">
        <f aca="true" t="shared" si="22" ref="C136:I136">+C134+C135</f>
        <v>28.048156543864383</v>
      </c>
      <c r="D136" s="41">
        <f t="shared" si="22"/>
        <v>28.27490999080313</v>
      </c>
      <c r="E136" s="42">
        <f t="shared" si="22"/>
        <v>-7.283629145645611</v>
      </c>
      <c r="F136" s="50">
        <f t="shared" si="22"/>
        <v>52.08128431104221</v>
      </c>
      <c r="G136" s="50">
        <f t="shared" si="22"/>
        <v>12.646376701813125</v>
      </c>
      <c r="H136" s="50">
        <f t="shared" si="22"/>
        <v>26.696808389583097</v>
      </c>
      <c r="I136" s="50">
        <f t="shared" si="22"/>
        <v>26.252260476919332</v>
      </c>
    </row>
    <row r="137" spans="1:9" ht="14.25">
      <c r="A137" s="43" t="str">
        <f>HLOOKUP(INDICE!$F$2,Nombres!$C$3:$D$636,49,FALSE)</f>
        <v>Minoritarios</v>
      </c>
      <c r="B137" s="44">
        <v>0</v>
      </c>
      <c r="C137" s="44">
        <v>0</v>
      </c>
      <c r="D137" s="44">
        <v>0</v>
      </c>
      <c r="E137" s="45">
        <v>0</v>
      </c>
      <c r="F137" s="44">
        <v>0</v>
      </c>
      <c r="G137" s="44">
        <v>0</v>
      </c>
      <c r="H137" s="44">
        <v>0</v>
      </c>
      <c r="I137" s="44">
        <v>0</v>
      </c>
    </row>
    <row r="138" spans="1:9" ht="14.25">
      <c r="A138" s="47" t="str">
        <f>HLOOKUP(INDICE!$F$2,Nombres!$C$3:$D$636,50,FALSE)</f>
        <v>Resultado atribuido</v>
      </c>
      <c r="B138" s="47">
        <f>+B136+B137</f>
        <v>25.434657561176586</v>
      </c>
      <c r="C138" s="47">
        <f aca="true" t="shared" si="23" ref="C138:I138">+C136+C137</f>
        <v>28.048156543864383</v>
      </c>
      <c r="D138" s="47">
        <f t="shared" si="23"/>
        <v>28.27490999080313</v>
      </c>
      <c r="E138" s="72">
        <f t="shared" si="23"/>
        <v>-7.283629145645611</v>
      </c>
      <c r="F138" s="51">
        <f t="shared" si="23"/>
        <v>52.08128431104221</v>
      </c>
      <c r="G138" s="51">
        <f t="shared" si="23"/>
        <v>12.646376701813125</v>
      </c>
      <c r="H138" s="51">
        <f t="shared" si="23"/>
        <v>26.696808389583097</v>
      </c>
      <c r="I138" s="51">
        <f t="shared" si="23"/>
        <v>26.252260476919332</v>
      </c>
    </row>
    <row r="139" spans="1:9" ht="14.25">
      <c r="A139" s="63"/>
      <c r="B139" s="64">
        <v>0</v>
      </c>
      <c r="C139" s="64">
        <v>0</v>
      </c>
      <c r="D139" s="64">
        <v>0</v>
      </c>
      <c r="E139" s="64">
        <v>1.2434497875801753E-14</v>
      </c>
      <c r="F139" s="64">
        <v>0</v>
      </c>
      <c r="G139" s="64">
        <v>-1.4210854715202004E-14</v>
      </c>
      <c r="H139" s="64">
        <v>0</v>
      </c>
      <c r="I139" s="64">
        <v>0</v>
      </c>
    </row>
    <row r="140" spans="1:9" ht="14.25">
      <c r="A140" s="41"/>
      <c r="B140" s="41"/>
      <c r="C140" s="41"/>
      <c r="D140" s="41"/>
      <c r="E140" s="41"/>
      <c r="F140" s="50"/>
      <c r="G140" s="50"/>
      <c r="H140" s="50"/>
      <c r="I140" s="50"/>
    </row>
    <row r="141" spans="1:9" ht="16.5">
      <c r="A141" s="33" t="str">
        <f>HLOOKUP(INDICE!$F$2,Nombres!$C$3:$D$636,51,FALSE)</f>
        <v>Balances</v>
      </c>
      <c r="B141" s="34"/>
      <c r="C141" s="34"/>
      <c r="D141" s="34"/>
      <c r="E141" s="34"/>
      <c r="F141" s="70"/>
      <c r="G141" s="70"/>
      <c r="H141" s="70"/>
      <c r="I141" s="70"/>
    </row>
    <row r="142" spans="1:9" ht="14.25">
      <c r="A142" s="35" t="str">
        <f>HLOOKUP(INDICE!$F$2,Nombres!$C$3:$D$636,76,FALSE)</f>
        <v>(Millones de dolares)</v>
      </c>
      <c r="B142" s="30"/>
      <c r="C142" s="52"/>
      <c r="D142" s="52"/>
      <c r="E142" s="52"/>
      <c r="F142" s="71"/>
      <c r="G142" s="44"/>
      <c r="H142" s="44"/>
      <c r="I142" s="44"/>
    </row>
    <row r="143" spans="1:9" ht="14.25">
      <c r="A143" s="30"/>
      <c r="B143" s="53">
        <f aca="true" t="shared" si="24" ref="B143:I143">+B$31</f>
        <v>43555</v>
      </c>
      <c r="C143" s="53">
        <f t="shared" si="24"/>
        <v>43646</v>
      </c>
      <c r="D143" s="53">
        <f t="shared" si="24"/>
        <v>43738</v>
      </c>
      <c r="E143" s="69">
        <f t="shared" si="24"/>
        <v>43830</v>
      </c>
      <c r="F143" s="53">
        <f t="shared" si="24"/>
        <v>43921</v>
      </c>
      <c r="G143" s="53">
        <f t="shared" si="24"/>
        <v>44012</v>
      </c>
      <c r="H143" s="53">
        <f t="shared" si="24"/>
        <v>44104</v>
      </c>
      <c r="I143" s="53">
        <f t="shared" si="24"/>
        <v>44196</v>
      </c>
    </row>
    <row r="144" spans="1:9" ht="14.25">
      <c r="A144" s="43" t="str">
        <f>HLOOKUP(INDICE!$F$2,Nombres!$C$3:$D$636,52,FALSE)</f>
        <v>Efectivo, saldos en efectivo en bancos centrales y otros depósitos a la vista</v>
      </c>
      <c r="B144" s="44">
        <v>2085.293121533524</v>
      </c>
      <c r="C144" s="44">
        <v>3479.011379500445</v>
      </c>
      <c r="D144" s="44">
        <v>2665.182112125061</v>
      </c>
      <c r="E144" s="45">
        <v>2935.0780547326863</v>
      </c>
      <c r="F144" s="44">
        <v>6486.77871346772</v>
      </c>
      <c r="G144" s="44">
        <v>3365.260050015404</v>
      </c>
      <c r="H144" s="44">
        <v>5572.106642058961</v>
      </c>
      <c r="I144" s="44">
        <v>7184.034367674349</v>
      </c>
    </row>
    <row r="145" spans="1:9" ht="14.25">
      <c r="A145" s="43" t="str">
        <f>HLOOKUP(INDICE!$F$2,Nombres!$C$3:$D$636,53,FALSE)</f>
        <v>Activos financieros a valor razonable</v>
      </c>
      <c r="B145" s="58">
        <v>286.1373931079346</v>
      </c>
      <c r="C145" s="58">
        <v>1660.0084396822126</v>
      </c>
      <c r="D145" s="58">
        <v>274.0098290568063</v>
      </c>
      <c r="E145" s="66">
        <v>311.6246409099153</v>
      </c>
      <c r="F145" s="44">
        <v>472.20065721855434</v>
      </c>
      <c r="G145" s="44">
        <v>415.10193965457586</v>
      </c>
      <c r="H145" s="44">
        <v>392.8471808952679</v>
      </c>
      <c r="I145" s="44">
        <v>1190.3785551573787</v>
      </c>
    </row>
    <row r="146" spans="1:9" ht="14.25">
      <c r="A146" s="43" t="str">
        <f>HLOOKUP(INDICE!$F$2,Nombres!$C$3:$D$636,54,FALSE)</f>
        <v>Activos financieros a coste amortizado</v>
      </c>
      <c r="B146" s="44">
        <v>4449.218194416484</v>
      </c>
      <c r="C146" s="44">
        <v>5722.349807648733</v>
      </c>
      <c r="D146" s="44">
        <v>5852.507634078634</v>
      </c>
      <c r="E146" s="45">
        <v>7470.625314191565</v>
      </c>
      <c r="F146" s="44">
        <v>9640.108041065549</v>
      </c>
      <c r="G146" s="44">
        <v>9568.338398495243</v>
      </c>
      <c r="H146" s="44">
        <v>7559.079078609307</v>
      </c>
      <c r="I146" s="44">
        <v>6596.530354200005</v>
      </c>
    </row>
    <row r="147" spans="1:9" ht="14.25">
      <c r="A147" s="43" t="str">
        <f>HLOOKUP(INDICE!$F$2,Nombres!$C$3:$D$636,55,FALSE)</f>
        <v>    de los que préstamos y anticipos a la clientela</v>
      </c>
      <c r="B147" s="44">
        <v>4370.568435270501</v>
      </c>
      <c r="C147" s="44">
        <v>5621.69420154072</v>
      </c>
      <c r="D147" s="44">
        <v>5729.188200952131</v>
      </c>
      <c r="E147" s="45">
        <v>7274.2430726706925</v>
      </c>
      <c r="F147" s="44">
        <v>9389.175760129865</v>
      </c>
      <c r="G147" s="44">
        <v>9265.532460801662</v>
      </c>
      <c r="H147" s="44">
        <v>7198.418197772844</v>
      </c>
      <c r="I147" s="44">
        <v>6268.818029167802</v>
      </c>
    </row>
    <row r="148" spans="1:9" ht="14.25">
      <c r="A148" s="43" t="str">
        <f>HLOOKUP(INDICE!$F$2,Nombres!$C$3:$D$636,121,FALSE)</f>
        <v>Posiciones inter-áreas activo</v>
      </c>
      <c r="B148" s="44">
        <v>0</v>
      </c>
      <c r="C148" s="44">
        <v>0</v>
      </c>
      <c r="D148" s="44">
        <v>0</v>
      </c>
      <c r="E148" s="45">
        <v>0</v>
      </c>
      <c r="F148" s="44">
        <v>0</v>
      </c>
      <c r="G148" s="44">
        <v>0</v>
      </c>
      <c r="H148" s="44">
        <v>0</v>
      </c>
      <c r="I148" s="44">
        <v>0</v>
      </c>
    </row>
    <row r="149" spans="1:9" ht="14.25">
      <c r="A149" s="43" t="str">
        <f>HLOOKUP(INDICE!$F$2,Nombres!$C$3:$D$636,56,FALSE)</f>
        <v>Activos tangibles</v>
      </c>
      <c r="B149" s="58">
        <v>28.863957590993405</v>
      </c>
      <c r="C149" s="58">
        <v>27.684853182003543</v>
      </c>
      <c r="D149" s="58">
        <v>30.135034186100693</v>
      </c>
      <c r="E149" s="66">
        <v>15.763751012005834</v>
      </c>
      <c r="F149" s="44">
        <v>15.05671137960492</v>
      </c>
      <c r="G149" s="44">
        <v>14.181688063399173</v>
      </c>
      <c r="H149" s="44">
        <v>13.329294570002302</v>
      </c>
      <c r="I149" s="44">
        <v>12.584023393192378</v>
      </c>
    </row>
    <row r="150" spans="1:9" ht="14.25">
      <c r="A150" s="43" t="str">
        <f>HLOOKUP(INDICE!$F$2,Nombres!$C$3:$D$636,57,FALSE)</f>
        <v>Otros activos</v>
      </c>
      <c r="B150" s="58">
        <f>+B151-B149-B146-B145-B144-B148</f>
        <v>358.4666895389187</v>
      </c>
      <c r="C150" s="58">
        <f aca="true" t="shared" si="25" ref="C150:I150">+C151-C149-C146-C145-C144-C148</f>
        <v>329.32426890604256</v>
      </c>
      <c r="D150" s="58">
        <f t="shared" si="25"/>
        <v>185.33850792330395</v>
      </c>
      <c r="E150" s="66">
        <f t="shared" si="25"/>
        <v>55.6135384142226</v>
      </c>
      <c r="F150" s="44">
        <f t="shared" si="25"/>
        <v>505.7135175181702</v>
      </c>
      <c r="G150" s="44">
        <f t="shared" si="25"/>
        <v>321.8636571215816</v>
      </c>
      <c r="H150" s="44">
        <f t="shared" si="25"/>
        <v>226.173237937639</v>
      </c>
      <c r="I150" s="44">
        <f t="shared" si="25"/>
        <v>115.0408201088303</v>
      </c>
    </row>
    <row r="151" spans="1:9" ht="14.25">
      <c r="A151" s="47" t="str">
        <f>HLOOKUP(INDICE!$F$2,Nombres!$C$3:$D$636,58,FALSE)</f>
        <v>Total activo / pasivo</v>
      </c>
      <c r="B151" s="47">
        <v>7207.979356187855</v>
      </c>
      <c r="C151" s="47">
        <v>11218.378748919436</v>
      </c>
      <c r="D151" s="47">
        <v>9007.173117369905</v>
      </c>
      <c r="E151" s="72">
        <v>10788.705299260395</v>
      </c>
      <c r="F151" s="47">
        <v>17119.8576406496</v>
      </c>
      <c r="G151" s="51">
        <v>13684.745733350204</v>
      </c>
      <c r="H151" s="51">
        <v>13763.535434071178</v>
      </c>
      <c r="I151" s="51">
        <v>15098.568120533755</v>
      </c>
    </row>
    <row r="152" spans="1:9" ht="14.25">
      <c r="A152" s="43" t="str">
        <f>HLOOKUP(INDICE!$F$2,Nombres!$C$3:$D$636,59,FALSE)</f>
        <v>Pasivos financieros mantenidos para negociar y designados a valor razonable con cambios en resultados</v>
      </c>
      <c r="B152" s="58">
        <v>224.26939278444877</v>
      </c>
      <c r="C152" s="58">
        <v>1556.5630834741994</v>
      </c>
      <c r="D152" s="58">
        <v>121.48857300000277</v>
      </c>
      <c r="E152" s="66">
        <v>182.81693038566763</v>
      </c>
      <c r="F152" s="44">
        <v>432.7556400421414</v>
      </c>
      <c r="G152" s="44">
        <v>272.91479379118414</v>
      </c>
      <c r="H152" s="44">
        <v>192.43385880003328</v>
      </c>
      <c r="I152" s="44">
        <v>984.8134918819035</v>
      </c>
    </row>
    <row r="153" spans="1:9" ht="14.25">
      <c r="A153" s="43" t="str">
        <f>HLOOKUP(INDICE!$F$2,Nombres!$C$3:$D$636,60,FALSE)</f>
        <v>Depósitos de bancos centrales y entidades de crédito</v>
      </c>
      <c r="B153" s="58">
        <v>778.8434645878219</v>
      </c>
      <c r="C153" s="58">
        <v>816.3371613261045</v>
      </c>
      <c r="D153" s="58">
        <v>830.9292748503191</v>
      </c>
      <c r="E153" s="66">
        <v>1061.3501479917927</v>
      </c>
      <c r="F153" s="44">
        <v>715.1329699406338</v>
      </c>
      <c r="G153" s="44">
        <v>993.4908443547422</v>
      </c>
      <c r="H153" s="44">
        <v>1140.8365983833971</v>
      </c>
      <c r="I153" s="44">
        <v>1036.3362917768723</v>
      </c>
    </row>
    <row r="154" spans="1:9" ht="14.25">
      <c r="A154" s="43" t="str">
        <f>HLOOKUP(INDICE!$F$2,Nombres!$C$3:$D$636,61,FALSE)</f>
        <v>Depósitos de la clientela</v>
      </c>
      <c r="B154" s="58">
        <v>2941.996789913328</v>
      </c>
      <c r="C154" s="58">
        <v>3288.819420758421</v>
      </c>
      <c r="D154" s="58">
        <v>3437.097581444278</v>
      </c>
      <c r="E154" s="66">
        <v>4376.102975008219</v>
      </c>
      <c r="F154" s="44">
        <v>4616.878207353909</v>
      </c>
      <c r="G154" s="44">
        <v>5392.751252871086</v>
      </c>
      <c r="H154" s="44">
        <v>5400.051620345333</v>
      </c>
      <c r="I154" s="44">
        <v>5835.496243327066</v>
      </c>
    </row>
    <row r="155" spans="1:9" ht="14.25">
      <c r="A155" s="43" t="str">
        <f>HLOOKUP(INDICE!$F$2,Nombres!$C$3:$D$636,62,FALSE)</f>
        <v>Valores representativos de deuda emitidos</v>
      </c>
      <c r="B155" s="44">
        <v>240.48078642918506</v>
      </c>
      <c r="C155" s="44">
        <v>287.1308290486968</v>
      </c>
      <c r="D155" s="44">
        <v>451.3399047209143</v>
      </c>
      <c r="E155" s="45">
        <v>439.1282319634745</v>
      </c>
      <c r="F155" s="44">
        <v>120.39744155238336</v>
      </c>
      <c r="G155" s="44">
        <v>129.50402866065846</v>
      </c>
      <c r="H155" s="44">
        <v>191.6439264091851</v>
      </c>
      <c r="I155" s="44">
        <v>128.91397161545592</v>
      </c>
    </row>
    <row r="156" spans="1:9" ht="14.25">
      <c r="A156" s="43" t="str">
        <f>HLOOKUP(INDICE!$F$2,Nombres!$C$3:$D$636,122,FALSE)</f>
        <v>Posiciones inter-áreas pasivo</v>
      </c>
      <c r="B156" s="44">
        <v>1948.1008398013864</v>
      </c>
      <c r="C156" s="44">
        <v>4270.880659411408</v>
      </c>
      <c r="D156" s="44">
        <v>3280.831978106683</v>
      </c>
      <c r="E156" s="45">
        <v>3899.859607763965</v>
      </c>
      <c r="F156" s="44">
        <v>10309.766764974276</v>
      </c>
      <c r="G156" s="44">
        <v>5592.3530039944435</v>
      </c>
      <c r="H156" s="44">
        <v>5804.600968935527</v>
      </c>
      <c r="I156" s="44">
        <v>6065.84221259126</v>
      </c>
    </row>
    <row r="157" spans="1:9" ht="14.25">
      <c r="A157" s="43" t="str">
        <f>HLOOKUP(INDICE!$F$2,Nombres!$C$3:$D$636,63,FALSE)</f>
        <v>Otros pasivos</v>
      </c>
      <c r="B157" s="44">
        <f>+B151-B152-B153-B154-B155-B158-B156</f>
        <v>605.4526561717926</v>
      </c>
      <c r="C157" s="44">
        <f aca="true" t="shared" si="26" ref="C157:I157">+C151-C152-C153-C154-C155-C158-C156</f>
        <v>464.36916980053957</v>
      </c>
      <c r="D157" s="44">
        <f t="shared" si="26"/>
        <v>370.9373909794708</v>
      </c>
      <c r="E157" s="45">
        <f t="shared" si="26"/>
        <v>262.20026174288614</v>
      </c>
      <c r="F157" s="44">
        <f t="shared" si="26"/>
        <v>342.3129626580667</v>
      </c>
      <c r="G157" s="44">
        <f t="shared" si="26"/>
        <v>635.9721697681289</v>
      </c>
      <c r="H157" s="44">
        <f t="shared" si="26"/>
        <v>369.85691272914846</v>
      </c>
      <c r="I157" s="44">
        <f t="shared" si="26"/>
        <v>374.38287812756334</v>
      </c>
    </row>
    <row r="158" spans="1:9" ht="14.25">
      <c r="A158" s="43" t="str">
        <f>HLOOKUP(INDICE!$F$2,Nombres!$C$3:$D$636,64,FALSE)</f>
        <v>Dotación de capital económico</v>
      </c>
      <c r="B158" s="44">
        <v>468.83542649989295</v>
      </c>
      <c r="C158" s="44">
        <v>534.2784251000684</v>
      </c>
      <c r="D158" s="44">
        <v>514.5484142682367</v>
      </c>
      <c r="E158" s="45">
        <v>567.2471444043899</v>
      </c>
      <c r="F158" s="44">
        <v>582.6136541281904</v>
      </c>
      <c r="G158" s="44">
        <v>667.7596399099612</v>
      </c>
      <c r="H158" s="44">
        <v>664.1115484685547</v>
      </c>
      <c r="I158" s="44">
        <v>672.7830312136344</v>
      </c>
    </row>
    <row r="159" spans="1:9" ht="14.25">
      <c r="A159" s="63"/>
      <c r="B159" s="58"/>
      <c r="C159" s="58"/>
      <c r="D159" s="58"/>
      <c r="E159" s="58"/>
      <c r="F159" s="44"/>
      <c r="G159" s="44"/>
      <c r="H159" s="44"/>
      <c r="I159" s="44"/>
    </row>
    <row r="160" spans="1:9" ht="14.25">
      <c r="A160" s="43"/>
      <c r="B160" s="58"/>
      <c r="C160" s="58"/>
      <c r="D160" s="58"/>
      <c r="E160" s="58"/>
      <c r="F160" s="44"/>
      <c r="G160" s="44"/>
      <c r="H160" s="44"/>
      <c r="I160" s="44"/>
    </row>
    <row r="161" spans="1:9" ht="16.5">
      <c r="A161" s="67" t="str">
        <f>HLOOKUP(INDICE!$F$2,Nombres!$C$3:$D$636,65,FALSE)</f>
        <v>Indicadores relevantes y de gestión</v>
      </c>
      <c r="B161" s="68"/>
      <c r="C161" s="68"/>
      <c r="D161" s="68"/>
      <c r="E161" s="68"/>
      <c r="F161" s="73"/>
      <c r="G161" s="73"/>
      <c r="H161" s="73"/>
      <c r="I161" s="73"/>
    </row>
    <row r="162" spans="1:9" ht="14.25">
      <c r="A162" s="35" t="str">
        <f>HLOOKUP(INDICE!$F$2,Nombres!$C$3:$D$636,76,FALSE)</f>
        <v>(Millones de dolares)</v>
      </c>
      <c r="B162" s="30"/>
      <c r="C162" s="30"/>
      <c r="D162" s="30"/>
      <c r="E162" s="30"/>
      <c r="F162" s="71"/>
      <c r="G162" s="44"/>
      <c r="H162" s="44"/>
      <c r="I162" s="44"/>
    </row>
    <row r="163" spans="1:9" ht="14.25">
      <c r="A163" s="30"/>
      <c r="B163" s="53">
        <f aca="true" t="shared" si="27" ref="B163:I163">+B$31</f>
        <v>43555</v>
      </c>
      <c r="C163" s="53">
        <f t="shared" si="27"/>
        <v>43646</v>
      </c>
      <c r="D163" s="53">
        <f t="shared" si="27"/>
        <v>43738</v>
      </c>
      <c r="E163" s="69">
        <f t="shared" si="27"/>
        <v>43830</v>
      </c>
      <c r="F163" s="53">
        <f t="shared" si="27"/>
        <v>43921</v>
      </c>
      <c r="G163" s="53">
        <f t="shared" si="27"/>
        <v>44012</v>
      </c>
      <c r="H163" s="53">
        <f t="shared" si="27"/>
        <v>44104</v>
      </c>
      <c r="I163" s="53">
        <f t="shared" si="27"/>
        <v>44196</v>
      </c>
    </row>
    <row r="164" spans="1:9" ht="14.25">
      <c r="A164" s="43" t="str">
        <f>HLOOKUP(INDICE!$F$2,Nombres!$C$3:$D$636,66,FALSE)</f>
        <v>Préstamos y anticipos a la clientela bruto (*)</v>
      </c>
      <c r="B164" s="44">
        <v>4380.485885474</v>
      </c>
      <c r="C164" s="44">
        <v>5632.4778565387205</v>
      </c>
      <c r="D164" s="44">
        <v>5740.917534482432</v>
      </c>
      <c r="E164" s="45">
        <v>7319.22915159591</v>
      </c>
      <c r="F164" s="44">
        <v>9415.474775892675</v>
      </c>
      <c r="G164" s="44">
        <v>9319.796092016857</v>
      </c>
      <c r="H164" s="44">
        <v>7269.053642421256</v>
      </c>
      <c r="I164" s="44">
        <v>6332.991936785864</v>
      </c>
    </row>
    <row r="165" spans="1:9" ht="14.25">
      <c r="A165" s="43" t="str">
        <f>HLOOKUP(INDICE!$F$2,Nombres!$C$3:$D$636,67,FALSE)</f>
        <v>Depósitos de clientes en gestión (**)</v>
      </c>
      <c r="B165" s="44">
        <v>2941.996789913328</v>
      </c>
      <c r="C165" s="44">
        <v>3288.819420758421</v>
      </c>
      <c r="D165" s="44">
        <v>3437.097581444278</v>
      </c>
      <c r="E165" s="45">
        <v>4376.102975008219</v>
      </c>
      <c r="F165" s="44">
        <v>4616.878207353909</v>
      </c>
      <c r="G165" s="44">
        <v>5392.751252871087</v>
      </c>
      <c r="H165" s="44">
        <v>5400.0516203453335</v>
      </c>
      <c r="I165" s="44">
        <v>5835.496243327065</v>
      </c>
    </row>
    <row r="166" spans="1:9" ht="14.25">
      <c r="A166" s="43" t="str">
        <f>HLOOKUP(INDICE!$F$2,Nombres!$C$3:$D$636,68,FALSE)</f>
        <v>Fondos de inversión</v>
      </c>
      <c r="B166" s="44">
        <v>0</v>
      </c>
      <c r="C166" s="44">
        <v>0</v>
      </c>
      <c r="D166" s="44">
        <v>0</v>
      </c>
      <c r="E166" s="45">
        <v>0</v>
      </c>
      <c r="F166" s="44">
        <v>0</v>
      </c>
      <c r="G166" s="44">
        <v>0</v>
      </c>
      <c r="H166" s="44">
        <v>0</v>
      </c>
      <c r="I166" s="44">
        <v>0</v>
      </c>
    </row>
    <row r="167" spans="1:9" ht="14.25">
      <c r="A167" s="43" t="str">
        <f>HLOOKUP(INDICE!$F$2,Nombres!$C$3:$D$636,69,FALSE)</f>
        <v>Fondos de pensiones</v>
      </c>
      <c r="B167" s="44">
        <v>0</v>
      </c>
      <c r="C167" s="44">
        <v>0</v>
      </c>
      <c r="D167" s="44">
        <v>0</v>
      </c>
      <c r="E167" s="45">
        <v>0</v>
      </c>
      <c r="F167" s="44">
        <v>0</v>
      </c>
      <c r="G167" s="44">
        <v>0</v>
      </c>
      <c r="H167" s="44">
        <v>0</v>
      </c>
      <c r="I167" s="44">
        <v>0</v>
      </c>
    </row>
    <row r="168" spans="1:9" ht="14.25">
      <c r="A168" s="43" t="str">
        <f>HLOOKUP(INDICE!$F$2,Nombres!$C$3:$D$636,70,FALSE)</f>
        <v>Otros recursos fuera de balance</v>
      </c>
      <c r="B168" s="44">
        <v>0</v>
      </c>
      <c r="C168" s="44">
        <v>0</v>
      </c>
      <c r="D168" s="44">
        <v>0</v>
      </c>
      <c r="E168" s="45">
        <v>0</v>
      </c>
      <c r="F168" s="44">
        <v>0</v>
      </c>
      <c r="G168" s="44">
        <v>0</v>
      </c>
      <c r="H168" s="44">
        <v>0</v>
      </c>
      <c r="I168" s="44">
        <v>0</v>
      </c>
    </row>
    <row r="169" spans="1:9" ht="14.25">
      <c r="A169" s="63" t="str">
        <f>HLOOKUP(INDICE!$F$2,Nombres!$C$3:$D$636,71,FALSE)</f>
        <v>(*) No incluye las adquisiciones temporales de activos.</v>
      </c>
      <c r="B169" s="58"/>
      <c r="C169" s="58"/>
      <c r="D169" s="58"/>
      <c r="E169" s="58"/>
      <c r="F169" s="58"/>
      <c r="G169" s="58"/>
      <c r="H169" s="58"/>
      <c r="I169" s="58"/>
    </row>
    <row r="170" spans="1:9" ht="14.25">
      <c r="A170" s="74" t="str">
        <f>HLOOKUP(INDICE!$F$2,Nombres!$C$3:$D$636,72,FALSE)</f>
        <v>(**) No incluye las cesiones temporales de activos.</v>
      </c>
      <c r="B170" s="30"/>
      <c r="C170" s="30"/>
      <c r="D170" s="30"/>
      <c r="E170" s="30"/>
      <c r="F170" s="30"/>
      <c r="G170" s="30"/>
      <c r="H170" s="30"/>
      <c r="I170" s="30"/>
    </row>
    <row r="171" spans="1:9" ht="14.25">
      <c r="A171" s="30"/>
      <c r="B171" s="30"/>
      <c r="C171" s="30"/>
      <c r="D171" s="30"/>
      <c r="E171" s="30"/>
      <c r="F171" s="30"/>
      <c r="G171" s="30"/>
      <c r="H171" s="30"/>
      <c r="I171" s="30"/>
    </row>
    <row r="172" spans="1:9" ht="14.25">
      <c r="A172" s="30"/>
      <c r="B172" s="30"/>
      <c r="C172" s="30"/>
      <c r="D172" s="30"/>
      <c r="E172" s="30"/>
      <c r="F172" s="30"/>
      <c r="G172" s="30"/>
      <c r="H172" s="30"/>
      <c r="I172" s="30"/>
    </row>
    <row r="173" spans="1:9" ht="14.25">
      <c r="A173" s="75"/>
      <c r="B173" s="76"/>
      <c r="C173" s="77"/>
      <c r="D173" s="77"/>
      <c r="E173" s="77"/>
      <c r="F173" s="76"/>
      <c r="G173" s="76"/>
      <c r="H173" s="76"/>
      <c r="I173" s="76"/>
    </row>
    <row r="174" spans="1:10" ht="14.25">
      <c r="A174" s="75"/>
      <c r="B174" s="76"/>
      <c r="C174" s="77"/>
      <c r="D174" s="77"/>
      <c r="E174" s="77"/>
      <c r="F174" s="76"/>
      <c r="G174" s="76"/>
      <c r="H174" s="76"/>
      <c r="I174" s="76"/>
      <c r="J174" s="76"/>
    </row>
    <row r="175" spans="1:10" ht="14.25">
      <c r="A175" s="76"/>
      <c r="B175" s="76"/>
      <c r="C175" s="76"/>
      <c r="D175" s="76"/>
      <c r="E175" s="76"/>
      <c r="F175" s="76"/>
      <c r="G175" s="76"/>
      <c r="H175" s="76"/>
      <c r="I175" s="76"/>
      <c r="J175" s="76"/>
    </row>
    <row r="176" spans="1:10" ht="14.25">
      <c r="A176" s="76"/>
      <c r="B176" s="76"/>
      <c r="C176" s="76"/>
      <c r="D176" s="76"/>
      <c r="E176" s="76"/>
      <c r="F176" s="76"/>
      <c r="G176" s="76"/>
      <c r="H176" s="76"/>
      <c r="I176" s="76"/>
      <c r="J176" s="76"/>
    </row>
    <row r="177" spans="1:10" ht="14.25">
      <c r="A177" s="76"/>
      <c r="B177" s="76"/>
      <c r="C177" s="76"/>
      <c r="D177" s="76"/>
      <c r="E177" s="76"/>
      <c r="F177" s="76"/>
      <c r="G177" s="76"/>
      <c r="H177" s="76"/>
      <c r="I177" s="76"/>
      <c r="J177" s="76"/>
    </row>
    <row r="178" spans="1:10" ht="14.25">
      <c r="A178" s="76"/>
      <c r="B178" s="76"/>
      <c r="C178" s="76"/>
      <c r="D178" s="76"/>
      <c r="E178" s="76"/>
      <c r="F178" s="76"/>
      <c r="G178" s="76"/>
      <c r="H178" s="76"/>
      <c r="I178" s="76"/>
      <c r="J178" s="76"/>
    </row>
    <row r="179" spans="1:10" ht="14.25">
      <c r="A179" s="76"/>
      <c r="B179" s="76"/>
      <c r="C179" s="76"/>
      <c r="D179" s="76"/>
      <c r="E179" s="76"/>
      <c r="F179" s="76"/>
      <c r="G179" s="76"/>
      <c r="H179" s="76"/>
      <c r="I179" s="76"/>
      <c r="J179" s="76"/>
    </row>
    <row r="180" spans="1:10" ht="14.25">
      <c r="A180" s="76"/>
      <c r="B180" s="76"/>
      <c r="C180" s="76"/>
      <c r="D180" s="76"/>
      <c r="E180" s="76"/>
      <c r="F180" s="76"/>
      <c r="G180" s="76"/>
      <c r="H180" s="76"/>
      <c r="I180" s="76"/>
      <c r="J180" s="76"/>
    </row>
    <row r="181" spans="1:10" ht="14.25">
      <c r="A181" s="76"/>
      <c r="B181" s="76"/>
      <c r="C181" s="76"/>
      <c r="D181" s="76"/>
      <c r="E181" s="76"/>
      <c r="F181" s="76"/>
      <c r="G181" s="76"/>
      <c r="H181" s="76"/>
      <c r="I181" s="76"/>
      <c r="J181" s="76"/>
    </row>
    <row r="1001" ht="14.25">
      <c r="A1001" s="31" t="s">
        <v>397</v>
      </c>
    </row>
  </sheetData>
  <sheetProtection/>
  <mergeCells count="7">
    <mergeCell ref="F63:I63"/>
    <mergeCell ref="B119:E119"/>
    <mergeCell ref="F119:I119"/>
    <mergeCell ref="A2:I2"/>
    <mergeCell ref="B7:E7"/>
    <mergeCell ref="F7:I7"/>
    <mergeCell ref="B63:E63"/>
  </mergeCells>
  <conditionalFormatting sqref="B27:I27">
    <cfRule type="cellIs" priority="3" dxfId="143" operator="notBetween">
      <formula>0.5</formula>
      <formula>-0.5</formula>
    </cfRule>
  </conditionalFormatting>
  <conditionalFormatting sqref="B83:I83">
    <cfRule type="cellIs" priority="2" dxfId="143" operator="notBetween">
      <formula>0.5</formula>
      <formula>-0.5</formula>
    </cfRule>
  </conditionalFormatting>
  <conditionalFormatting sqref="B139:I139">
    <cfRule type="cellIs" priority="1" dxfId="143" operator="notBetween">
      <formula>0.5</formula>
      <formula>-0.5</formula>
    </cfRule>
  </conditionalFormatting>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K1003"/>
  <sheetViews>
    <sheetView showGridLines="0" tabSelected="1" zoomScale="80" zoomScaleNormal="80" zoomScalePageLayoutView="0" workbookViewId="0" topLeftCell="A1">
      <selection activeCell="A15" sqref="A15"/>
    </sheetView>
  </sheetViews>
  <sheetFormatPr defaultColWidth="12.57421875" defaultRowHeight="23.25" customHeight="1"/>
  <cols>
    <col min="1" max="1" width="40.421875" style="1" customWidth="1"/>
    <col min="2" max="2" width="21.8515625" style="1" customWidth="1"/>
    <col min="3" max="3" width="115.7109375" style="28" customWidth="1"/>
    <col min="4" max="4" width="13.28125" style="1" customWidth="1"/>
    <col min="5" max="5" width="18.140625" style="1" hidden="1" customWidth="1"/>
    <col min="6" max="6" width="12.57421875" style="1" hidden="1" customWidth="1"/>
    <col min="7" max="16384" width="12.57421875" style="1" customWidth="1"/>
  </cols>
  <sheetData>
    <row r="1" spans="2:5" ht="23.25" customHeight="1">
      <c r="B1" s="2"/>
      <c r="C1" s="3"/>
      <c r="D1" s="2"/>
      <c r="E1" s="2"/>
    </row>
    <row r="2" spans="2:6" ht="23.25" customHeight="1">
      <c r="B2" s="2"/>
      <c r="C2" s="4" t="str">
        <f>HLOOKUP($F$2,Nombres!$C$3:$D$636,2,FALSE)</f>
        <v>Series trimestrales 2019-2020</v>
      </c>
      <c r="D2" s="2"/>
      <c r="E2" s="2"/>
      <c r="F2" s="5">
        <v>7</v>
      </c>
    </row>
    <row r="3" spans="2:5" ht="23.25" customHeight="1">
      <c r="B3" s="2"/>
      <c r="C3" s="3"/>
      <c r="D3" s="2"/>
      <c r="E3" s="2"/>
    </row>
    <row r="4" spans="1:7" ht="23.25" customHeight="1">
      <c r="A4" s="6"/>
      <c r="B4" s="2"/>
      <c r="C4" s="7" t="str">
        <f>HLOOKUP($F$2,Nombres!$C$3:$D$636,3,FALSE)</f>
        <v>Grupo BBVA</v>
      </c>
      <c r="D4" s="8"/>
      <c r="E4" s="2" t="b">
        <v>0</v>
      </c>
      <c r="G4" s="9"/>
    </row>
    <row r="5" spans="2:7" ht="23.25" customHeight="1">
      <c r="B5" s="2"/>
      <c r="C5" s="10" t="str">
        <f>HLOOKUP($F$2,Nombres!$C$3:$D$636,4,FALSE)</f>
        <v>Cuentas de resultados consolidadas</v>
      </c>
      <c r="D5" s="2"/>
      <c r="E5" s="2" t="b">
        <v>0</v>
      </c>
      <c r="F5" s="1" t="b">
        <f>OR($E$4,E5)</f>
        <v>0</v>
      </c>
      <c r="G5" s="9"/>
    </row>
    <row r="6" spans="2:7" ht="23.25" customHeight="1" hidden="1">
      <c r="B6" s="2"/>
      <c r="C6" s="10"/>
      <c r="D6" s="2"/>
      <c r="E6" s="2" t="b">
        <v>0</v>
      </c>
      <c r="F6" s="1" t="b">
        <f>OR($E$4,E6)</f>
        <v>0</v>
      </c>
      <c r="G6" s="9"/>
    </row>
    <row r="7" spans="2:7" ht="23.25" customHeight="1">
      <c r="B7" s="2"/>
      <c r="C7" s="10" t="str">
        <f>HLOOKUP($F$2,Nombres!$C$3:$D$636,5,FALSE)</f>
        <v>Balances de situación consolidados</v>
      </c>
      <c r="D7" s="2"/>
      <c r="E7" s="2"/>
      <c r="G7" s="9"/>
    </row>
    <row r="8" spans="2:7" ht="23.25" customHeight="1">
      <c r="B8" s="11"/>
      <c r="C8" s="7" t="str">
        <f>HLOOKUP($F$2,Nombres!$C$3:$D$636,6,FALSE)</f>
        <v>Áreas de negocio</v>
      </c>
      <c r="D8" s="11"/>
      <c r="E8" s="11" t="b">
        <v>0</v>
      </c>
      <c r="F8" s="12"/>
      <c r="G8" s="13"/>
    </row>
    <row r="9" spans="1:7" s="16" customFormat="1" ht="23.25" customHeight="1">
      <c r="A9" s="1"/>
      <c r="B9" s="14"/>
      <c r="C9" s="246" t="str">
        <f>HLOOKUP($F$2,Nombres!$C$3:$D$636,7,FALSE)</f>
        <v>España</v>
      </c>
      <c r="D9" s="14"/>
      <c r="E9" s="14" t="b">
        <v>1</v>
      </c>
      <c r="F9" s="1" t="b">
        <f aca="true" t="shared" si="0" ref="F9:F19">OR($E$8,E9)</f>
        <v>1</v>
      </c>
      <c r="G9" s="15"/>
    </row>
    <row r="10" spans="1:7" ht="23.25" customHeight="1">
      <c r="A10" s="17"/>
      <c r="B10" s="2"/>
      <c r="C10" s="10" t="str">
        <f>HLOOKUP($F$2,Nombres!$C$3:$D$636,10,FALSE)</f>
        <v>EEUU</v>
      </c>
      <c r="D10" s="2"/>
      <c r="E10" s="2" t="b">
        <v>1</v>
      </c>
      <c r="F10" s="1" t="b">
        <f t="shared" si="0"/>
        <v>1</v>
      </c>
      <c r="G10" s="9"/>
    </row>
    <row r="11" spans="2:7" ht="23.25" customHeight="1">
      <c r="B11" s="2"/>
      <c r="C11" s="10" t="str">
        <f>HLOOKUP($F$2,Nombres!$C$3:$D$636,11,FALSE)</f>
        <v>México</v>
      </c>
      <c r="D11" s="2"/>
      <c r="E11" s="2" t="b">
        <v>1</v>
      </c>
      <c r="F11" s="1" t="b">
        <f t="shared" si="0"/>
        <v>1</v>
      </c>
      <c r="G11" s="9"/>
    </row>
    <row r="12" spans="1:7" ht="23.25" customHeight="1">
      <c r="A12" s="18"/>
      <c r="B12" s="2"/>
      <c r="C12" s="10" t="str">
        <f>HLOOKUP($F$2,Nombres!$C$3:$D$636,12,FALSE)</f>
        <v>Turquía </v>
      </c>
      <c r="D12" s="2"/>
      <c r="E12" s="2" t="b">
        <v>1</v>
      </c>
      <c r="F12" s="1" t="b">
        <f t="shared" si="0"/>
        <v>1</v>
      </c>
      <c r="G12" s="9"/>
    </row>
    <row r="13" spans="1:7" s="17" customFormat="1" ht="23.25" customHeight="1">
      <c r="A13" s="18"/>
      <c r="B13" s="19"/>
      <c r="C13" s="10" t="str">
        <f>HLOOKUP($F$2,Nombres!$C$3:$D$636,13,FALSE)</f>
        <v>América del Sur </v>
      </c>
      <c r="D13" s="2"/>
      <c r="E13" s="2" t="b">
        <v>1</v>
      </c>
      <c r="F13" s="20" t="b">
        <f>OR($E$8,E13)</f>
        <v>1</v>
      </c>
      <c r="G13" s="21"/>
    </row>
    <row r="14" spans="2:7" ht="23.25" customHeight="1">
      <c r="B14" s="2"/>
      <c r="C14" s="10" t="str">
        <f>HLOOKUP($F$2,Nombres!$C$3:$D$636,14,FALSE)</f>
        <v>Argentina</v>
      </c>
      <c r="D14" s="2"/>
      <c r="E14" s="2" t="b">
        <v>0</v>
      </c>
      <c r="F14" s="1" t="b">
        <f t="shared" si="0"/>
        <v>0</v>
      </c>
      <c r="G14" s="9"/>
    </row>
    <row r="15" spans="1:7" s="17" customFormat="1" ht="23.25" customHeight="1">
      <c r="A15" s="1"/>
      <c r="B15" s="19"/>
      <c r="C15" s="10" t="str">
        <f>HLOOKUP($F$2,Nombres!$C$3:$D$636,15,FALSE)</f>
        <v>Chile</v>
      </c>
      <c r="D15" s="22"/>
      <c r="E15" s="2" t="b">
        <v>0</v>
      </c>
      <c r="F15" s="20" t="b">
        <f t="shared" si="0"/>
        <v>0</v>
      </c>
      <c r="G15" s="21"/>
    </row>
    <row r="16" spans="1:7" s="17" customFormat="1" ht="23.25" customHeight="1">
      <c r="A16" s="6"/>
      <c r="B16" s="19"/>
      <c r="C16" s="10" t="str">
        <f>HLOOKUP($F$2,Nombres!$C$3:$D$636,16,FALSE)</f>
        <v>Colombia</v>
      </c>
      <c r="D16" s="22"/>
      <c r="E16" s="2" t="b">
        <v>1</v>
      </c>
      <c r="F16" s="20" t="b">
        <f t="shared" si="0"/>
        <v>1</v>
      </c>
      <c r="G16" s="21"/>
    </row>
    <row r="17" spans="2:7" ht="23.25" customHeight="1">
      <c r="B17" s="2"/>
      <c r="C17" s="10" t="str">
        <f>HLOOKUP($F$2,Nombres!$C$3:$D$636,17,FALSE)</f>
        <v>Perú</v>
      </c>
      <c r="D17" s="22"/>
      <c r="E17" s="2" t="b">
        <v>0</v>
      </c>
      <c r="F17" s="1" t="b">
        <f t="shared" si="0"/>
        <v>0</v>
      </c>
      <c r="G17" s="9"/>
    </row>
    <row r="18" spans="2:7" ht="21.75" customHeight="1">
      <c r="B18" s="2"/>
      <c r="C18" s="10" t="str">
        <f>HLOOKUP($F$2,Nombres!$C$3:$D$636,18,FALSE)</f>
        <v>Resto de Eurasia</v>
      </c>
      <c r="D18" s="22"/>
      <c r="E18" s="2" t="b">
        <v>0</v>
      </c>
      <c r="F18" s="1" t="b">
        <f t="shared" si="0"/>
        <v>0</v>
      </c>
      <c r="G18" s="9"/>
    </row>
    <row r="19" spans="2:7" ht="23.25" customHeight="1">
      <c r="B19" s="2"/>
      <c r="C19" s="10" t="str">
        <f>HLOOKUP($F$2,Nombres!$C$3:$D$636,19,FALSE)</f>
        <v>Centro Corporativo</v>
      </c>
      <c r="D19" s="22"/>
      <c r="E19" s="2" t="b">
        <v>0</v>
      </c>
      <c r="F19" s="1" t="b">
        <f t="shared" si="0"/>
        <v>0</v>
      </c>
      <c r="G19" s="9"/>
    </row>
    <row r="20" spans="2:7" ht="24.75" customHeight="1">
      <c r="B20" s="2"/>
      <c r="C20" s="23"/>
      <c r="D20" s="2"/>
      <c r="E20" s="2"/>
      <c r="G20" s="9"/>
    </row>
    <row r="21" spans="2:11" s="16" customFormat="1" ht="23.25" customHeight="1">
      <c r="B21" s="2"/>
      <c r="C21" s="7" t="str">
        <f>HLOOKUP($F$2,Nombres!$C$3:$D$636,20,FALSE)</f>
        <v>Información adicional:</v>
      </c>
      <c r="D21" s="2"/>
      <c r="E21" s="2"/>
      <c r="F21" s="1"/>
      <c r="G21" s="9"/>
      <c r="H21" s="1"/>
      <c r="I21" s="1"/>
      <c r="J21" s="1"/>
      <c r="K21" s="1"/>
    </row>
    <row r="22" spans="2:11" s="24" customFormat="1" ht="23.25" customHeight="1">
      <c r="B22" s="2"/>
      <c r="C22" s="10" t="str">
        <f>HLOOKUP($F$2,Nombres!$C$3:$D$636,21,FALSE)</f>
        <v>Corporate &amp; Investment Banking</v>
      </c>
      <c r="D22" s="2"/>
      <c r="E22" s="2" t="b">
        <v>0</v>
      </c>
      <c r="F22" s="1" t="b">
        <f>OR($E$8,E22)</f>
        <v>0</v>
      </c>
      <c r="G22" s="9"/>
      <c r="H22" s="1"/>
      <c r="I22" s="1"/>
      <c r="J22" s="1"/>
      <c r="K22" s="1"/>
    </row>
    <row r="23" spans="2:7" ht="23.25" customHeight="1">
      <c r="B23" s="2"/>
      <c r="C23" s="296" t="str">
        <f>HLOOKUP($F$2,Nombres!$C$3:$D$636,263,FALSE)</f>
        <v>Resto de Negocios</v>
      </c>
      <c r="D23" s="22"/>
      <c r="E23" s="2"/>
      <c r="G23" s="9"/>
    </row>
    <row r="24" spans="2:7" ht="23.25" customHeight="1">
      <c r="B24" s="2"/>
      <c r="C24" s="296" t="str">
        <f>HLOOKUP($F$2,Nombres!$C$3:$D$636,266,FALSE)</f>
        <v>Centro Corporativo (para resto de negocios)</v>
      </c>
      <c r="D24" s="22"/>
      <c r="E24" s="2"/>
      <c r="G24" s="9"/>
    </row>
    <row r="25" spans="2:7" ht="23.25" customHeight="1">
      <c r="B25" s="2"/>
      <c r="C25" s="296" t="str">
        <f>HLOOKUP($F$2,Nombres!$C$3:$D$636,267,FALSE)</f>
        <v>Sociedades de la filial de Estados Unidos excluidas del acuerdo de venta</v>
      </c>
      <c r="D25" s="22"/>
      <c r="E25" s="2"/>
      <c r="G25" s="9"/>
    </row>
    <row r="26" spans="2:7" ht="23.25" customHeight="1">
      <c r="B26" s="2"/>
      <c r="C26" s="7" t="str">
        <f>HLOOKUP($F$2,Nombres!$C$3:$D$636,22,FALSE)</f>
        <v>Anexo:</v>
      </c>
      <c r="D26" s="14"/>
      <c r="E26" s="2"/>
      <c r="G26" s="9"/>
    </row>
    <row r="27" spans="2:11" ht="22.5" customHeight="1">
      <c r="B27" s="14"/>
      <c r="C27" s="25" t="str">
        <f>HLOOKUP($F$2,Nombres!$C$3:$D$636,23,FALSE)</f>
        <v>Eficiencia</v>
      </c>
      <c r="D27" s="2"/>
      <c r="E27" s="14" t="b">
        <v>0</v>
      </c>
      <c r="F27" s="1" t="b">
        <f aca="true" t="shared" si="1" ref="F27:F34">OR($E$26,E27)</f>
        <v>0</v>
      </c>
      <c r="G27" s="15"/>
      <c r="H27" s="16"/>
      <c r="I27" s="16"/>
      <c r="J27" s="16"/>
      <c r="K27" s="16"/>
    </row>
    <row r="28" spans="2:11" ht="22.5" customHeight="1">
      <c r="B28" s="26"/>
      <c r="C28" s="25" t="str">
        <f>HLOOKUP($F$2,Nombres!$C$3:$D$636,24,FALSE)</f>
        <v>Tasas de mora, cobertura y coste de riesgo</v>
      </c>
      <c r="D28" s="2"/>
      <c r="E28" s="26" t="b">
        <v>0</v>
      </c>
      <c r="F28" s="24" t="b">
        <f t="shared" si="1"/>
        <v>0</v>
      </c>
      <c r="G28" s="27"/>
      <c r="H28" s="24"/>
      <c r="I28" s="24"/>
      <c r="J28" s="24"/>
      <c r="K28" s="24"/>
    </row>
    <row r="29" spans="2:7" ht="23.25" customHeight="1">
      <c r="B29" s="2"/>
      <c r="C29" s="25" t="str">
        <f>HLOOKUP($F$2,Nombres!$C$3:$D$636,25,FALSE)</f>
        <v>Empleados, oficinas y cajeros automáticos</v>
      </c>
      <c r="D29" s="2"/>
      <c r="E29" s="2" t="b">
        <v>0</v>
      </c>
      <c r="F29" s="1" t="b">
        <f t="shared" si="1"/>
        <v>0</v>
      </c>
      <c r="G29" s="9"/>
    </row>
    <row r="30" spans="2:7" ht="23.25" customHeight="1">
      <c r="B30" s="2"/>
      <c r="C30" s="25" t="str">
        <f>HLOOKUP($F$2,Nombres!$C$3:$D$636,26,FALSE)</f>
        <v>Tipos de cambio</v>
      </c>
      <c r="D30" s="2"/>
      <c r="E30" s="2" t="b">
        <v>0</v>
      </c>
      <c r="F30" s="1" t="b">
        <f t="shared" si="1"/>
        <v>0</v>
      </c>
      <c r="G30" s="9"/>
    </row>
    <row r="31" spans="2:6" ht="23.25" customHeight="1">
      <c r="B31" s="2"/>
      <c r="C31" s="25" t="str">
        <f>HLOOKUP($F$2,Nombres!$C$3:$D$636,27,FALSE)</f>
        <v>Diferenciales de la clientela</v>
      </c>
      <c r="D31" s="14"/>
      <c r="E31" s="2" t="b">
        <v>1</v>
      </c>
      <c r="F31" s="1" t="b">
        <f t="shared" si="1"/>
        <v>1</v>
      </c>
    </row>
    <row r="32" spans="2:6" ht="23.25" customHeight="1">
      <c r="B32" s="2"/>
      <c r="C32" s="25" t="str">
        <f>HLOOKUP($F$2,Nombres!$C$3:$D$636,28,FALSE)</f>
        <v>Activos ponderados por riesgo. Desglose por áreas de negocio y principales países</v>
      </c>
      <c r="D32" s="26"/>
      <c r="E32" s="2" t="b">
        <v>0</v>
      </c>
      <c r="F32" s="1" t="b">
        <f t="shared" si="1"/>
        <v>0</v>
      </c>
    </row>
    <row r="33" spans="2:6" ht="23.25" customHeight="1">
      <c r="B33" s="2"/>
      <c r="C33" s="25" t="str">
        <f>HLOOKUP($F$2,Nombres!$C$3:$D$636,29,FALSE)</f>
        <v>Desglose del crédito no dudoso en gestión</v>
      </c>
      <c r="D33" s="2"/>
      <c r="E33" s="2" t="b">
        <v>0</v>
      </c>
      <c r="F33" s="1" t="b">
        <f t="shared" si="1"/>
        <v>0</v>
      </c>
    </row>
    <row r="34" spans="2:6" ht="23.25" customHeight="1">
      <c r="B34" s="2"/>
      <c r="C34" s="25" t="str">
        <f>HLOOKUP($F$2,Nombres!$C$3:$D$636,120,FALSE)</f>
        <v>Desglose de los recursos de clientes en gestión</v>
      </c>
      <c r="D34" s="2"/>
      <c r="E34" s="2" t="b">
        <v>0</v>
      </c>
      <c r="F34" s="1" t="b">
        <f t="shared" si="1"/>
        <v>0</v>
      </c>
    </row>
    <row r="35" spans="2:5" ht="23.25" customHeight="1">
      <c r="B35" s="2"/>
      <c r="C35" s="25" t="str">
        <f>HLOOKUP($F$2,Nombres!$C$3:$D$636,242,FALSE)</f>
        <v>Carteras Coap</v>
      </c>
      <c r="D35" s="2"/>
      <c r="E35" s="2"/>
    </row>
    <row r="36" spans="2:5" ht="23.25" customHeight="1">
      <c r="B36" s="2"/>
      <c r="C36" s="3"/>
      <c r="D36" s="2"/>
      <c r="E36" s="2"/>
    </row>
    <row r="37" spans="2:8" ht="23.25" customHeight="1">
      <c r="B37" s="2"/>
      <c r="C37" s="307"/>
      <c r="D37" s="307"/>
      <c r="E37" s="307"/>
      <c r="F37" s="307"/>
      <c r="G37" s="307"/>
      <c r="H37" s="307"/>
    </row>
    <row r="38" spans="2:5" ht="23.25" customHeight="1">
      <c r="B38" s="2"/>
      <c r="C38" s="3"/>
      <c r="D38" s="2"/>
      <c r="E38" s="2"/>
    </row>
    <row r="39" spans="2:5" ht="23.25" customHeight="1">
      <c r="B39" s="2"/>
      <c r="C39" s="3"/>
      <c r="D39" s="2"/>
      <c r="E39" s="2"/>
    </row>
    <row r="40" spans="2:5" ht="23.25" customHeight="1">
      <c r="B40" s="2"/>
      <c r="C40" s="3"/>
      <c r="D40" s="2"/>
      <c r="E40" s="2"/>
    </row>
    <row r="41" spans="2:5" ht="23.25" customHeight="1">
      <c r="B41" s="2"/>
      <c r="C41" s="3"/>
      <c r="D41" s="2"/>
      <c r="E41" s="2"/>
    </row>
    <row r="46" ht="23.25" customHeight="1">
      <c r="G46" s="297"/>
    </row>
    <row r="1003" s="1" customFormat="1" ht="23.25" customHeight="1">
      <c r="A1003" s="1" t="s">
        <v>397</v>
      </c>
    </row>
  </sheetData>
  <sheetProtection/>
  <mergeCells count="1">
    <mergeCell ref="C37:H37"/>
  </mergeCells>
  <hyperlinks>
    <hyperlink ref="C5" location="'Cuenta de Resultados'!A1" display="'Cuenta de Resultados'!A1"/>
    <hyperlink ref="C9" location="España!A1" display="España!A1"/>
    <hyperlink ref="C10" location="EEUU!A1" display="EEUU!A1"/>
    <hyperlink ref="C11" location="Mexico!A1" display="Mexico!A1"/>
    <hyperlink ref="C12" location="Turquia!A1" display="Turquia!A1"/>
    <hyperlink ref="C13" location="AdS!A1" display="AdS!A1"/>
    <hyperlink ref="C14" location="Argentina!A1" display="Argentina!A1"/>
    <hyperlink ref="C15" location="Chile!A1" display="Chile!A1"/>
    <hyperlink ref="C16" location="Colombia!A1" display="Colombia!A1"/>
    <hyperlink ref="C17" location="Peru!A1" display="Peru!A1"/>
    <hyperlink ref="C18" location="'Resto de Eurasia'!A1" display="'Resto de Eurasia'!A1"/>
    <hyperlink ref="C19" location="'Centro Corporativo'!A1" display="'Centro Corporativo'!A1"/>
    <hyperlink ref="C22" location="'Corporate &amp; Investment Banking'!A1" display="'Corporate &amp; Investment Banking'!A1"/>
    <hyperlink ref="C27" location="Eficiencia!A1" display="Eficiencia!A1"/>
    <hyperlink ref="C28" location="'Mora,cobertura,coste de riesgo'!A1" display="'Mora,cobertura,coste de riesgo'!A1"/>
    <hyperlink ref="C29" location="'Empleados, oficinas y cajeros'!A1" display="'Empleados, oficinas y cajeros'!A1"/>
    <hyperlink ref="C30" location="'Tipos de Cambio'!A1" display="'Tipos de Cambio'!A1"/>
    <hyperlink ref="C32" location="APRs!A1" display="APRs!A1"/>
    <hyperlink ref="C33" location="Inversion!A1" display="Inversion!A1"/>
    <hyperlink ref="C31" location="Diferenciales!A1" display="Diferenciales!A1"/>
    <hyperlink ref="C34" location="Recursos!A1" display="Recursos!A1"/>
    <hyperlink ref="C7" location="Balance!A1" display="Balance!A1"/>
    <hyperlink ref="C35" location="ALCO!A1" display="ALCO!A1"/>
    <hyperlink ref="C23" location="'PM Resto de Negocios'!A1" display="'PM Resto de Negocios'!A1"/>
    <hyperlink ref="C24" location="'PM Nuevo Centro Corporativo'!A1" display="'PM Nuevo Centro Corporativo'!A1"/>
    <hyperlink ref="C25" location="'PM EEUU no vendido'!A1" display="'PM EEUU no vendido'!A1"/>
  </hyperlinks>
  <printOptions/>
  <pageMargins left="0.7" right="0.7" top="0.75" bottom="0.75" header="0.3" footer="0.3"/>
  <pageSetup horizontalDpi="600" verticalDpi="600" orientation="portrait" paperSize="9" r:id="rId3"/>
  <drawing r:id="rId2"/>
  <legacyDrawing r:id="rId1"/>
</worksheet>
</file>

<file path=xl/worksheets/sheet20.xml><?xml version="1.0" encoding="utf-8"?>
<worksheet xmlns="http://schemas.openxmlformats.org/spreadsheetml/2006/main" xmlns:r="http://schemas.openxmlformats.org/officeDocument/2006/relationships">
  <dimension ref="A1:IU1000"/>
  <sheetViews>
    <sheetView showGridLines="0" zoomScalePageLayoutView="0" workbookViewId="0" topLeftCell="A1">
      <selection activeCell="P27" sqref="P27"/>
    </sheetView>
  </sheetViews>
  <sheetFormatPr defaultColWidth="12.57421875" defaultRowHeight="15"/>
  <cols>
    <col min="1" max="1" width="40.7109375" style="99" customWidth="1"/>
    <col min="2" max="9" width="10.00390625" style="99" customWidth="1"/>
    <col min="10" max="255" width="12.57421875" style="99" customWidth="1"/>
  </cols>
  <sheetData>
    <row r="1" spans="1:9" ht="16.5">
      <c r="A1" s="97" t="str">
        <f>HLOOKUP(INDICE!$F$2,Nombres!$C$3:$D$636,82,FALSE)</f>
        <v>Eficiencia (*)</v>
      </c>
      <c r="B1" s="98"/>
      <c r="C1" s="98"/>
      <c r="D1" s="98"/>
      <c r="E1" s="98"/>
      <c r="F1" s="98"/>
      <c r="G1" s="98"/>
      <c r="H1" s="98"/>
      <c r="I1" s="98"/>
    </row>
    <row r="2" spans="1:9" ht="14.25">
      <c r="A2" s="100" t="str">
        <f>HLOOKUP(INDICE!$F$2,Nombres!$C$3:$D$636,84,FALSE)</f>
        <v>(Porcentaje)</v>
      </c>
      <c r="B2" s="101"/>
      <c r="C2" s="101"/>
      <c r="D2" s="101"/>
      <c r="E2" s="101"/>
      <c r="F2" s="101"/>
      <c r="G2" s="101"/>
      <c r="H2" s="101"/>
      <c r="I2" s="101"/>
    </row>
    <row r="3" spans="1:9" ht="14.25">
      <c r="A3" s="102"/>
      <c r="B3" s="103">
        <f>+España!B30</f>
        <v>43555</v>
      </c>
      <c r="C3" s="103">
        <f>+España!C30</f>
        <v>43646</v>
      </c>
      <c r="D3" s="103">
        <f>+España!D30</f>
        <v>43738</v>
      </c>
      <c r="E3" s="103">
        <f>+España!E30</f>
        <v>43830</v>
      </c>
      <c r="F3" s="103">
        <f>+España!F30</f>
        <v>43921</v>
      </c>
      <c r="G3" s="103">
        <f>+España!G30</f>
        <v>44012</v>
      </c>
      <c r="H3" s="103">
        <f>+España!H30</f>
        <v>44104</v>
      </c>
      <c r="I3" s="103">
        <f>+España!I30</f>
        <v>44196</v>
      </c>
    </row>
    <row r="4" spans="1:9" ht="14.25">
      <c r="A4" s="101"/>
      <c r="B4" s="104"/>
      <c r="C4" s="104"/>
      <c r="D4" s="104"/>
      <c r="E4" s="105"/>
      <c r="F4" s="104"/>
      <c r="G4" s="104"/>
      <c r="H4" s="101"/>
      <c r="I4" s="101"/>
    </row>
    <row r="5" spans="1:255" ht="14.25">
      <c r="A5" s="106" t="str">
        <f>HLOOKUP(INDICE!$F$2,Nombres!$C$3:$D$636,3,FALSE)</f>
        <v>Grupo BBVA</v>
      </c>
      <c r="B5" s="107">
        <v>48.32422151482716</v>
      </c>
      <c r="C5" s="107">
        <v>49.18285358981665</v>
      </c>
      <c r="D5" s="107">
        <v>48.82630483593452</v>
      </c>
      <c r="E5" s="108">
        <v>48.65331270186349</v>
      </c>
      <c r="F5" s="252">
        <v>45.00092619497369</v>
      </c>
      <c r="G5" s="252">
        <v>45.76330920886741</v>
      </c>
      <c r="H5" s="252">
        <v>45.639597201474395</v>
      </c>
      <c r="I5" s="252">
        <v>46.8152377037877</v>
      </c>
      <c r="J5" s="110"/>
      <c r="K5" s="110"/>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12" ht="14.25">
      <c r="A6" s="101"/>
      <c r="B6" s="111"/>
      <c r="C6" s="111"/>
      <c r="D6" s="111"/>
      <c r="E6" s="112"/>
      <c r="F6" s="111"/>
      <c r="G6" s="111"/>
      <c r="H6" s="111"/>
      <c r="I6" s="111"/>
      <c r="J6" s="113"/>
      <c r="K6" s="113"/>
      <c r="L6" s="113"/>
    </row>
    <row r="7" spans="1:255" ht="14.25">
      <c r="A7" s="59" t="str">
        <f>HLOOKUP(INDICE!$F$2,Nombres!$C$3:$D$636,7,FALSE)</f>
        <v>España</v>
      </c>
      <c r="B7" s="114">
        <v>55.20030797003721</v>
      </c>
      <c r="C7" s="114">
        <v>58.72031492931187</v>
      </c>
      <c r="D7" s="114">
        <v>57.478044076300606</v>
      </c>
      <c r="E7" s="115">
        <v>57.52550217463467</v>
      </c>
      <c r="F7" s="116">
        <v>51.63966310751189</v>
      </c>
      <c r="G7" s="116">
        <v>52.710936587999754</v>
      </c>
      <c r="H7" s="116">
        <v>51.959191643293224</v>
      </c>
      <c r="I7" s="116">
        <v>54.72168769711507</v>
      </c>
      <c r="J7" s="110"/>
      <c r="K7" s="110"/>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12" ht="14.25">
      <c r="A8" s="101"/>
      <c r="B8" s="111"/>
      <c r="C8" s="111"/>
      <c r="D8" s="111"/>
      <c r="E8" s="112"/>
      <c r="F8" s="111"/>
      <c r="G8" s="111"/>
      <c r="H8" s="111"/>
      <c r="I8" s="111"/>
      <c r="J8" s="117"/>
      <c r="K8" s="113"/>
      <c r="L8" s="113"/>
    </row>
    <row r="9" spans="1:255" ht="14.25">
      <c r="A9" s="59" t="str">
        <f>HLOOKUP(INDICE!$F$2,Nombres!$C$3:$D$636,10,FALSE)</f>
        <v>EEUU</v>
      </c>
      <c r="B9" s="114">
        <v>58.81622204245072</v>
      </c>
      <c r="C9" s="114">
        <v>59.41534677031943</v>
      </c>
      <c r="D9" s="114">
        <v>59.52187338853142</v>
      </c>
      <c r="E9" s="115">
        <v>61.00510858524495</v>
      </c>
      <c r="F9" s="116">
        <v>61.28133732076567</v>
      </c>
      <c r="G9" s="116">
        <v>59.66801643710464</v>
      </c>
      <c r="H9" s="116">
        <v>59.54447401102644</v>
      </c>
      <c r="I9" s="116">
        <v>59.341693313935174</v>
      </c>
      <c r="J9" s="110"/>
      <c r="K9" s="110"/>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12" ht="14.25">
      <c r="A10" s="101"/>
      <c r="B10" s="111"/>
      <c r="C10" s="111"/>
      <c r="D10" s="111"/>
      <c r="E10" s="112"/>
      <c r="F10" s="111"/>
      <c r="G10" s="111"/>
      <c r="H10" s="111"/>
      <c r="I10" s="111"/>
      <c r="J10" s="117"/>
      <c r="K10" s="113"/>
      <c r="L10" s="113"/>
    </row>
    <row r="11" spans="1:12" ht="14.25">
      <c r="A11" s="59" t="str">
        <f>HLOOKUP(INDICE!$F$2,Nombres!$C$3:$D$636,11,FALSE)</f>
        <v>México</v>
      </c>
      <c r="B11" s="114">
        <v>33.34160122513831</v>
      </c>
      <c r="C11" s="114">
        <v>33.07127085731836</v>
      </c>
      <c r="D11" s="114">
        <v>33.118561599587146</v>
      </c>
      <c r="E11" s="115">
        <v>32.94242353842492</v>
      </c>
      <c r="F11" s="116">
        <v>33.17047764238883</v>
      </c>
      <c r="G11" s="116">
        <v>33.81471844705781</v>
      </c>
      <c r="H11" s="116">
        <v>33.304282473449554</v>
      </c>
      <c r="I11" s="116">
        <v>33.34770555978723</v>
      </c>
      <c r="J11" s="117"/>
      <c r="K11" s="113"/>
      <c r="L11" s="113"/>
    </row>
    <row r="12" spans="1:12" ht="14.25">
      <c r="A12" s="101"/>
      <c r="B12" s="111"/>
      <c r="C12" s="111"/>
      <c r="D12" s="111"/>
      <c r="E12" s="112"/>
      <c r="F12" s="111"/>
      <c r="G12" s="111"/>
      <c r="H12" s="111"/>
      <c r="I12" s="111"/>
      <c r="J12" s="117"/>
      <c r="K12" s="113"/>
      <c r="L12" s="113"/>
    </row>
    <row r="13" spans="1:255" ht="14.25">
      <c r="A13" s="59" t="str">
        <f>HLOOKUP(INDICE!$F$2,Nombres!$C$3:$D$636,12,FALSE)</f>
        <v>Turquía </v>
      </c>
      <c r="B13" s="114">
        <v>35.402997542881266</v>
      </c>
      <c r="C13" s="114">
        <v>35.402226396156436</v>
      </c>
      <c r="D13" s="114">
        <v>34.79045475871725</v>
      </c>
      <c r="E13" s="115">
        <v>33.840728558942814</v>
      </c>
      <c r="F13" s="116">
        <v>28.873108175286273</v>
      </c>
      <c r="G13" s="116">
        <v>28.742199449363337</v>
      </c>
      <c r="H13" s="116">
        <v>27.62314240062557</v>
      </c>
      <c r="I13" s="116">
        <v>28.80963821216007</v>
      </c>
      <c r="J13" s="110"/>
      <c r="K13" s="110"/>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12" ht="14.25">
      <c r="A14" s="101"/>
      <c r="B14" s="111"/>
      <c r="C14" s="111"/>
      <c r="D14" s="111"/>
      <c r="E14" s="112"/>
      <c r="F14" s="111"/>
      <c r="G14" s="111"/>
      <c r="H14" s="111"/>
      <c r="I14" s="111"/>
      <c r="J14" s="113"/>
      <c r="K14" s="113"/>
      <c r="L14" s="113"/>
    </row>
    <row r="15" spans="1:255" ht="14.25">
      <c r="A15" s="59" t="str">
        <f>HLOOKUP(INDICE!$F$2,Nombres!$C$3:$D$636,13,FALSE)</f>
        <v>América del Sur </v>
      </c>
      <c r="B15" s="114">
        <v>38.434859777498055</v>
      </c>
      <c r="C15" s="114">
        <v>39.07273965705206</v>
      </c>
      <c r="D15" s="114">
        <v>39.89381406091345</v>
      </c>
      <c r="E15" s="115">
        <v>40.88862772625679</v>
      </c>
      <c r="F15" s="116">
        <v>45.162542141840625</v>
      </c>
      <c r="G15" s="116">
        <v>43.20517871190888</v>
      </c>
      <c r="H15" s="116">
        <v>42.757550133713465</v>
      </c>
      <c r="I15" s="116">
        <v>42.54541872142995</v>
      </c>
      <c r="J15" s="110"/>
      <c r="K15" s="110"/>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12" ht="14.25">
      <c r="A16" s="101"/>
      <c r="B16" s="111"/>
      <c r="C16" s="111"/>
      <c r="D16" s="111"/>
      <c r="E16" s="112"/>
      <c r="F16" s="111"/>
      <c r="G16" s="111"/>
      <c r="H16" s="111"/>
      <c r="I16" s="111"/>
      <c r="J16" s="113"/>
      <c r="K16" s="113"/>
      <c r="L16" s="113"/>
    </row>
    <row r="17" spans="1:9" ht="14.25">
      <c r="A17" s="59" t="str">
        <f>HLOOKUP(INDICE!$F$2,Nombres!$C$3:$D$636,18,FALSE)</f>
        <v>Resto de Eurasia</v>
      </c>
      <c r="B17" s="114">
        <v>67.52414495610812</v>
      </c>
      <c r="C17" s="114">
        <v>64.48105170334877</v>
      </c>
      <c r="D17" s="114">
        <v>62.82403675974927</v>
      </c>
      <c r="E17" s="115">
        <v>64.6255188514793</v>
      </c>
      <c r="F17" s="116">
        <v>57.70917426851325</v>
      </c>
      <c r="G17" s="116">
        <v>51.05076415117365</v>
      </c>
      <c r="H17" s="116">
        <v>52.59685348827661</v>
      </c>
      <c r="I17" s="116">
        <v>55.97657403374019</v>
      </c>
    </row>
    <row r="18" spans="1:12" ht="14.25">
      <c r="A18" s="101"/>
      <c r="B18" s="118"/>
      <c r="C18" s="118"/>
      <c r="D18" s="118"/>
      <c r="E18" s="118"/>
      <c r="F18" s="118"/>
      <c r="G18" s="118"/>
      <c r="H18" s="101"/>
      <c r="I18" s="278"/>
      <c r="J18" s="113"/>
      <c r="K18" s="113"/>
      <c r="L18" s="113"/>
    </row>
    <row r="19" spans="1:12" ht="14.25">
      <c r="A19" s="119" t="str">
        <f>HLOOKUP(INDICE!$F$2,Nombres!$C$3:$D$636,83,FALSE)</f>
        <v>(*) Gastos de explotación / Margen bruto. Incluye amortizaciones</v>
      </c>
      <c r="B19" s="101"/>
      <c r="C19" s="101"/>
      <c r="D19" s="101"/>
      <c r="E19" s="101"/>
      <c r="F19" s="101"/>
      <c r="G19" s="101"/>
      <c r="H19" s="101"/>
      <c r="I19" s="278"/>
      <c r="J19" s="113"/>
      <c r="K19" s="113"/>
      <c r="L19" s="113"/>
    </row>
    <row r="20" spans="1:12" ht="14.25">
      <c r="A20" s="120"/>
      <c r="B20" s="120"/>
      <c r="C20" s="120"/>
      <c r="D20" s="120"/>
      <c r="E20" s="120"/>
      <c r="F20" s="120"/>
      <c r="G20" s="120"/>
      <c r="H20" s="120"/>
      <c r="I20" s="279"/>
      <c r="J20" s="113"/>
      <c r="K20" s="113"/>
      <c r="L20" s="113"/>
    </row>
    <row r="21" spans="1:9" ht="14.25">
      <c r="A21" s="120"/>
      <c r="B21" s="120"/>
      <c r="C21" s="120"/>
      <c r="D21" s="120"/>
      <c r="E21" s="120"/>
      <c r="F21" s="120"/>
      <c r="G21" s="120"/>
      <c r="H21" s="120"/>
      <c r="I21" s="120"/>
    </row>
    <row r="1000" ht="14.25">
      <c r="A1000" s="99" t="s">
        <v>397</v>
      </c>
    </row>
  </sheetData>
  <sheetProtection/>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IU1000"/>
  <sheetViews>
    <sheetView showGridLines="0" zoomScalePageLayoutView="0" workbookViewId="0" topLeftCell="A1">
      <selection activeCell="O27" sqref="O27"/>
    </sheetView>
  </sheetViews>
  <sheetFormatPr defaultColWidth="12.57421875" defaultRowHeight="15"/>
  <cols>
    <col min="1" max="1" width="45.7109375" style="157" customWidth="1"/>
    <col min="2" max="6" width="10.8515625" style="99" customWidth="1" collapsed="1"/>
    <col min="7" max="7" width="10.8515625" style="99" customWidth="1"/>
    <col min="8" max="9" width="10.8515625" style="122" customWidth="1"/>
    <col min="10" max="11" width="9.57421875" style="122" customWidth="1"/>
    <col min="12" max="255" width="12.57421875" style="122" customWidth="1"/>
  </cols>
  <sheetData>
    <row r="1" spans="1:9" ht="19.5">
      <c r="A1" s="97" t="str">
        <f>HLOOKUP(INDICE!$F$2,Nombres!$C$3:$D$636,85,FALSE)</f>
        <v>Tasa de mora</v>
      </c>
      <c r="B1" s="121"/>
      <c r="C1" s="121"/>
      <c r="D1" s="121"/>
      <c r="E1" s="121"/>
      <c r="F1" s="121"/>
      <c r="G1" s="98"/>
      <c r="H1" s="98"/>
      <c r="I1" s="98"/>
    </row>
    <row r="2" spans="1:9" ht="14.25">
      <c r="A2" s="100" t="str">
        <f>HLOOKUP(INDICE!$F$2,Nombres!$C$3:$D$636,84,FALSE)</f>
        <v>(Porcentaje)</v>
      </c>
      <c r="B2" s="101"/>
      <c r="C2" s="101"/>
      <c r="D2" s="101"/>
      <c r="E2" s="101"/>
      <c r="F2" s="101"/>
      <c r="G2" s="101"/>
      <c r="H2" s="101"/>
      <c r="I2" s="101"/>
    </row>
    <row r="3" spans="1:9" ht="14.25">
      <c r="A3" s="101"/>
      <c r="B3" s="123">
        <f>+España!B$30</f>
        <v>43555</v>
      </c>
      <c r="C3" s="123">
        <f>+España!C$30</f>
        <v>43646</v>
      </c>
      <c r="D3" s="123">
        <f>+España!D$30</f>
        <v>43738</v>
      </c>
      <c r="E3" s="123">
        <f>+España!E$30</f>
        <v>43830</v>
      </c>
      <c r="F3" s="123">
        <f>+España!F$30</f>
        <v>43921</v>
      </c>
      <c r="G3" s="123">
        <f>+España!G$30</f>
        <v>44012</v>
      </c>
      <c r="H3" s="123">
        <f>+España!H$30</f>
        <v>44104</v>
      </c>
      <c r="I3" s="123">
        <f>+España!I$30</f>
        <v>44196</v>
      </c>
    </row>
    <row r="4" spans="1:9" ht="14.25">
      <c r="A4" s="101"/>
      <c r="B4" s="104"/>
      <c r="C4" s="104"/>
      <c r="D4" s="101"/>
      <c r="E4" s="124"/>
      <c r="F4" s="104"/>
      <c r="G4" s="104"/>
      <c r="H4" s="101"/>
      <c r="I4" s="101"/>
    </row>
    <row r="5" spans="1:255" ht="14.25">
      <c r="A5" s="106" t="str">
        <f>HLOOKUP(INDICE!$F$2,Nombres!$C$3:$D$636,3,FALSE)</f>
        <v>Grupo BBVA</v>
      </c>
      <c r="B5" s="107">
        <v>3.93879770745977</v>
      </c>
      <c r="C5" s="107">
        <v>3.8407509380267926</v>
      </c>
      <c r="D5" s="107">
        <v>3.9006646127381375</v>
      </c>
      <c r="E5" s="108">
        <v>3.785391068472362</v>
      </c>
      <c r="F5" s="107">
        <v>3.6142588207116035</v>
      </c>
      <c r="G5" s="109">
        <v>3.6686111342032106</v>
      </c>
      <c r="H5" s="109">
        <v>3.840577849871045</v>
      </c>
      <c r="I5" s="109">
        <v>3.958181999639672</v>
      </c>
      <c r="J5" s="125"/>
      <c r="K5" s="126"/>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14.25">
      <c r="A6" s="101"/>
      <c r="B6" s="111"/>
      <c r="C6" s="111"/>
      <c r="D6" s="111"/>
      <c r="E6" s="112"/>
      <c r="F6" s="111"/>
      <c r="G6" s="111"/>
      <c r="H6" s="111"/>
      <c r="I6" s="111"/>
      <c r="J6" s="125"/>
      <c r="K6" s="126"/>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7"/>
      <c r="CN6" s="127"/>
      <c r="CO6" s="127"/>
      <c r="CP6" s="127"/>
      <c r="CQ6" s="127"/>
      <c r="CR6" s="127"/>
      <c r="CS6" s="127"/>
      <c r="CT6" s="127"/>
      <c r="CU6" s="127"/>
      <c r="CV6" s="127"/>
      <c r="CW6" s="127"/>
      <c r="CX6" s="127"/>
      <c r="CY6" s="127"/>
      <c r="CZ6" s="127"/>
      <c r="DA6" s="127"/>
      <c r="DB6" s="127"/>
      <c r="DC6" s="127"/>
      <c r="DD6" s="127"/>
      <c r="DE6" s="127"/>
      <c r="DF6" s="127"/>
      <c r="DG6" s="127"/>
      <c r="DH6" s="127"/>
      <c r="DI6" s="127"/>
      <c r="DJ6" s="127"/>
      <c r="DK6" s="127"/>
      <c r="DL6" s="127"/>
      <c r="DM6" s="127"/>
      <c r="DN6" s="127"/>
      <c r="DO6" s="127"/>
      <c r="DP6" s="127"/>
      <c r="DQ6" s="127"/>
      <c r="DR6" s="127"/>
      <c r="DS6" s="127"/>
      <c r="DT6" s="127"/>
      <c r="DU6" s="127"/>
      <c r="DV6" s="127"/>
      <c r="DW6" s="127"/>
      <c r="DX6" s="127"/>
      <c r="DY6" s="127"/>
      <c r="DZ6" s="127"/>
      <c r="EA6" s="127"/>
      <c r="EB6" s="127"/>
      <c r="EC6" s="127"/>
      <c r="ED6" s="127"/>
      <c r="EE6" s="127"/>
      <c r="EF6" s="127"/>
      <c r="EG6" s="127"/>
      <c r="EH6" s="127"/>
      <c r="EI6" s="127"/>
      <c r="EJ6" s="127"/>
      <c r="EK6" s="127"/>
      <c r="EL6" s="127"/>
      <c r="EM6" s="127"/>
      <c r="EN6" s="127"/>
      <c r="EO6" s="127"/>
      <c r="EP6" s="127"/>
      <c r="EQ6" s="127"/>
      <c r="ER6" s="127"/>
      <c r="ES6" s="127"/>
      <c r="ET6" s="127"/>
      <c r="EU6" s="127"/>
      <c r="EV6" s="127"/>
      <c r="EW6" s="127"/>
      <c r="EX6" s="127"/>
      <c r="EY6" s="127"/>
      <c r="EZ6" s="127"/>
      <c r="FA6" s="127"/>
      <c r="FB6" s="127"/>
      <c r="FC6" s="127"/>
      <c r="FD6" s="127"/>
      <c r="FE6" s="127"/>
      <c r="FF6" s="127"/>
      <c r="FG6" s="127"/>
      <c r="FH6" s="127"/>
      <c r="FI6" s="127"/>
      <c r="FJ6" s="127"/>
      <c r="FK6" s="127"/>
      <c r="FL6" s="127"/>
      <c r="FM6" s="127"/>
      <c r="FN6" s="127"/>
      <c r="FO6" s="127"/>
      <c r="FP6" s="127"/>
      <c r="FQ6" s="127"/>
      <c r="FR6" s="127"/>
      <c r="FS6" s="127"/>
      <c r="FT6" s="127"/>
      <c r="FU6" s="127"/>
      <c r="FV6" s="127"/>
      <c r="FW6" s="127"/>
      <c r="FX6" s="127"/>
      <c r="FY6" s="127"/>
      <c r="FZ6" s="127"/>
      <c r="GA6" s="127"/>
      <c r="GB6" s="127"/>
      <c r="GC6" s="127"/>
      <c r="GD6" s="127"/>
      <c r="GE6" s="127"/>
      <c r="GF6" s="127"/>
      <c r="GG6" s="127"/>
      <c r="GH6" s="127"/>
      <c r="GI6" s="127"/>
      <c r="GJ6" s="127"/>
      <c r="GK6" s="127"/>
      <c r="GL6" s="127"/>
      <c r="GM6" s="127"/>
      <c r="GN6" s="127"/>
      <c r="GO6" s="127"/>
      <c r="GP6" s="127"/>
      <c r="GQ6" s="127"/>
      <c r="GR6" s="127"/>
      <c r="GS6" s="127"/>
      <c r="GT6" s="127"/>
      <c r="GU6" s="127"/>
      <c r="GV6" s="127"/>
      <c r="GW6" s="127"/>
      <c r="GX6" s="127"/>
      <c r="GY6" s="127"/>
      <c r="GZ6" s="127"/>
      <c r="HA6" s="127"/>
      <c r="HB6" s="127"/>
      <c r="HC6" s="127"/>
      <c r="HD6" s="127"/>
      <c r="HE6" s="127"/>
      <c r="HF6" s="127"/>
      <c r="HG6" s="127"/>
      <c r="HH6" s="127"/>
      <c r="HI6" s="127"/>
      <c r="HJ6" s="127"/>
      <c r="HK6" s="127"/>
      <c r="HL6" s="127"/>
      <c r="HM6" s="127"/>
      <c r="HN6" s="127"/>
      <c r="HO6" s="127"/>
      <c r="HP6" s="127"/>
      <c r="HQ6" s="127"/>
      <c r="HR6" s="127"/>
      <c r="HS6" s="127"/>
      <c r="HT6" s="127"/>
      <c r="HU6" s="127"/>
      <c r="HV6" s="127"/>
      <c r="HW6" s="127"/>
      <c r="HX6" s="127"/>
      <c r="HY6" s="127"/>
      <c r="HZ6" s="127"/>
      <c r="IA6" s="127"/>
      <c r="IB6" s="127"/>
      <c r="IC6" s="127"/>
      <c r="ID6" s="127"/>
      <c r="IE6" s="127"/>
      <c r="IF6" s="127"/>
      <c r="IG6" s="127"/>
      <c r="IH6" s="127"/>
      <c r="II6" s="127"/>
      <c r="IJ6" s="127"/>
      <c r="IK6" s="127"/>
      <c r="IL6" s="127"/>
      <c r="IM6" s="127"/>
      <c r="IN6" s="127"/>
      <c r="IO6" s="127"/>
      <c r="IP6" s="127"/>
      <c r="IQ6" s="127"/>
      <c r="IR6" s="127"/>
      <c r="IS6" s="127"/>
      <c r="IT6" s="127"/>
      <c r="IU6" s="127"/>
    </row>
    <row r="7" spans="1:255" ht="14.25">
      <c r="A7" s="59" t="str">
        <f>HLOOKUP(INDICE!$F$2,Nombres!$C$3:$D$636,7,FALSE)</f>
        <v>España</v>
      </c>
      <c r="B7" s="114">
        <v>4.948680298608416</v>
      </c>
      <c r="C7" s="114">
        <v>4.604227344147789</v>
      </c>
      <c r="D7" s="114">
        <v>4.578404699933968</v>
      </c>
      <c r="E7" s="115">
        <v>4.4409759266746756</v>
      </c>
      <c r="F7" s="114">
        <v>4.305978274605477</v>
      </c>
      <c r="G7" s="116">
        <v>4.263709627936691</v>
      </c>
      <c r="H7" s="116">
        <v>4.322662789330809</v>
      </c>
      <c r="I7" s="116">
        <v>4.27353108665122</v>
      </c>
      <c r="J7" s="125"/>
      <c r="K7" s="126"/>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11" ht="14.25">
      <c r="A8" s="101"/>
      <c r="B8" s="111"/>
      <c r="C8" s="111"/>
      <c r="D8" s="111"/>
      <c r="E8" s="112"/>
      <c r="F8" s="111"/>
      <c r="G8" s="111"/>
      <c r="H8" s="111"/>
      <c r="I8" s="111"/>
      <c r="J8" s="125"/>
      <c r="K8" s="128"/>
    </row>
    <row r="9" spans="1:255" ht="14.25">
      <c r="A9" s="59" t="str">
        <f>HLOOKUP(INDICE!$F$2,Nombres!$C$3:$D$636,10,FALSE)</f>
        <v>EEUU</v>
      </c>
      <c r="B9" s="114">
        <v>1.4029665896688346</v>
      </c>
      <c r="C9" s="114">
        <v>1.3086170514450985</v>
      </c>
      <c r="D9" s="114">
        <v>1.097404607491746</v>
      </c>
      <c r="E9" s="115">
        <v>1.1006195277304418</v>
      </c>
      <c r="F9" s="114">
        <v>1.008674455100381</v>
      </c>
      <c r="G9" s="116">
        <v>1.140557593864889</v>
      </c>
      <c r="H9" s="116">
        <v>1.9343227376189316</v>
      </c>
      <c r="I9" s="116">
        <v>2.0579554560826443</v>
      </c>
      <c r="J9" s="125"/>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11" ht="14.25">
      <c r="A10" s="101"/>
      <c r="B10" s="111"/>
      <c r="C10" s="111"/>
      <c r="D10" s="111"/>
      <c r="E10" s="112"/>
      <c r="F10" s="111"/>
      <c r="G10" s="111"/>
      <c r="H10" s="111"/>
      <c r="I10" s="111"/>
      <c r="J10" s="125"/>
      <c r="K10" s="128"/>
    </row>
    <row r="11" spans="1:11" ht="14.25">
      <c r="A11" s="59" t="str">
        <f>HLOOKUP(INDICE!$F$2,Nombres!$C$3:$D$636,11,FALSE)</f>
        <v>México</v>
      </c>
      <c r="B11" s="114">
        <v>2.038759011769962</v>
      </c>
      <c r="C11" s="114">
        <v>2.1863170630165305</v>
      </c>
      <c r="D11" s="114">
        <v>2.3885296676855936</v>
      </c>
      <c r="E11" s="115">
        <v>2.355912915894848</v>
      </c>
      <c r="F11" s="114">
        <v>2.281269629812707</v>
      </c>
      <c r="G11" s="116">
        <v>2.2208094687269857</v>
      </c>
      <c r="H11" s="116">
        <v>2.29237538034301</v>
      </c>
      <c r="I11" s="116">
        <v>3.3308570031607116</v>
      </c>
      <c r="J11" s="125"/>
      <c r="K11" s="128"/>
    </row>
    <row r="12" spans="1:11" ht="14.25">
      <c r="A12" s="101"/>
      <c r="B12" s="111"/>
      <c r="C12" s="111"/>
      <c r="D12" s="111"/>
      <c r="E12" s="112"/>
      <c r="F12" s="111"/>
      <c r="G12" s="111"/>
      <c r="H12" s="111"/>
      <c r="I12" s="111"/>
      <c r="J12" s="125"/>
      <c r="K12" s="128"/>
    </row>
    <row r="13" spans="1:255" ht="14.25">
      <c r="A13" s="59" t="str">
        <f>HLOOKUP(INDICE!$F$2,Nombres!$C$3:$D$636,12,FALSE)</f>
        <v>Turquía </v>
      </c>
      <c r="B13" s="114">
        <v>5.747430227097583</v>
      </c>
      <c r="C13" s="114">
        <v>6.329489946442274</v>
      </c>
      <c r="D13" s="114">
        <v>7.189493216331347</v>
      </c>
      <c r="E13" s="115">
        <v>6.9899061302184515</v>
      </c>
      <c r="F13" s="114">
        <v>6.736531074635012</v>
      </c>
      <c r="G13" s="116">
        <v>7.019466719362834</v>
      </c>
      <c r="H13" s="116">
        <v>7.11405458809955</v>
      </c>
      <c r="I13" s="116">
        <v>6.57533724248832</v>
      </c>
      <c r="J13" s="125"/>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11" ht="14.25">
      <c r="A14" s="101"/>
      <c r="B14" s="111"/>
      <c r="C14" s="111"/>
      <c r="D14" s="111"/>
      <c r="E14" s="112"/>
      <c r="F14" s="111"/>
      <c r="G14" s="111"/>
      <c r="H14" s="111"/>
      <c r="I14" s="111"/>
      <c r="J14" s="125"/>
      <c r="K14" s="128"/>
    </row>
    <row r="15" spans="1:255" ht="14.25">
      <c r="A15" s="59" t="str">
        <f>HLOOKUP(INDICE!$F$2,Nombres!$C$3:$D$636,13,FALSE)</f>
        <v>América del Sur </v>
      </c>
      <c r="B15" s="114">
        <v>4.375262622171092</v>
      </c>
      <c r="C15" s="114">
        <v>4.431586678553112</v>
      </c>
      <c r="D15" s="114">
        <v>4.401656122016425</v>
      </c>
      <c r="E15" s="115">
        <v>4.405304640281197</v>
      </c>
      <c r="F15" s="114">
        <v>4.4385311534910175</v>
      </c>
      <c r="G15" s="116">
        <v>4.504578134978346</v>
      </c>
      <c r="H15" s="116">
        <v>4.345264892563691</v>
      </c>
      <c r="I15" s="116">
        <v>4.395882249201049</v>
      </c>
      <c r="J15" s="12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14.25">
      <c r="A16" s="101"/>
      <c r="B16" s="129"/>
      <c r="C16" s="129"/>
      <c r="D16" s="129"/>
      <c r="E16" s="130"/>
      <c r="F16" s="129"/>
      <c r="G16" s="248"/>
      <c r="H16" s="248"/>
      <c r="I16" s="248"/>
      <c r="J16" s="125"/>
      <c r="K16" s="128"/>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c r="BY16" s="127"/>
      <c r="BZ16" s="127"/>
      <c r="CA16" s="127"/>
      <c r="CB16" s="127"/>
      <c r="CC16" s="127"/>
      <c r="CD16" s="127"/>
      <c r="CE16" s="127"/>
      <c r="CF16" s="127"/>
      <c r="CG16" s="127"/>
      <c r="CH16" s="127"/>
      <c r="CI16" s="127"/>
      <c r="CJ16" s="127"/>
      <c r="CK16" s="127"/>
      <c r="CL16" s="127"/>
      <c r="CM16" s="127"/>
      <c r="CN16" s="127"/>
      <c r="CO16" s="127"/>
      <c r="CP16" s="127"/>
      <c r="CQ16" s="127"/>
      <c r="CR16" s="127"/>
      <c r="CS16" s="127"/>
      <c r="CT16" s="127"/>
      <c r="CU16" s="127"/>
      <c r="CV16" s="127"/>
      <c r="CW16" s="127"/>
      <c r="CX16" s="127"/>
      <c r="CY16" s="127"/>
      <c r="CZ16" s="127"/>
      <c r="DA16" s="127"/>
      <c r="DB16" s="127"/>
      <c r="DC16" s="127"/>
      <c r="DD16" s="127"/>
      <c r="DE16" s="127"/>
      <c r="DF16" s="127"/>
      <c r="DG16" s="127"/>
      <c r="DH16" s="127"/>
      <c r="DI16" s="127"/>
      <c r="DJ16" s="127"/>
      <c r="DK16" s="127"/>
      <c r="DL16" s="127"/>
      <c r="DM16" s="127"/>
      <c r="DN16" s="127"/>
      <c r="DO16" s="127"/>
      <c r="DP16" s="127"/>
      <c r="DQ16" s="127"/>
      <c r="DR16" s="127"/>
      <c r="DS16" s="127"/>
      <c r="DT16" s="127"/>
      <c r="DU16" s="127"/>
      <c r="DV16" s="127"/>
      <c r="DW16" s="127"/>
      <c r="DX16" s="127"/>
      <c r="DY16" s="127"/>
      <c r="DZ16" s="127"/>
      <c r="EA16" s="127"/>
      <c r="EB16" s="127"/>
      <c r="EC16" s="127"/>
      <c r="ED16" s="127"/>
      <c r="EE16" s="127"/>
      <c r="EF16" s="127"/>
      <c r="EG16" s="127"/>
      <c r="EH16" s="127"/>
      <c r="EI16" s="127"/>
      <c r="EJ16" s="127"/>
      <c r="EK16" s="127"/>
      <c r="EL16" s="127"/>
      <c r="EM16" s="127"/>
      <c r="EN16" s="127"/>
      <c r="EO16" s="127"/>
      <c r="EP16" s="127"/>
      <c r="EQ16" s="127"/>
      <c r="ER16" s="127"/>
      <c r="ES16" s="127"/>
      <c r="ET16" s="127"/>
      <c r="EU16" s="127"/>
      <c r="EV16" s="127"/>
      <c r="EW16" s="127"/>
      <c r="EX16" s="127"/>
      <c r="EY16" s="127"/>
      <c r="EZ16" s="127"/>
      <c r="FA16" s="127"/>
      <c r="FB16" s="127"/>
      <c r="FC16" s="127"/>
      <c r="FD16" s="127"/>
      <c r="FE16" s="127"/>
      <c r="FF16" s="127"/>
      <c r="FG16" s="127"/>
      <c r="FH16" s="127"/>
      <c r="FI16" s="127"/>
      <c r="FJ16" s="127"/>
      <c r="FK16" s="127"/>
      <c r="FL16" s="127"/>
      <c r="FM16" s="127"/>
      <c r="FN16" s="127"/>
      <c r="FO16" s="127"/>
      <c r="FP16" s="127"/>
      <c r="FQ16" s="127"/>
      <c r="FR16" s="127"/>
      <c r="FS16" s="127"/>
      <c r="FT16" s="127"/>
      <c r="FU16" s="127"/>
      <c r="FV16" s="127"/>
      <c r="FW16" s="127"/>
      <c r="FX16" s="127"/>
      <c r="FY16" s="127"/>
      <c r="FZ16" s="127"/>
      <c r="GA16" s="127"/>
      <c r="GB16" s="127"/>
      <c r="GC16" s="127"/>
      <c r="GD16" s="127"/>
      <c r="GE16" s="127"/>
      <c r="GF16" s="127"/>
      <c r="GG16" s="127"/>
      <c r="GH16" s="127"/>
      <c r="GI16" s="127"/>
      <c r="GJ16" s="127"/>
      <c r="GK16" s="127"/>
      <c r="GL16" s="127"/>
      <c r="GM16" s="127"/>
      <c r="GN16" s="127"/>
      <c r="GO16" s="127"/>
      <c r="GP16" s="127"/>
      <c r="GQ16" s="127"/>
      <c r="GR16" s="127"/>
      <c r="GS16" s="127"/>
      <c r="GT16" s="127"/>
      <c r="GU16" s="127"/>
      <c r="GV16" s="127"/>
      <c r="GW16" s="127"/>
      <c r="GX16" s="127"/>
      <c r="GY16" s="127"/>
      <c r="GZ16" s="127"/>
      <c r="HA16" s="127"/>
      <c r="HB16" s="127"/>
      <c r="HC16" s="127"/>
      <c r="HD16" s="127"/>
      <c r="HE16" s="127"/>
      <c r="HF16" s="127"/>
      <c r="HG16" s="127"/>
      <c r="HH16" s="127"/>
      <c r="HI16" s="127"/>
      <c r="HJ16" s="127"/>
      <c r="HK16" s="127"/>
      <c r="HL16" s="127"/>
      <c r="HM16" s="127"/>
      <c r="HN16" s="127"/>
      <c r="HO16" s="127"/>
      <c r="HP16" s="127"/>
      <c r="HQ16" s="127"/>
      <c r="HR16" s="127"/>
      <c r="HS16" s="127"/>
      <c r="HT16" s="127"/>
      <c r="HU16" s="127"/>
      <c r="HV16" s="127"/>
      <c r="HW16" s="127"/>
      <c r="HX16" s="127"/>
      <c r="HY16" s="127"/>
      <c r="HZ16" s="127"/>
      <c r="IA16" s="127"/>
      <c r="IB16" s="127"/>
      <c r="IC16" s="127"/>
      <c r="ID16" s="127"/>
      <c r="IE16" s="127"/>
      <c r="IF16" s="127"/>
      <c r="IG16" s="127"/>
      <c r="IH16" s="127"/>
      <c r="II16" s="127"/>
      <c r="IJ16" s="127"/>
      <c r="IK16" s="127"/>
      <c r="IL16" s="127"/>
      <c r="IM16" s="127"/>
      <c r="IN16" s="127"/>
      <c r="IO16" s="127"/>
      <c r="IP16" s="127"/>
      <c r="IQ16" s="127"/>
      <c r="IR16" s="127"/>
      <c r="IS16" s="127"/>
      <c r="IT16" s="127"/>
      <c r="IU16" s="127"/>
    </row>
    <row r="17" spans="1:9" ht="14.25">
      <c r="A17" s="59" t="str">
        <f>HLOOKUP(INDICE!$F$2,Nombres!$C$3:$D$636,18,FALSE)</f>
        <v>Resto de Eurasia</v>
      </c>
      <c r="B17" s="114">
        <v>1.5900898968657418</v>
      </c>
      <c r="C17" s="114">
        <v>1.3874501153710503</v>
      </c>
      <c r="D17" s="114">
        <v>1.3318546145352217</v>
      </c>
      <c r="E17" s="115">
        <v>1.2252298494980849</v>
      </c>
      <c r="F17" s="114">
        <v>0.8806642529445077</v>
      </c>
      <c r="G17" s="116">
        <v>0.8126162206947469</v>
      </c>
      <c r="H17" s="116">
        <v>0.9047165684259971</v>
      </c>
      <c r="I17" s="116">
        <v>1.1148893187888045</v>
      </c>
    </row>
    <row r="18" spans="1:255" ht="14.25">
      <c r="A18" s="131"/>
      <c r="B18" s="129"/>
      <c r="C18" s="129"/>
      <c r="D18" s="132"/>
      <c r="E18" s="132"/>
      <c r="F18" s="129"/>
      <c r="G18" s="129"/>
      <c r="H18" s="132"/>
      <c r="I18" s="132"/>
      <c r="J18" s="128"/>
      <c r="K18" s="128"/>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c r="BZ18" s="127"/>
      <c r="CA18" s="127"/>
      <c r="CB18" s="127"/>
      <c r="CC18" s="127"/>
      <c r="CD18" s="127"/>
      <c r="CE18" s="127"/>
      <c r="CF18" s="127"/>
      <c r="CG18" s="127"/>
      <c r="CH18" s="127"/>
      <c r="CI18" s="127"/>
      <c r="CJ18" s="127"/>
      <c r="CK18" s="127"/>
      <c r="CL18" s="127"/>
      <c r="CM18" s="127"/>
      <c r="CN18" s="127"/>
      <c r="CO18" s="127"/>
      <c r="CP18" s="127"/>
      <c r="CQ18" s="127"/>
      <c r="CR18" s="127"/>
      <c r="CS18" s="127"/>
      <c r="CT18" s="127"/>
      <c r="CU18" s="127"/>
      <c r="CV18" s="127"/>
      <c r="CW18" s="127"/>
      <c r="CX18" s="127"/>
      <c r="CY18" s="127"/>
      <c r="CZ18" s="127"/>
      <c r="DA18" s="127"/>
      <c r="DB18" s="127"/>
      <c r="DC18" s="127"/>
      <c r="DD18" s="127"/>
      <c r="DE18" s="127"/>
      <c r="DF18" s="127"/>
      <c r="DG18" s="127"/>
      <c r="DH18" s="127"/>
      <c r="DI18" s="127"/>
      <c r="DJ18" s="127"/>
      <c r="DK18" s="127"/>
      <c r="DL18" s="127"/>
      <c r="DM18" s="127"/>
      <c r="DN18" s="127"/>
      <c r="DO18" s="127"/>
      <c r="DP18" s="127"/>
      <c r="DQ18" s="127"/>
      <c r="DR18" s="127"/>
      <c r="DS18" s="127"/>
      <c r="DT18" s="127"/>
      <c r="DU18" s="127"/>
      <c r="DV18" s="127"/>
      <c r="DW18" s="127"/>
      <c r="DX18" s="127"/>
      <c r="DY18" s="127"/>
      <c r="DZ18" s="127"/>
      <c r="EA18" s="127"/>
      <c r="EB18" s="127"/>
      <c r="EC18" s="127"/>
      <c r="ED18" s="127"/>
      <c r="EE18" s="127"/>
      <c r="EF18" s="127"/>
      <c r="EG18" s="127"/>
      <c r="EH18" s="127"/>
      <c r="EI18" s="127"/>
      <c r="EJ18" s="127"/>
      <c r="EK18" s="127"/>
      <c r="EL18" s="127"/>
      <c r="EM18" s="127"/>
      <c r="EN18" s="127"/>
      <c r="EO18" s="127"/>
      <c r="EP18" s="127"/>
      <c r="EQ18" s="127"/>
      <c r="ER18" s="127"/>
      <c r="ES18" s="127"/>
      <c r="ET18" s="127"/>
      <c r="EU18" s="127"/>
      <c r="EV18" s="127"/>
      <c r="EW18" s="127"/>
      <c r="EX18" s="127"/>
      <c r="EY18" s="127"/>
      <c r="EZ18" s="127"/>
      <c r="FA18" s="127"/>
      <c r="FB18" s="127"/>
      <c r="FC18" s="127"/>
      <c r="FD18" s="127"/>
      <c r="FE18" s="127"/>
      <c r="FF18" s="127"/>
      <c r="FG18" s="127"/>
      <c r="FH18" s="127"/>
      <c r="FI18" s="127"/>
      <c r="FJ18" s="127"/>
      <c r="FK18" s="127"/>
      <c r="FL18" s="127"/>
      <c r="FM18" s="127"/>
      <c r="FN18" s="127"/>
      <c r="FO18" s="127"/>
      <c r="FP18" s="127"/>
      <c r="FQ18" s="127"/>
      <c r="FR18" s="127"/>
      <c r="FS18" s="127"/>
      <c r="FT18" s="127"/>
      <c r="FU18" s="127"/>
      <c r="FV18" s="127"/>
      <c r="FW18" s="127"/>
      <c r="FX18" s="127"/>
      <c r="FY18" s="127"/>
      <c r="FZ18" s="127"/>
      <c r="GA18" s="127"/>
      <c r="GB18" s="127"/>
      <c r="GC18" s="127"/>
      <c r="GD18" s="127"/>
      <c r="GE18" s="127"/>
      <c r="GF18" s="127"/>
      <c r="GG18" s="127"/>
      <c r="GH18" s="127"/>
      <c r="GI18" s="127"/>
      <c r="GJ18" s="127"/>
      <c r="GK18" s="127"/>
      <c r="GL18" s="127"/>
      <c r="GM18" s="127"/>
      <c r="GN18" s="127"/>
      <c r="GO18" s="127"/>
      <c r="GP18" s="127"/>
      <c r="GQ18" s="127"/>
      <c r="GR18" s="127"/>
      <c r="GS18" s="127"/>
      <c r="GT18" s="127"/>
      <c r="GU18" s="127"/>
      <c r="GV18" s="127"/>
      <c r="GW18" s="127"/>
      <c r="GX18" s="127"/>
      <c r="GY18" s="127"/>
      <c r="GZ18" s="127"/>
      <c r="HA18" s="127"/>
      <c r="HB18" s="127"/>
      <c r="HC18" s="127"/>
      <c r="HD18" s="127"/>
      <c r="HE18" s="127"/>
      <c r="HF18" s="127"/>
      <c r="HG18" s="127"/>
      <c r="HH18" s="127"/>
      <c r="HI18" s="127"/>
      <c r="HJ18" s="127"/>
      <c r="HK18" s="127"/>
      <c r="HL18" s="127"/>
      <c r="HM18" s="127"/>
      <c r="HN18" s="127"/>
      <c r="HO18" s="127"/>
      <c r="HP18" s="127"/>
      <c r="HQ18" s="127"/>
      <c r="HR18" s="127"/>
      <c r="HS18" s="127"/>
      <c r="HT18" s="127"/>
      <c r="HU18" s="127"/>
      <c r="HV18" s="127"/>
      <c r="HW18" s="127"/>
      <c r="HX18" s="127"/>
      <c r="HY18" s="127"/>
      <c r="HZ18" s="127"/>
      <c r="IA18" s="127"/>
      <c r="IB18" s="127"/>
      <c r="IC18" s="127"/>
      <c r="ID18" s="127"/>
      <c r="IE18" s="127"/>
      <c r="IF18" s="127"/>
      <c r="IG18" s="127"/>
      <c r="IH18" s="127"/>
      <c r="II18" s="127"/>
      <c r="IJ18" s="127"/>
      <c r="IK18" s="127"/>
      <c r="IL18" s="127"/>
      <c r="IM18" s="127"/>
      <c r="IN18" s="127"/>
      <c r="IO18" s="127"/>
      <c r="IP18" s="127"/>
      <c r="IQ18" s="127"/>
      <c r="IR18" s="127"/>
      <c r="IS18" s="127"/>
      <c r="IT18" s="127"/>
      <c r="IU18" s="127"/>
    </row>
    <row r="19" spans="1:11" ht="14.25">
      <c r="A19" s="101"/>
      <c r="B19" s="129"/>
      <c r="C19" s="129"/>
      <c r="D19" s="132"/>
      <c r="E19" s="132"/>
      <c r="F19" s="129"/>
      <c r="G19" s="129"/>
      <c r="H19" s="132"/>
      <c r="I19" s="132"/>
      <c r="J19" s="128"/>
      <c r="K19" s="128"/>
    </row>
    <row r="20" spans="1:255" ht="16.5">
      <c r="A20" s="97" t="str">
        <f>HLOOKUP(INDICE!$F$2,Nombres!$C$3:$D$636,86,FALSE)</f>
        <v>Tasa de cobertura</v>
      </c>
      <c r="B20" s="133"/>
      <c r="C20" s="133"/>
      <c r="D20" s="134"/>
      <c r="E20" s="134"/>
      <c r="F20" s="133"/>
      <c r="G20" s="133"/>
      <c r="H20" s="134"/>
      <c r="I20" s="134"/>
      <c r="J20" s="128"/>
      <c r="K20" s="128"/>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c r="CQ20" s="135"/>
      <c r="CR20" s="135"/>
      <c r="CS20" s="135"/>
      <c r="CT20" s="135"/>
      <c r="CU20" s="135"/>
      <c r="CV20" s="135"/>
      <c r="CW20" s="135"/>
      <c r="CX20" s="135"/>
      <c r="CY20" s="135"/>
      <c r="CZ20" s="135"/>
      <c r="DA20" s="135"/>
      <c r="DB20" s="135"/>
      <c r="DC20" s="135"/>
      <c r="DD20" s="135"/>
      <c r="DE20" s="135"/>
      <c r="DF20" s="135"/>
      <c r="DG20" s="135"/>
      <c r="DH20" s="135"/>
      <c r="DI20" s="135"/>
      <c r="DJ20" s="135"/>
      <c r="DK20" s="135"/>
      <c r="DL20" s="135"/>
      <c r="DM20" s="135"/>
      <c r="DN20" s="135"/>
      <c r="DO20" s="135"/>
      <c r="DP20" s="135"/>
      <c r="DQ20" s="135"/>
      <c r="DR20" s="135"/>
      <c r="DS20" s="135"/>
      <c r="DT20" s="135"/>
      <c r="DU20" s="135"/>
      <c r="DV20" s="135"/>
      <c r="DW20" s="135"/>
      <c r="DX20" s="135"/>
      <c r="DY20" s="135"/>
      <c r="DZ20" s="135"/>
      <c r="EA20" s="135"/>
      <c r="EB20" s="135"/>
      <c r="EC20" s="135"/>
      <c r="ED20" s="135"/>
      <c r="EE20" s="135"/>
      <c r="EF20" s="135"/>
      <c r="EG20" s="135"/>
      <c r="EH20" s="135"/>
      <c r="EI20" s="135"/>
      <c r="EJ20" s="135"/>
      <c r="EK20" s="135"/>
      <c r="EL20" s="135"/>
      <c r="EM20" s="135"/>
      <c r="EN20" s="135"/>
      <c r="EO20" s="135"/>
      <c r="EP20" s="135"/>
      <c r="EQ20" s="135"/>
      <c r="ER20" s="135"/>
      <c r="ES20" s="135"/>
      <c r="ET20" s="135"/>
      <c r="EU20" s="135"/>
      <c r="EV20" s="135"/>
      <c r="EW20" s="135"/>
      <c r="EX20" s="135"/>
      <c r="EY20" s="135"/>
      <c r="EZ20" s="135"/>
      <c r="FA20" s="135"/>
      <c r="FB20" s="135"/>
      <c r="FC20" s="135"/>
      <c r="FD20" s="135"/>
      <c r="FE20" s="135"/>
      <c r="FF20" s="135"/>
      <c r="FG20" s="135"/>
      <c r="FH20" s="135"/>
      <c r="FI20" s="135"/>
      <c r="FJ20" s="135"/>
      <c r="FK20" s="135"/>
      <c r="FL20" s="135"/>
      <c r="FM20" s="135"/>
      <c r="FN20" s="135"/>
      <c r="FO20" s="135"/>
      <c r="FP20" s="135"/>
      <c r="FQ20" s="135"/>
      <c r="FR20" s="135"/>
      <c r="FS20" s="135"/>
      <c r="FT20" s="135"/>
      <c r="FU20" s="135"/>
      <c r="FV20" s="135"/>
      <c r="FW20" s="135"/>
      <c r="FX20" s="135"/>
      <c r="FY20" s="135"/>
      <c r="FZ20" s="135"/>
      <c r="GA20" s="135"/>
      <c r="GB20" s="135"/>
      <c r="GC20" s="135"/>
      <c r="GD20" s="135"/>
      <c r="GE20" s="135"/>
      <c r="GF20" s="135"/>
      <c r="GG20" s="135"/>
      <c r="GH20" s="135"/>
      <c r="GI20" s="135"/>
      <c r="GJ20" s="135"/>
      <c r="GK20" s="135"/>
      <c r="GL20" s="135"/>
      <c r="GM20" s="135"/>
      <c r="GN20" s="135"/>
      <c r="GO20" s="135"/>
      <c r="GP20" s="135"/>
      <c r="GQ20" s="135"/>
      <c r="GR20" s="135"/>
      <c r="GS20" s="135"/>
      <c r="GT20" s="135"/>
      <c r="GU20" s="135"/>
      <c r="GV20" s="135"/>
      <c r="GW20" s="135"/>
      <c r="GX20" s="135"/>
      <c r="GY20" s="135"/>
      <c r="GZ20" s="135"/>
      <c r="HA20" s="135"/>
      <c r="HB20" s="135"/>
      <c r="HC20" s="135"/>
      <c r="HD20" s="135"/>
      <c r="HE20" s="135"/>
      <c r="HF20" s="135"/>
      <c r="HG20" s="135"/>
      <c r="HH20" s="135"/>
      <c r="HI20" s="135"/>
      <c r="HJ20" s="135"/>
      <c r="HK20" s="135"/>
      <c r="HL20" s="135"/>
      <c r="HM20" s="135"/>
      <c r="HN20" s="135"/>
      <c r="HO20" s="135"/>
      <c r="HP20" s="135"/>
      <c r="HQ20" s="135"/>
      <c r="HR20" s="135"/>
      <c r="HS20" s="135"/>
      <c r="HT20" s="135"/>
      <c r="HU20" s="135"/>
      <c r="HV20" s="135"/>
      <c r="HW20" s="135"/>
      <c r="HX20" s="135"/>
      <c r="HY20" s="135"/>
      <c r="HZ20" s="135"/>
      <c r="IA20" s="135"/>
      <c r="IB20" s="135"/>
      <c r="IC20" s="135"/>
      <c r="ID20" s="135"/>
      <c r="IE20" s="135"/>
      <c r="IF20" s="135"/>
      <c r="IG20" s="135"/>
      <c r="IH20" s="135"/>
      <c r="II20" s="135"/>
      <c r="IJ20" s="135"/>
      <c r="IK20" s="135"/>
      <c r="IL20" s="135"/>
      <c r="IM20" s="135"/>
      <c r="IN20" s="135"/>
      <c r="IO20" s="135"/>
      <c r="IP20" s="135"/>
      <c r="IQ20" s="135"/>
      <c r="IR20" s="135"/>
      <c r="IS20" s="135"/>
      <c r="IT20" s="135"/>
      <c r="IU20" s="135"/>
    </row>
    <row r="21" spans="1:11" ht="14.25">
      <c r="A21" s="100" t="str">
        <f>HLOOKUP(INDICE!$F$2,Nombres!$C$3:$D$636,84,FALSE)</f>
        <v>(Porcentaje)</v>
      </c>
      <c r="B21" s="118"/>
      <c r="C21" s="118"/>
      <c r="D21" s="132"/>
      <c r="E21" s="132"/>
      <c r="F21" s="118"/>
      <c r="G21" s="118"/>
      <c r="H21" s="132"/>
      <c r="I21" s="132"/>
      <c r="J21" s="128"/>
      <c r="K21" s="128"/>
    </row>
    <row r="22" spans="1:11" ht="14.25">
      <c r="A22" s="101"/>
      <c r="B22" s="123">
        <f>+B$3</f>
        <v>43555</v>
      </c>
      <c r="C22" s="123">
        <f aca="true" t="shared" si="0" ref="C22:I22">+C$3</f>
        <v>43646</v>
      </c>
      <c r="D22" s="123">
        <f t="shared" si="0"/>
        <v>43738</v>
      </c>
      <c r="E22" s="123">
        <f t="shared" si="0"/>
        <v>43830</v>
      </c>
      <c r="F22" s="123">
        <f t="shared" si="0"/>
        <v>43921</v>
      </c>
      <c r="G22" s="123">
        <f t="shared" si="0"/>
        <v>44012</v>
      </c>
      <c r="H22" s="123">
        <f t="shared" si="0"/>
        <v>44104</v>
      </c>
      <c r="I22" s="123">
        <f t="shared" si="0"/>
        <v>44196</v>
      </c>
      <c r="J22" s="128"/>
      <c r="K22" s="128"/>
    </row>
    <row r="23" spans="1:11" ht="14.25">
      <c r="A23" s="101"/>
      <c r="B23" s="136"/>
      <c r="C23" s="136"/>
      <c r="D23" s="132"/>
      <c r="E23" s="132"/>
      <c r="F23" s="136"/>
      <c r="G23" s="136"/>
      <c r="H23" s="132"/>
      <c r="I23" s="132"/>
      <c r="J23" s="128"/>
      <c r="K23" s="128"/>
    </row>
    <row r="24" spans="1:255" ht="14.25">
      <c r="A24" s="106" t="str">
        <f>HLOOKUP(INDICE!$F$2,Nombres!$C$3:$D$636,3,FALSE)</f>
        <v>Grupo BBVA</v>
      </c>
      <c r="B24" s="137">
        <v>74.08333514985355</v>
      </c>
      <c r="C24" s="137">
        <v>74.63307846211158</v>
      </c>
      <c r="D24" s="137">
        <v>75.4239590258165</v>
      </c>
      <c r="E24" s="138">
        <v>76.61105282926411</v>
      </c>
      <c r="F24" s="137">
        <v>85.93109615225586</v>
      </c>
      <c r="G24" s="249">
        <v>85.43052181928229</v>
      </c>
      <c r="H24" s="249">
        <v>85.33785394299862</v>
      </c>
      <c r="I24" s="249">
        <v>81.4892214619879</v>
      </c>
      <c r="J24" s="139"/>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14.25">
      <c r="A25" s="101"/>
      <c r="B25" s="140"/>
      <c r="C25" s="140"/>
      <c r="D25" s="140"/>
      <c r="E25" s="141"/>
      <c r="F25" s="140"/>
      <c r="G25" s="140"/>
      <c r="H25" s="140"/>
      <c r="I25" s="140"/>
      <c r="J25" s="139"/>
      <c r="K25" s="128"/>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7"/>
      <c r="BS25" s="127"/>
      <c r="BT25" s="127"/>
      <c r="BU25" s="127"/>
      <c r="BV25" s="127"/>
      <c r="BW25" s="127"/>
      <c r="BX25" s="127"/>
      <c r="BY25" s="127"/>
      <c r="BZ25" s="127"/>
      <c r="CA25" s="127"/>
      <c r="CB25" s="127"/>
      <c r="CC25" s="127"/>
      <c r="CD25" s="127"/>
      <c r="CE25" s="127"/>
      <c r="CF25" s="127"/>
      <c r="CG25" s="127"/>
      <c r="CH25" s="127"/>
      <c r="CI25" s="127"/>
      <c r="CJ25" s="127"/>
      <c r="CK25" s="127"/>
      <c r="CL25" s="127"/>
      <c r="CM25" s="127"/>
      <c r="CN25" s="127"/>
      <c r="CO25" s="127"/>
      <c r="CP25" s="127"/>
      <c r="CQ25" s="127"/>
      <c r="CR25" s="127"/>
      <c r="CS25" s="127"/>
      <c r="CT25" s="127"/>
      <c r="CU25" s="127"/>
      <c r="CV25" s="127"/>
      <c r="CW25" s="127"/>
      <c r="CX25" s="127"/>
      <c r="CY25" s="127"/>
      <c r="CZ25" s="127"/>
      <c r="DA25" s="127"/>
      <c r="DB25" s="127"/>
      <c r="DC25" s="127"/>
      <c r="DD25" s="127"/>
      <c r="DE25" s="127"/>
      <c r="DF25" s="127"/>
      <c r="DG25" s="127"/>
      <c r="DH25" s="127"/>
      <c r="DI25" s="127"/>
      <c r="DJ25" s="127"/>
      <c r="DK25" s="127"/>
      <c r="DL25" s="127"/>
      <c r="DM25" s="127"/>
      <c r="DN25" s="127"/>
      <c r="DO25" s="127"/>
      <c r="DP25" s="127"/>
      <c r="DQ25" s="127"/>
      <c r="DR25" s="127"/>
      <c r="DS25" s="127"/>
      <c r="DT25" s="127"/>
      <c r="DU25" s="127"/>
      <c r="DV25" s="127"/>
      <c r="DW25" s="127"/>
      <c r="DX25" s="127"/>
      <c r="DY25" s="127"/>
      <c r="DZ25" s="127"/>
      <c r="EA25" s="127"/>
      <c r="EB25" s="127"/>
      <c r="EC25" s="127"/>
      <c r="ED25" s="127"/>
      <c r="EE25" s="127"/>
      <c r="EF25" s="127"/>
      <c r="EG25" s="127"/>
      <c r="EH25" s="127"/>
      <c r="EI25" s="127"/>
      <c r="EJ25" s="127"/>
      <c r="EK25" s="127"/>
      <c r="EL25" s="127"/>
      <c r="EM25" s="127"/>
      <c r="EN25" s="127"/>
      <c r="EO25" s="127"/>
      <c r="EP25" s="127"/>
      <c r="EQ25" s="127"/>
      <c r="ER25" s="127"/>
      <c r="ES25" s="127"/>
      <c r="ET25" s="127"/>
      <c r="EU25" s="127"/>
      <c r="EV25" s="127"/>
      <c r="EW25" s="127"/>
      <c r="EX25" s="127"/>
      <c r="EY25" s="127"/>
      <c r="EZ25" s="127"/>
      <c r="FA25" s="127"/>
      <c r="FB25" s="127"/>
      <c r="FC25" s="127"/>
      <c r="FD25" s="127"/>
      <c r="FE25" s="127"/>
      <c r="FF25" s="127"/>
      <c r="FG25" s="127"/>
      <c r="FH25" s="127"/>
      <c r="FI25" s="127"/>
      <c r="FJ25" s="127"/>
      <c r="FK25" s="127"/>
      <c r="FL25" s="127"/>
      <c r="FM25" s="127"/>
      <c r="FN25" s="127"/>
      <c r="FO25" s="127"/>
      <c r="FP25" s="127"/>
      <c r="FQ25" s="127"/>
      <c r="FR25" s="127"/>
      <c r="FS25" s="127"/>
      <c r="FT25" s="127"/>
      <c r="FU25" s="127"/>
      <c r="FV25" s="127"/>
      <c r="FW25" s="127"/>
      <c r="FX25" s="127"/>
      <c r="FY25" s="127"/>
      <c r="FZ25" s="127"/>
      <c r="GA25" s="127"/>
      <c r="GB25" s="127"/>
      <c r="GC25" s="127"/>
      <c r="GD25" s="127"/>
      <c r="GE25" s="127"/>
      <c r="GF25" s="127"/>
      <c r="GG25" s="127"/>
      <c r="GH25" s="127"/>
      <c r="GI25" s="127"/>
      <c r="GJ25" s="127"/>
      <c r="GK25" s="127"/>
      <c r="GL25" s="127"/>
      <c r="GM25" s="127"/>
      <c r="GN25" s="127"/>
      <c r="GO25" s="127"/>
      <c r="GP25" s="127"/>
      <c r="GQ25" s="127"/>
      <c r="GR25" s="127"/>
      <c r="GS25" s="127"/>
      <c r="GT25" s="127"/>
      <c r="GU25" s="127"/>
      <c r="GV25" s="127"/>
      <c r="GW25" s="127"/>
      <c r="GX25" s="127"/>
      <c r="GY25" s="127"/>
      <c r="GZ25" s="127"/>
      <c r="HA25" s="127"/>
      <c r="HB25" s="127"/>
      <c r="HC25" s="127"/>
      <c r="HD25" s="127"/>
      <c r="HE25" s="127"/>
      <c r="HF25" s="127"/>
      <c r="HG25" s="127"/>
      <c r="HH25" s="127"/>
      <c r="HI25" s="127"/>
      <c r="HJ25" s="127"/>
      <c r="HK25" s="127"/>
      <c r="HL25" s="127"/>
      <c r="HM25" s="127"/>
      <c r="HN25" s="127"/>
      <c r="HO25" s="127"/>
      <c r="HP25" s="127"/>
      <c r="HQ25" s="127"/>
      <c r="HR25" s="127"/>
      <c r="HS25" s="127"/>
      <c r="HT25" s="127"/>
      <c r="HU25" s="127"/>
      <c r="HV25" s="127"/>
      <c r="HW25" s="127"/>
      <c r="HX25" s="127"/>
      <c r="HY25" s="127"/>
      <c r="HZ25" s="127"/>
      <c r="IA25" s="127"/>
      <c r="IB25" s="127"/>
      <c r="IC25" s="127"/>
      <c r="ID25" s="127"/>
      <c r="IE25" s="127"/>
      <c r="IF25" s="127"/>
      <c r="IG25" s="127"/>
      <c r="IH25" s="127"/>
      <c r="II25" s="127"/>
      <c r="IJ25" s="127"/>
      <c r="IK25" s="127"/>
      <c r="IL25" s="127"/>
      <c r="IM25" s="127"/>
      <c r="IN25" s="127"/>
      <c r="IO25" s="127"/>
      <c r="IP25" s="127"/>
      <c r="IQ25" s="127"/>
      <c r="IR25" s="127"/>
      <c r="IS25" s="127"/>
      <c r="IT25" s="127"/>
      <c r="IU25" s="127"/>
    </row>
    <row r="26" spans="1:255" ht="14.25">
      <c r="A26" s="59" t="str">
        <f>HLOOKUP(INDICE!$F$2,Nombres!$C$3:$D$636,7,FALSE)</f>
        <v>España</v>
      </c>
      <c r="B26" s="142">
        <v>57.80994094305567</v>
      </c>
      <c r="C26" s="142">
        <v>57.971644227190055</v>
      </c>
      <c r="D26" s="142">
        <v>58.86825405938978</v>
      </c>
      <c r="E26" s="143">
        <v>59.70507822628394</v>
      </c>
      <c r="F26" s="142">
        <v>66.13243939724384</v>
      </c>
      <c r="G26" s="250">
        <v>65.65056768167248</v>
      </c>
      <c r="H26" s="250">
        <v>67.58018072748976</v>
      </c>
      <c r="I26" s="250">
        <v>66.7790986133544</v>
      </c>
      <c r="J26" s="139"/>
      <c r="K26" s="144"/>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11" ht="14.25">
      <c r="A27" s="101"/>
      <c r="B27" s="140"/>
      <c r="C27" s="140"/>
      <c r="D27" s="140"/>
      <c r="E27" s="141"/>
      <c r="F27" s="140"/>
      <c r="G27" s="140"/>
      <c r="H27" s="140"/>
      <c r="I27" s="140"/>
      <c r="J27" s="139"/>
      <c r="K27" s="128"/>
    </row>
    <row r="28" spans="1:255" ht="14.25">
      <c r="A28" s="59" t="str">
        <f>HLOOKUP(INDICE!$F$2,Nombres!$C$3:$D$636,10,FALSE)</f>
        <v>EEUU</v>
      </c>
      <c r="B28" s="142">
        <v>84.87265564593577</v>
      </c>
      <c r="C28" s="142">
        <v>91.17346647632841</v>
      </c>
      <c r="D28" s="142">
        <v>102.14036710893441</v>
      </c>
      <c r="E28" s="143">
        <v>101.18163272482039</v>
      </c>
      <c r="F28" s="142">
        <v>142.2752532513545</v>
      </c>
      <c r="G28" s="250">
        <v>133.06892371841334</v>
      </c>
      <c r="H28" s="250">
        <v>94.54715959096553</v>
      </c>
      <c r="I28" s="250">
        <v>84.0382283738094</v>
      </c>
      <c r="J28" s="139"/>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11" ht="14.25">
      <c r="A29" s="101"/>
      <c r="B29" s="140"/>
      <c r="C29" s="140"/>
      <c r="D29" s="140"/>
      <c r="E29" s="141"/>
      <c r="F29" s="140"/>
      <c r="G29" s="140"/>
      <c r="H29" s="140"/>
      <c r="I29" s="140"/>
      <c r="J29" s="139"/>
      <c r="K29" s="128"/>
    </row>
    <row r="30" spans="1:255" ht="14.25">
      <c r="A30" s="59" t="str">
        <f>HLOOKUP(INDICE!$F$2,Nombres!$C$3:$D$636,11,FALSE)</f>
        <v>México</v>
      </c>
      <c r="B30" s="142">
        <v>158.74652569918757</v>
      </c>
      <c r="C30" s="142">
        <v>147.66842995668318</v>
      </c>
      <c r="D30" s="142">
        <v>136.2228297468643</v>
      </c>
      <c r="E30" s="143">
        <v>136.33729486919793</v>
      </c>
      <c r="F30" s="142">
        <v>155.1299650820022</v>
      </c>
      <c r="G30" s="250">
        <v>165.45673791558647</v>
      </c>
      <c r="H30" s="250">
        <v>170.20065910476924</v>
      </c>
      <c r="I30" s="250">
        <v>122.10358091012534</v>
      </c>
      <c r="J30" s="139"/>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14.25">
      <c r="A31" s="101"/>
      <c r="B31" s="140"/>
      <c r="C31" s="140"/>
      <c r="D31" s="140"/>
      <c r="E31" s="141"/>
      <c r="F31" s="140"/>
      <c r="G31" s="140"/>
      <c r="H31" s="140"/>
      <c r="I31" s="140"/>
      <c r="J31" s="139"/>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14.25">
      <c r="A32" s="59" t="str">
        <f>HLOOKUP(INDICE!$F$2,Nombres!$C$3:$D$636,12,FALSE)</f>
        <v>Turquía </v>
      </c>
      <c r="B32" s="142">
        <v>77.64504167900049</v>
      </c>
      <c r="C32" s="142">
        <v>75.46014947289873</v>
      </c>
      <c r="D32" s="142">
        <v>74.52845459036169</v>
      </c>
      <c r="E32" s="143">
        <v>75.4109785168987</v>
      </c>
      <c r="F32" s="142">
        <v>86.33491378867349</v>
      </c>
      <c r="G32" s="250">
        <v>81.90898276777581</v>
      </c>
      <c r="H32" s="250">
        <v>81.90746572086384</v>
      </c>
      <c r="I32" s="250">
        <v>79.8690877197722</v>
      </c>
      <c r="J32" s="139"/>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11" ht="14.25">
      <c r="A33" s="101"/>
      <c r="B33" s="140"/>
      <c r="C33" s="140"/>
      <c r="D33" s="140"/>
      <c r="E33" s="141"/>
      <c r="F33" s="140"/>
      <c r="G33" s="140"/>
      <c r="H33" s="140"/>
      <c r="I33" s="140"/>
      <c r="J33" s="139"/>
      <c r="K33" s="128"/>
    </row>
    <row r="34" spans="1:255" ht="14.25">
      <c r="A34" s="59" t="str">
        <f>HLOOKUP(INDICE!$F$2,Nombres!$C$3:$D$636,13,FALSE)</f>
        <v>América del Sur </v>
      </c>
      <c r="B34" s="142">
        <v>95.7417895156241</v>
      </c>
      <c r="C34" s="142">
        <v>95.08380871360156</v>
      </c>
      <c r="D34" s="142">
        <v>96.55302078028674</v>
      </c>
      <c r="E34" s="143">
        <v>99.82865447621964</v>
      </c>
      <c r="F34" s="142">
        <v>104.35242601463545</v>
      </c>
      <c r="G34" s="250">
        <v>107.87035050497826</v>
      </c>
      <c r="H34" s="250">
        <v>109.91333998259583</v>
      </c>
      <c r="I34" s="250">
        <v>110.0138447756332</v>
      </c>
      <c r="J34" s="139"/>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255" ht="14.25">
      <c r="A35" s="101"/>
      <c r="B35" s="145"/>
      <c r="C35" s="145"/>
      <c r="D35" s="145"/>
      <c r="E35" s="146"/>
      <c r="F35" s="145"/>
      <c r="G35" s="251"/>
      <c r="H35" s="251"/>
      <c r="I35" s="251"/>
      <c r="J35" s="139"/>
      <c r="K35" s="128"/>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7"/>
      <c r="BR35" s="127"/>
      <c r="BS35" s="127"/>
      <c r="BT35" s="127"/>
      <c r="BU35" s="127"/>
      <c r="BV35" s="127"/>
      <c r="BW35" s="127"/>
      <c r="BX35" s="127"/>
      <c r="BY35" s="127"/>
      <c r="BZ35" s="127"/>
      <c r="CA35" s="127"/>
      <c r="CB35" s="127"/>
      <c r="CC35" s="127"/>
      <c r="CD35" s="127"/>
      <c r="CE35" s="127"/>
      <c r="CF35" s="127"/>
      <c r="CG35" s="127"/>
      <c r="CH35" s="127"/>
      <c r="CI35" s="127"/>
      <c r="CJ35" s="127"/>
      <c r="CK35" s="127"/>
      <c r="CL35" s="127"/>
      <c r="CM35" s="127"/>
      <c r="CN35" s="127"/>
      <c r="CO35" s="127"/>
      <c r="CP35" s="127"/>
      <c r="CQ35" s="127"/>
      <c r="CR35" s="127"/>
      <c r="CS35" s="127"/>
      <c r="CT35" s="127"/>
      <c r="CU35" s="127"/>
      <c r="CV35" s="127"/>
      <c r="CW35" s="127"/>
      <c r="CX35" s="127"/>
      <c r="CY35" s="127"/>
      <c r="CZ35" s="127"/>
      <c r="DA35" s="127"/>
      <c r="DB35" s="127"/>
      <c r="DC35" s="127"/>
      <c r="DD35" s="127"/>
      <c r="DE35" s="127"/>
      <c r="DF35" s="127"/>
      <c r="DG35" s="127"/>
      <c r="DH35" s="127"/>
      <c r="DI35" s="127"/>
      <c r="DJ35" s="127"/>
      <c r="DK35" s="127"/>
      <c r="DL35" s="127"/>
      <c r="DM35" s="127"/>
      <c r="DN35" s="127"/>
      <c r="DO35" s="127"/>
      <c r="DP35" s="127"/>
      <c r="DQ35" s="127"/>
      <c r="DR35" s="127"/>
      <c r="DS35" s="127"/>
      <c r="DT35" s="127"/>
      <c r="DU35" s="127"/>
      <c r="DV35" s="127"/>
      <c r="DW35" s="127"/>
      <c r="DX35" s="127"/>
      <c r="DY35" s="127"/>
      <c r="DZ35" s="127"/>
      <c r="EA35" s="127"/>
      <c r="EB35" s="127"/>
      <c r="EC35" s="127"/>
      <c r="ED35" s="127"/>
      <c r="EE35" s="127"/>
      <c r="EF35" s="127"/>
      <c r="EG35" s="127"/>
      <c r="EH35" s="127"/>
      <c r="EI35" s="127"/>
      <c r="EJ35" s="127"/>
      <c r="EK35" s="127"/>
      <c r="EL35" s="127"/>
      <c r="EM35" s="127"/>
      <c r="EN35" s="127"/>
      <c r="EO35" s="127"/>
      <c r="EP35" s="127"/>
      <c r="EQ35" s="127"/>
      <c r="ER35" s="127"/>
      <c r="ES35" s="127"/>
      <c r="ET35" s="127"/>
      <c r="EU35" s="127"/>
      <c r="EV35" s="127"/>
      <c r="EW35" s="127"/>
      <c r="EX35" s="127"/>
      <c r="EY35" s="127"/>
      <c r="EZ35" s="127"/>
      <c r="FA35" s="127"/>
      <c r="FB35" s="127"/>
      <c r="FC35" s="127"/>
      <c r="FD35" s="127"/>
      <c r="FE35" s="127"/>
      <c r="FF35" s="127"/>
      <c r="FG35" s="127"/>
      <c r="FH35" s="127"/>
      <c r="FI35" s="127"/>
      <c r="FJ35" s="127"/>
      <c r="FK35" s="127"/>
      <c r="FL35" s="127"/>
      <c r="FM35" s="127"/>
      <c r="FN35" s="127"/>
      <c r="FO35" s="127"/>
      <c r="FP35" s="127"/>
      <c r="FQ35" s="127"/>
      <c r="FR35" s="127"/>
      <c r="FS35" s="127"/>
      <c r="FT35" s="127"/>
      <c r="FU35" s="127"/>
      <c r="FV35" s="127"/>
      <c r="FW35" s="127"/>
      <c r="FX35" s="127"/>
      <c r="FY35" s="127"/>
      <c r="FZ35" s="127"/>
      <c r="GA35" s="127"/>
      <c r="GB35" s="127"/>
      <c r="GC35" s="127"/>
      <c r="GD35" s="127"/>
      <c r="GE35" s="127"/>
      <c r="GF35" s="127"/>
      <c r="GG35" s="127"/>
      <c r="GH35" s="127"/>
      <c r="GI35" s="127"/>
      <c r="GJ35" s="127"/>
      <c r="GK35" s="127"/>
      <c r="GL35" s="127"/>
      <c r="GM35" s="127"/>
      <c r="GN35" s="127"/>
      <c r="GO35" s="127"/>
      <c r="GP35" s="127"/>
      <c r="GQ35" s="127"/>
      <c r="GR35" s="127"/>
      <c r="GS35" s="127"/>
      <c r="GT35" s="127"/>
      <c r="GU35" s="127"/>
      <c r="GV35" s="127"/>
      <c r="GW35" s="127"/>
      <c r="GX35" s="127"/>
      <c r="GY35" s="127"/>
      <c r="GZ35" s="127"/>
      <c r="HA35" s="127"/>
      <c r="HB35" s="127"/>
      <c r="HC35" s="127"/>
      <c r="HD35" s="127"/>
      <c r="HE35" s="127"/>
      <c r="HF35" s="127"/>
      <c r="HG35" s="127"/>
      <c r="HH35" s="127"/>
      <c r="HI35" s="127"/>
      <c r="HJ35" s="127"/>
      <c r="HK35" s="127"/>
      <c r="HL35" s="127"/>
      <c r="HM35" s="127"/>
      <c r="HN35" s="127"/>
      <c r="HO35" s="127"/>
      <c r="HP35" s="127"/>
      <c r="HQ35" s="127"/>
      <c r="HR35" s="127"/>
      <c r="HS35" s="127"/>
      <c r="HT35" s="127"/>
      <c r="HU35" s="127"/>
      <c r="HV35" s="127"/>
      <c r="HW35" s="127"/>
      <c r="HX35" s="127"/>
      <c r="HY35" s="127"/>
      <c r="HZ35" s="127"/>
      <c r="IA35" s="127"/>
      <c r="IB35" s="127"/>
      <c r="IC35" s="127"/>
      <c r="ID35" s="127"/>
      <c r="IE35" s="127"/>
      <c r="IF35" s="127"/>
      <c r="IG35" s="127"/>
      <c r="IH35" s="127"/>
      <c r="II35" s="127"/>
      <c r="IJ35" s="127"/>
      <c r="IK35" s="127"/>
      <c r="IL35" s="127"/>
      <c r="IM35" s="127"/>
      <c r="IN35" s="127"/>
      <c r="IO35" s="127"/>
      <c r="IP35" s="127"/>
      <c r="IQ35" s="127"/>
      <c r="IR35" s="127"/>
      <c r="IS35" s="127"/>
      <c r="IT35" s="127"/>
      <c r="IU35" s="127"/>
    </row>
    <row r="36" spans="1:9" ht="14.25">
      <c r="A36" s="59" t="str">
        <f>HLOOKUP(INDICE!$F$2,Nombres!$C$3:$D$636,18,FALSE)</f>
        <v>Resto de Eurasia</v>
      </c>
      <c r="B36" s="142">
        <v>83.87201053957257</v>
      </c>
      <c r="C36" s="142">
        <v>97.58515774918767</v>
      </c>
      <c r="D36" s="142">
        <v>96.69508985407002</v>
      </c>
      <c r="E36" s="143">
        <v>97.7184024674819</v>
      </c>
      <c r="F36" s="142">
        <v>120.57285550334731</v>
      </c>
      <c r="G36" s="250">
        <v>125.82229057957126</v>
      </c>
      <c r="H36" s="250">
        <v>124.4084881200131</v>
      </c>
      <c r="I36" s="250">
        <v>99.59093553910846</v>
      </c>
    </row>
    <row r="37" spans="1:255" ht="14.25">
      <c r="A37" s="131"/>
      <c r="B37" s="147"/>
      <c r="C37" s="147"/>
      <c r="D37" s="132"/>
      <c r="E37" s="132"/>
      <c r="F37" s="147"/>
      <c r="G37" s="147"/>
      <c r="H37" s="132"/>
      <c r="I37" s="132"/>
      <c r="J37" s="128"/>
      <c r="K37" s="128"/>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7"/>
      <c r="BQ37" s="127"/>
      <c r="BR37" s="127"/>
      <c r="BS37" s="127"/>
      <c r="BT37" s="127"/>
      <c r="BU37" s="127"/>
      <c r="BV37" s="127"/>
      <c r="BW37" s="127"/>
      <c r="BX37" s="127"/>
      <c r="BY37" s="127"/>
      <c r="BZ37" s="127"/>
      <c r="CA37" s="127"/>
      <c r="CB37" s="127"/>
      <c r="CC37" s="127"/>
      <c r="CD37" s="127"/>
      <c r="CE37" s="127"/>
      <c r="CF37" s="127"/>
      <c r="CG37" s="127"/>
      <c r="CH37" s="127"/>
      <c r="CI37" s="127"/>
      <c r="CJ37" s="127"/>
      <c r="CK37" s="127"/>
      <c r="CL37" s="127"/>
      <c r="CM37" s="127"/>
      <c r="CN37" s="127"/>
      <c r="CO37" s="127"/>
      <c r="CP37" s="127"/>
      <c r="CQ37" s="127"/>
      <c r="CR37" s="127"/>
      <c r="CS37" s="127"/>
      <c r="CT37" s="127"/>
      <c r="CU37" s="127"/>
      <c r="CV37" s="127"/>
      <c r="CW37" s="127"/>
      <c r="CX37" s="127"/>
      <c r="CY37" s="127"/>
      <c r="CZ37" s="127"/>
      <c r="DA37" s="127"/>
      <c r="DB37" s="127"/>
      <c r="DC37" s="127"/>
      <c r="DD37" s="127"/>
      <c r="DE37" s="127"/>
      <c r="DF37" s="127"/>
      <c r="DG37" s="127"/>
      <c r="DH37" s="127"/>
      <c r="DI37" s="127"/>
      <c r="DJ37" s="127"/>
      <c r="DK37" s="127"/>
      <c r="DL37" s="127"/>
      <c r="DM37" s="127"/>
      <c r="DN37" s="127"/>
      <c r="DO37" s="127"/>
      <c r="DP37" s="127"/>
      <c r="DQ37" s="127"/>
      <c r="DR37" s="127"/>
      <c r="DS37" s="127"/>
      <c r="DT37" s="127"/>
      <c r="DU37" s="127"/>
      <c r="DV37" s="127"/>
      <c r="DW37" s="127"/>
      <c r="DX37" s="127"/>
      <c r="DY37" s="127"/>
      <c r="DZ37" s="127"/>
      <c r="EA37" s="127"/>
      <c r="EB37" s="127"/>
      <c r="EC37" s="127"/>
      <c r="ED37" s="127"/>
      <c r="EE37" s="127"/>
      <c r="EF37" s="127"/>
      <c r="EG37" s="127"/>
      <c r="EH37" s="127"/>
      <c r="EI37" s="127"/>
      <c r="EJ37" s="127"/>
      <c r="EK37" s="127"/>
      <c r="EL37" s="127"/>
      <c r="EM37" s="127"/>
      <c r="EN37" s="127"/>
      <c r="EO37" s="127"/>
      <c r="EP37" s="127"/>
      <c r="EQ37" s="127"/>
      <c r="ER37" s="127"/>
      <c r="ES37" s="127"/>
      <c r="ET37" s="127"/>
      <c r="EU37" s="127"/>
      <c r="EV37" s="127"/>
      <c r="EW37" s="127"/>
      <c r="EX37" s="127"/>
      <c r="EY37" s="127"/>
      <c r="EZ37" s="127"/>
      <c r="FA37" s="127"/>
      <c r="FB37" s="127"/>
      <c r="FC37" s="127"/>
      <c r="FD37" s="127"/>
      <c r="FE37" s="127"/>
      <c r="FF37" s="127"/>
      <c r="FG37" s="127"/>
      <c r="FH37" s="127"/>
      <c r="FI37" s="127"/>
      <c r="FJ37" s="127"/>
      <c r="FK37" s="127"/>
      <c r="FL37" s="127"/>
      <c r="FM37" s="127"/>
      <c r="FN37" s="127"/>
      <c r="FO37" s="127"/>
      <c r="FP37" s="127"/>
      <c r="FQ37" s="127"/>
      <c r="FR37" s="127"/>
      <c r="FS37" s="127"/>
      <c r="FT37" s="127"/>
      <c r="FU37" s="127"/>
      <c r="FV37" s="127"/>
      <c r="FW37" s="127"/>
      <c r="FX37" s="127"/>
      <c r="FY37" s="127"/>
      <c r="FZ37" s="127"/>
      <c r="GA37" s="127"/>
      <c r="GB37" s="127"/>
      <c r="GC37" s="127"/>
      <c r="GD37" s="127"/>
      <c r="GE37" s="127"/>
      <c r="GF37" s="127"/>
      <c r="GG37" s="127"/>
      <c r="GH37" s="127"/>
      <c r="GI37" s="127"/>
      <c r="GJ37" s="127"/>
      <c r="GK37" s="127"/>
      <c r="GL37" s="127"/>
      <c r="GM37" s="127"/>
      <c r="GN37" s="127"/>
      <c r="GO37" s="127"/>
      <c r="GP37" s="127"/>
      <c r="GQ37" s="127"/>
      <c r="GR37" s="127"/>
      <c r="GS37" s="127"/>
      <c r="GT37" s="127"/>
      <c r="GU37" s="127"/>
      <c r="GV37" s="127"/>
      <c r="GW37" s="127"/>
      <c r="GX37" s="127"/>
      <c r="GY37" s="127"/>
      <c r="GZ37" s="127"/>
      <c r="HA37" s="127"/>
      <c r="HB37" s="127"/>
      <c r="HC37" s="127"/>
      <c r="HD37" s="127"/>
      <c r="HE37" s="127"/>
      <c r="HF37" s="127"/>
      <c r="HG37" s="127"/>
      <c r="HH37" s="127"/>
      <c r="HI37" s="127"/>
      <c r="HJ37" s="127"/>
      <c r="HK37" s="127"/>
      <c r="HL37" s="127"/>
      <c r="HM37" s="127"/>
      <c r="HN37" s="127"/>
      <c r="HO37" s="127"/>
      <c r="HP37" s="127"/>
      <c r="HQ37" s="127"/>
      <c r="HR37" s="127"/>
      <c r="HS37" s="127"/>
      <c r="HT37" s="127"/>
      <c r="HU37" s="127"/>
      <c r="HV37" s="127"/>
      <c r="HW37" s="127"/>
      <c r="HX37" s="127"/>
      <c r="HY37" s="127"/>
      <c r="HZ37" s="127"/>
      <c r="IA37" s="127"/>
      <c r="IB37" s="127"/>
      <c r="IC37" s="127"/>
      <c r="ID37" s="127"/>
      <c r="IE37" s="127"/>
      <c r="IF37" s="127"/>
      <c r="IG37" s="127"/>
      <c r="IH37" s="127"/>
      <c r="II37" s="127"/>
      <c r="IJ37" s="127"/>
      <c r="IK37" s="127"/>
      <c r="IL37" s="127"/>
      <c r="IM37" s="127"/>
      <c r="IN37" s="127"/>
      <c r="IO37" s="127"/>
      <c r="IP37" s="127"/>
      <c r="IQ37" s="127"/>
      <c r="IR37" s="127"/>
      <c r="IS37" s="127"/>
      <c r="IT37" s="127"/>
      <c r="IU37" s="127"/>
    </row>
    <row r="38" spans="1:11" ht="14.25">
      <c r="A38" s="101"/>
      <c r="B38" s="147"/>
      <c r="C38" s="147"/>
      <c r="D38" s="132"/>
      <c r="E38" s="132"/>
      <c r="F38" s="147"/>
      <c r="G38" s="147"/>
      <c r="H38" s="132"/>
      <c r="I38" s="132"/>
      <c r="J38" s="128"/>
      <c r="K38" s="128"/>
    </row>
    <row r="39" spans="1:11" ht="16.5">
      <c r="A39" s="97" t="str">
        <f>HLOOKUP(INDICE!$F$2,Nombres!$C$3:$D$636,87,FALSE)</f>
        <v>Coste del riesgo acumulado</v>
      </c>
      <c r="B39" s="133"/>
      <c r="C39" s="133"/>
      <c r="D39" s="134"/>
      <c r="E39" s="134"/>
      <c r="F39" s="133"/>
      <c r="G39" s="133"/>
      <c r="H39" s="134"/>
      <c r="I39" s="134"/>
      <c r="J39" s="128"/>
      <c r="K39" s="128"/>
    </row>
    <row r="40" spans="1:11" ht="14.25">
      <c r="A40" s="100" t="str">
        <f>HLOOKUP(INDICE!$F$2,Nombres!$C$3:$D$636,84,FALSE)</f>
        <v>(Porcentaje)</v>
      </c>
      <c r="B40" s="147"/>
      <c r="C40" s="147"/>
      <c r="D40" s="132"/>
      <c r="E40" s="132"/>
      <c r="F40" s="147"/>
      <c r="G40" s="147"/>
      <c r="H40" s="132"/>
      <c r="I40" s="132"/>
      <c r="J40" s="128"/>
      <c r="K40" s="128"/>
    </row>
    <row r="41" spans="1:11" ht="14.25">
      <c r="A41" s="101"/>
      <c r="B41" s="123">
        <f>+B$3</f>
        <v>43555</v>
      </c>
      <c r="C41" s="123">
        <f aca="true" t="shared" si="1" ref="C41:I41">+C$3</f>
        <v>43646</v>
      </c>
      <c r="D41" s="123">
        <f t="shared" si="1"/>
        <v>43738</v>
      </c>
      <c r="E41" s="123">
        <f t="shared" si="1"/>
        <v>43830</v>
      </c>
      <c r="F41" s="123">
        <f t="shared" si="1"/>
        <v>43921</v>
      </c>
      <c r="G41" s="123">
        <f t="shared" si="1"/>
        <v>44012</v>
      </c>
      <c r="H41" s="123">
        <f t="shared" si="1"/>
        <v>44104</v>
      </c>
      <c r="I41" s="123">
        <f t="shared" si="1"/>
        <v>44196</v>
      </c>
      <c r="J41" s="128"/>
      <c r="K41" s="128"/>
    </row>
    <row r="42" spans="1:11" ht="14.25">
      <c r="A42" s="101"/>
      <c r="B42" s="136"/>
      <c r="C42" s="136"/>
      <c r="D42" s="132"/>
      <c r="E42" s="132"/>
      <c r="F42" s="136"/>
      <c r="G42" s="136"/>
      <c r="H42" s="132"/>
      <c r="I42" s="132"/>
      <c r="J42" s="128"/>
      <c r="K42" s="128"/>
    </row>
    <row r="43" spans="1:255" ht="14.25">
      <c r="A43" s="106" t="str">
        <f>HLOOKUP(INDICE!$F$2,Nombres!$C$3:$D$636,3,FALSE)</f>
        <v>Grupo BBVA</v>
      </c>
      <c r="B43" s="148">
        <v>1.0333331447417757</v>
      </c>
      <c r="C43" s="148">
        <v>0.8912620201106092</v>
      </c>
      <c r="D43" s="148">
        <v>0.985725717670557</v>
      </c>
      <c r="E43" s="149">
        <v>1.0199473602725737</v>
      </c>
      <c r="F43" s="148">
        <v>2.5744022604407615</v>
      </c>
      <c r="G43" s="148">
        <v>2.039897873339665</v>
      </c>
      <c r="H43" s="252">
        <v>1.6908618970780376</v>
      </c>
      <c r="I43" s="252">
        <v>1.5065673174232468</v>
      </c>
      <c r="J43" s="110"/>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1:255" ht="14.25">
      <c r="A44" s="101"/>
      <c r="B44" s="150"/>
      <c r="C44" s="150"/>
      <c r="D44" s="150"/>
      <c r="E44" s="151"/>
      <c r="F44" s="150"/>
      <c r="G44" s="150"/>
      <c r="H44" s="150"/>
      <c r="I44" s="150"/>
      <c r="J44" s="128"/>
      <c r="K44" s="128"/>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c r="BQ44" s="127"/>
      <c r="BR44" s="127"/>
      <c r="BS44" s="127"/>
      <c r="BT44" s="127"/>
      <c r="BU44" s="127"/>
      <c r="BV44" s="127"/>
      <c r="BW44" s="127"/>
      <c r="BX44" s="127"/>
      <c r="BY44" s="127"/>
      <c r="BZ44" s="127"/>
      <c r="CA44" s="127"/>
      <c r="CB44" s="127"/>
      <c r="CC44" s="127"/>
      <c r="CD44" s="127"/>
      <c r="CE44" s="127"/>
      <c r="CF44" s="127"/>
      <c r="CG44" s="127"/>
      <c r="CH44" s="127"/>
      <c r="CI44" s="127"/>
      <c r="CJ44" s="127"/>
      <c r="CK44" s="127"/>
      <c r="CL44" s="127"/>
      <c r="CM44" s="127"/>
      <c r="CN44" s="127"/>
      <c r="CO44" s="127"/>
      <c r="CP44" s="127"/>
      <c r="CQ44" s="127"/>
      <c r="CR44" s="127"/>
      <c r="CS44" s="127"/>
      <c r="CT44" s="127"/>
      <c r="CU44" s="127"/>
      <c r="CV44" s="127"/>
      <c r="CW44" s="127"/>
      <c r="CX44" s="127"/>
      <c r="CY44" s="127"/>
      <c r="CZ44" s="127"/>
      <c r="DA44" s="127"/>
      <c r="DB44" s="127"/>
      <c r="DC44" s="127"/>
      <c r="DD44" s="127"/>
      <c r="DE44" s="127"/>
      <c r="DF44" s="127"/>
      <c r="DG44" s="127"/>
      <c r="DH44" s="127"/>
      <c r="DI44" s="127"/>
      <c r="DJ44" s="127"/>
      <c r="DK44" s="127"/>
      <c r="DL44" s="127"/>
      <c r="DM44" s="127"/>
      <c r="DN44" s="127"/>
      <c r="DO44" s="127"/>
      <c r="DP44" s="127"/>
      <c r="DQ44" s="127"/>
      <c r="DR44" s="127"/>
      <c r="DS44" s="127"/>
      <c r="DT44" s="127"/>
      <c r="DU44" s="127"/>
      <c r="DV44" s="127"/>
      <c r="DW44" s="127"/>
      <c r="DX44" s="127"/>
      <c r="DY44" s="127"/>
      <c r="DZ44" s="127"/>
      <c r="EA44" s="127"/>
      <c r="EB44" s="127"/>
      <c r="EC44" s="127"/>
      <c r="ED44" s="127"/>
      <c r="EE44" s="127"/>
      <c r="EF44" s="127"/>
      <c r="EG44" s="127"/>
      <c r="EH44" s="127"/>
      <c r="EI44" s="127"/>
      <c r="EJ44" s="127"/>
      <c r="EK44" s="127"/>
      <c r="EL44" s="127"/>
      <c r="EM44" s="127"/>
      <c r="EN44" s="127"/>
      <c r="EO44" s="127"/>
      <c r="EP44" s="127"/>
      <c r="EQ44" s="127"/>
      <c r="ER44" s="127"/>
      <c r="ES44" s="127"/>
      <c r="ET44" s="127"/>
      <c r="EU44" s="127"/>
      <c r="EV44" s="127"/>
      <c r="EW44" s="127"/>
      <c r="EX44" s="127"/>
      <c r="EY44" s="127"/>
      <c r="EZ44" s="127"/>
      <c r="FA44" s="127"/>
      <c r="FB44" s="127"/>
      <c r="FC44" s="127"/>
      <c r="FD44" s="127"/>
      <c r="FE44" s="127"/>
      <c r="FF44" s="127"/>
      <c r="FG44" s="127"/>
      <c r="FH44" s="127"/>
      <c r="FI44" s="127"/>
      <c r="FJ44" s="127"/>
      <c r="FK44" s="127"/>
      <c r="FL44" s="127"/>
      <c r="FM44" s="127"/>
      <c r="FN44" s="127"/>
      <c r="FO44" s="127"/>
      <c r="FP44" s="127"/>
      <c r="FQ44" s="127"/>
      <c r="FR44" s="127"/>
      <c r="FS44" s="127"/>
      <c r="FT44" s="127"/>
      <c r="FU44" s="127"/>
      <c r="FV44" s="127"/>
      <c r="FW44" s="127"/>
      <c r="FX44" s="127"/>
      <c r="FY44" s="127"/>
      <c r="FZ44" s="127"/>
      <c r="GA44" s="127"/>
      <c r="GB44" s="127"/>
      <c r="GC44" s="127"/>
      <c r="GD44" s="127"/>
      <c r="GE44" s="127"/>
      <c r="GF44" s="127"/>
      <c r="GG44" s="127"/>
      <c r="GH44" s="127"/>
      <c r="GI44" s="127"/>
      <c r="GJ44" s="127"/>
      <c r="GK44" s="127"/>
      <c r="GL44" s="127"/>
      <c r="GM44" s="127"/>
      <c r="GN44" s="127"/>
      <c r="GO44" s="127"/>
      <c r="GP44" s="127"/>
      <c r="GQ44" s="127"/>
      <c r="GR44" s="127"/>
      <c r="GS44" s="127"/>
      <c r="GT44" s="127"/>
      <c r="GU44" s="127"/>
      <c r="GV44" s="127"/>
      <c r="GW44" s="127"/>
      <c r="GX44" s="127"/>
      <c r="GY44" s="127"/>
      <c r="GZ44" s="127"/>
      <c r="HA44" s="127"/>
      <c r="HB44" s="127"/>
      <c r="HC44" s="127"/>
      <c r="HD44" s="127"/>
      <c r="HE44" s="127"/>
      <c r="HF44" s="127"/>
      <c r="HG44" s="127"/>
      <c r="HH44" s="127"/>
      <c r="HI44" s="127"/>
      <c r="HJ44" s="127"/>
      <c r="HK44" s="127"/>
      <c r="HL44" s="127"/>
      <c r="HM44" s="127"/>
      <c r="HN44" s="127"/>
      <c r="HO44" s="127"/>
      <c r="HP44" s="127"/>
      <c r="HQ44" s="127"/>
      <c r="HR44" s="127"/>
      <c r="HS44" s="127"/>
      <c r="HT44" s="127"/>
      <c r="HU44" s="127"/>
      <c r="HV44" s="127"/>
      <c r="HW44" s="127"/>
      <c r="HX44" s="127"/>
      <c r="HY44" s="127"/>
      <c r="HZ44" s="127"/>
      <c r="IA44" s="127"/>
      <c r="IB44" s="127"/>
      <c r="IC44" s="127"/>
      <c r="ID44" s="127"/>
      <c r="IE44" s="127"/>
      <c r="IF44" s="127"/>
      <c r="IG44" s="127"/>
      <c r="IH44" s="127"/>
      <c r="II44" s="127"/>
      <c r="IJ44" s="127"/>
      <c r="IK44" s="127"/>
      <c r="IL44" s="127"/>
      <c r="IM44" s="127"/>
      <c r="IN44" s="127"/>
      <c r="IO44" s="127"/>
      <c r="IP44" s="127"/>
      <c r="IQ44" s="127"/>
      <c r="IR44" s="127"/>
      <c r="IS44" s="127"/>
      <c r="IT44" s="127"/>
      <c r="IU44" s="127"/>
    </row>
    <row r="45" spans="1:255" ht="14.25">
      <c r="A45" s="59" t="str">
        <f>HLOOKUP(INDICE!$F$2,Nombres!$C$3:$D$636,7,FALSE)</f>
        <v>España</v>
      </c>
      <c r="B45" s="152">
        <v>0.1234276495120529</v>
      </c>
      <c r="C45" s="152">
        <v>-0.08475447665859123</v>
      </c>
      <c r="D45" s="152">
        <v>0.034578801410655495</v>
      </c>
      <c r="E45" s="153">
        <v>0.07785893665748483</v>
      </c>
      <c r="F45" s="152">
        <v>1.544409409647122</v>
      </c>
      <c r="G45" s="253">
        <v>0.9979745714575966</v>
      </c>
      <c r="H45" s="253">
        <v>0.7988389827135876</v>
      </c>
      <c r="I45" s="253">
        <v>0.6717907441060198</v>
      </c>
      <c r="J45" s="110"/>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1:11" ht="14.25">
      <c r="A46" s="101"/>
      <c r="B46" s="150"/>
      <c r="C46" s="150"/>
      <c r="D46" s="150"/>
      <c r="E46" s="151"/>
      <c r="F46" s="150"/>
      <c r="G46" s="150"/>
      <c r="H46" s="150"/>
      <c r="I46" s="150"/>
      <c r="J46" s="128"/>
      <c r="K46" s="128"/>
    </row>
    <row r="47" spans="1:255" ht="14.25">
      <c r="A47" s="59" t="str">
        <f>HLOOKUP(INDICE!$F$2,Nombres!$C$3:$D$636,10,FALSE)</f>
        <v>EEUU</v>
      </c>
      <c r="B47" s="152">
        <v>1.0569485211591347</v>
      </c>
      <c r="C47" s="152">
        <v>0.9371799424657477</v>
      </c>
      <c r="D47" s="152">
        <v>0.8738324074603137</v>
      </c>
      <c r="E47" s="153">
        <v>0.8815652437952928</v>
      </c>
      <c r="F47" s="152">
        <v>2.5996849918249643</v>
      </c>
      <c r="G47" s="253">
        <v>1.7991069947499523</v>
      </c>
      <c r="H47" s="253">
        <v>1.6856028126923228</v>
      </c>
      <c r="I47" s="253">
        <v>1.180468669304012</v>
      </c>
      <c r="J47" s="110"/>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1:255" ht="14.25">
      <c r="A48" s="101"/>
      <c r="B48" s="150"/>
      <c r="C48" s="150"/>
      <c r="D48" s="150"/>
      <c r="E48" s="151"/>
      <c r="F48" s="150"/>
      <c r="G48" s="150"/>
      <c r="H48" s="150"/>
      <c r="I48" s="150"/>
      <c r="J48" s="110"/>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1:255" ht="14.25">
      <c r="A49" s="59" t="str">
        <f>HLOOKUP(INDICE!$F$2,Nombres!$C$3:$D$636,11,FALSE)</f>
        <v>México</v>
      </c>
      <c r="B49" s="152">
        <v>2.927113611979617</v>
      </c>
      <c r="C49" s="152">
        <v>2.9809075380220866</v>
      </c>
      <c r="D49" s="152">
        <v>2.9782791981454326</v>
      </c>
      <c r="E49" s="153">
        <v>3.0092318086992624</v>
      </c>
      <c r="F49" s="152">
        <v>5.295406173722853</v>
      </c>
      <c r="G49" s="253">
        <v>4.9524596348533745</v>
      </c>
      <c r="H49" s="253">
        <v>4.270227834950893</v>
      </c>
      <c r="I49" s="253">
        <v>4.016938734810665</v>
      </c>
      <c r="J49" s="110"/>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1:11" ht="14.25">
      <c r="A50" s="101"/>
      <c r="B50" s="150"/>
      <c r="C50" s="150"/>
      <c r="D50" s="150"/>
      <c r="E50" s="151"/>
      <c r="F50" s="150"/>
      <c r="G50" s="150"/>
      <c r="H50" s="150"/>
      <c r="I50" s="150"/>
      <c r="J50" s="128"/>
      <c r="K50" s="128"/>
    </row>
    <row r="51" spans="1:255" ht="14.25">
      <c r="A51" s="59" t="str">
        <f>HLOOKUP(INDICE!$F$2,Nombres!$C$3:$D$636,12,FALSE)</f>
        <v>Turquía </v>
      </c>
      <c r="B51" s="152">
        <v>1.8248649866104254</v>
      </c>
      <c r="C51" s="152">
        <v>1.5677462595029057</v>
      </c>
      <c r="D51" s="152">
        <v>1.9872476707283087</v>
      </c>
      <c r="E51" s="153">
        <v>2.0680710457236664</v>
      </c>
      <c r="F51" s="152">
        <v>3.8024182672734006</v>
      </c>
      <c r="G51" s="253">
        <v>2.712512697205996</v>
      </c>
      <c r="H51" s="253">
        <v>2.0049306351797798</v>
      </c>
      <c r="I51" s="253">
        <v>2.134983801788742</v>
      </c>
      <c r="J51" s="110"/>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1:11" ht="14.25">
      <c r="A52" s="101"/>
      <c r="B52" s="150"/>
      <c r="C52" s="150"/>
      <c r="D52" s="150"/>
      <c r="E52" s="151"/>
      <c r="F52" s="150"/>
      <c r="G52" s="150"/>
      <c r="H52" s="150"/>
      <c r="I52" s="150"/>
      <c r="J52" s="128"/>
      <c r="K52" s="128"/>
    </row>
    <row r="53" spans="1:255" ht="14.25">
      <c r="A53" s="59" t="str">
        <f>HLOOKUP(INDICE!$F$2,Nombres!$C$3:$D$636,13,FALSE)</f>
        <v>América del Sur </v>
      </c>
      <c r="B53" s="152">
        <v>1.9374738013166797</v>
      </c>
      <c r="C53" s="152">
        <v>1.8853968635210474</v>
      </c>
      <c r="D53" s="152">
        <v>1.9088296075876736</v>
      </c>
      <c r="E53" s="153">
        <v>1.8795182409744322</v>
      </c>
      <c r="F53" s="152">
        <v>2.9978563658050255</v>
      </c>
      <c r="G53" s="253">
        <v>3.1004639627851667</v>
      </c>
      <c r="H53" s="253">
        <v>2.4878915183229866</v>
      </c>
      <c r="I53" s="253">
        <v>2.35718381031418</v>
      </c>
      <c r="J53" s="110"/>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row>
    <row r="54" spans="1:255" ht="14.25">
      <c r="A54" s="101"/>
      <c r="B54" s="154"/>
      <c r="C54" s="154"/>
      <c r="D54" s="154"/>
      <c r="E54" s="155"/>
      <c r="F54" s="154"/>
      <c r="G54" s="254"/>
      <c r="H54" s="254"/>
      <c r="I54" s="254"/>
      <c r="J54" s="128"/>
      <c r="K54" s="128"/>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c r="BC54" s="127"/>
      <c r="BD54" s="127"/>
      <c r="BE54" s="127"/>
      <c r="BF54" s="127"/>
      <c r="BG54" s="127"/>
      <c r="BH54" s="127"/>
      <c r="BI54" s="127"/>
      <c r="BJ54" s="127"/>
      <c r="BK54" s="127"/>
      <c r="BL54" s="127"/>
      <c r="BM54" s="127"/>
      <c r="BN54" s="127"/>
      <c r="BO54" s="127"/>
      <c r="BP54" s="127"/>
      <c r="BQ54" s="127"/>
      <c r="BR54" s="127"/>
      <c r="BS54" s="127"/>
      <c r="BT54" s="127"/>
      <c r="BU54" s="127"/>
      <c r="BV54" s="127"/>
      <c r="BW54" s="127"/>
      <c r="BX54" s="127"/>
      <c r="BY54" s="127"/>
      <c r="BZ54" s="127"/>
      <c r="CA54" s="127"/>
      <c r="CB54" s="127"/>
      <c r="CC54" s="127"/>
      <c r="CD54" s="127"/>
      <c r="CE54" s="127"/>
      <c r="CF54" s="127"/>
      <c r="CG54" s="127"/>
      <c r="CH54" s="127"/>
      <c r="CI54" s="127"/>
      <c r="CJ54" s="127"/>
      <c r="CK54" s="127"/>
      <c r="CL54" s="127"/>
      <c r="CM54" s="127"/>
      <c r="CN54" s="127"/>
      <c r="CO54" s="127"/>
      <c r="CP54" s="127"/>
      <c r="CQ54" s="127"/>
      <c r="CR54" s="127"/>
      <c r="CS54" s="127"/>
      <c r="CT54" s="127"/>
      <c r="CU54" s="127"/>
      <c r="CV54" s="127"/>
      <c r="CW54" s="127"/>
      <c r="CX54" s="127"/>
      <c r="CY54" s="127"/>
      <c r="CZ54" s="127"/>
      <c r="DA54" s="127"/>
      <c r="DB54" s="127"/>
      <c r="DC54" s="127"/>
      <c r="DD54" s="127"/>
      <c r="DE54" s="127"/>
      <c r="DF54" s="127"/>
      <c r="DG54" s="127"/>
      <c r="DH54" s="127"/>
      <c r="DI54" s="127"/>
      <c r="DJ54" s="127"/>
      <c r="DK54" s="127"/>
      <c r="DL54" s="127"/>
      <c r="DM54" s="127"/>
      <c r="DN54" s="127"/>
      <c r="DO54" s="127"/>
      <c r="DP54" s="127"/>
      <c r="DQ54" s="127"/>
      <c r="DR54" s="127"/>
      <c r="DS54" s="127"/>
      <c r="DT54" s="127"/>
      <c r="DU54" s="127"/>
      <c r="DV54" s="127"/>
      <c r="DW54" s="127"/>
      <c r="DX54" s="127"/>
      <c r="DY54" s="127"/>
      <c r="DZ54" s="127"/>
      <c r="EA54" s="127"/>
      <c r="EB54" s="127"/>
      <c r="EC54" s="127"/>
      <c r="ED54" s="127"/>
      <c r="EE54" s="127"/>
      <c r="EF54" s="127"/>
      <c r="EG54" s="127"/>
      <c r="EH54" s="127"/>
      <c r="EI54" s="127"/>
      <c r="EJ54" s="127"/>
      <c r="EK54" s="127"/>
      <c r="EL54" s="127"/>
      <c r="EM54" s="127"/>
      <c r="EN54" s="127"/>
      <c r="EO54" s="127"/>
      <c r="EP54" s="127"/>
      <c r="EQ54" s="127"/>
      <c r="ER54" s="127"/>
      <c r="ES54" s="127"/>
      <c r="ET54" s="127"/>
      <c r="EU54" s="127"/>
      <c r="EV54" s="127"/>
      <c r="EW54" s="127"/>
      <c r="EX54" s="127"/>
      <c r="EY54" s="127"/>
      <c r="EZ54" s="127"/>
      <c r="FA54" s="127"/>
      <c r="FB54" s="127"/>
      <c r="FC54" s="127"/>
      <c r="FD54" s="127"/>
      <c r="FE54" s="127"/>
      <c r="FF54" s="127"/>
      <c r="FG54" s="127"/>
      <c r="FH54" s="127"/>
      <c r="FI54" s="127"/>
      <c r="FJ54" s="127"/>
      <c r="FK54" s="127"/>
      <c r="FL54" s="127"/>
      <c r="FM54" s="127"/>
      <c r="FN54" s="127"/>
      <c r="FO54" s="127"/>
      <c r="FP54" s="127"/>
      <c r="FQ54" s="127"/>
      <c r="FR54" s="127"/>
      <c r="FS54" s="127"/>
      <c r="FT54" s="127"/>
      <c r="FU54" s="127"/>
      <c r="FV54" s="127"/>
      <c r="FW54" s="127"/>
      <c r="FX54" s="127"/>
      <c r="FY54" s="127"/>
      <c r="FZ54" s="127"/>
      <c r="GA54" s="127"/>
      <c r="GB54" s="127"/>
      <c r="GC54" s="127"/>
      <c r="GD54" s="127"/>
      <c r="GE54" s="127"/>
      <c r="GF54" s="127"/>
      <c r="GG54" s="127"/>
      <c r="GH54" s="127"/>
      <c r="GI54" s="127"/>
      <c r="GJ54" s="127"/>
      <c r="GK54" s="127"/>
      <c r="GL54" s="127"/>
      <c r="GM54" s="127"/>
      <c r="GN54" s="127"/>
      <c r="GO54" s="127"/>
      <c r="GP54" s="127"/>
      <c r="GQ54" s="127"/>
      <c r="GR54" s="127"/>
      <c r="GS54" s="127"/>
      <c r="GT54" s="127"/>
      <c r="GU54" s="127"/>
      <c r="GV54" s="127"/>
      <c r="GW54" s="127"/>
      <c r="GX54" s="127"/>
      <c r="GY54" s="127"/>
      <c r="GZ54" s="127"/>
      <c r="HA54" s="127"/>
      <c r="HB54" s="127"/>
      <c r="HC54" s="127"/>
      <c r="HD54" s="127"/>
      <c r="HE54" s="127"/>
      <c r="HF54" s="127"/>
      <c r="HG54" s="127"/>
      <c r="HH54" s="127"/>
      <c r="HI54" s="127"/>
      <c r="HJ54" s="127"/>
      <c r="HK54" s="127"/>
      <c r="HL54" s="127"/>
      <c r="HM54" s="127"/>
      <c r="HN54" s="127"/>
      <c r="HO54" s="127"/>
      <c r="HP54" s="127"/>
      <c r="HQ54" s="127"/>
      <c r="HR54" s="127"/>
      <c r="HS54" s="127"/>
      <c r="HT54" s="127"/>
      <c r="HU54" s="127"/>
      <c r="HV54" s="127"/>
      <c r="HW54" s="127"/>
      <c r="HX54" s="127"/>
      <c r="HY54" s="127"/>
      <c r="HZ54" s="127"/>
      <c r="IA54" s="127"/>
      <c r="IB54" s="127"/>
      <c r="IC54" s="127"/>
      <c r="ID54" s="127"/>
      <c r="IE54" s="127"/>
      <c r="IF54" s="127"/>
      <c r="IG54" s="127"/>
      <c r="IH54" s="127"/>
      <c r="II54" s="127"/>
      <c r="IJ54" s="127"/>
      <c r="IK54" s="127"/>
      <c r="IL54" s="127"/>
      <c r="IM54" s="127"/>
      <c r="IN54" s="127"/>
      <c r="IO54" s="127"/>
      <c r="IP54" s="127"/>
      <c r="IQ54" s="127"/>
      <c r="IR54" s="127"/>
      <c r="IS54" s="127"/>
      <c r="IT54" s="127"/>
      <c r="IU54" s="127"/>
    </row>
    <row r="55" spans="1:9" ht="14.25">
      <c r="A55" s="59" t="str">
        <f>HLOOKUP(INDICE!$F$2,Nombres!$C$3:$D$636,18,FALSE)</f>
        <v>Resto de Eurasia</v>
      </c>
      <c r="B55" s="152">
        <v>0.2355583362775045</v>
      </c>
      <c r="C55" s="152">
        <v>0.11956787130641562</v>
      </c>
      <c r="D55" s="152">
        <v>0.04861133142621849</v>
      </c>
      <c r="E55" s="153">
        <v>0.02378945522420447</v>
      </c>
      <c r="F55" s="152">
        <v>-0.12362220436503608</v>
      </c>
      <c r="G55" s="253">
        <v>0.32236295094849116</v>
      </c>
      <c r="H55" s="253">
        <v>0.3008311682899301</v>
      </c>
      <c r="I55" s="253">
        <v>0.18047756646662372</v>
      </c>
    </row>
    <row r="56" spans="1:9" ht="14.25">
      <c r="A56" s="131"/>
      <c r="B56" s="101"/>
      <c r="C56" s="147"/>
      <c r="D56" s="147"/>
      <c r="E56" s="147"/>
      <c r="F56" s="101"/>
      <c r="G56" s="255"/>
      <c r="H56" s="255"/>
      <c r="I56" s="255"/>
    </row>
    <row r="57" spans="1:9" ht="14.25">
      <c r="A57" s="101"/>
      <c r="B57" s="101"/>
      <c r="C57" s="101"/>
      <c r="D57" s="101"/>
      <c r="E57" s="101"/>
      <c r="F57" s="101"/>
      <c r="G57" s="101"/>
      <c r="H57" s="101"/>
      <c r="I57" s="101"/>
    </row>
    <row r="58" spans="1:9" ht="14.25">
      <c r="A58" s="101"/>
      <c r="B58" s="101"/>
      <c r="C58" s="101"/>
      <c r="D58" s="101"/>
      <c r="E58" s="101"/>
      <c r="F58" s="101"/>
      <c r="G58" s="101"/>
      <c r="H58" s="101"/>
      <c r="I58" s="101"/>
    </row>
    <row r="59" spans="1:9" ht="14.25">
      <c r="A59" s="156"/>
      <c r="B59" s="120"/>
      <c r="C59" s="120"/>
      <c r="D59" s="120"/>
      <c r="E59" s="120"/>
      <c r="F59" s="120"/>
      <c r="G59" s="120"/>
      <c r="H59" s="156"/>
      <c r="I59" s="156"/>
    </row>
    <row r="1000" ht="14.25">
      <c r="A1000" s="157" t="s">
        <v>397</v>
      </c>
    </row>
  </sheetData>
  <sheetProtection/>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dimension ref="A1:AO1000"/>
  <sheetViews>
    <sheetView showGridLines="0" zoomScalePageLayoutView="0" workbookViewId="0" topLeftCell="A1">
      <selection activeCell="Q23" sqref="Q23"/>
    </sheetView>
  </sheetViews>
  <sheetFormatPr defaultColWidth="11.421875" defaultRowHeight="15"/>
  <cols>
    <col min="1" max="1" width="23.8515625" style="0" customWidth="1"/>
  </cols>
  <sheetData>
    <row r="1" spans="1:41" ht="16.5">
      <c r="A1" s="256" t="str">
        <f>HLOOKUP(INDICE!$F$2,Nombres!$C$3:$D$636,123,FALSE)</f>
        <v>Oficinas</v>
      </c>
      <c r="B1" s="158"/>
      <c r="C1" s="158"/>
      <c r="D1" s="159"/>
      <c r="E1" s="159"/>
      <c r="F1" s="159"/>
      <c r="G1" s="159"/>
      <c r="H1" s="159"/>
      <c r="I1" s="159"/>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row>
    <row r="2" spans="1:41" ht="33.75" customHeight="1">
      <c r="A2" s="160"/>
      <c r="B2" s="103">
        <f>+España!B30</f>
        <v>43555</v>
      </c>
      <c r="C2" s="103">
        <f>+España!C30</f>
        <v>43646</v>
      </c>
      <c r="D2" s="103">
        <f>+España!D30</f>
        <v>43738</v>
      </c>
      <c r="E2" s="103">
        <f>+España!E30</f>
        <v>43830</v>
      </c>
      <c r="F2" s="103">
        <f>+España!F30</f>
        <v>43921</v>
      </c>
      <c r="G2" s="103">
        <f>+España!G30</f>
        <v>44012</v>
      </c>
      <c r="H2" s="103">
        <f>+España!H30</f>
        <v>44104</v>
      </c>
      <c r="I2" s="103">
        <f>+España!I30</f>
        <v>44196</v>
      </c>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row>
    <row r="3" spans="1:41" ht="14.25">
      <c r="A3" s="257" t="str">
        <f>HLOOKUP(INDICE!$F$2,Nombres!$C$3:$D$636,7,FALSE)</f>
        <v>España</v>
      </c>
      <c r="B3" s="41">
        <v>2774</v>
      </c>
      <c r="C3" s="41">
        <v>2733</v>
      </c>
      <c r="D3" s="41">
        <v>2696</v>
      </c>
      <c r="E3" s="41">
        <v>2642</v>
      </c>
      <c r="F3" s="41">
        <v>2593</v>
      </c>
      <c r="G3" s="41">
        <v>2592</v>
      </c>
      <c r="H3" s="41">
        <v>2521</v>
      </c>
      <c r="I3" s="41">
        <v>2482</v>
      </c>
      <c r="J3" s="54"/>
      <c r="K3" s="31"/>
      <c r="L3" s="120"/>
      <c r="M3" s="120"/>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row>
    <row r="4" spans="1:41" ht="14.25">
      <c r="A4" s="257" t="str">
        <f>HLOOKUP(INDICE!$F$2,Nombres!$C$3:$D$636,10,FALSE)</f>
        <v>EEUU</v>
      </c>
      <c r="B4" s="41">
        <v>643</v>
      </c>
      <c r="C4" s="41">
        <v>644</v>
      </c>
      <c r="D4" s="41">
        <v>643</v>
      </c>
      <c r="E4" s="41">
        <v>643</v>
      </c>
      <c r="F4" s="41">
        <v>643</v>
      </c>
      <c r="G4" s="41">
        <v>643</v>
      </c>
      <c r="H4" s="41">
        <v>639</v>
      </c>
      <c r="I4" s="41">
        <v>639</v>
      </c>
      <c r="J4" s="54"/>
      <c r="K4" s="31"/>
      <c r="L4" s="120"/>
      <c r="M4" s="120"/>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row>
    <row r="5" spans="1:41" ht="14.25">
      <c r="A5" s="257" t="str">
        <f>HLOOKUP(INDICE!$F$2,Nombres!$C$3:$D$636,11,FALSE)</f>
        <v>México</v>
      </c>
      <c r="B5" s="41">
        <v>1794</v>
      </c>
      <c r="C5" s="41">
        <v>1821</v>
      </c>
      <c r="D5" s="41">
        <v>1848</v>
      </c>
      <c r="E5" s="41">
        <v>1860</v>
      </c>
      <c r="F5" s="41">
        <v>1864</v>
      </c>
      <c r="G5" s="41">
        <v>1866</v>
      </c>
      <c r="H5" s="41">
        <v>1814</v>
      </c>
      <c r="I5" s="41">
        <v>1746</v>
      </c>
      <c r="J5" s="54"/>
      <c r="K5" s="31"/>
      <c r="L5" s="120"/>
      <c r="M5" s="120"/>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row>
    <row r="6" spans="1:41" ht="14.25">
      <c r="A6" s="257" t="str">
        <f>HLOOKUP(INDICE!$F$2,Nombres!$C$3:$D$636,12,FALSE)</f>
        <v>Turquía </v>
      </c>
      <c r="B6" s="41">
        <v>1060</v>
      </c>
      <c r="C6" s="41">
        <v>1051</v>
      </c>
      <c r="D6" s="41">
        <v>1044</v>
      </c>
      <c r="E6" s="41">
        <v>1038</v>
      </c>
      <c r="F6" s="41">
        <v>1038</v>
      </c>
      <c r="G6" s="41">
        <v>1035</v>
      </c>
      <c r="H6" s="41">
        <v>1028</v>
      </c>
      <c r="I6" s="41">
        <v>1021</v>
      </c>
      <c r="J6" s="54"/>
      <c r="K6" s="31"/>
      <c r="L6" s="120"/>
      <c r="M6" s="120"/>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row>
    <row r="7" spans="1:41" ht="14.25">
      <c r="A7" s="257" t="str">
        <f>HLOOKUP(INDICE!$F$2,Nombres!$C$3:$D$636,13,FALSE)</f>
        <v>América del Sur </v>
      </c>
      <c r="B7" s="41">
        <v>1541</v>
      </c>
      <c r="C7" s="41">
        <v>1542</v>
      </c>
      <c r="D7" s="41">
        <v>1535</v>
      </c>
      <c r="E7" s="41">
        <v>1530</v>
      </c>
      <c r="F7" s="41">
        <v>1525</v>
      </c>
      <c r="G7" s="41">
        <v>1533</v>
      </c>
      <c r="H7" s="41">
        <v>1533</v>
      </c>
      <c r="I7" s="41">
        <v>1514</v>
      </c>
      <c r="J7" s="54"/>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row>
    <row r="8" spans="1:41" ht="14.25">
      <c r="A8" s="161" t="str">
        <f>HLOOKUP(INDICE!$F$2,Nombres!$C$3:$D$636,14,FALSE)</f>
        <v>Argentina</v>
      </c>
      <c r="B8" s="258">
        <v>253</v>
      </c>
      <c r="C8" s="258">
        <v>253</v>
      </c>
      <c r="D8" s="258">
        <v>252</v>
      </c>
      <c r="E8" s="258">
        <v>252</v>
      </c>
      <c r="F8" s="258">
        <v>247</v>
      </c>
      <c r="G8" s="258">
        <v>248</v>
      </c>
      <c r="H8" s="258">
        <v>248</v>
      </c>
      <c r="I8" s="258">
        <v>248</v>
      </c>
      <c r="J8" s="54"/>
      <c r="K8" s="31"/>
      <c r="L8" s="120"/>
      <c r="M8" s="120"/>
      <c r="N8" s="272"/>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row>
    <row r="9" spans="1:41" ht="14.25">
      <c r="A9" s="259" t="str">
        <f>HLOOKUP(INDICE!$F$2,Nombres!$C$3:$D$636,15,FALSE)</f>
        <v>Chile</v>
      </c>
      <c r="B9" s="44">
        <v>14</v>
      </c>
      <c r="C9" s="44">
        <v>14</v>
      </c>
      <c r="D9" s="44">
        <v>18</v>
      </c>
      <c r="E9" s="44">
        <v>17</v>
      </c>
      <c r="F9" s="44">
        <v>17</v>
      </c>
      <c r="G9" s="44">
        <v>17</v>
      </c>
      <c r="H9" s="44">
        <v>17</v>
      </c>
      <c r="I9" s="44">
        <v>17</v>
      </c>
      <c r="J9" s="54"/>
      <c r="K9" s="31"/>
      <c r="L9" s="120"/>
      <c r="M9" s="120"/>
      <c r="N9" s="272"/>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row>
    <row r="10" spans="1:41" ht="14.25">
      <c r="A10" s="259" t="str">
        <f>HLOOKUP(INDICE!$F$2,Nombres!$C$3:$D$636,16,FALSE)</f>
        <v>Colombia</v>
      </c>
      <c r="B10" s="44">
        <v>557</v>
      </c>
      <c r="C10" s="44">
        <v>557</v>
      </c>
      <c r="D10" s="44">
        <v>548</v>
      </c>
      <c r="E10" s="44">
        <v>551</v>
      </c>
      <c r="F10" s="44">
        <v>551</v>
      </c>
      <c r="G10" s="44">
        <v>560</v>
      </c>
      <c r="H10" s="44">
        <v>559</v>
      </c>
      <c r="I10" s="44">
        <v>540</v>
      </c>
      <c r="J10" s="54"/>
      <c r="K10" s="120"/>
      <c r="L10" s="120"/>
      <c r="M10" s="120"/>
      <c r="N10" s="272"/>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row>
    <row r="11" spans="1:41" ht="14.25">
      <c r="A11" s="259" t="str">
        <f>HLOOKUP(INDICE!$F$2,Nombres!$C$3:$D$636,17,FALSE)</f>
        <v>Perú</v>
      </c>
      <c r="B11" s="44">
        <v>332</v>
      </c>
      <c r="C11" s="44">
        <v>333</v>
      </c>
      <c r="D11" s="44">
        <v>333</v>
      </c>
      <c r="E11" s="44">
        <v>332</v>
      </c>
      <c r="F11" s="44">
        <v>332</v>
      </c>
      <c r="G11" s="44">
        <v>332</v>
      </c>
      <c r="H11" s="44">
        <v>332</v>
      </c>
      <c r="I11" s="44">
        <v>332</v>
      </c>
      <c r="J11" s="54"/>
      <c r="K11" s="120"/>
      <c r="L11" s="120"/>
      <c r="M11" s="120"/>
      <c r="N11" s="272"/>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row>
    <row r="12" spans="1:41" ht="14.25">
      <c r="A12" s="259" t="str">
        <f>HLOOKUP(INDICE!$F$2,Nombres!$C$3:$D$636,89,FALSE)</f>
        <v>Resto de América del Sur</v>
      </c>
      <c r="B12" s="44">
        <v>385</v>
      </c>
      <c r="C12" s="44">
        <v>385</v>
      </c>
      <c r="D12" s="44">
        <v>384</v>
      </c>
      <c r="E12" s="44">
        <v>378</v>
      </c>
      <c r="F12" s="44">
        <v>378</v>
      </c>
      <c r="G12" s="44">
        <v>376</v>
      </c>
      <c r="H12" s="44">
        <v>377</v>
      </c>
      <c r="I12" s="44">
        <v>377</v>
      </c>
      <c r="J12" s="54"/>
      <c r="K12" s="120"/>
      <c r="L12" s="120"/>
      <c r="M12" s="120"/>
      <c r="N12" s="272"/>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row>
    <row r="13" spans="1:41" ht="14.25">
      <c r="A13" s="257" t="str">
        <f>HLOOKUP(INDICE!$F$2,Nombres!$C$3:$D$636,18,FALSE)</f>
        <v>Resto de Eurasia</v>
      </c>
      <c r="B13" s="41">
        <v>32</v>
      </c>
      <c r="C13" s="41">
        <v>32</v>
      </c>
      <c r="D13" s="41">
        <v>32</v>
      </c>
      <c r="E13" s="41">
        <v>31</v>
      </c>
      <c r="F13" s="41">
        <v>31</v>
      </c>
      <c r="G13" s="41">
        <v>30</v>
      </c>
      <c r="H13" s="41">
        <v>30</v>
      </c>
      <c r="I13" s="41">
        <v>30</v>
      </c>
      <c r="J13" s="54"/>
      <c r="K13" s="120"/>
      <c r="L13" s="120"/>
      <c r="M13" s="120"/>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row>
    <row r="14" spans="1:41" ht="14.25">
      <c r="A14" s="257" t="s">
        <v>6</v>
      </c>
      <c r="B14" s="41">
        <f aca="true" t="shared" si="0" ref="B14:I14">+SUM(B3:B6,B8:B13)</f>
        <v>7844</v>
      </c>
      <c r="C14" s="41">
        <f t="shared" si="0"/>
        <v>7823</v>
      </c>
      <c r="D14" s="41">
        <f t="shared" si="0"/>
        <v>7798</v>
      </c>
      <c r="E14" s="41">
        <f t="shared" si="0"/>
        <v>7744</v>
      </c>
      <c r="F14" s="41">
        <f t="shared" si="0"/>
        <v>7694</v>
      </c>
      <c r="G14" s="41">
        <f t="shared" si="0"/>
        <v>7699</v>
      </c>
      <c r="H14" s="41">
        <f t="shared" si="0"/>
        <v>7565</v>
      </c>
      <c r="I14" s="41">
        <f t="shared" si="0"/>
        <v>7432</v>
      </c>
      <c r="J14" s="54"/>
      <c r="K14" s="120"/>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row>
    <row r="15" spans="1:41" ht="14.25">
      <c r="A15" s="162"/>
      <c r="B15" s="163">
        <v>0</v>
      </c>
      <c r="C15" s="163">
        <v>0</v>
      </c>
      <c r="D15" s="163">
        <v>0</v>
      </c>
      <c r="E15" s="163">
        <v>0</v>
      </c>
      <c r="F15" s="163">
        <v>0</v>
      </c>
      <c r="G15" s="163">
        <v>0</v>
      </c>
      <c r="H15" s="163">
        <v>0</v>
      </c>
      <c r="I15" s="163">
        <v>0</v>
      </c>
      <c r="J15" s="31"/>
      <c r="K15" s="120"/>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row>
    <row r="16" spans="1:41" ht="14.25">
      <c r="A16" s="162"/>
      <c r="B16" s="163"/>
      <c r="C16" s="163"/>
      <c r="D16" s="163"/>
      <c r="E16" s="163"/>
      <c r="F16" s="163"/>
      <c r="G16" s="163"/>
      <c r="H16" s="163"/>
      <c r="I16" s="163"/>
      <c r="J16" s="31"/>
      <c r="K16" s="120"/>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row>
    <row r="17" spans="1:41" ht="16.5">
      <c r="A17" s="256" t="str">
        <f>HLOOKUP(INDICE!$F$2,Nombres!$C$3:$D$636,124,FALSE)</f>
        <v>Empleados</v>
      </c>
      <c r="B17" s="158"/>
      <c r="C17" s="158"/>
      <c r="D17" s="159"/>
      <c r="E17" s="159"/>
      <c r="F17" s="159"/>
      <c r="G17" s="159"/>
      <c r="H17" s="159"/>
      <c r="I17" s="159"/>
      <c r="J17" s="164"/>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row>
    <row r="18" spans="1:41" ht="33.75" customHeight="1">
      <c r="A18" s="160"/>
      <c r="B18" s="103">
        <f aca="true" t="shared" si="1" ref="B18:I18">+B$2</f>
        <v>43555</v>
      </c>
      <c r="C18" s="103">
        <f t="shared" si="1"/>
        <v>43646</v>
      </c>
      <c r="D18" s="103">
        <f t="shared" si="1"/>
        <v>43738</v>
      </c>
      <c r="E18" s="103">
        <f t="shared" si="1"/>
        <v>43830</v>
      </c>
      <c r="F18" s="103">
        <f t="shared" si="1"/>
        <v>43921</v>
      </c>
      <c r="G18" s="103">
        <f t="shared" si="1"/>
        <v>44012</v>
      </c>
      <c r="H18" s="103">
        <f t="shared" si="1"/>
        <v>44104</v>
      </c>
      <c r="I18" s="103">
        <f t="shared" si="1"/>
        <v>44196</v>
      </c>
      <c r="J18" s="164"/>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row>
    <row r="19" spans="1:41" ht="14.25">
      <c r="A19" s="257" t="str">
        <f>HLOOKUP(INDICE!$F$2,Nombres!$C$3:$D$636,7,FALSE)</f>
        <v>España</v>
      </c>
      <c r="B19" s="41">
        <v>30292</v>
      </c>
      <c r="C19" s="41">
        <v>30275</v>
      </c>
      <c r="D19" s="41">
        <v>30233</v>
      </c>
      <c r="E19" s="41">
        <v>30283</v>
      </c>
      <c r="F19" s="41">
        <v>29753</v>
      </c>
      <c r="G19" s="41">
        <v>29406</v>
      </c>
      <c r="H19" s="41">
        <v>29475</v>
      </c>
      <c r="I19" s="41">
        <v>29330</v>
      </c>
      <c r="J19" s="120"/>
      <c r="K19" s="41"/>
      <c r="L19" s="31"/>
      <c r="M19" s="54"/>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row>
    <row r="20" spans="1:41" ht="14.25">
      <c r="A20" s="257" t="str">
        <f>HLOOKUP(INDICE!$F$2,Nombres!$C$3:$D$636,10,FALSE)</f>
        <v>EEUU</v>
      </c>
      <c r="B20" s="41">
        <v>10933</v>
      </c>
      <c r="C20" s="41">
        <v>10866</v>
      </c>
      <c r="D20" s="41">
        <v>10771</v>
      </c>
      <c r="E20" s="41">
        <v>10825</v>
      </c>
      <c r="F20" s="41">
        <v>10895</v>
      </c>
      <c r="G20" s="41">
        <v>10945</v>
      </c>
      <c r="H20" s="41">
        <v>10867</v>
      </c>
      <c r="I20" s="41">
        <v>10895</v>
      </c>
      <c r="J20" s="120"/>
      <c r="K20" s="41"/>
      <c r="L20" s="31"/>
      <c r="M20" s="54"/>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row>
    <row r="21" spans="1:41" ht="14.25">
      <c r="A21" s="257" t="str">
        <f>HLOOKUP(INDICE!$F$2,Nombres!$C$3:$D$636,11,FALSE)</f>
        <v>México</v>
      </c>
      <c r="B21" s="41">
        <v>36701</v>
      </c>
      <c r="C21" s="41">
        <v>37335</v>
      </c>
      <c r="D21" s="41">
        <v>37613</v>
      </c>
      <c r="E21" s="41">
        <v>37805</v>
      </c>
      <c r="F21" s="41">
        <v>37885</v>
      </c>
      <c r="G21" s="41">
        <v>37480</v>
      </c>
      <c r="H21" s="41">
        <v>37217</v>
      </c>
      <c r="I21" s="41">
        <v>36853</v>
      </c>
      <c r="J21" s="120"/>
      <c r="K21" s="41"/>
      <c r="L21" s="31"/>
      <c r="M21" s="54"/>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row>
    <row r="22" spans="1:41" ht="14.25">
      <c r="A22" s="257" t="str">
        <f>HLOOKUP(INDICE!$F$2,Nombres!$C$3:$D$636,12,FALSE)</f>
        <v>Turquía </v>
      </c>
      <c r="B22" s="41">
        <v>21884</v>
      </c>
      <c r="C22" s="41">
        <v>21950</v>
      </c>
      <c r="D22" s="41">
        <v>22118</v>
      </c>
      <c r="E22" s="41">
        <v>22275</v>
      </c>
      <c r="F22" s="41">
        <v>22068</v>
      </c>
      <c r="G22" s="41">
        <v>21964</v>
      </c>
      <c r="H22" s="41">
        <v>21964</v>
      </c>
      <c r="I22" s="41">
        <v>21908</v>
      </c>
      <c r="J22" s="120"/>
      <c r="K22" s="41"/>
      <c r="L22" s="31"/>
      <c r="M22" s="54"/>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row>
    <row r="23" spans="1:41" ht="14.25">
      <c r="A23" s="257" t="str">
        <f>HLOOKUP(INDICE!$F$2,Nombres!$C$3:$D$636,13,FALSE)</f>
        <v>América del Sur </v>
      </c>
      <c r="B23" s="41">
        <v>24773</v>
      </c>
      <c r="C23" s="41">
        <v>24432</v>
      </c>
      <c r="D23" s="41">
        <v>24456</v>
      </c>
      <c r="E23" s="41">
        <v>24644</v>
      </c>
      <c r="F23" s="41">
        <v>24294</v>
      </c>
      <c r="G23" s="41">
        <v>24107</v>
      </c>
      <c r="H23" s="41">
        <v>23453</v>
      </c>
      <c r="I23" s="41">
        <v>23059</v>
      </c>
      <c r="J23" s="54"/>
      <c r="K23" s="44"/>
      <c r="L23" s="31"/>
      <c r="M23" s="54"/>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row>
    <row r="24" spans="1:41" ht="14.25">
      <c r="A24" s="161" t="str">
        <f>HLOOKUP(INDICE!$F$2,Nombres!$C$3:$D$636,14,FALSE)</f>
        <v>Argentina</v>
      </c>
      <c r="B24" s="44">
        <v>6313</v>
      </c>
      <c r="C24" s="44">
        <v>6402</v>
      </c>
      <c r="D24" s="44">
        <v>6398</v>
      </c>
      <c r="E24" s="44">
        <v>6402</v>
      </c>
      <c r="F24" s="44">
        <v>6315</v>
      </c>
      <c r="G24" s="44">
        <v>6266</v>
      </c>
      <c r="H24" s="44">
        <v>6143</v>
      </c>
      <c r="I24" s="44">
        <v>6052</v>
      </c>
      <c r="J24" s="54"/>
      <c r="K24" s="44"/>
      <c r="L24" s="120"/>
      <c r="M24" s="54"/>
      <c r="N24" s="273"/>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row>
    <row r="25" spans="1:41" ht="14.25">
      <c r="A25" s="259" t="str">
        <f>HLOOKUP(INDICE!$F$2,Nombres!$C$3:$D$636,15,FALSE)</f>
        <v>Chile</v>
      </c>
      <c r="B25" s="44">
        <v>933</v>
      </c>
      <c r="C25" s="44">
        <v>947</v>
      </c>
      <c r="D25" s="44">
        <v>962</v>
      </c>
      <c r="E25" s="44">
        <v>956</v>
      </c>
      <c r="F25" s="44">
        <v>794</v>
      </c>
      <c r="G25" s="44">
        <v>721</v>
      </c>
      <c r="H25" s="44">
        <v>706</v>
      </c>
      <c r="I25" s="44">
        <v>696</v>
      </c>
      <c r="J25" s="54"/>
      <c r="K25" s="44"/>
      <c r="L25" s="120"/>
      <c r="M25" s="54"/>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row>
    <row r="26" spans="1:41" ht="14.25">
      <c r="A26" s="259" t="str">
        <f>HLOOKUP(INDICE!$F$2,Nombres!$C$3:$D$636,16,FALSE)</f>
        <v>Colombia</v>
      </c>
      <c r="B26" s="44">
        <v>6769</v>
      </c>
      <c r="C26" s="44">
        <v>6778</v>
      </c>
      <c r="D26" s="44">
        <v>6847</v>
      </c>
      <c r="E26" s="44">
        <v>6899</v>
      </c>
      <c r="F26" s="44">
        <v>6919</v>
      </c>
      <c r="G26" s="44">
        <v>6893</v>
      </c>
      <c r="H26" s="44">
        <v>6754</v>
      </c>
      <c r="I26" s="44">
        <v>6592</v>
      </c>
      <c r="J26" s="54"/>
      <c r="K26" s="44"/>
      <c r="L26" s="120"/>
      <c r="M26" s="54"/>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row>
    <row r="27" spans="1:41" ht="14.25">
      <c r="A27" s="259" t="str">
        <f>HLOOKUP(INDICE!$F$2,Nombres!$C$3:$D$636,17,FALSE)</f>
        <v>Perú</v>
      </c>
      <c r="B27" s="44">
        <v>6142</v>
      </c>
      <c r="C27" s="44">
        <v>6216</v>
      </c>
      <c r="D27" s="44">
        <v>6269</v>
      </c>
      <c r="E27" s="44">
        <v>6420</v>
      </c>
      <c r="F27" s="44">
        <v>6455</v>
      </c>
      <c r="G27" s="44">
        <v>6525</v>
      </c>
      <c r="H27" s="44">
        <v>6299</v>
      </c>
      <c r="I27" s="44">
        <v>6204</v>
      </c>
      <c r="J27" s="54"/>
      <c r="K27" s="44"/>
      <c r="L27" s="120"/>
      <c r="M27" s="54"/>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row>
    <row r="28" spans="1:41" ht="14.25">
      <c r="A28" s="259" t="str">
        <f>HLOOKUP(INDICE!$F$2,Nombres!$C$3:$D$636,89,FALSE)</f>
        <v>Resto de América del Sur</v>
      </c>
      <c r="B28" s="44">
        <v>4616</v>
      </c>
      <c r="C28" s="44">
        <v>4089</v>
      </c>
      <c r="D28" s="44">
        <v>3980</v>
      </c>
      <c r="E28" s="44">
        <v>3967</v>
      </c>
      <c r="F28" s="44">
        <v>3811</v>
      </c>
      <c r="G28" s="44">
        <v>3702</v>
      </c>
      <c r="H28" s="44">
        <v>3551</v>
      </c>
      <c r="I28" s="44">
        <v>3515</v>
      </c>
      <c r="J28" s="54"/>
      <c r="K28" s="44"/>
      <c r="L28" s="120"/>
      <c r="M28" s="54"/>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row>
    <row r="29" spans="1:41" ht="14.25">
      <c r="A29" s="257" t="str">
        <f>HLOOKUP(INDICE!$F$2,Nombres!$C$3:$D$636,18,FALSE)</f>
        <v>Resto de Eurasia</v>
      </c>
      <c r="B29" s="41">
        <v>1166</v>
      </c>
      <c r="C29" s="41">
        <v>1159</v>
      </c>
      <c r="D29" s="41">
        <v>1141</v>
      </c>
      <c r="E29" s="41">
        <v>1143</v>
      </c>
      <c r="F29" s="41">
        <v>1146</v>
      </c>
      <c r="G29" s="41">
        <v>1139</v>
      </c>
      <c r="H29" s="41">
        <v>1134</v>
      </c>
      <c r="I29" s="41">
        <v>1129</v>
      </c>
      <c r="J29" s="120"/>
      <c r="K29" s="44"/>
      <c r="L29" s="31"/>
      <c r="M29" s="54"/>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row>
    <row r="30" spans="1:41" ht="14.25">
      <c r="A30" s="257" t="s">
        <v>6</v>
      </c>
      <c r="B30" s="41">
        <f aca="true" t="shared" si="2" ref="B30:I30">+SUM(B19:B22,B24:B29)</f>
        <v>125749</v>
      </c>
      <c r="C30" s="41">
        <f t="shared" si="2"/>
        <v>126017</v>
      </c>
      <c r="D30" s="41">
        <f t="shared" si="2"/>
        <v>126332</v>
      </c>
      <c r="E30" s="41">
        <f t="shared" si="2"/>
        <v>126975</v>
      </c>
      <c r="F30" s="41">
        <f t="shared" si="2"/>
        <v>126041</v>
      </c>
      <c r="G30" s="41">
        <f t="shared" si="2"/>
        <v>125041</v>
      </c>
      <c r="H30" s="41">
        <f t="shared" si="2"/>
        <v>124110</v>
      </c>
      <c r="I30" s="41">
        <f t="shared" si="2"/>
        <v>123174</v>
      </c>
      <c r="J30" s="54"/>
      <c r="K30" s="31"/>
      <c r="L30" s="31"/>
      <c r="M30" s="54"/>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row>
    <row r="31" spans="1:41" ht="14.25">
      <c r="A31" s="162"/>
      <c r="B31" s="163">
        <v>0</v>
      </c>
      <c r="C31" s="163">
        <v>0</v>
      </c>
      <c r="D31" s="163">
        <v>0</v>
      </c>
      <c r="E31" s="163">
        <v>0</v>
      </c>
      <c r="F31" s="163">
        <v>0</v>
      </c>
      <c r="G31" s="163">
        <v>0</v>
      </c>
      <c r="H31" s="163">
        <v>0</v>
      </c>
      <c r="I31" s="163">
        <v>0</v>
      </c>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row>
    <row r="32" spans="1:41" ht="14.25">
      <c r="A32" s="162"/>
      <c r="B32" s="163"/>
      <c r="C32" s="163"/>
      <c r="D32" s="163"/>
      <c r="E32" s="163"/>
      <c r="F32" s="163"/>
      <c r="G32" s="163"/>
      <c r="H32" s="163"/>
      <c r="I32" s="163"/>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row>
    <row r="33" spans="1:41" ht="16.5">
      <c r="A33" s="256" t="str">
        <f>HLOOKUP(INDICE!$F$2,Nombres!$C$3:$D$636,125,FALSE)</f>
        <v>Cajeros automáticos</v>
      </c>
      <c r="B33" s="158"/>
      <c r="C33" s="158"/>
      <c r="D33" s="159"/>
      <c r="E33" s="159"/>
      <c r="F33" s="159"/>
      <c r="G33" s="159"/>
      <c r="H33" s="159"/>
      <c r="I33" s="159"/>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row>
    <row r="34" spans="1:41" ht="30" customHeight="1">
      <c r="A34" s="147"/>
      <c r="B34" s="103">
        <f aca="true" t="shared" si="3" ref="B34:I34">+B$2</f>
        <v>43555</v>
      </c>
      <c r="C34" s="103">
        <f t="shared" si="3"/>
        <v>43646</v>
      </c>
      <c r="D34" s="103">
        <f t="shared" si="3"/>
        <v>43738</v>
      </c>
      <c r="E34" s="103">
        <f t="shared" si="3"/>
        <v>43830</v>
      </c>
      <c r="F34" s="103">
        <f t="shared" si="3"/>
        <v>43921</v>
      </c>
      <c r="G34" s="103">
        <f t="shared" si="3"/>
        <v>44012</v>
      </c>
      <c r="H34" s="103">
        <f t="shared" si="3"/>
        <v>44104</v>
      </c>
      <c r="I34" s="103">
        <f t="shared" si="3"/>
        <v>44196</v>
      </c>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row>
    <row r="35" spans="1:41" ht="14.25">
      <c r="A35" s="257" t="str">
        <f>HLOOKUP(INDICE!$F$2,Nombres!$C$3:$D$636,7,FALSE)</f>
        <v>España</v>
      </c>
      <c r="B35" s="41">
        <v>6095</v>
      </c>
      <c r="C35" s="41">
        <v>6025</v>
      </c>
      <c r="D35" s="41">
        <v>5978</v>
      </c>
      <c r="E35" s="41">
        <v>5880</v>
      </c>
      <c r="F35" s="41">
        <v>5840</v>
      </c>
      <c r="G35" s="41">
        <v>5829</v>
      </c>
      <c r="H35" s="41">
        <v>5746</v>
      </c>
      <c r="I35" s="41">
        <v>5708</v>
      </c>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row>
    <row r="36" spans="1:41" ht="14.25">
      <c r="A36" s="257" t="str">
        <f>HLOOKUP(INDICE!$F$2,Nombres!$C$3:$D$636,245,FALSE)</f>
        <v>EEUU (*)</v>
      </c>
      <c r="B36" s="41">
        <v>1403</v>
      </c>
      <c r="C36" s="41">
        <v>1392</v>
      </c>
      <c r="D36" s="41">
        <v>1391</v>
      </c>
      <c r="E36" s="41">
        <v>1386</v>
      </c>
      <c r="F36" s="41">
        <v>1384</v>
      </c>
      <c r="G36" s="41">
        <v>1375</v>
      </c>
      <c r="H36" s="41">
        <v>1369</v>
      </c>
      <c r="I36" s="41">
        <v>1383</v>
      </c>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row>
    <row r="37" spans="1:41" ht="14.25">
      <c r="A37" s="257" t="str">
        <f>HLOOKUP(INDICE!$F$2,Nombres!$C$3:$D$636,246,FALSE)</f>
        <v>Mexico (**)</v>
      </c>
      <c r="B37" s="41">
        <v>12640</v>
      </c>
      <c r="C37" s="41">
        <v>12839</v>
      </c>
      <c r="D37" s="41">
        <v>13005</v>
      </c>
      <c r="E37" s="41">
        <v>13170</v>
      </c>
      <c r="F37" s="41">
        <v>13066</v>
      </c>
      <c r="G37" s="41">
        <v>13115</v>
      </c>
      <c r="H37" s="41">
        <v>12923</v>
      </c>
      <c r="I37" s="41">
        <v>12950</v>
      </c>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row>
    <row r="38" spans="1:41" ht="14.25">
      <c r="A38" s="257" t="str">
        <f>HLOOKUP(INDICE!$F$2,Nombres!$C$3:$D$636,12,FALSE)</f>
        <v>Turquía </v>
      </c>
      <c r="B38" s="41">
        <v>5420</v>
      </c>
      <c r="C38" s="41">
        <v>5422</v>
      </c>
      <c r="D38" s="41">
        <v>5454</v>
      </c>
      <c r="E38" s="41">
        <v>5484</v>
      </c>
      <c r="F38" s="41">
        <v>5431</v>
      </c>
      <c r="G38" s="41">
        <v>5443</v>
      </c>
      <c r="H38" s="41">
        <v>5440</v>
      </c>
      <c r="I38" s="41">
        <v>5533</v>
      </c>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row>
    <row r="39" spans="1:41" ht="14.25">
      <c r="A39" s="257" t="str">
        <f>HLOOKUP(INDICE!$F$2,Nombres!$C$3:$D$636,13,FALSE)</f>
        <v>América del Sur </v>
      </c>
      <c r="B39" s="41">
        <v>6946</v>
      </c>
      <c r="C39" s="41">
        <v>6946</v>
      </c>
      <c r="D39" s="41">
        <v>6979</v>
      </c>
      <c r="E39" s="41">
        <v>6715</v>
      </c>
      <c r="F39" s="41">
        <v>6531</v>
      </c>
      <c r="G39" s="41">
        <v>6525</v>
      </c>
      <c r="H39" s="41">
        <v>5536</v>
      </c>
      <c r="I39" s="41">
        <v>5403</v>
      </c>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row>
    <row r="40" spans="1:41" ht="14.25">
      <c r="A40" s="161" t="str">
        <f>HLOOKUP(INDICE!$F$2,Nombres!$C$3:$D$636,14,FALSE)</f>
        <v>Argentina</v>
      </c>
      <c r="B40" s="44">
        <v>1694</v>
      </c>
      <c r="C40" s="44">
        <v>1694</v>
      </c>
      <c r="D40" s="44">
        <v>1720</v>
      </c>
      <c r="E40" s="44">
        <v>1733</v>
      </c>
      <c r="F40" s="44">
        <v>1712</v>
      </c>
      <c r="G40" s="44">
        <v>1712</v>
      </c>
      <c r="H40" s="44">
        <v>1709</v>
      </c>
      <c r="I40" s="44">
        <v>1715</v>
      </c>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row>
    <row r="41" spans="1:41" ht="14.25">
      <c r="A41" s="259" t="str">
        <f>HLOOKUP(INDICE!$F$2,Nombres!$C$3:$D$636,15,FALSE)</f>
        <v>Chile</v>
      </c>
      <c r="B41" s="44">
        <v>0</v>
      </c>
      <c r="C41" s="44">
        <v>0</v>
      </c>
      <c r="D41" s="44">
        <v>0</v>
      </c>
      <c r="E41" s="44">
        <v>0</v>
      </c>
      <c r="F41" s="44">
        <v>0</v>
      </c>
      <c r="G41" s="44">
        <v>0</v>
      </c>
      <c r="H41" s="44">
        <v>0</v>
      </c>
      <c r="I41" s="44">
        <v>0</v>
      </c>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row>
    <row r="42" spans="1:41" ht="14.25">
      <c r="A42" s="259" t="str">
        <f>HLOOKUP(INDICE!$F$2,Nombres!$C$3:$D$636,16,FALSE)</f>
        <v>Colombia</v>
      </c>
      <c r="B42" s="44">
        <v>1350</v>
      </c>
      <c r="C42" s="44">
        <v>1357</v>
      </c>
      <c r="D42" s="44">
        <v>1359</v>
      </c>
      <c r="E42" s="44">
        <v>1361</v>
      </c>
      <c r="F42" s="44">
        <v>1360</v>
      </c>
      <c r="G42" s="44">
        <v>1360</v>
      </c>
      <c r="H42" s="44">
        <v>1359</v>
      </c>
      <c r="I42" s="44">
        <v>1362</v>
      </c>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row>
    <row r="43" spans="1:41" ht="14.25">
      <c r="A43" s="259" t="str">
        <f>HLOOKUP(INDICE!$F$2,Nombres!$C$3:$D$636,17,FALSE)</f>
        <v>Perú</v>
      </c>
      <c r="B43" s="44">
        <v>1975</v>
      </c>
      <c r="C43" s="44">
        <v>1969</v>
      </c>
      <c r="D43" s="44">
        <v>1974</v>
      </c>
      <c r="E43" s="44">
        <v>1969</v>
      </c>
      <c r="F43" s="44">
        <v>1964</v>
      </c>
      <c r="G43" s="44">
        <v>1958</v>
      </c>
      <c r="H43" s="44">
        <v>1954</v>
      </c>
      <c r="I43" s="44">
        <v>1933</v>
      </c>
      <c r="J43" s="31"/>
      <c r="K43" s="31"/>
      <c r="L43" s="164"/>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row>
    <row r="44" spans="1:41" ht="14.25">
      <c r="A44" s="259" t="str">
        <f>HLOOKUP(INDICE!$F$2,Nombres!$C$3:$D$636,89,FALSE)</f>
        <v>Resto de América del Sur</v>
      </c>
      <c r="B44" s="44">
        <v>1927</v>
      </c>
      <c r="C44" s="44">
        <v>1926</v>
      </c>
      <c r="D44" s="44">
        <v>1926</v>
      </c>
      <c r="E44" s="44">
        <v>1652</v>
      </c>
      <c r="F44" s="44">
        <v>1495</v>
      </c>
      <c r="G44" s="44">
        <v>1495</v>
      </c>
      <c r="H44" s="44">
        <v>514</v>
      </c>
      <c r="I44" s="44">
        <v>393</v>
      </c>
      <c r="J44" s="31"/>
      <c r="K44" s="31"/>
      <c r="L44" s="164"/>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row>
    <row r="45" spans="1:41" ht="14.25">
      <c r="A45" s="257" t="str">
        <f>HLOOKUP(INDICE!$F$2,Nombres!$C$3:$D$636,18,FALSE)</f>
        <v>Resto de Eurasia</v>
      </c>
      <c r="B45" s="41">
        <v>24</v>
      </c>
      <c r="C45" s="41">
        <v>24</v>
      </c>
      <c r="D45" s="41">
        <v>23</v>
      </c>
      <c r="E45" s="41">
        <v>23</v>
      </c>
      <c r="F45" s="41">
        <v>23</v>
      </c>
      <c r="G45" s="41">
        <v>23</v>
      </c>
      <c r="H45" s="41">
        <v>23</v>
      </c>
      <c r="I45" s="41">
        <v>23</v>
      </c>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row>
    <row r="46" spans="1:41" ht="14.25">
      <c r="A46" s="257" t="s">
        <v>6</v>
      </c>
      <c r="B46" s="41">
        <f aca="true" t="shared" si="4" ref="B46:I46">+SUM(B35:B38,B40:B45)</f>
        <v>32528</v>
      </c>
      <c r="C46" s="41">
        <f t="shared" si="4"/>
        <v>32648</v>
      </c>
      <c r="D46" s="41">
        <f t="shared" si="4"/>
        <v>32830</v>
      </c>
      <c r="E46" s="41">
        <f t="shared" si="4"/>
        <v>32658</v>
      </c>
      <c r="F46" s="41">
        <f t="shared" si="4"/>
        <v>32275</v>
      </c>
      <c r="G46" s="41">
        <f t="shared" si="4"/>
        <v>32310</v>
      </c>
      <c r="H46" s="41">
        <f t="shared" si="4"/>
        <v>31037</v>
      </c>
      <c r="I46" s="41">
        <f t="shared" si="4"/>
        <v>31000</v>
      </c>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row>
    <row r="47" spans="1:41" ht="14.25">
      <c r="A47" s="101"/>
      <c r="B47" s="163">
        <v>0</v>
      </c>
      <c r="C47" s="163">
        <v>0</v>
      </c>
      <c r="D47" s="163">
        <v>0</v>
      </c>
      <c r="E47" s="163">
        <v>0</v>
      </c>
      <c r="F47" s="163">
        <v>0</v>
      </c>
      <c r="G47" s="163">
        <v>0</v>
      </c>
      <c r="H47" s="163">
        <v>0</v>
      </c>
      <c r="I47" s="163">
        <v>0</v>
      </c>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row>
    <row r="48" spans="1:41" ht="14.25">
      <c r="A48" s="260" t="str">
        <f>HLOOKUP(INDICE!$F$2,Nombres!$C$3:$D$636,243,FALSE)</f>
        <v>(*) Serie de datos revisada 18-19 debido a cambio de criterio en la contabilización de cajeros.</v>
      </c>
      <c r="B48" s="101"/>
      <c r="C48" s="101"/>
      <c r="D48" s="101"/>
      <c r="E48" s="101"/>
      <c r="F48" s="101"/>
      <c r="G48" s="101"/>
      <c r="H48" s="101"/>
      <c r="I48" s="10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row>
    <row r="49" spans="1:41" ht="14.25">
      <c r="A49" s="260" t="str">
        <f>HLOOKUP(INDICE!$F$2,Nombres!$C$3:$D$636,244,FALSE)</f>
        <v>(**) Reajuste del dato del 1T en 2T</v>
      </c>
      <c r="B49" s="101"/>
      <c r="C49" s="101"/>
      <c r="D49" s="101"/>
      <c r="E49" s="101"/>
      <c r="F49" s="101"/>
      <c r="G49" s="101"/>
      <c r="H49" s="101"/>
      <c r="I49" s="10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row>
    <row r="50" spans="1:41" ht="14.25">
      <c r="A50" s="101"/>
      <c r="B50" s="101"/>
      <c r="C50" s="101"/>
      <c r="D50" s="101"/>
      <c r="E50" s="101"/>
      <c r="F50" s="101"/>
      <c r="G50" s="101"/>
      <c r="H50" s="101"/>
      <c r="I50" s="10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row>
    <row r="51" spans="1:41" ht="14.25">
      <c r="A51" s="101"/>
      <c r="B51" s="101"/>
      <c r="C51" s="101"/>
      <c r="D51" s="101"/>
      <c r="E51" s="101"/>
      <c r="F51" s="101"/>
      <c r="G51" s="101"/>
      <c r="H51" s="101"/>
      <c r="I51" s="10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row>
    <row r="52" spans="1:41" ht="14.25">
      <c r="A52" s="101"/>
      <c r="B52" s="101"/>
      <c r="C52" s="101"/>
      <c r="D52" s="101"/>
      <c r="E52" s="101"/>
      <c r="F52" s="101"/>
      <c r="G52" s="101"/>
      <c r="H52" s="101"/>
      <c r="I52" s="10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row>
    <row r="53" spans="1:41" ht="14.25">
      <c r="A53" s="101"/>
      <c r="B53" s="101"/>
      <c r="C53" s="101"/>
      <c r="D53" s="101"/>
      <c r="E53" s="101"/>
      <c r="F53" s="101"/>
      <c r="G53" s="101"/>
      <c r="H53" s="101"/>
      <c r="I53" s="10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row>
    <row r="54" spans="1:41" ht="14.25">
      <c r="A54" s="101"/>
      <c r="B54" s="101"/>
      <c r="C54" s="101"/>
      <c r="D54" s="101"/>
      <c r="E54" s="101"/>
      <c r="F54" s="101"/>
      <c r="G54" s="101"/>
      <c r="H54" s="101"/>
      <c r="I54" s="10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row>
    <row r="55" spans="1:41" ht="14.25">
      <c r="A55" s="101"/>
      <c r="B55" s="101"/>
      <c r="C55" s="101"/>
      <c r="D55" s="101"/>
      <c r="E55" s="101"/>
      <c r="F55" s="101"/>
      <c r="G55" s="101"/>
      <c r="H55" s="101"/>
      <c r="I55" s="10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row>
    <row r="56" spans="1:41" ht="14.25">
      <c r="A56" s="101"/>
      <c r="B56" s="101"/>
      <c r="C56" s="101"/>
      <c r="D56" s="101"/>
      <c r="E56" s="101"/>
      <c r="F56" s="101"/>
      <c r="G56" s="101"/>
      <c r="H56" s="101"/>
      <c r="I56" s="10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row>
    <row r="57" spans="1:41" ht="14.25">
      <c r="A57" s="101"/>
      <c r="B57" s="101"/>
      <c r="C57" s="101"/>
      <c r="D57" s="101"/>
      <c r="E57" s="101"/>
      <c r="F57" s="101"/>
      <c r="G57" s="101"/>
      <c r="H57" s="101"/>
      <c r="I57" s="10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row>
    <row r="58" spans="1:41" ht="14.25">
      <c r="A58" s="101"/>
      <c r="B58" s="101"/>
      <c r="C58" s="101"/>
      <c r="D58" s="101"/>
      <c r="E58" s="101"/>
      <c r="F58" s="101"/>
      <c r="G58" s="101"/>
      <c r="H58" s="101"/>
      <c r="I58" s="10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row>
    <row r="59" spans="1:41" ht="14.25">
      <c r="A59" s="101"/>
      <c r="B59" s="101"/>
      <c r="C59" s="101"/>
      <c r="D59" s="101"/>
      <c r="E59" s="101"/>
      <c r="F59" s="101"/>
      <c r="G59" s="101"/>
      <c r="H59" s="101"/>
      <c r="I59" s="10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row>
    <row r="60" spans="1:41" ht="14.25">
      <c r="A60" s="101"/>
      <c r="B60" s="101"/>
      <c r="C60" s="101"/>
      <c r="D60" s="101"/>
      <c r="E60" s="101"/>
      <c r="F60" s="101"/>
      <c r="G60" s="101"/>
      <c r="H60" s="101"/>
      <c r="I60" s="10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row>
    <row r="61" spans="1:41" ht="14.25">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row>
    <row r="62" spans="1:41" ht="14.25">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row>
    <row r="63" spans="1:41" ht="14.25">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row>
    <row r="64" spans="1:41" ht="14.25">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row>
    <row r="65" spans="1:41" ht="14.25">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row>
    <row r="66" spans="1:41" ht="14.25">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row>
    <row r="67" spans="1:41" ht="14.25">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row>
    <row r="68" spans="1:41" ht="14.25">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row>
    <row r="69" spans="1:41" ht="14.25">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row>
    <row r="70" s="31" customFormat="1" ht="14.25"/>
    <row r="71" s="31" customFormat="1" ht="14.25"/>
    <row r="72" s="31" customFormat="1" ht="14.25"/>
    <row r="73" s="31" customFormat="1" ht="14.25"/>
    <row r="74" s="31" customFormat="1" ht="14.25"/>
    <row r="75" s="31" customFormat="1" ht="14.25"/>
    <row r="76" s="31" customFormat="1" ht="14.25"/>
    <row r="77" s="31" customFormat="1" ht="14.25"/>
    <row r="78" s="31" customFormat="1" ht="14.25"/>
    <row r="79" s="31" customFormat="1" ht="14.25"/>
    <row r="80" s="31" customFormat="1" ht="14.25"/>
    <row r="81" s="31" customFormat="1" ht="14.25"/>
    <row r="82" s="31" customFormat="1" ht="14.25"/>
    <row r="83" s="31" customFormat="1" ht="14.25"/>
    <row r="84" s="31" customFormat="1" ht="14.25"/>
    <row r="85" s="31" customFormat="1" ht="14.25"/>
    <row r="86" s="31" customFormat="1" ht="14.25"/>
    <row r="87" s="31" customFormat="1" ht="14.25"/>
    <row r="88" s="31" customFormat="1" ht="14.25"/>
    <row r="89" s="31" customFormat="1" ht="14.25"/>
    <row r="90" s="31" customFormat="1" ht="14.25"/>
    <row r="91" s="31" customFormat="1" ht="14.25"/>
    <row r="92" s="31" customFormat="1" ht="14.25"/>
    <row r="93" s="31" customFormat="1" ht="14.25"/>
    <row r="94" s="31" customFormat="1" ht="14.25"/>
    <row r="95" s="31" customFormat="1" ht="14.25"/>
    <row r="96" s="31" customFormat="1" ht="14.25"/>
    <row r="97" s="31" customFormat="1" ht="14.25"/>
    <row r="98" s="31" customFormat="1" ht="14.25"/>
    <row r="99" s="31" customFormat="1" ht="14.25"/>
    <row r="100" s="31" customFormat="1" ht="14.25"/>
    <row r="101" s="31" customFormat="1" ht="14.25"/>
    <row r="102" s="31" customFormat="1" ht="14.25"/>
    <row r="103" s="31" customFormat="1" ht="14.25"/>
    <row r="104" s="31" customFormat="1" ht="14.25"/>
    <row r="105" s="31" customFormat="1" ht="14.25"/>
    <row r="106" s="31" customFormat="1" ht="14.25"/>
    <row r="107" s="31" customFormat="1" ht="14.25"/>
    <row r="108" s="31" customFormat="1" ht="14.25"/>
    <row r="109" s="31" customFormat="1" ht="14.25"/>
    <row r="110" s="31" customFormat="1" ht="14.25"/>
    <row r="111" s="31" customFormat="1" ht="14.25"/>
    <row r="112" s="31" customFormat="1" ht="14.25"/>
    <row r="113" s="31" customFormat="1" ht="14.25"/>
    <row r="114" s="31" customFormat="1" ht="14.25"/>
    <row r="115" s="31" customFormat="1" ht="14.25"/>
    <row r="116" s="31" customFormat="1" ht="14.25"/>
    <row r="117" s="31" customFormat="1" ht="14.25"/>
    <row r="118" s="31" customFormat="1" ht="14.25"/>
    <row r="119" s="31" customFormat="1" ht="14.25"/>
    <row r="120" s="31" customFormat="1" ht="14.25"/>
    <row r="121" s="31" customFormat="1" ht="14.25"/>
    <row r="122" s="31" customFormat="1" ht="14.25"/>
    <row r="123" s="31" customFormat="1" ht="14.25"/>
    <row r="124" s="31" customFormat="1" ht="14.25"/>
    <row r="125" s="31" customFormat="1" ht="14.25"/>
    <row r="126" s="31" customFormat="1" ht="14.25"/>
    <row r="127" s="31" customFormat="1" ht="14.25"/>
    <row r="128" s="31" customFormat="1" ht="14.25"/>
    <row r="129" s="31" customFormat="1" ht="14.25"/>
    <row r="130" s="31" customFormat="1" ht="14.25"/>
    <row r="131" s="31" customFormat="1" ht="14.25"/>
    <row r="132" s="31" customFormat="1" ht="14.25"/>
    <row r="133" s="31" customFormat="1" ht="14.25"/>
    <row r="134" s="31" customFormat="1" ht="14.25"/>
    <row r="135" s="31" customFormat="1" ht="14.25"/>
    <row r="136" s="31" customFormat="1" ht="14.25"/>
    <row r="137" s="31" customFormat="1" ht="14.25"/>
    <row r="138" s="31" customFormat="1" ht="14.25"/>
    <row r="139" s="31" customFormat="1" ht="14.25"/>
    <row r="140" s="31" customFormat="1" ht="14.25"/>
    <row r="141" s="31" customFormat="1" ht="14.25"/>
    <row r="142" s="31" customFormat="1" ht="14.25"/>
    <row r="143" s="31" customFormat="1" ht="14.25"/>
    <row r="144" s="31" customFormat="1" ht="14.25"/>
    <row r="145" s="31" customFormat="1" ht="14.25"/>
    <row r="146" s="31" customFormat="1" ht="14.25"/>
    <row r="147" s="31" customFormat="1" ht="14.25"/>
    <row r="148" s="31" customFormat="1" ht="14.25"/>
    <row r="149" s="31" customFormat="1" ht="14.25"/>
    <row r="150" s="31" customFormat="1" ht="14.25"/>
    <row r="151" s="31" customFormat="1" ht="14.25"/>
    <row r="152" s="31" customFormat="1" ht="14.25"/>
    <row r="153" s="31" customFormat="1" ht="14.25"/>
    <row r="154" s="31" customFormat="1" ht="14.25"/>
    <row r="155" s="31" customFormat="1" ht="14.25"/>
    <row r="156" s="31" customFormat="1" ht="14.25"/>
    <row r="157" s="31" customFormat="1" ht="14.25"/>
    <row r="158" s="31" customFormat="1" ht="14.25"/>
    <row r="159" s="31" customFormat="1" ht="14.25"/>
    <row r="160" s="31" customFormat="1" ht="14.25"/>
    <row r="161" s="31" customFormat="1" ht="14.25"/>
    <row r="162" s="31" customFormat="1" ht="14.25"/>
    <row r="163" s="31" customFormat="1" ht="14.25"/>
    <row r="164" s="31" customFormat="1" ht="14.25"/>
    <row r="165" s="31" customFormat="1" ht="14.25"/>
    <row r="166" s="31" customFormat="1" ht="14.25"/>
    <row r="167" s="31" customFormat="1" ht="14.25"/>
    <row r="168" s="31" customFormat="1" ht="14.25"/>
    <row r="169" s="31" customFormat="1" ht="14.25"/>
    <row r="170" s="31" customFormat="1" ht="14.25"/>
    <row r="171" s="31" customFormat="1" ht="14.25"/>
    <row r="172" s="31" customFormat="1" ht="14.25"/>
    <row r="173" s="31" customFormat="1" ht="14.25"/>
    <row r="174" s="31" customFormat="1" ht="14.25"/>
    <row r="175" s="31" customFormat="1" ht="14.25"/>
    <row r="176" s="31" customFormat="1" ht="14.25"/>
    <row r="177" s="31" customFormat="1" ht="14.25"/>
    <row r="178" s="31" customFormat="1" ht="14.25"/>
    <row r="179" s="31" customFormat="1" ht="14.25"/>
    <row r="180" s="31" customFormat="1" ht="14.25"/>
    <row r="181" s="31" customFormat="1" ht="14.25"/>
    <row r="182" s="31" customFormat="1" ht="14.25"/>
    <row r="183" s="31" customFormat="1" ht="14.25"/>
    <row r="184" s="31" customFormat="1" ht="14.25"/>
    <row r="185" s="31" customFormat="1" ht="14.25"/>
    <row r="186" s="31" customFormat="1" ht="14.25"/>
    <row r="187" s="31" customFormat="1" ht="14.25"/>
    <row r="188" s="31" customFormat="1" ht="14.25"/>
    <row r="189" s="31" customFormat="1" ht="14.25"/>
    <row r="190" s="31" customFormat="1" ht="14.25"/>
    <row r="191" s="31" customFormat="1" ht="14.25"/>
    <row r="192" s="31" customFormat="1" ht="14.25"/>
    <row r="193" s="31" customFormat="1" ht="14.25"/>
    <row r="194" s="31" customFormat="1" ht="14.25"/>
    <row r="195" s="31" customFormat="1" ht="14.25"/>
    <row r="196" s="31" customFormat="1" ht="14.25"/>
    <row r="197" s="31" customFormat="1" ht="14.25"/>
    <row r="198" s="31" customFormat="1" ht="14.25"/>
    <row r="199" s="31" customFormat="1" ht="14.25"/>
    <row r="200" s="31" customFormat="1" ht="14.25"/>
    <row r="201" s="31" customFormat="1" ht="14.25"/>
    <row r="202" s="31" customFormat="1" ht="14.25"/>
    <row r="203" s="31" customFormat="1" ht="14.25"/>
    <row r="204" s="31" customFormat="1" ht="14.25"/>
    <row r="205" s="31" customFormat="1" ht="14.25"/>
    <row r="206" s="31" customFormat="1" ht="14.25"/>
    <row r="207" s="31" customFormat="1" ht="14.25"/>
    <row r="208" s="31" customFormat="1" ht="14.25"/>
    <row r="209" s="31" customFormat="1" ht="14.25"/>
    <row r="210" s="31" customFormat="1" ht="14.25"/>
    <row r="211" s="31" customFormat="1" ht="14.25"/>
    <row r="212" s="31" customFormat="1" ht="14.25"/>
    <row r="213" s="31" customFormat="1" ht="14.25"/>
    <row r="214" s="31" customFormat="1" ht="14.25"/>
    <row r="215" s="31" customFormat="1" ht="14.25"/>
    <row r="216" s="31" customFormat="1" ht="14.25"/>
    <row r="217" s="31" customFormat="1" ht="14.25"/>
    <row r="218" s="31" customFormat="1" ht="14.25"/>
    <row r="219" s="31" customFormat="1" ht="14.25"/>
    <row r="220" s="31" customFormat="1" ht="14.25"/>
    <row r="221" s="31" customFormat="1" ht="14.25"/>
    <row r="222" s="31" customFormat="1" ht="14.25"/>
    <row r="223" s="31" customFormat="1" ht="14.25"/>
    <row r="224" s="31" customFormat="1" ht="14.25"/>
    <row r="225" s="31" customFormat="1" ht="14.25"/>
    <row r="226" s="31" customFormat="1" ht="14.25"/>
    <row r="227" s="31" customFormat="1" ht="14.25"/>
    <row r="228" s="31" customFormat="1" ht="14.25"/>
    <row r="229" s="31" customFormat="1" ht="14.25"/>
    <row r="230" s="31" customFormat="1" ht="14.25"/>
    <row r="231" s="31" customFormat="1" ht="14.25"/>
    <row r="232" s="31" customFormat="1" ht="14.25"/>
    <row r="233" s="31" customFormat="1" ht="14.25"/>
    <row r="234" s="31" customFormat="1" ht="14.25"/>
    <row r="235" s="31" customFormat="1" ht="14.25"/>
    <row r="236" s="31" customFormat="1" ht="14.25"/>
    <row r="237" s="31" customFormat="1" ht="14.25"/>
    <row r="238" s="31" customFormat="1" ht="14.25"/>
    <row r="239" s="31" customFormat="1" ht="14.25"/>
    <row r="240" s="31" customFormat="1" ht="14.25"/>
    <row r="241" s="31" customFormat="1" ht="14.25"/>
    <row r="242" s="31" customFormat="1" ht="14.25"/>
    <row r="243" s="31" customFormat="1" ht="14.25"/>
    <row r="244" s="31" customFormat="1" ht="14.25"/>
    <row r="245" s="31" customFormat="1" ht="14.25"/>
    <row r="246" s="31" customFormat="1" ht="14.25"/>
    <row r="247" s="31" customFormat="1" ht="14.25"/>
    <row r="248" s="31" customFormat="1" ht="14.25"/>
    <row r="249" s="31" customFormat="1" ht="14.25"/>
    <row r="250" s="31" customFormat="1" ht="14.25"/>
    <row r="251" s="31" customFormat="1" ht="14.25"/>
    <row r="252" s="31" customFormat="1" ht="14.25"/>
    <row r="253" s="31" customFormat="1" ht="14.25"/>
    <row r="254" s="31" customFormat="1" ht="14.25"/>
    <row r="255" s="31" customFormat="1" ht="14.25"/>
    <row r="256" s="31" customFormat="1" ht="14.25"/>
    <row r="257" s="31" customFormat="1" ht="14.25"/>
    <row r="258" s="31" customFormat="1" ht="14.25"/>
    <row r="259" s="31" customFormat="1" ht="14.25"/>
    <row r="260" s="31" customFormat="1" ht="14.25"/>
    <row r="261" s="31" customFormat="1" ht="14.25"/>
    <row r="262" s="31" customFormat="1" ht="14.25"/>
    <row r="263" s="31" customFormat="1" ht="14.25"/>
    <row r="264" s="31" customFormat="1" ht="14.25"/>
    <row r="265" s="31" customFormat="1" ht="14.25"/>
    <row r="266" s="31" customFormat="1" ht="14.25"/>
    <row r="267" s="31" customFormat="1" ht="14.25"/>
    <row r="268" s="31" customFormat="1" ht="14.25"/>
    <row r="269" s="31" customFormat="1" ht="14.25"/>
    <row r="270" s="31" customFormat="1" ht="14.25"/>
    <row r="271" s="31" customFormat="1" ht="14.25"/>
    <row r="272" s="31" customFormat="1" ht="14.25"/>
    <row r="273" s="31" customFormat="1" ht="14.25"/>
    <row r="274" s="31" customFormat="1" ht="14.25"/>
    <row r="275" s="31" customFormat="1" ht="14.25"/>
    <row r="276" s="31" customFormat="1" ht="14.25"/>
    <row r="277" s="31" customFormat="1" ht="14.25"/>
    <row r="278" s="31" customFormat="1" ht="14.25"/>
    <row r="279" s="31" customFormat="1" ht="14.25"/>
    <row r="280" s="31" customFormat="1" ht="14.25"/>
    <row r="281" s="31" customFormat="1" ht="14.25"/>
    <row r="282" s="31" customFormat="1" ht="14.25"/>
    <row r="283" s="31" customFormat="1" ht="14.25"/>
    <row r="284" s="31" customFormat="1" ht="14.25"/>
    <row r="285" s="31" customFormat="1" ht="14.25"/>
    <row r="286" s="31" customFormat="1" ht="14.25"/>
    <row r="287" s="31" customFormat="1" ht="14.25"/>
    <row r="288" s="31" customFormat="1" ht="14.25"/>
    <row r="289" s="31" customFormat="1" ht="14.25"/>
    <row r="290" s="31" customFormat="1" ht="14.25"/>
    <row r="291" s="31" customFormat="1" ht="14.25"/>
    <row r="292" s="31" customFormat="1" ht="14.25"/>
    <row r="293" s="31" customFormat="1" ht="14.25"/>
    <row r="294" s="31" customFormat="1" ht="14.25"/>
    <row r="295" s="31" customFormat="1" ht="14.25"/>
    <row r="296" s="31" customFormat="1" ht="14.25"/>
    <row r="297" s="31" customFormat="1" ht="14.25"/>
    <row r="298" s="31" customFormat="1" ht="14.25"/>
    <row r="299" s="31" customFormat="1" ht="14.25"/>
    <row r="300" s="31" customFormat="1" ht="14.25"/>
    <row r="301" s="31" customFormat="1" ht="14.25"/>
    <row r="302" s="31" customFormat="1" ht="14.25"/>
    <row r="303" s="31" customFormat="1" ht="14.25"/>
    <row r="304" s="31" customFormat="1" ht="14.25"/>
    <row r="305" s="31" customFormat="1" ht="14.25"/>
    <row r="306" s="31" customFormat="1" ht="14.25"/>
    <row r="307" s="31" customFormat="1" ht="14.25"/>
    <row r="308" s="31" customFormat="1" ht="14.25"/>
    <row r="309" s="31" customFormat="1" ht="14.25"/>
    <row r="310" s="31" customFormat="1" ht="14.25"/>
    <row r="311" s="31" customFormat="1" ht="14.25"/>
    <row r="312" s="31" customFormat="1" ht="14.25"/>
    <row r="313" s="31" customFormat="1" ht="14.25"/>
    <row r="314" s="31" customFormat="1" ht="14.25"/>
    <row r="315" s="31" customFormat="1" ht="14.25"/>
    <row r="316" s="31" customFormat="1" ht="14.25"/>
    <row r="317" s="31" customFormat="1" ht="14.25"/>
    <row r="318" s="31" customFormat="1" ht="14.25"/>
    <row r="319" s="31" customFormat="1" ht="14.25"/>
    <row r="320" s="31" customFormat="1" ht="14.25"/>
    <row r="321" s="31" customFormat="1" ht="14.25"/>
    <row r="322" s="31" customFormat="1" ht="14.25"/>
    <row r="323" s="31" customFormat="1" ht="14.25"/>
    <row r="324" s="31" customFormat="1" ht="14.25"/>
    <row r="325" s="31" customFormat="1" ht="14.25"/>
    <row r="326" s="31" customFormat="1" ht="14.25"/>
    <row r="327" s="31" customFormat="1" ht="14.25"/>
    <row r="328" s="31" customFormat="1" ht="14.25"/>
    <row r="329" s="31" customFormat="1" ht="14.25"/>
    <row r="330" s="31" customFormat="1" ht="14.25"/>
    <row r="331" s="31" customFormat="1" ht="14.25"/>
    <row r="332" s="31" customFormat="1" ht="14.25"/>
    <row r="333" s="31" customFormat="1" ht="14.25"/>
    <row r="334" s="31" customFormat="1" ht="14.25"/>
    <row r="335" s="31" customFormat="1" ht="14.25"/>
    <row r="336" s="31" customFormat="1" ht="14.25"/>
    <row r="337" s="31" customFormat="1" ht="14.25"/>
    <row r="338" s="31" customFormat="1" ht="14.25"/>
    <row r="339" s="31" customFormat="1" ht="14.25"/>
    <row r="340" s="31" customFormat="1" ht="14.25"/>
    <row r="341" s="31" customFormat="1" ht="14.25"/>
    <row r="342" s="31" customFormat="1" ht="14.25"/>
    <row r="343" s="31" customFormat="1" ht="14.25"/>
    <row r="344" s="31" customFormat="1" ht="14.25"/>
    <row r="345" s="31" customFormat="1" ht="14.25"/>
    <row r="346" s="31" customFormat="1" ht="14.25"/>
    <row r="347" s="31" customFormat="1" ht="14.25"/>
    <row r="348" s="31" customFormat="1" ht="14.25"/>
    <row r="349" s="31" customFormat="1" ht="14.25"/>
    <row r="350" s="31" customFormat="1" ht="14.25"/>
    <row r="351" s="31" customFormat="1" ht="14.25"/>
    <row r="352" s="31" customFormat="1" ht="14.25"/>
    <row r="353" s="31" customFormat="1" ht="14.25"/>
    <row r="354" s="31" customFormat="1" ht="14.25"/>
    <row r="355" s="31" customFormat="1" ht="14.25"/>
    <row r="356" s="31" customFormat="1" ht="14.25"/>
    <row r="357" s="31" customFormat="1" ht="14.25"/>
    <row r="358" s="31" customFormat="1" ht="14.25"/>
    <row r="359" s="31" customFormat="1" ht="14.25"/>
    <row r="360" s="31" customFormat="1" ht="14.25"/>
    <row r="361" s="31" customFormat="1" ht="14.25"/>
    <row r="362" s="31" customFormat="1" ht="14.25"/>
    <row r="363" s="31" customFormat="1" ht="14.25"/>
    <row r="364" s="31" customFormat="1" ht="14.25"/>
    <row r="365" s="31" customFormat="1" ht="14.25"/>
    <row r="366" s="31" customFormat="1" ht="14.25"/>
    <row r="367" s="31" customFormat="1" ht="14.25"/>
    <row r="368" s="31" customFormat="1" ht="14.25"/>
    <row r="369" s="31" customFormat="1" ht="14.25"/>
    <row r="370" s="31" customFormat="1" ht="14.25"/>
    <row r="371" s="31" customFormat="1" ht="14.25"/>
    <row r="372" s="31" customFormat="1" ht="14.25"/>
    <row r="373" s="31" customFormat="1" ht="14.25"/>
    <row r="374" s="31" customFormat="1" ht="14.25"/>
    <row r="375" s="31" customFormat="1" ht="14.25"/>
    <row r="376" s="31" customFormat="1" ht="14.25"/>
    <row r="377" s="31" customFormat="1" ht="14.25"/>
    <row r="378" s="31" customFormat="1" ht="14.25"/>
    <row r="379" s="31" customFormat="1" ht="14.25"/>
    <row r="380" s="31" customFormat="1" ht="14.25"/>
    <row r="381" s="31" customFormat="1" ht="14.25"/>
    <row r="382" s="31" customFormat="1" ht="14.25"/>
    <row r="383" s="31" customFormat="1" ht="14.25"/>
    <row r="384" s="31" customFormat="1" ht="14.25"/>
    <row r="385" s="31" customFormat="1" ht="14.25"/>
    <row r="386" s="31" customFormat="1" ht="14.25"/>
    <row r="387" s="31" customFormat="1" ht="14.25"/>
    <row r="388" s="31" customFormat="1" ht="14.25"/>
    <row r="389" s="31" customFormat="1" ht="14.25"/>
    <row r="390" s="31" customFormat="1" ht="14.25"/>
    <row r="391" s="31" customFormat="1" ht="14.25"/>
    <row r="392" s="31" customFormat="1" ht="14.25"/>
    <row r="393" s="31" customFormat="1" ht="14.25"/>
    <row r="394" s="31" customFormat="1" ht="14.25"/>
    <row r="395" s="31" customFormat="1" ht="14.25"/>
    <row r="396" s="31" customFormat="1" ht="14.25"/>
    <row r="397" s="31" customFormat="1" ht="14.25"/>
    <row r="398" s="31" customFormat="1" ht="14.25"/>
    <row r="399" s="31" customFormat="1" ht="14.25"/>
    <row r="400" s="31" customFormat="1" ht="14.25"/>
    <row r="401" s="31" customFormat="1" ht="14.25"/>
    <row r="402" s="31" customFormat="1" ht="14.25"/>
    <row r="403" s="31" customFormat="1" ht="14.25"/>
    <row r="404" s="31" customFormat="1" ht="14.25"/>
    <row r="405" s="31" customFormat="1" ht="14.25"/>
    <row r="406" s="31" customFormat="1" ht="14.25"/>
    <row r="407" s="31" customFormat="1" ht="14.25"/>
    <row r="408" s="31" customFormat="1" ht="14.25"/>
    <row r="1000" ht="14.25">
      <c r="A1000" t="s">
        <v>397</v>
      </c>
    </row>
  </sheetData>
  <sheetProtection/>
  <conditionalFormatting sqref="B15:B16">
    <cfRule type="cellIs" priority="6" dxfId="16" operator="notEqual">
      <formula>0</formula>
    </cfRule>
  </conditionalFormatting>
  <conditionalFormatting sqref="C15:C16">
    <cfRule type="cellIs" priority="5" dxfId="16" operator="notEqual">
      <formula>0</formula>
    </cfRule>
  </conditionalFormatting>
  <conditionalFormatting sqref="D15:D16">
    <cfRule type="cellIs" priority="4" dxfId="16" operator="notEqual">
      <formula>0</formula>
    </cfRule>
  </conditionalFormatting>
  <conditionalFormatting sqref="E15:I16">
    <cfRule type="cellIs" priority="3" dxfId="16" operator="notEqual">
      <formula>0</formula>
    </cfRule>
  </conditionalFormatting>
  <conditionalFormatting sqref="B31:I32">
    <cfRule type="cellIs" priority="2" dxfId="16" operator="notEqual">
      <formula>0</formula>
    </cfRule>
  </conditionalFormatting>
  <conditionalFormatting sqref="B47:I47">
    <cfRule type="cellIs" priority="1" dxfId="16" operator="notEqual">
      <formula>0</formula>
    </cfRule>
  </conditionalFormatting>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W1000"/>
  <sheetViews>
    <sheetView showGridLines="0" zoomScalePageLayoutView="0" workbookViewId="0" topLeftCell="A1">
      <selection activeCell="N28" sqref="N28"/>
    </sheetView>
  </sheetViews>
  <sheetFormatPr defaultColWidth="11.421875" defaultRowHeight="15"/>
  <cols>
    <col min="1" max="1" width="13.421875" style="0" customWidth="1"/>
    <col min="2" max="2" width="32.140625" style="0" customWidth="1"/>
    <col min="6" max="6" width="8.140625" style="0" customWidth="1"/>
    <col min="7" max="7" width="7.421875" style="0" customWidth="1"/>
    <col min="8" max="9" width="14.140625" style="0" customWidth="1"/>
  </cols>
  <sheetData>
    <row r="1" spans="1:23" ht="16.5">
      <c r="A1" s="97" t="str">
        <f>HLOOKUP(INDICE!$F$2,Nombres!$C$3:$D$636,161,FALSE)</f>
        <v>Tipos de cambio</v>
      </c>
      <c r="B1" s="97"/>
      <c r="C1" s="98"/>
      <c r="D1" s="98"/>
      <c r="E1" s="98"/>
      <c r="F1" s="98"/>
      <c r="G1" s="98"/>
      <c r="H1" s="98"/>
      <c r="I1" s="98"/>
      <c r="J1" s="120"/>
      <c r="K1" s="99"/>
      <c r="L1" s="99"/>
      <c r="M1" s="99"/>
      <c r="N1" s="165"/>
      <c r="O1" s="165"/>
      <c r="P1" s="165"/>
      <c r="Q1" s="165"/>
      <c r="R1" s="165"/>
      <c r="S1" s="165"/>
      <c r="T1" s="165"/>
      <c r="U1" s="165"/>
      <c r="V1" s="165"/>
      <c r="W1" s="165"/>
    </row>
    <row r="2" spans="1:13" ht="14.25">
      <c r="A2" s="166" t="str">
        <f>HLOOKUP(INDICE!$F$2,Nombres!$C$3:$D$636,162,FALSE)</f>
        <v>(Expresados en divisa/euro)</v>
      </c>
      <c r="B2" s="166"/>
      <c r="C2" s="167"/>
      <c r="D2" s="167"/>
      <c r="E2" s="167"/>
      <c r="F2" s="167"/>
      <c r="G2" s="167"/>
      <c r="H2" s="167"/>
      <c r="I2" s="167"/>
      <c r="J2" s="120"/>
      <c r="K2" s="99"/>
      <c r="L2" s="99"/>
      <c r="M2" s="99"/>
    </row>
    <row r="3" spans="1:9" ht="19.5">
      <c r="A3" s="168"/>
      <c r="B3" s="168"/>
      <c r="C3" s="312" t="str">
        <f>HLOOKUP(INDICE!$F$2,Nombres!$C$3:$D$636,163,FALSE)</f>
        <v>Cambios finales (*)</v>
      </c>
      <c r="D3" s="312"/>
      <c r="E3" s="312"/>
      <c r="F3" s="169"/>
      <c r="G3" s="170"/>
      <c r="H3" s="312" t="str">
        <f>HLOOKUP(INDICE!$F$2,Nombres!$C$3:$D$636,164,FALSE)</f>
        <v>Cambios medios (**)</v>
      </c>
      <c r="I3" s="312"/>
    </row>
    <row r="4" spans="1:9" ht="14.25">
      <c r="A4" s="102"/>
      <c r="B4" s="102"/>
      <c r="C4" s="78"/>
      <c r="D4" s="171" t="str">
        <f>HLOOKUP(INDICE!$F$2,Nombres!$C$3:$D$636,165,FALSE)</f>
        <v>∆% sobre</v>
      </c>
      <c r="E4" s="171" t="str">
        <f>HLOOKUP(INDICE!$F$2,Nombres!$C$3:$D$636,165,FALSE)</f>
        <v>∆% sobre</v>
      </c>
      <c r="F4" s="169"/>
      <c r="G4" s="170"/>
      <c r="H4" s="172"/>
      <c r="I4" s="171" t="str">
        <f>HLOOKUP(INDICE!$F$2,Nombres!$C$3:$D$636,165,FALSE)</f>
        <v>∆% sobre</v>
      </c>
    </row>
    <row r="5" spans="1:9" ht="14.25">
      <c r="A5" s="102"/>
      <c r="B5" s="102"/>
      <c r="C5" s="173">
        <v>44196</v>
      </c>
      <c r="D5" s="173">
        <f>DATE(YEAR(C5),MONTH(C5)-12,DAY(C5))</f>
        <v>43830</v>
      </c>
      <c r="E5" s="173">
        <v>44104</v>
      </c>
      <c r="F5" s="174"/>
      <c r="G5" s="175"/>
      <c r="H5" s="173">
        <f>+C5</f>
        <v>44196</v>
      </c>
      <c r="I5" s="176">
        <f>+D5</f>
        <v>43830</v>
      </c>
    </row>
    <row r="6" spans="1:9" ht="14.25">
      <c r="A6" s="59" t="str">
        <f>HLOOKUP(INDICE!$F$2,Nombres!$C$3:$D$636,152,FALSE)</f>
        <v>Peso mexicano</v>
      </c>
      <c r="B6" s="59"/>
      <c r="C6" s="177">
        <v>24.416000000206267</v>
      </c>
      <c r="D6" s="178">
        <v>-0.13088958061853173</v>
      </c>
      <c r="E6" s="178">
        <v>0.07244429881016123</v>
      </c>
      <c r="F6" s="179"/>
      <c r="G6" s="58"/>
      <c r="H6" s="177">
        <v>24.53011800008977</v>
      </c>
      <c r="I6" s="178">
        <v>-0.12135979125236829</v>
      </c>
    </row>
    <row r="7" spans="1:9" ht="14.25">
      <c r="A7" s="59" t="str">
        <f>HLOOKUP(INDICE!$F$2,Nombres!$C$3:$D$636,153,FALSE)</f>
        <v>Dólar estadounidense</v>
      </c>
      <c r="B7" s="59"/>
      <c r="C7" s="177">
        <v>1.2270999999992567</v>
      </c>
      <c r="D7" s="178">
        <v>-0.08450819004066812</v>
      </c>
      <c r="E7" s="178">
        <v>-0.04588053133329684</v>
      </c>
      <c r="F7" s="147"/>
      <c r="G7" s="58"/>
      <c r="H7" s="177">
        <v>1.1417709999998265</v>
      </c>
      <c r="I7" s="178">
        <v>-0.019548578479677392</v>
      </c>
    </row>
    <row r="8" spans="1:9" ht="14.25">
      <c r="A8" s="59" t="str">
        <f>HLOOKUP(INDICE!$F$2,Nombres!$C$3:$D$636,154,FALSE)</f>
        <v>Peso argentino</v>
      </c>
      <c r="B8" s="286" t="s">
        <v>428</v>
      </c>
      <c r="C8" s="287">
        <v>103.2543290011157</v>
      </c>
      <c r="D8" s="178">
        <v>-0.34834651824294305</v>
      </c>
      <c r="E8" s="178">
        <v>-0.13693263167182657</v>
      </c>
      <c r="F8" s="147"/>
      <c r="G8" s="58"/>
      <c r="H8" s="280" t="s">
        <v>419</v>
      </c>
      <c r="I8" s="280" t="s">
        <v>419</v>
      </c>
    </row>
    <row r="9" spans="1:9" ht="14.25">
      <c r="A9" s="59" t="str">
        <f>HLOOKUP(INDICE!$F$2,Nombres!$C$3:$D$636,155,FALSE)</f>
        <v>Peso chileno</v>
      </c>
      <c r="B9" s="59"/>
      <c r="C9" s="177">
        <v>872.4067447789422</v>
      </c>
      <c r="D9" s="178">
        <v>-0.035845927321511484</v>
      </c>
      <c r="E9" s="178">
        <v>0.05277242888994493</v>
      </c>
      <c r="F9" s="147"/>
      <c r="G9" s="58"/>
      <c r="H9" s="177">
        <v>903.0609250053054</v>
      </c>
      <c r="I9" s="178">
        <v>-0.12879759999369533</v>
      </c>
    </row>
    <row r="10" spans="1:9" ht="14.25">
      <c r="A10" s="59" t="str">
        <f>HLOOKUP(INDICE!$F$2,Nombres!$C$3:$D$636,156,FALSE)</f>
        <v>Peso colombiano</v>
      </c>
      <c r="B10" s="59"/>
      <c r="C10" s="177">
        <v>4212.02075848941</v>
      </c>
      <c r="D10" s="178">
        <v>-0.12594469719376045</v>
      </c>
      <c r="E10" s="178">
        <v>0.07821475981544457</v>
      </c>
      <c r="F10" s="147"/>
      <c r="G10" s="58"/>
      <c r="H10" s="177">
        <v>4216.812562407508</v>
      </c>
      <c r="I10" s="178">
        <v>-0.12880294349804933</v>
      </c>
    </row>
    <row r="11" spans="1:9" ht="14.25">
      <c r="A11" s="59" t="str">
        <f>HLOOKUP(INDICE!$F$2,Nombres!$C$3:$D$636,157,FALSE)</f>
        <v>Sol peruano</v>
      </c>
      <c r="B11" s="59"/>
      <c r="C11" s="177">
        <v>4.447009999994024</v>
      </c>
      <c r="D11" s="178">
        <v>-0.16337584129531713</v>
      </c>
      <c r="E11" s="178">
        <v>-0.05251506068128642</v>
      </c>
      <c r="F11" s="147"/>
      <c r="G11" s="58"/>
      <c r="H11" s="177">
        <v>3.992319999998023</v>
      </c>
      <c r="I11" s="178">
        <v>-0.0648359850912309</v>
      </c>
    </row>
    <row r="12" spans="1:9" ht="14.25">
      <c r="A12" s="59" t="str">
        <f>HLOOKUP(INDICE!$F$2,Nombres!$C$3:$D$636,158,FALSE)</f>
        <v>Lira turca</v>
      </c>
      <c r="B12" s="59"/>
      <c r="C12" s="177">
        <v>9.113099999991208</v>
      </c>
      <c r="D12" s="178">
        <v>-0.26651743094838287</v>
      </c>
      <c r="E12" s="178">
        <v>-0.001547223231476269</v>
      </c>
      <c r="F12" s="147"/>
      <c r="G12" s="58"/>
      <c r="H12" s="177">
        <v>8.050135000028973</v>
      </c>
      <c r="I12" s="178">
        <v>-0.2100192108631952</v>
      </c>
    </row>
    <row r="13" spans="1:9" ht="14.25">
      <c r="A13" s="101"/>
      <c r="B13" s="101"/>
      <c r="D13" s="180"/>
      <c r="E13" s="180"/>
      <c r="F13" s="180"/>
      <c r="G13" s="180"/>
      <c r="H13" s="101"/>
      <c r="I13" s="101"/>
    </row>
    <row r="14" spans="1:9" ht="14.25">
      <c r="A14" s="101"/>
      <c r="B14" s="101"/>
      <c r="C14" s="181"/>
      <c r="D14" s="180"/>
      <c r="E14" s="180"/>
      <c r="F14" s="180"/>
      <c r="G14" s="180"/>
      <c r="H14" s="101"/>
      <c r="I14" s="101"/>
    </row>
    <row r="15" spans="1:9" ht="14.25">
      <c r="A15" s="119" t="str">
        <f>HLOOKUP(INDICE!$F$2,Nombres!$C$3:$D$636,159,FALSE)</f>
        <v>(*) Utilizados en el cálculo de euros constantes de los datos de balance y actividad</v>
      </c>
      <c r="B15" s="119"/>
      <c r="C15" s="131"/>
      <c r="D15" s="131"/>
      <c r="E15" s="131"/>
      <c r="F15" s="180"/>
      <c r="G15" s="180"/>
      <c r="H15" s="101"/>
      <c r="I15" s="101"/>
    </row>
    <row r="16" spans="1:9" ht="14.25">
      <c r="A16" s="119" t="str">
        <f>HLOOKUP(INDICE!$F$2,Nombres!$C$3:$D$636,160,FALSE)</f>
        <v>(**) Utilizados en el cálculo de euros constantes de los datos de resultados</v>
      </c>
      <c r="B16" s="119"/>
      <c r="C16" s="131"/>
      <c r="D16" s="131"/>
      <c r="E16" s="131"/>
      <c r="F16" s="180"/>
      <c r="G16" s="180"/>
      <c r="H16" s="101"/>
      <c r="I16" s="101"/>
    </row>
    <row r="17" ht="14.25">
      <c r="A17" s="119" t="str">
        <f>HLOOKUP(INDICE!$F$2,Nombres!$C$3:$D$636,256,FALSE)</f>
        <v>(1) En aplicación de la NIC 29 "Información en economías hiperinflacionarias", la conversión de la cuenta de resultados de Argentina se hace empleando el tipo de cambio final.</v>
      </c>
    </row>
    <row r="20" ht="14.25">
      <c r="D20" s="180"/>
    </row>
    <row r="25" spans="3:5" ht="14.25">
      <c r="C25" s="299"/>
      <c r="D25" s="299"/>
      <c r="E25" s="299"/>
    </row>
    <row r="27" ht="14.25">
      <c r="E27" s="299"/>
    </row>
    <row r="1000" ht="14.25">
      <c r="A1000" t="s">
        <v>397</v>
      </c>
    </row>
  </sheetData>
  <sheetProtection/>
  <mergeCells count="2">
    <mergeCell ref="C3:E3"/>
    <mergeCell ref="H3:I3"/>
  </mergeCells>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A1:AD1000"/>
  <sheetViews>
    <sheetView showGridLines="0" zoomScalePageLayoutView="0" workbookViewId="0" topLeftCell="A1">
      <selection activeCell="N19" sqref="N19"/>
    </sheetView>
  </sheetViews>
  <sheetFormatPr defaultColWidth="11.421875" defaultRowHeight="15"/>
  <cols>
    <col min="1" max="1" width="30.7109375" style="183" customWidth="1"/>
    <col min="2" max="9" width="10.7109375" style="183" customWidth="1"/>
    <col min="10" max="10" width="10.8515625" style="183" customWidth="1"/>
    <col min="11" max="255" width="11.421875" style="183" customWidth="1"/>
  </cols>
  <sheetData>
    <row r="1" spans="1:9" ht="19.5">
      <c r="A1" s="97" t="str">
        <f>HLOOKUP(INDICE!$F$2,Nombres!$C$3:$D$636,171,FALSE)</f>
        <v>Diferenciales de la clientela (*)</v>
      </c>
      <c r="B1" s="182"/>
      <c r="C1" s="182"/>
      <c r="D1" s="182"/>
      <c r="E1" s="182"/>
      <c r="F1" s="182"/>
      <c r="G1" s="261"/>
      <c r="H1" s="261"/>
      <c r="I1" s="261"/>
    </row>
    <row r="2" spans="1:9" ht="19.5">
      <c r="A2" s="184" t="str">
        <f>HLOOKUP(INDICE!$F$2,Nombres!$C$3:$D$636,172,FALSE)</f>
        <v>(Porcentaje)</v>
      </c>
      <c r="B2" s="185"/>
      <c r="C2" s="185"/>
      <c r="D2" s="185"/>
      <c r="E2" s="185"/>
      <c r="F2" s="185"/>
      <c r="G2" s="186"/>
      <c r="H2" s="186"/>
      <c r="I2" s="186"/>
    </row>
    <row r="3" spans="1:9" ht="14.25">
      <c r="A3" s="186"/>
      <c r="B3" s="313">
        <v>2019</v>
      </c>
      <c r="C3" s="313"/>
      <c r="D3" s="313"/>
      <c r="E3" s="313"/>
      <c r="F3" s="313">
        <v>2020</v>
      </c>
      <c r="G3" s="313"/>
      <c r="H3" s="313"/>
      <c r="I3" s="313"/>
    </row>
    <row r="4" spans="1:9" ht="14.25">
      <c r="A4" s="147"/>
      <c r="B4" s="187" t="str">
        <f>HLOOKUP(INDICE!$F$2,Nombres!$C$3:$D$636,167,FALSE)</f>
        <v>1er Trim.</v>
      </c>
      <c r="C4" s="187" t="str">
        <f>HLOOKUP(INDICE!$F$2,Nombres!$C$3:$D$636,168,FALSE)</f>
        <v>2º Trim.</v>
      </c>
      <c r="D4" s="187" t="str">
        <f>HLOOKUP(INDICE!$F$2,Nombres!$C$3:$D$636,169,FALSE)</f>
        <v>3er Trim.</v>
      </c>
      <c r="E4" s="187" t="str">
        <f>HLOOKUP(INDICE!$F$2,Nombres!$C$3:$D$636,170,FALSE)</f>
        <v>4º Trim.</v>
      </c>
      <c r="F4" s="187" t="str">
        <f>HLOOKUP(INDICE!$F$2,Nombres!$C$3:$D$636,167,FALSE)</f>
        <v>1er Trim.</v>
      </c>
      <c r="G4" s="187" t="str">
        <f>HLOOKUP(INDICE!$F$2,Nombres!$C$3:$D$636,168,FALSE)</f>
        <v>2º Trim.</v>
      </c>
      <c r="H4" s="187" t="str">
        <f>HLOOKUP(INDICE!$F$2,Nombres!$C$3:$D$636,169,FALSE)</f>
        <v>3er Trim.</v>
      </c>
      <c r="I4" s="187" t="str">
        <f>HLOOKUP(INDICE!$F$2,Nombres!$C$3:$D$636,170,FALSE)</f>
        <v>4º Trim.</v>
      </c>
    </row>
    <row r="5" spans="1:9" ht="14.25">
      <c r="A5" s="147"/>
      <c r="B5" s="104"/>
      <c r="C5" s="104"/>
      <c r="D5" s="104"/>
      <c r="E5" s="104"/>
      <c r="F5" s="104"/>
      <c r="G5" s="186"/>
      <c r="H5" s="186"/>
      <c r="I5" s="186"/>
    </row>
    <row r="6" spans="1:30" ht="14.25">
      <c r="A6" s="188" t="str">
        <f>HLOOKUP(INDICE!$F$2,Nombres!$C$3:$D$636,173,FALSE)</f>
        <v>Rentabilidad de los prestamos</v>
      </c>
      <c r="B6" s="189">
        <v>0.020351645017163765</v>
      </c>
      <c r="C6" s="189">
        <v>0.020551099349604435</v>
      </c>
      <c r="D6" s="189">
        <v>0.02045087474035144</v>
      </c>
      <c r="E6" s="189">
        <v>0.020239704480605195</v>
      </c>
      <c r="F6" s="189">
        <v>0.01991849576316028</v>
      </c>
      <c r="G6" s="189">
        <v>0.019253154408987685</v>
      </c>
      <c r="H6" s="189">
        <v>0.018918033666108874</v>
      </c>
      <c r="I6" s="189">
        <v>0.018297817290703476</v>
      </c>
      <c r="J6" s="300"/>
      <c r="K6" s="294"/>
      <c r="L6" s="294"/>
      <c r="M6" s="294"/>
      <c r="O6" s="190"/>
      <c r="P6" s="190"/>
      <c r="Q6" s="190"/>
      <c r="R6" s="190"/>
      <c r="W6" s="190"/>
      <c r="X6" s="190"/>
      <c r="Y6" s="190"/>
      <c r="Z6" s="190"/>
      <c r="AA6" s="190"/>
      <c r="AB6" s="190"/>
      <c r="AC6" s="190"/>
      <c r="AD6" s="190"/>
    </row>
    <row r="7" spans="1:30" ht="14.25">
      <c r="A7" s="188" t="str">
        <f>HLOOKUP(INDICE!$F$2,Nombres!$C$3:$D$636,174,FALSE)</f>
        <v>Coste de los depositos</v>
      </c>
      <c r="B7" s="189">
        <v>-0.0007079484064170578</v>
      </c>
      <c r="C7" s="189">
        <v>-0.0006129971692167433</v>
      </c>
      <c r="D7" s="189">
        <v>-0.0004684084662086657</v>
      </c>
      <c r="E7" s="189">
        <v>-0.00037320126871388375</v>
      </c>
      <c r="F7" s="189">
        <v>-0.0002841364447818753</v>
      </c>
      <c r="G7" s="189">
        <v>-0.00010090867490470549</v>
      </c>
      <c r="H7" s="189">
        <v>-6.477276928691589E-05</v>
      </c>
      <c r="I7" s="189">
        <v>-7.046439865912403E-05</v>
      </c>
      <c r="J7" s="300"/>
      <c r="K7" s="294"/>
      <c r="L7" s="294"/>
      <c r="M7" s="294"/>
      <c r="O7" s="190"/>
      <c r="P7" s="190"/>
      <c r="Q7" s="190"/>
      <c r="R7" s="190"/>
      <c r="W7" s="190"/>
      <c r="X7" s="190"/>
      <c r="Y7" s="190"/>
      <c r="Z7" s="190"/>
      <c r="AA7" s="190"/>
      <c r="AB7" s="190"/>
      <c r="AC7" s="190"/>
      <c r="AD7" s="190"/>
    </row>
    <row r="8" spans="1:30" ht="14.25">
      <c r="A8" s="191" t="str">
        <f>HLOOKUP(INDICE!$F$2,Nombres!$C$3:$D$636,175,FALSE)</f>
        <v>Actividad bancaria en España</v>
      </c>
      <c r="B8" s="192">
        <v>0.01964369661074671</v>
      </c>
      <c r="C8" s="192">
        <v>0.019938102180387694</v>
      </c>
      <c r="D8" s="192">
        <v>0.019982466274142775</v>
      </c>
      <c r="E8" s="192">
        <v>0.01986650321189131</v>
      </c>
      <c r="F8" s="192">
        <v>0.019634359318378404</v>
      </c>
      <c r="G8" s="192">
        <v>0.01915224573408298</v>
      </c>
      <c r="H8" s="192">
        <v>0.018853260896821957</v>
      </c>
      <c r="I8" s="192">
        <v>0.018227352892044354</v>
      </c>
      <c r="J8" s="300"/>
      <c r="K8" s="294"/>
      <c r="L8" s="294"/>
      <c r="M8" s="294"/>
      <c r="O8" s="190"/>
      <c r="P8" s="190"/>
      <c r="Q8" s="190"/>
      <c r="R8" s="190"/>
      <c r="W8" s="190"/>
      <c r="X8" s="190"/>
      <c r="Y8" s="190"/>
      <c r="Z8" s="190"/>
      <c r="AA8" s="190"/>
      <c r="AB8" s="190"/>
      <c r="AC8" s="190"/>
      <c r="AD8" s="190"/>
    </row>
    <row r="9" spans="1:30" ht="14.25">
      <c r="A9" s="147"/>
      <c r="B9" s="193"/>
      <c r="C9" s="193"/>
      <c r="D9" s="193"/>
      <c r="E9" s="193"/>
      <c r="F9" s="193"/>
      <c r="G9" s="193"/>
      <c r="H9" s="193"/>
      <c r="I9" s="193"/>
      <c r="O9" s="190"/>
      <c r="P9" s="190"/>
      <c r="Q9" s="190"/>
      <c r="R9" s="190"/>
      <c r="W9" s="190"/>
      <c r="X9" s="190"/>
      <c r="Y9" s="190"/>
      <c r="Z9" s="190"/>
      <c r="AA9" s="190"/>
      <c r="AB9" s="190"/>
      <c r="AC9" s="190"/>
      <c r="AD9" s="190"/>
    </row>
    <row r="10" spans="1:30" ht="14.25">
      <c r="A10" s="188" t="str">
        <f>HLOOKUP(INDICE!$F$2,Nombres!$C$3:$D$636,173,FALSE)</f>
        <v>Rentabilidad de los prestamos</v>
      </c>
      <c r="B10" s="189">
        <v>0.050387928711691066</v>
      </c>
      <c r="C10" s="189">
        <v>0.050388555592085806</v>
      </c>
      <c r="D10" s="189">
        <v>0.049302107425794946</v>
      </c>
      <c r="E10" s="189">
        <v>0.046834834943257804</v>
      </c>
      <c r="F10" s="189">
        <v>0.045672295054219915</v>
      </c>
      <c r="G10" s="189">
        <v>0.03993263221990524</v>
      </c>
      <c r="H10" s="189">
        <v>0.03890702849001951</v>
      </c>
      <c r="I10" s="189">
        <v>0.03870733801365138</v>
      </c>
      <c r="J10" s="300"/>
      <c r="K10" s="294"/>
      <c r="L10" s="294"/>
      <c r="M10" s="294"/>
      <c r="O10" s="190"/>
      <c r="P10" s="190"/>
      <c r="Q10" s="190"/>
      <c r="R10" s="190"/>
      <c r="W10" s="190"/>
      <c r="X10" s="190"/>
      <c r="Y10" s="190"/>
      <c r="Z10" s="190"/>
      <c r="AA10" s="190"/>
      <c r="AB10" s="190"/>
      <c r="AC10" s="190"/>
      <c r="AD10" s="190"/>
    </row>
    <row r="11" spans="1:30" ht="14.25">
      <c r="A11" s="188" t="str">
        <f>HLOOKUP(INDICE!$F$2,Nombres!$C$3:$D$636,174,FALSE)</f>
        <v>Coste de los depositos</v>
      </c>
      <c r="B11" s="189">
        <v>-0.008444088241841879</v>
      </c>
      <c r="C11" s="189">
        <v>-0.00962859154855532</v>
      </c>
      <c r="D11" s="189">
        <v>-0.01016193322521777</v>
      </c>
      <c r="E11" s="189">
        <v>-0.00954307302646493</v>
      </c>
      <c r="F11" s="189">
        <v>-0.00831618733052044</v>
      </c>
      <c r="G11" s="189">
        <v>-0.004406806467831812</v>
      </c>
      <c r="H11" s="189">
        <v>-0.002562942141864513</v>
      </c>
      <c r="I11" s="189">
        <v>-0.0013628670013644917</v>
      </c>
      <c r="J11" s="300"/>
      <c r="K11" s="294"/>
      <c r="L11" s="294"/>
      <c r="M11" s="294"/>
      <c r="O11" s="190"/>
      <c r="P11" s="190"/>
      <c r="Q11" s="190"/>
      <c r="R11" s="190"/>
      <c r="W11" s="190"/>
      <c r="X11" s="190"/>
      <c r="Y11" s="190"/>
      <c r="Z11" s="190"/>
      <c r="AA11" s="190"/>
      <c r="AB11" s="190"/>
      <c r="AC11" s="190"/>
      <c r="AD11" s="190"/>
    </row>
    <row r="12" spans="1:30" ht="14.25">
      <c r="A12" s="191" t="str">
        <f>HLOOKUP(INDICE!$F$2,Nombres!$C$3:$D$636,176,FALSE)</f>
        <v>Estados Unidos (**)</v>
      </c>
      <c r="B12" s="192">
        <v>0.04194384046984918</v>
      </c>
      <c r="C12" s="192">
        <v>0.04075996404353049</v>
      </c>
      <c r="D12" s="192">
        <v>0.03914017420057718</v>
      </c>
      <c r="E12" s="192">
        <v>0.03729176191679287</v>
      </c>
      <c r="F12" s="192">
        <v>0.037356107723699475</v>
      </c>
      <c r="G12" s="192">
        <v>0.03552582575207343</v>
      </c>
      <c r="H12" s="192">
        <v>0.036344086348154996</v>
      </c>
      <c r="I12" s="192">
        <v>0.03734447101228689</v>
      </c>
      <c r="J12" s="300"/>
      <c r="K12" s="294"/>
      <c r="L12" s="294"/>
      <c r="M12" s="294"/>
      <c r="O12" s="190"/>
      <c r="P12" s="190"/>
      <c r="Q12" s="190"/>
      <c r="R12" s="190"/>
      <c r="W12" s="190"/>
      <c r="X12" s="190"/>
      <c r="Y12" s="190"/>
      <c r="Z12" s="190"/>
      <c r="AA12" s="190"/>
      <c r="AB12" s="190"/>
      <c r="AC12" s="190"/>
      <c r="AD12" s="190"/>
    </row>
    <row r="13" spans="1:30" ht="14.25">
      <c r="A13" s="147"/>
      <c r="B13" s="193"/>
      <c r="C13" s="193"/>
      <c r="D13" s="193"/>
      <c r="E13" s="193"/>
      <c r="F13" s="193"/>
      <c r="G13" s="193"/>
      <c r="H13" s="193"/>
      <c r="I13" s="193"/>
      <c r="O13" s="190"/>
      <c r="P13" s="190"/>
      <c r="Q13" s="190"/>
      <c r="R13" s="190"/>
      <c r="W13" s="190"/>
      <c r="X13" s="190"/>
      <c r="Y13" s="190"/>
      <c r="Z13" s="190"/>
      <c r="AA13" s="190"/>
      <c r="AB13" s="190"/>
      <c r="AC13" s="190"/>
      <c r="AD13" s="190"/>
    </row>
    <row r="14" spans="1:30" ht="14.25">
      <c r="A14" s="188" t="str">
        <f>HLOOKUP(INDICE!$F$2,Nombres!$C$3:$D$636,173,FALSE)</f>
        <v>Rentabilidad de los prestamos</v>
      </c>
      <c r="B14" s="189">
        <v>0.14498939498770308</v>
      </c>
      <c r="C14" s="189">
        <v>0.14555500935000304</v>
      </c>
      <c r="D14" s="189">
        <v>0.14503377708489937</v>
      </c>
      <c r="E14" s="189">
        <v>0.14323353022236252</v>
      </c>
      <c r="F14" s="189">
        <v>0.13856445865805508</v>
      </c>
      <c r="G14" s="189">
        <v>0.12100770872281284</v>
      </c>
      <c r="H14" s="189">
        <v>0.12818879887129644</v>
      </c>
      <c r="I14" s="189">
        <v>0.12418285702021734</v>
      </c>
      <c r="J14" s="300"/>
      <c r="K14" s="294"/>
      <c r="L14" s="294"/>
      <c r="M14" s="294"/>
      <c r="O14" s="190"/>
      <c r="P14" s="190"/>
      <c r="Q14" s="190"/>
      <c r="R14" s="190"/>
      <c r="W14" s="190"/>
      <c r="X14" s="190"/>
      <c r="Y14" s="190"/>
      <c r="Z14" s="190"/>
      <c r="AA14" s="190"/>
      <c r="AB14" s="190"/>
      <c r="AC14" s="190"/>
      <c r="AD14" s="190"/>
    </row>
    <row r="15" spans="1:30" ht="14.25">
      <c r="A15" s="188" t="str">
        <f>HLOOKUP(INDICE!$F$2,Nombres!$C$3:$D$636,174,FALSE)</f>
        <v>Coste de los depositos</v>
      </c>
      <c r="B15" s="189">
        <v>-0.026852633302494596</v>
      </c>
      <c r="C15" s="189">
        <v>-0.027501700582947562</v>
      </c>
      <c r="D15" s="189">
        <v>-0.02913650070428849</v>
      </c>
      <c r="E15" s="189">
        <v>-0.026290599858240105</v>
      </c>
      <c r="F15" s="189">
        <v>-0.024666632238023473</v>
      </c>
      <c r="G15" s="189">
        <v>-0.02213570138477802</v>
      </c>
      <c r="H15" s="189">
        <v>-0.016530572823665653</v>
      </c>
      <c r="I15" s="189">
        <v>-0.013399429631589682</v>
      </c>
      <c r="J15" s="300"/>
      <c r="K15" s="294"/>
      <c r="L15" s="294"/>
      <c r="M15" s="294"/>
      <c r="O15" s="190"/>
      <c r="P15" s="190"/>
      <c r="Q15" s="190"/>
      <c r="R15" s="190"/>
      <c r="W15" s="190"/>
      <c r="X15" s="190"/>
      <c r="Y15" s="190"/>
      <c r="Z15" s="190"/>
      <c r="AA15" s="190"/>
      <c r="AB15" s="190"/>
      <c r="AC15" s="190"/>
      <c r="AD15" s="190"/>
    </row>
    <row r="16" spans="1:30" ht="14.25">
      <c r="A16" s="191" t="str">
        <f>HLOOKUP(INDICE!$F$2,Nombres!$C$3:$D$636,177,FALSE)</f>
        <v>México pesos mexicanos</v>
      </c>
      <c r="B16" s="192">
        <v>0.11813676168520848</v>
      </c>
      <c r="C16" s="192">
        <v>0.11805330876705547</v>
      </c>
      <c r="D16" s="192">
        <v>0.11589727638061087</v>
      </c>
      <c r="E16" s="192">
        <v>0.11694293036412241</v>
      </c>
      <c r="F16" s="192">
        <v>0.11389782642003161</v>
      </c>
      <c r="G16" s="192">
        <v>0.09887200733803482</v>
      </c>
      <c r="H16" s="192">
        <v>0.11165822604763079</v>
      </c>
      <c r="I16" s="192">
        <v>0.11078342738862765</v>
      </c>
      <c r="J16" s="300"/>
      <c r="K16" s="294"/>
      <c r="L16" s="294"/>
      <c r="M16" s="294"/>
      <c r="O16" s="190"/>
      <c r="P16" s="190"/>
      <c r="Q16" s="190"/>
      <c r="R16" s="190"/>
      <c r="W16" s="190"/>
      <c r="X16" s="190"/>
      <c r="Y16" s="190"/>
      <c r="Z16" s="190"/>
      <c r="AA16" s="190"/>
      <c r="AB16" s="190"/>
      <c r="AC16" s="190"/>
      <c r="AD16" s="190"/>
    </row>
    <row r="17" spans="1:30" ht="14.25">
      <c r="A17" s="147"/>
      <c r="B17" s="193"/>
      <c r="C17" s="193"/>
      <c r="D17" s="193"/>
      <c r="E17" s="193"/>
      <c r="F17" s="193"/>
      <c r="G17" s="193"/>
      <c r="H17" s="193"/>
      <c r="I17" s="193"/>
      <c r="O17" s="190"/>
      <c r="P17" s="190"/>
      <c r="Q17" s="190"/>
      <c r="R17" s="190"/>
      <c r="W17" s="190"/>
      <c r="X17" s="190"/>
      <c r="Y17" s="190"/>
      <c r="Z17" s="190"/>
      <c r="AA17" s="190"/>
      <c r="AB17" s="190"/>
      <c r="AC17" s="190"/>
      <c r="AD17" s="190"/>
    </row>
    <row r="18" spans="1:30" ht="14.25">
      <c r="A18" s="188" t="str">
        <f>HLOOKUP(INDICE!$F$2,Nombres!$C$3:$D$636,173,FALSE)</f>
        <v>Rentabilidad de los prestamos</v>
      </c>
      <c r="B18" s="193">
        <v>0.046648646094920455</v>
      </c>
      <c r="C18" s="193">
        <v>0.04614444324285154</v>
      </c>
      <c r="D18" s="193">
        <v>0.044381731410295375</v>
      </c>
      <c r="E18" s="193">
        <v>0.04141821217130468</v>
      </c>
      <c r="F18" s="193">
        <v>0.04030369454623085</v>
      </c>
      <c r="G18" s="193">
        <v>0.0347989576703468</v>
      </c>
      <c r="H18" s="193">
        <v>0.030442610713643677</v>
      </c>
      <c r="I18" s="193">
        <v>0.02898689721501311</v>
      </c>
      <c r="O18" s="190"/>
      <c r="P18" s="190"/>
      <c r="Q18" s="190"/>
      <c r="R18" s="190"/>
      <c r="W18" s="190"/>
      <c r="X18" s="190"/>
      <c r="Y18" s="190"/>
      <c r="Z18" s="190"/>
      <c r="AA18" s="190"/>
      <c r="AB18" s="190"/>
      <c r="AC18" s="190"/>
      <c r="AD18" s="190"/>
    </row>
    <row r="19" spans="1:30" ht="14.25">
      <c r="A19" s="188" t="str">
        <f>HLOOKUP(INDICE!$F$2,Nombres!$C$3:$D$636,174,FALSE)</f>
        <v>Coste de los depositos</v>
      </c>
      <c r="B19" s="193">
        <v>-0.002409387115802023</v>
      </c>
      <c r="C19" s="193">
        <v>-0.003076417278350444</v>
      </c>
      <c r="D19" s="193">
        <v>-0.0036005796424752445</v>
      </c>
      <c r="E19" s="193">
        <v>-0.003017096480601097</v>
      </c>
      <c r="F19" s="193">
        <v>-0.0022562904884840798</v>
      </c>
      <c r="G19" s="193">
        <v>-0.0014076015592446483</v>
      </c>
      <c r="H19" s="193">
        <v>-0.0006171507298293055</v>
      </c>
      <c r="I19" s="193">
        <v>-0.000506234892570365</v>
      </c>
      <c r="O19" s="190"/>
      <c r="P19" s="190"/>
      <c r="Q19" s="190"/>
      <c r="R19" s="190"/>
      <c r="W19" s="190"/>
      <c r="X19" s="190"/>
      <c r="Y19" s="190"/>
      <c r="Z19" s="190"/>
      <c r="AA19" s="190"/>
      <c r="AB19" s="190"/>
      <c r="AC19" s="190"/>
      <c r="AD19" s="190"/>
    </row>
    <row r="20" spans="1:30" ht="14.25">
      <c r="A20" s="191" t="str">
        <f>HLOOKUP(INDICE!$F$2,Nombres!$C$3:$D$636,178,FALSE)</f>
        <v>México moneda extranjera</v>
      </c>
      <c r="B20" s="194">
        <v>0.04423925897911843</v>
      </c>
      <c r="C20" s="194">
        <v>0.04306802596450109</v>
      </c>
      <c r="D20" s="194">
        <v>0.04078115176782013</v>
      </c>
      <c r="E20" s="194">
        <v>0.038401115690703584</v>
      </c>
      <c r="F20" s="194">
        <v>0.03804740405774677</v>
      </c>
      <c r="G20" s="194">
        <v>0.03339135611110215</v>
      </c>
      <c r="H20" s="194">
        <v>0.029825459983814372</v>
      </c>
      <c r="I20" s="194">
        <v>0.028480662322442743</v>
      </c>
      <c r="O20" s="190"/>
      <c r="P20" s="190"/>
      <c r="Q20" s="190"/>
      <c r="R20" s="190"/>
      <c r="W20" s="190"/>
      <c r="X20" s="190"/>
      <c r="Y20" s="190"/>
      <c r="Z20" s="190"/>
      <c r="AA20" s="190"/>
      <c r="AB20" s="190"/>
      <c r="AC20" s="190"/>
      <c r="AD20" s="190"/>
    </row>
    <row r="21" spans="1:30" ht="14.25">
      <c r="A21" s="147"/>
      <c r="B21" s="193"/>
      <c r="C21" s="193"/>
      <c r="D21" s="193"/>
      <c r="E21" s="193"/>
      <c r="F21" s="193"/>
      <c r="G21" s="193"/>
      <c r="H21" s="193"/>
      <c r="I21" s="193"/>
      <c r="O21" s="190"/>
      <c r="P21" s="190"/>
      <c r="Q21" s="190"/>
      <c r="R21" s="190"/>
      <c r="W21" s="190"/>
      <c r="X21" s="190"/>
      <c r="Y21" s="190"/>
      <c r="Z21" s="190"/>
      <c r="AA21" s="190"/>
      <c r="AB21" s="190"/>
      <c r="AC21" s="190"/>
      <c r="AD21" s="190"/>
    </row>
    <row r="22" spans="1:30" ht="14.25">
      <c r="A22" s="188" t="str">
        <f>HLOOKUP(INDICE!$F$2,Nombres!$C$3:$D$636,173,FALSE)</f>
        <v>Rentabilidad de los prestamos</v>
      </c>
      <c r="B22" s="189">
        <v>0.19017727480570767</v>
      </c>
      <c r="C22" s="189">
        <v>0.19088657833660883</v>
      </c>
      <c r="D22" s="189">
        <v>0.18562842116570288</v>
      </c>
      <c r="E22" s="189">
        <v>0.16457807120632795</v>
      </c>
      <c r="F22" s="189">
        <v>0.1457972762524551</v>
      </c>
      <c r="G22" s="189">
        <v>0.13223221716743155</v>
      </c>
      <c r="H22" s="189">
        <v>0.12169318670817222</v>
      </c>
      <c r="I22" s="189">
        <v>0.12880281693033194</v>
      </c>
      <c r="J22" s="300"/>
      <c r="K22" s="294"/>
      <c r="L22" s="294"/>
      <c r="M22" s="294"/>
      <c r="O22" s="190"/>
      <c r="P22" s="190"/>
      <c r="Q22" s="190"/>
      <c r="R22" s="190"/>
      <c r="W22" s="190"/>
      <c r="X22" s="190"/>
      <c r="Y22" s="190"/>
      <c r="Z22" s="190"/>
      <c r="AA22" s="190"/>
      <c r="AB22" s="190"/>
      <c r="AC22" s="190"/>
      <c r="AD22" s="190"/>
    </row>
    <row r="23" spans="1:30" ht="14.25">
      <c r="A23" s="188" t="str">
        <f>HLOOKUP(INDICE!$F$2,Nombres!$C$3:$D$636,174,FALSE)</f>
        <v>Coste de los depositos</v>
      </c>
      <c r="B23" s="189">
        <v>-0.16518269688597997</v>
      </c>
      <c r="C23" s="189">
        <v>-0.16369924267697866</v>
      </c>
      <c r="D23" s="189">
        <v>-0.1446070042922885</v>
      </c>
      <c r="E23" s="189">
        <v>-0.09340047129807973</v>
      </c>
      <c r="F23" s="189">
        <v>-0.07122935045239195</v>
      </c>
      <c r="G23" s="189">
        <v>-0.05925141394336347</v>
      </c>
      <c r="H23" s="189">
        <v>-0.06119945613812864</v>
      </c>
      <c r="I23" s="189">
        <v>-0.08979932642488939</v>
      </c>
      <c r="J23" s="300"/>
      <c r="K23" s="294"/>
      <c r="L23" s="294"/>
      <c r="M23" s="294"/>
      <c r="O23" s="190"/>
      <c r="P23" s="190"/>
      <c r="Q23" s="190"/>
      <c r="R23" s="190"/>
      <c r="W23" s="190"/>
      <c r="X23" s="190"/>
      <c r="Y23" s="190"/>
      <c r="Z23" s="190"/>
      <c r="AA23" s="190"/>
      <c r="AB23" s="190"/>
      <c r="AC23" s="190"/>
      <c r="AD23" s="190"/>
    </row>
    <row r="24" spans="1:30" ht="14.25">
      <c r="A24" s="191" t="str">
        <f>HLOOKUP(INDICE!$F$2,Nombres!$C$3:$D$636,179,FALSE)</f>
        <v>Turquía liras turcas</v>
      </c>
      <c r="B24" s="192">
        <v>0.0249945779197277</v>
      </c>
      <c r="C24" s="192">
        <v>0.027187335659630163</v>
      </c>
      <c r="D24" s="192">
        <v>0.041021416873414374</v>
      </c>
      <c r="E24" s="192">
        <v>0.07117759990824822</v>
      </c>
      <c r="F24" s="192">
        <v>0.07456792580006313</v>
      </c>
      <c r="G24" s="192">
        <v>0.07298080322406808</v>
      </c>
      <c r="H24" s="192">
        <v>0.060493730570043584</v>
      </c>
      <c r="I24" s="192">
        <v>0.03900349050544255</v>
      </c>
      <c r="J24" s="300"/>
      <c r="K24" s="294"/>
      <c r="L24" s="294"/>
      <c r="M24" s="294"/>
      <c r="O24" s="190"/>
      <c r="P24" s="190"/>
      <c r="Q24" s="190"/>
      <c r="R24" s="190"/>
      <c r="W24" s="190"/>
      <c r="X24" s="190"/>
      <c r="Y24" s="190"/>
      <c r="Z24" s="190"/>
      <c r="AA24" s="190"/>
      <c r="AB24" s="190"/>
      <c r="AC24" s="190"/>
      <c r="AD24" s="190"/>
    </row>
    <row r="25" spans="1:30" ht="14.25">
      <c r="A25" s="191"/>
      <c r="B25" s="192"/>
      <c r="C25" s="192"/>
      <c r="D25" s="192"/>
      <c r="E25" s="192"/>
      <c r="F25" s="192"/>
      <c r="G25" s="192"/>
      <c r="H25" s="192"/>
      <c r="I25" s="192"/>
      <c r="J25" s="300"/>
      <c r="K25" s="294"/>
      <c r="L25" s="294"/>
      <c r="M25" s="294"/>
      <c r="O25" s="190"/>
      <c r="P25" s="190"/>
      <c r="Q25" s="190"/>
      <c r="R25" s="190"/>
      <c r="W25" s="190"/>
      <c r="X25" s="190"/>
      <c r="Y25" s="190"/>
      <c r="Z25" s="190"/>
      <c r="AA25" s="190"/>
      <c r="AB25" s="190"/>
      <c r="AC25" s="190"/>
      <c r="AD25" s="190"/>
    </row>
    <row r="26" spans="1:30" ht="14.25">
      <c r="A26" s="188" t="str">
        <f>HLOOKUP(INDICE!$F$2,Nombres!$C$3:$D$636,173,FALSE)</f>
        <v>Rentabilidad de los prestamos</v>
      </c>
      <c r="B26" s="195">
        <v>0.07468097349664432</v>
      </c>
      <c r="C26" s="195">
        <v>0.07302623956024035</v>
      </c>
      <c r="D26" s="195">
        <v>0.07037401880067953</v>
      </c>
      <c r="E26" s="195">
        <v>0.06708090909668922</v>
      </c>
      <c r="F26" s="195">
        <v>0.06218068238492689</v>
      </c>
      <c r="G26" s="195">
        <v>0.053749685757730765</v>
      </c>
      <c r="H26" s="195">
        <v>0.05037076981933646</v>
      </c>
      <c r="I26" s="195">
        <v>0.050664115430607455</v>
      </c>
      <c r="J26" s="300"/>
      <c r="K26" s="294"/>
      <c r="L26" s="294"/>
      <c r="M26" s="294"/>
      <c r="O26" s="190"/>
      <c r="P26" s="190"/>
      <c r="Q26" s="190"/>
      <c r="R26" s="190"/>
      <c r="W26" s="190"/>
      <c r="X26" s="190"/>
      <c r="Y26" s="190"/>
      <c r="Z26" s="190"/>
      <c r="AA26" s="190"/>
      <c r="AB26" s="190"/>
      <c r="AC26" s="190"/>
      <c r="AD26" s="190"/>
    </row>
    <row r="27" spans="1:30" ht="14.25">
      <c r="A27" s="188" t="str">
        <f>HLOOKUP(INDICE!$F$2,Nombres!$C$3:$D$636,174,FALSE)</f>
        <v>Coste de los depositos</v>
      </c>
      <c r="B27" s="195">
        <v>-0.025179314777140912</v>
      </c>
      <c r="C27" s="195">
        <v>-0.02130771023550386</v>
      </c>
      <c r="D27" s="195">
        <v>-0.017862961977656844</v>
      </c>
      <c r="E27" s="195">
        <v>-0.014130801987506592</v>
      </c>
      <c r="F27" s="195">
        <v>-0.009191274794191162</v>
      </c>
      <c r="G27" s="195">
        <v>-0.004309127182139025</v>
      </c>
      <c r="H27" s="195">
        <v>-0.002010039753048756</v>
      </c>
      <c r="I27" s="195">
        <v>-0.003559089841399381</v>
      </c>
      <c r="J27" s="300"/>
      <c r="K27" s="294"/>
      <c r="L27" s="294"/>
      <c r="M27" s="294"/>
      <c r="O27" s="190"/>
      <c r="P27" s="190"/>
      <c r="Q27" s="190"/>
      <c r="R27" s="190"/>
      <c r="W27" s="190"/>
      <c r="X27" s="190"/>
      <c r="Y27" s="190"/>
      <c r="Z27" s="190"/>
      <c r="AA27" s="190"/>
      <c r="AB27" s="190"/>
      <c r="AC27" s="190"/>
      <c r="AD27" s="190"/>
    </row>
    <row r="28" spans="1:30" ht="14.25">
      <c r="A28" s="191" t="str">
        <f>HLOOKUP(INDICE!$F$2,Nombres!$C$3:$D$636,180,FALSE)</f>
        <v>Turquía moneda extranjera</v>
      </c>
      <c r="B28" s="192">
        <v>0.049501658719503405</v>
      </c>
      <c r="C28" s="192">
        <v>0.05171852932473649</v>
      </c>
      <c r="D28" s="192">
        <v>0.05251105682302269</v>
      </c>
      <c r="E28" s="192">
        <v>0.05295010710918263</v>
      </c>
      <c r="F28" s="192">
        <v>0.052989407590735726</v>
      </c>
      <c r="G28" s="192">
        <v>0.04944055857559174</v>
      </c>
      <c r="H28" s="192">
        <v>0.04836073006628771</v>
      </c>
      <c r="I28" s="192">
        <v>0.04710502558920807</v>
      </c>
      <c r="J28" s="300"/>
      <c r="K28" s="294"/>
      <c r="L28" s="294"/>
      <c r="M28" s="294"/>
      <c r="O28" s="190"/>
      <c r="P28" s="190"/>
      <c r="Q28" s="190"/>
      <c r="R28" s="190"/>
      <c r="W28" s="190"/>
      <c r="X28" s="190"/>
      <c r="Y28" s="190"/>
      <c r="Z28" s="190"/>
      <c r="AA28" s="190"/>
      <c r="AB28" s="190"/>
      <c r="AC28" s="190"/>
      <c r="AD28" s="190"/>
    </row>
    <row r="29" spans="1:30" ht="14.25">
      <c r="A29" s="147"/>
      <c r="B29" s="193"/>
      <c r="C29" s="193"/>
      <c r="D29" s="193"/>
      <c r="E29" s="193"/>
      <c r="F29" s="193"/>
      <c r="G29" s="193"/>
      <c r="H29" s="193"/>
      <c r="I29" s="193"/>
      <c r="O29" s="190"/>
      <c r="P29" s="190"/>
      <c r="Q29" s="190"/>
      <c r="R29" s="190"/>
      <c r="W29" s="190"/>
      <c r="X29" s="190"/>
      <c r="Y29" s="190"/>
      <c r="Z29" s="190"/>
      <c r="AA29" s="190"/>
      <c r="AB29" s="190"/>
      <c r="AC29" s="190"/>
      <c r="AD29" s="190"/>
    </row>
    <row r="30" spans="1:30" ht="14.25">
      <c r="A30" s="188" t="str">
        <f>HLOOKUP(INDICE!$F$2,Nombres!$C$3:$D$636,173,FALSE)</f>
        <v>Rentabilidad de los prestamos</v>
      </c>
      <c r="B30" s="189">
        <v>0.28504103188804114</v>
      </c>
      <c r="C30" s="189">
        <v>0.29270701598692633</v>
      </c>
      <c r="D30" s="189">
        <v>0.2936044746786395</v>
      </c>
      <c r="E30" s="189">
        <v>0.3653761080175471</v>
      </c>
      <c r="F30" s="189">
        <v>0.31991610287004885</v>
      </c>
      <c r="G30" s="189">
        <v>0.25734070691470634</v>
      </c>
      <c r="H30" s="189">
        <v>0.24785641646487547</v>
      </c>
      <c r="I30" s="189">
        <v>0.2521277866911026</v>
      </c>
      <c r="J30" s="300"/>
      <c r="K30" s="294"/>
      <c r="L30" s="294"/>
      <c r="M30" s="294"/>
      <c r="O30" s="190"/>
      <c r="P30" s="190"/>
      <c r="Q30" s="190"/>
      <c r="R30" s="190"/>
      <c r="W30" s="190"/>
      <c r="X30" s="190"/>
      <c r="Y30" s="190"/>
      <c r="Z30" s="190"/>
      <c r="AA30" s="190"/>
      <c r="AB30" s="190"/>
      <c r="AC30" s="190"/>
      <c r="AD30" s="190"/>
    </row>
    <row r="31" spans="1:30" ht="14.25">
      <c r="A31" s="188" t="str">
        <f>HLOOKUP(INDICE!$F$2,Nombres!$C$3:$D$636,174,FALSE)</f>
        <v>Coste de los depositos</v>
      </c>
      <c r="B31" s="189">
        <v>-0.12525660667951358</v>
      </c>
      <c r="C31" s="189">
        <v>-0.13023559460080653</v>
      </c>
      <c r="D31" s="189">
        <v>-0.1306487092753034</v>
      </c>
      <c r="E31" s="189">
        <v>-0.12126845945347617</v>
      </c>
      <c r="F31" s="189">
        <v>-0.09195033518363706</v>
      </c>
      <c r="G31" s="189">
        <v>-0.06410693852930854</v>
      </c>
      <c r="H31" s="189">
        <v>-0.08711671547285336</v>
      </c>
      <c r="I31" s="189">
        <v>-0.10793193966215896</v>
      </c>
      <c r="J31" s="300"/>
      <c r="K31" s="294"/>
      <c r="L31" s="294"/>
      <c r="M31" s="294"/>
      <c r="O31" s="190"/>
      <c r="P31" s="190"/>
      <c r="Q31" s="190"/>
      <c r="R31" s="190"/>
      <c r="W31" s="190"/>
      <c r="X31" s="190"/>
      <c r="Y31" s="190"/>
      <c r="Z31" s="190"/>
      <c r="AA31" s="190"/>
      <c r="AB31" s="190"/>
      <c r="AC31" s="190"/>
      <c r="AD31" s="190"/>
    </row>
    <row r="32" spans="1:30" ht="14.25">
      <c r="A32" s="191" t="str">
        <f>HLOOKUP(INDICE!$F$2,Nombres!$C$3:$D$636,181,FALSE)</f>
        <v>Argentina</v>
      </c>
      <c r="B32" s="196">
        <v>0.15978442520852756</v>
      </c>
      <c r="C32" s="196">
        <v>0.1624714213861198</v>
      </c>
      <c r="D32" s="196">
        <v>0.1629557654033361</v>
      </c>
      <c r="E32" s="196">
        <v>0.24410764856407094</v>
      </c>
      <c r="F32" s="196">
        <v>0.2279657676864118</v>
      </c>
      <c r="G32" s="196">
        <v>0.1932337683853978</v>
      </c>
      <c r="H32" s="196">
        <v>0.16073970099202212</v>
      </c>
      <c r="I32" s="196">
        <v>0.1441958470289436</v>
      </c>
      <c r="J32" s="300"/>
      <c r="K32" s="294"/>
      <c r="L32" s="294"/>
      <c r="M32" s="294"/>
      <c r="O32" s="190"/>
      <c r="P32" s="190"/>
      <c r="Q32" s="190"/>
      <c r="R32" s="190"/>
      <c r="W32" s="190"/>
      <c r="X32" s="190"/>
      <c r="Y32" s="190"/>
      <c r="Z32" s="190"/>
      <c r="AA32" s="190"/>
      <c r="AB32" s="190"/>
      <c r="AC32" s="190"/>
      <c r="AD32" s="190"/>
    </row>
    <row r="33" spans="1:30" ht="14.25">
      <c r="A33" s="147"/>
      <c r="B33" s="193"/>
      <c r="C33" s="193"/>
      <c r="D33" s="193"/>
      <c r="E33" s="193"/>
      <c r="F33" s="193"/>
      <c r="G33" s="193"/>
      <c r="H33" s="193"/>
      <c r="I33" s="193"/>
      <c r="O33" s="190"/>
      <c r="P33" s="190"/>
      <c r="Q33" s="190"/>
      <c r="R33" s="190"/>
      <c r="W33" s="190"/>
      <c r="X33" s="190"/>
      <c r="Y33" s="190"/>
      <c r="Z33" s="190"/>
      <c r="AA33" s="190"/>
      <c r="AB33" s="190"/>
      <c r="AC33" s="190"/>
      <c r="AD33" s="190"/>
    </row>
    <row r="34" spans="1:30" ht="14.25">
      <c r="A34" s="188" t="str">
        <f>HLOOKUP(INDICE!$F$2,Nombres!$C$3:$D$636,173,FALSE)</f>
        <v>Rentabilidad de los prestamos</v>
      </c>
      <c r="B34" s="189">
        <v>0.10896278064021056</v>
      </c>
      <c r="C34" s="189">
        <v>0.10877566846312808</v>
      </c>
      <c r="D34" s="189">
        <v>0.10820642181563203</v>
      </c>
      <c r="E34" s="189">
        <v>0.10631871386270016</v>
      </c>
      <c r="F34" s="189">
        <v>0.10420609702542187</v>
      </c>
      <c r="G34" s="189">
        <v>0.10144140828029898</v>
      </c>
      <c r="H34" s="189">
        <v>0.09777337072839347</v>
      </c>
      <c r="I34" s="189">
        <v>0.0943072153953358</v>
      </c>
      <c r="J34" s="300"/>
      <c r="K34" s="294"/>
      <c r="L34" s="294"/>
      <c r="M34" s="294"/>
      <c r="O34" s="190"/>
      <c r="P34" s="190"/>
      <c r="Q34" s="190"/>
      <c r="R34" s="190"/>
      <c r="W34" s="190"/>
      <c r="X34" s="190"/>
      <c r="Y34" s="190"/>
      <c r="Z34" s="190"/>
      <c r="AA34" s="190"/>
      <c r="AB34" s="190"/>
      <c r="AC34" s="190"/>
      <c r="AD34" s="190"/>
    </row>
    <row r="35" spans="1:30" ht="14.25">
      <c r="A35" s="188" t="str">
        <f>HLOOKUP(INDICE!$F$2,Nombres!$C$3:$D$636,174,FALSE)</f>
        <v>Coste de los depositos</v>
      </c>
      <c r="B35" s="189">
        <v>-0.04134885064968871</v>
      </c>
      <c r="C35" s="189">
        <v>-0.04089258146462727</v>
      </c>
      <c r="D35" s="189">
        <v>-0.04183714919583777</v>
      </c>
      <c r="E35" s="189">
        <v>-0.040904318460166046</v>
      </c>
      <c r="F35" s="189">
        <v>-0.04059609847919352</v>
      </c>
      <c r="G35" s="189">
        <v>-0.03728764569179078</v>
      </c>
      <c r="H35" s="189">
        <v>-0.031545343483443615</v>
      </c>
      <c r="I35" s="189">
        <v>-0.027672530713464275</v>
      </c>
      <c r="J35" s="300"/>
      <c r="K35" s="294"/>
      <c r="L35" s="294"/>
      <c r="M35" s="294"/>
      <c r="O35" s="190"/>
      <c r="P35" s="190"/>
      <c r="Q35" s="190"/>
      <c r="R35" s="190"/>
      <c r="W35" s="190"/>
      <c r="X35" s="190"/>
      <c r="Y35" s="190"/>
      <c r="Z35" s="190"/>
      <c r="AA35" s="190"/>
      <c r="AB35" s="190"/>
      <c r="AC35" s="190"/>
      <c r="AD35" s="190"/>
    </row>
    <row r="36" spans="1:30" ht="14.25">
      <c r="A36" s="191" t="str">
        <f>HLOOKUP(INDICE!$F$2,Nombres!$C$3:$D$636,182,FALSE)</f>
        <v>Colombia</v>
      </c>
      <c r="B36" s="192">
        <v>0.06761392999052185</v>
      </c>
      <c r="C36" s="192">
        <v>0.06788308699850082</v>
      </c>
      <c r="D36" s="192">
        <v>0.06636927261979426</v>
      </c>
      <c r="E36" s="192">
        <v>0.0654143954025341</v>
      </c>
      <c r="F36" s="192">
        <v>0.06360999854622834</v>
      </c>
      <c r="G36" s="192">
        <v>0.06415376258850819</v>
      </c>
      <c r="H36" s="192">
        <v>0.06622802724494986</v>
      </c>
      <c r="I36" s="192">
        <v>0.06663468468187153</v>
      </c>
      <c r="J36" s="300"/>
      <c r="K36" s="294"/>
      <c r="L36" s="294"/>
      <c r="M36" s="294"/>
      <c r="O36" s="190"/>
      <c r="P36" s="190"/>
      <c r="Q36" s="190"/>
      <c r="R36" s="190"/>
      <c r="W36" s="190"/>
      <c r="X36" s="190"/>
      <c r="Y36" s="190"/>
      <c r="Z36" s="190"/>
      <c r="AA36" s="190"/>
      <c r="AB36" s="190"/>
      <c r="AC36" s="190"/>
      <c r="AD36" s="190"/>
    </row>
    <row r="37" spans="1:30" ht="14.25">
      <c r="A37" s="147"/>
      <c r="B37" s="193"/>
      <c r="C37" s="193"/>
      <c r="D37" s="193"/>
      <c r="E37" s="193"/>
      <c r="F37" s="193"/>
      <c r="G37" s="193"/>
      <c r="H37" s="193"/>
      <c r="I37" s="193"/>
      <c r="O37" s="190"/>
      <c r="P37" s="190"/>
      <c r="Q37" s="190"/>
      <c r="R37" s="190"/>
      <c r="W37" s="190"/>
      <c r="X37" s="190"/>
      <c r="Y37" s="190"/>
      <c r="Z37" s="190"/>
      <c r="AA37" s="190"/>
      <c r="AB37" s="190"/>
      <c r="AC37" s="190"/>
      <c r="AD37" s="190"/>
    </row>
    <row r="38" spans="1:30" ht="14.25">
      <c r="A38" s="188" t="str">
        <f>HLOOKUP(INDICE!$F$2,Nombres!$C$3:$D$636,173,FALSE)</f>
        <v>Rentabilidad de los prestamos</v>
      </c>
      <c r="B38" s="189">
        <v>0.07893236824016377</v>
      </c>
      <c r="C38" s="189">
        <v>0.07849160662168242</v>
      </c>
      <c r="D38" s="189">
        <v>0.07783019900355526</v>
      </c>
      <c r="E38" s="189">
        <v>0.07428275375942259</v>
      </c>
      <c r="F38" s="189">
        <v>0.07365269738258541</v>
      </c>
      <c r="G38" s="189">
        <v>0.06573472646968637</v>
      </c>
      <c r="H38" s="189">
        <v>0.058814429453178683</v>
      </c>
      <c r="I38" s="189">
        <v>0.05513116733588462</v>
      </c>
      <c r="J38" s="300"/>
      <c r="K38" s="294"/>
      <c r="L38" s="294"/>
      <c r="M38" s="294"/>
      <c r="O38" s="190"/>
      <c r="P38" s="190"/>
      <c r="Q38" s="190"/>
      <c r="R38" s="190"/>
      <c r="W38" s="190"/>
      <c r="X38" s="190"/>
      <c r="Y38" s="190"/>
      <c r="Z38" s="190"/>
      <c r="AA38" s="190"/>
      <c r="AB38" s="190"/>
      <c r="AC38" s="190"/>
      <c r="AD38" s="190"/>
    </row>
    <row r="39" spans="1:30" ht="14.25">
      <c r="A39" s="188" t="str">
        <f>HLOOKUP(INDICE!$F$2,Nombres!$C$3:$D$636,174,FALSE)</f>
        <v>Coste de los depositos</v>
      </c>
      <c r="B39" s="189">
        <v>-0.012696981868987054</v>
      </c>
      <c r="C39" s="189">
        <v>-0.014012516285399434</v>
      </c>
      <c r="D39" s="189">
        <v>-0.014538669131027512</v>
      </c>
      <c r="E39" s="189">
        <v>-0.013706786087149677</v>
      </c>
      <c r="F39" s="189">
        <v>-0.011615505287869537</v>
      </c>
      <c r="G39" s="189">
        <v>-0.00958689719151348</v>
      </c>
      <c r="H39" s="189">
        <v>-0.005668703360217166</v>
      </c>
      <c r="I39" s="189">
        <v>-0.004261266120165212</v>
      </c>
      <c r="J39" s="300"/>
      <c r="K39" s="294"/>
      <c r="L39" s="294"/>
      <c r="M39" s="294"/>
      <c r="O39" s="190"/>
      <c r="P39" s="190"/>
      <c r="Q39" s="190"/>
      <c r="R39" s="190"/>
      <c r="W39" s="190"/>
      <c r="X39" s="190"/>
      <c r="Y39" s="190"/>
      <c r="Z39" s="190"/>
      <c r="AA39" s="190"/>
      <c r="AB39" s="190"/>
      <c r="AC39" s="190"/>
      <c r="AD39" s="190"/>
    </row>
    <row r="40" spans="1:30" ht="14.25">
      <c r="A40" s="191" t="str">
        <f>HLOOKUP(INDICE!$F$2,Nombres!$C$3:$D$636,183,FALSE)</f>
        <v>Perú</v>
      </c>
      <c r="B40" s="192">
        <v>0.06623538637117671</v>
      </c>
      <c r="C40" s="192">
        <v>0.06447909033628299</v>
      </c>
      <c r="D40" s="192">
        <v>0.06329152987252774</v>
      </c>
      <c r="E40" s="192">
        <v>0.06057596767227291</v>
      </c>
      <c r="F40" s="192">
        <v>0.06203719209471587</v>
      </c>
      <c r="G40" s="192">
        <v>0.056147829278172884</v>
      </c>
      <c r="H40" s="192">
        <v>0.05314572609296152</v>
      </c>
      <c r="I40" s="192">
        <v>0.05086990121571941</v>
      </c>
      <c r="J40" s="300"/>
      <c r="K40" s="294"/>
      <c r="L40" s="294"/>
      <c r="M40" s="294"/>
      <c r="O40" s="190"/>
      <c r="P40" s="190"/>
      <c r="Q40" s="190"/>
      <c r="R40" s="190"/>
      <c r="W40" s="190"/>
      <c r="X40" s="190"/>
      <c r="Y40" s="190"/>
      <c r="Z40" s="190"/>
      <c r="AA40" s="190"/>
      <c r="AB40" s="190"/>
      <c r="AC40" s="190"/>
      <c r="AD40" s="190"/>
    </row>
    <row r="41" spans="1:18" ht="14.25">
      <c r="A41" s="147"/>
      <c r="B41" s="193"/>
      <c r="C41" s="193"/>
      <c r="D41" s="193"/>
      <c r="E41" s="193"/>
      <c r="F41" s="193"/>
      <c r="G41" s="193"/>
      <c r="H41" s="193"/>
      <c r="I41" s="193"/>
      <c r="O41" s="190"/>
      <c r="P41" s="190"/>
      <c r="Q41" s="190"/>
      <c r="R41" s="190"/>
    </row>
    <row r="42" spans="1:9" ht="14.25">
      <c r="A42" s="197" t="str">
        <f>HLOOKUP(INDICE!$F$2,Nombres!$C$3:$D$636,184,FALSE)</f>
        <v>(*) Diferencia entre el rendimiento de los préstamos y el coste de los depósitos de los clientes.</v>
      </c>
      <c r="B42" s="186"/>
      <c r="C42" s="186"/>
      <c r="D42" s="186"/>
      <c r="E42" s="186"/>
      <c r="F42" s="314"/>
      <c r="G42" s="314"/>
      <c r="H42" s="186"/>
      <c r="I42" s="186"/>
    </row>
    <row r="43" spans="1:9" ht="14.25">
      <c r="A43" s="197" t="str">
        <f>HLOOKUP(INDICE!$F$2,Nombres!$C$3:$D$636,185,FALSE)</f>
        <v>(**)  Excluye la actividad en Nueva York.</v>
      </c>
      <c r="B43" s="186"/>
      <c r="C43" s="186"/>
      <c r="D43" s="186"/>
      <c r="E43" s="186"/>
      <c r="F43" s="186"/>
      <c r="G43" s="290"/>
      <c r="H43" s="186"/>
      <c r="I43" s="186"/>
    </row>
    <row r="44" ht="14.25">
      <c r="A44" s="197" t="str">
        <f>HLOOKUP(INDICE!$F$2,Nombres!$C$3:$D$636,186,FALSE)</f>
        <v>Nota: Los diferenciales de la clientela han sido actualizados.</v>
      </c>
    </row>
    <row r="1000" ht="14.25">
      <c r="A1000" t="s">
        <v>397</v>
      </c>
    </row>
  </sheetData>
  <sheetProtection/>
  <mergeCells count="3">
    <mergeCell ref="B3:E3"/>
    <mergeCell ref="F42:G42"/>
    <mergeCell ref="F3:I3"/>
  </mergeCells>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dimension ref="A1:L1005"/>
  <sheetViews>
    <sheetView showGridLines="0" zoomScalePageLayoutView="0" workbookViewId="0" topLeftCell="A1">
      <selection activeCell="G33" sqref="G33"/>
    </sheetView>
  </sheetViews>
  <sheetFormatPr defaultColWidth="11.421875" defaultRowHeight="15"/>
  <cols>
    <col min="1" max="1" width="40.28125" style="0" customWidth="1"/>
    <col min="2" max="2" width="15.8515625" style="0" customWidth="1"/>
    <col min="3" max="3" width="14.140625" style="0" customWidth="1"/>
    <col min="4" max="4" width="14.57421875" style="0" customWidth="1"/>
    <col min="5" max="5" width="13.421875" style="0" customWidth="1"/>
    <col min="6" max="6" width="12.8515625" style="0" customWidth="1"/>
    <col min="7" max="10" width="11.421875" style="0" customWidth="1"/>
    <col min="11" max="12" width="14.7109375" style="0" bestFit="1" customWidth="1"/>
  </cols>
  <sheetData>
    <row r="1" spans="1:9" ht="16.5">
      <c r="A1" s="97" t="str">
        <f>HLOOKUP(INDICE!$F$2,Nombres!$C$3:$D$636,88,FALSE)</f>
        <v>Activos ponderados por riesgo. Desglose por áreas de negocio y principales países</v>
      </c>
      <c r="B1" s="158"/>
      <c r="C1" s="158"/>
      <c r="D1" s="159"/>
      <c r="E1" s="159"/>
      <c r="F1" s="159"/>
      <c r="G1" s="159"/>
      <c r="H1" s="159"/>
      <c r="I1" s="159"/>
    </row>
    <row r="2" spans="1:9" ht="14.25">
      <c r="A2" s="166" t="str">
        <f>HLOOKUP(INDICE!$F$2,Nombres!$C$3:$D$636,32,FALSE)</f>
        <v>(Millones de euros)</v>
      </c>
      <c r="B2" s="58"/>
      <c r="C2" s="58"/>
      <c r="D2" s="198"/>
      <c r="E2" s="198"/>
      <c r="F2" s="198"/>
      <c r="G2" s="198"/>
      <c r="H2" s="198"/>
      <c r="I2" s="198"/>
    </row>
    <row r="3" spans="1:9" ht="15">
      <c r="A3" s="199"/>
      <c r="B3" s="58"/>
      <c r="C3" s="58"/>
      <c r="D3" s="162"/>
      <c r="E3" s="162"/>
      <c r="F3" s="162"/>
      <c r="G3" s="162"/>
      <c r="H3" s="162"/>
      <c r="I3" s="162"/>
    </row>
    <row r="4" spans="1:9" ht="15.75" customHeight="1">
      <c r="A4" s="200"/>
      <c r="B4" s="315" t="str">
        <f>HLOOKUP(INDICE!$F$2,Nombres!$C$3:$D$636,222,FALSE)</f>
        <v>CRD IV fully loaded</v>
      </c>
      <c r="C4" s="315"/>
      <c r="D4" s="315"/>
      <c r="E4" s="315"/>
      <c r="F4" s="315"/>
      <c r="G4" s="315"/>
      <c r="H4" s="315"/>
      <c r="I4" s="315"/>
    </row>
    <row r="5" spans="1:11" ht="14.25">
      <c r="A5" s="200"/>
      <c r="B5" s="201">
        <v>43555</v>
      </c>
      <c r="C5" s="201">
        <v>43646</v>
      </c>
      <c r="D5" s="201">
        <v>43738</v>
      </c>
      <c r="E5" s="201">
        <v>43830</v>
      </c>
      <c r="F5" s="201">
        <v>43921</v>
      </c>
      <c r="G5" s="201">
        <v>44012</v>
      </c>
      <c r="H5" s="201">
        <v>44104</v>
      </c>
      <c r="I5" s="201">
        <v>44196</v>
      </c>
      <c r="K5" s="202"/>
    </row>
    <row r="6" spans="1:12" ht="14.25">
      <c r="A6" s="106" t="str">
        <f>HLOOKUP(INDICE!$F$2,Nombres!$C$3:$D$636,3,FALSE)</f>
        <v>Grupo BBVA</v>
      </c>
      <c r="B6" s="203">
        <v>361172.827013</v>
      </c>
      <c r="C6" s="203">
        <v>360563.461</v>
      </c>
      <c r="D6" s="203">
        <v>368690</v>
      </c>
      <c r="E6" s="203">
        <v>364942.445075333</v>
      </c>
      <c r="F6" s="203">
        <v>368826.520013</v>
      </c>
      <c r="G6" s="203">
        <v>362388</v>
      </c>
      <c r="H6" s="203">
        <v>344215</v>
      </c>
      <c r="I6" s="203">
        <v>352678.91569828865</v>
      </c>
      <c r="K6" s="204"/>
      <c r="L6" s="205"/>
    </row>
    <row r="7" spans="1:12" ht="14.25">
      <c r="A7" s="59" t="str">
        <f>HLOOKUP(INDICE!$F$2,Nombres!$C$3:$D$636,7,FALSE)</f>
        <v>España</v>
      </c>
      <c r="B7" s="44">
        <v>107570.22350219</v>
      </c>
      <c r="C7" s="44">
        <v>107274.35981425</v>
      </c>
      <c r="D7" s="44">
        <v>105856.32334328</v>
      </c>
      <c r="E7" s="44">
        <v>104910.73026016999</v>
      </c>
      <c r="F7" s="44">
        <v>110929.24808814001</v>
      </c>
      <c r="G7" s="44">
        <v>109624.8745692</v>
      </c>
      <c r="H7" s="44">
        <v>106859.04001273999</v>
      </c>
      <c r="I7" s="44">
        <v>104387.87228552002</v>
      </c>
      <c r="K7" s="204"/>
      <c r="L7" s="205"/>
    </row>
    <row r="8" spans="1:12" ht="14.25">
      <c r="A8" s="59" t="str">
        <f>HLOOKUP(INDICE!$F$2,Nombres!$C$3:$D$636,10,FALSE)</f>
        <v>EEUU</v>
      </c>
      <c r="B8" s="44">
        <v>65216.61492801001</v>
      </c>
      <c r="C8" s="44">
        <v>62383.25559174</v>
      </c>
      <c r="D8" s="44">
        <v>65901.90966342</v>
      </c>
      <c r="E8" s="44">
        <v>65169.6799607</v>
      </c>
      <c r="F8" s="44">
        <v>68765.4467977</v>
      </c>
      <c r="G8" s="44">
        <v>66888.83342711</v>
      </c>
      <c r="H8" s="44">
        <v>63021.20538109999</v>
      </c>
      <c r="I8" s="44">
        <v>60364.98004062001</v>
      </c>
      <c r="K8" s="204"/>
      <c r="L8" s="205"/>
    </row>
    <row r="9" spans="1:12" ht="14.25">
      <c r="A9" s="59" t="str">
        <f>HLOOKUP(INDICE!$F$2,Nombres!$C$3:$D$636,11,FALSE)</f>
        <v>México</v>
      </c>
      <c r="B9" s="44">
        <v>54831.199512349995</v>
      </c>
      <c r="C9" s="44">
        <v>55918.63351754</v>
      </c>
      <c r="D9" s="44">
        <v>57453.72837060001</v>
      </c>
      <c r="E9" s="44">
        <v>59298.60472881999</v>
      </c>
      <c r="F9" s="44">
        <v>53521.82533836</v>
      </c>
      <c r="G9" s="44">
        <v>54946.7507876</v>
      </c>
      <c r="H9" s="44">
        <v>53443.1957211</v>
      </c>
      <c r="I9" s="44">
        <v>60797.41744121</v>
      </c>
      <c r="K9" s="204"/>
      <c r="L9" s="205"/>
    </row>
    <row r="10" spans="1:12" ht="14.25">
      <c r="A10" s="59" t="str">
        <f>HLOOKUP(INDICE!$F$2,Nombres!$C$3:$D$636,12,FALSE)</f>
        <v>Turquía </v>
      </c>
      <c r="B10" s="44">
        <v>58526.021</v>
      </c>
      <c r="C10" s="44">
        <v>57550.859</v>
      </c>
      <c r="D10" s="44">
        <v>58520.61499999999</v>
      </c>
      <c r="E10" s="44">
        <v>56641.584009540005</v>
      </c>
      <c r="F10" s="44">
        <v>59163.223</v>
      </c>
      <c r="G10" s="44">
        <v>57189.86</v>
      </c>
      <c r="H10" s="44">
        <v>50130.676999999996</v>
      </c>
      <c r="I10" s="44">
        <v>53020.526015300005</v>
      </c>
      <c r="K10" s="204"/>
      <c r="L10" s="205"/>
    </row>
    <row r="11" spans="1:12" ht="14.25">
      <c r="A11" s="59" t="str">
        <f>HLOOKUP(INDICE!$F$2,Nombres!$C$3:$D$636,13,FALSE)</f>
        <v>América del Sur </v>
      </c>
      <c r="B11" s="44">
        <v>44970.24216547001</v>
      </c>
      <c r="C11" s="44">
        <v>43995.12974497</v>
      </c>
      <c r="D11" s="44">
        <v>45283.813445730004</v>
      </c>
      <c r="E11" s="44">
        <v>45412.657526279996</v>
      </c>
      <c r="F11" s="44">
        <v>44876.2198411</v>
      </c>
      <c r="G11" s="44">
        <v>44015.12571731</v>
      </c>
      <c r="H11" s="44">
        <v>40087.41454002001</v>
      </c>
      <c r="I11" s="44">
        <v>39804.17799940999</v>
      </c>
      <c r="K11" s="204"/>
      <c r="L11" s="205"/>
    </row>
    <row r="12" spans="1:12" ht="14.25">
      <c r="A12" s="206" t="str">
        <f>HLOOKUP(INDICE!$F$2,Nombres!$C$3:$D$636,14,FALSE)</f>
        <v>Argentina</v>
      </c>
      <c r="B12" s="44">
        <v>7963.333204000001</v>
      </c>
      <c r="C12" s="44">
        <v>6434.68821648</v>
      </c>
      <c r="D12" s="44">
        <v>6070.40200074</v>
      </c>
      <c r="E12" s="44">
        <v>6093.43560626</v>
      </c>
      <c r="F12" s="44">
        <v>6910.432117140001</v>
      </c>
      <c r="G12" s="44">
        <v>6353.540634369999</v>
      </c>
      <c r="H12" s="44">
        <v>5987.350096560001</v>
      </c>
      <c r="I12" s="44">
        <v>5684.74992963</v>
      </c>
      <c r="K12" s="204"/>
      <c r="L12" s="205"/>
    </row>
    <row r="13" spans="1:12" ht="14.25">
      <c r="A13" s="206" t="str">
        <f>HLOOKUP(INDICE!$F$2,Nombres!$C$3:$D$636,15,FALSE)</f>
        <v>Chile</v>
      </c>
      <c r="B13" s="44">
        <v>2361.031</v>
      </c>
      <c r="C13" s="44">
        <v>2268.095</v>
      </c>
      <c r="D13" s="44">
        <v>2247.5370000000003</v>
      </c>
      <c r="E13" s="44">
        <v>1859.0869999999998</v>
      </c>
      <c r="F13" s="44">
        <v>1748.7650000000003</v>
      </c>
      <c r="G13" s="44">
        <v>1736.961</v>
      </c>
      <c r="H13" s="44">
        <v>2140.844</v>
      </c>
      <c r="I13" s="44">
        <v>1575.173</v>
      </c>
      <c r="K13" s="204"/>
      <c r="L13" s="205"/>
    </row>
    <row r="14" spans="1:12" ht="14.25">
      <c r="A14" s="206" t="str">
        <f>HLOOKUP(INDICE!$F$2,Nombres!$C$3:$D$636,16,FALSE)</f>
        <v>Colombia</v>
      </c>
      <c r="B14" s="44">
        <v>13671.303591090002</v>
      </c>
      <c r="C14" s="44">
        <v>13777.74060688</v>
      </c>
      <c r="D14" s="44">
        <v>14051.3617015</v>
      </c>
      <c r="E14" s="44">
        <v>14172.451691229999</v>
      </c>
      <c r="F14" s="44">
        <v>13100.239411009998</v>
      </c>
      <c r="G14" s="44">
        <v>13499.063104820001</v>
      </c>
      <c r="H14" s="44">
        <v>12079.82684906</v>
      </c>
      <c r="I14" s="44">
        <v>13095.39990689</v>
      </c>
      <c r="K14" s="204"/>
      <c r="L14" s="205"/>
    </row>
    <row r="15" spans="1:12" ht="14.25">
      <c r="A15" s="206" t="str">
        <f>HLOOKUP(INDICE!$F$2,Nombres!$C$3:$D$636,17,FALSE)</f>
        <v>Perú</v>
      </c>
      <c r="B15" s="44">
        <v>17134.89837038</v>
      </c>
      <c r="C15" s="44">
        <v>17715.26892161</v>
      </c>
      <c r="D15" s="44">
        <v>19130.248743490003</v>
      </c>
      <c r="E15" s="44">
        <v>19292.970229629995</v>
      </c>
      <c r="F15" s="44">
        <v>19278.294312949998</v>
      </c>
      <c r="G15" s="44">
        <v>18734.891978120002</v>
      </c>
      <c r="H15" s="44">
        <v>16439.1045944</v>
      </c>
      <c r="I15" s="44">
        <v>15844.840162789998</v>
      </c>
      <c r="K15" s="204"/>
      <c r="L15" s="205"/>
    </row>
    <row r="16" spans="1:12" ht="14.25">
      <c r="A16" s="206" t="str">
        <f>HLOOKUP(INDICE!$F$2,Nombres!$C$3:$D$636,89,FALSE)</f>
        <v>Resto de América del Sur</v>
      </c>
      <c r="B16" s="44">
        <v>3839.676</v>
      </c>
      <c r="C16" s="44">
        <v>3799.337</v>
      </c>
      <c r="D16" s="44">
        <v>3784.264</v>
      </c>
      <c r="E16" s="44">
        <v>3994.7129991600004</v>
      </c>
      <c r="F16" s="44">
        <v>3838.489</v>
      </c>
      <c r="G16" s="44">
        <v>3690.669</v>
      </c>
      <c r="H16" s="44">
        <v>3440.2890000000007</v>
      </c>
      <c r="I16" s="44">
        <v>3604.0150001</v>
      </c>
      <c r="K16" s="204"/>
      <c r="L16" s="205"/>
    </row>
    <row r="17" spans="1:12" ht="14.25">
      <c r="A17" s="59" t="str">
        <f>HLOOKUP(INDICE!$F$2,Nombres!$C$3:$D$636,18,FALSE)</f>
        <v>Resto de Eurasia</v>
      </c>
      <c r="B17" s="44">
        <v>16080.685377509999</v>
      </c>
      <c r="C17" s="44">
        <v>16415.34529107</v>
      </c>
      <c r="D17" s="44">
        <v>17622.03304608</v>
      </c>
      <c r="E17" s="44">
        <v>17988.90438271</v>
      </c>
      <c r="F17" s="44">
        <v>18878.16899056</v>
      </c>
      <c r="G17" s="44">
        <v>20247.356880539995</v>
      </c>
      <c r="H17" s="44">
        <v>18854.584362420002</v>
      </c>
      <c r="I17" s="44">
        <v>18248.98347281</v>
      </c>
      <c r="K17" s="204"/>
      <c r="L17" s="205"/>
    </row>
    <row r="18" spans="1:12" ht="14.25">
      <c r="A18" s="59" t="str">
        <f>HLOOKUP(INDICE!$F$2,Nombres!$C$3:$D$636,19,FALSE)</f>
        <v>Centro Corporativo</v>
      </c>
      <c r="B18" s="44">
        <f aca="true" t="shared" si="0" ref="B18:I18">+B6-B7-B8-B9-B10-B11-B17</f>
        <v>13977.840527469958</v>
      </c>
      <c r="C18" s="44">
        <f t="shared" si="0"/>
        <v>17025.878040430027</v>
      </c>
      <c r="D18" s="44">
        <f t="shared" si="0"/>
        <v>18051.577130890004</v>
      </c>
      <c r="E18" s="44">
        <f t="shared" si="0"/>
        <v>15520.284207113033</v>
      </c>
      <c r="F18" s="44">
        <f t="shared" si="0"/>
        <v>12692.387957139996</v>
      </c>
      <c r="G18" s="44">
        <f t="shared" si="0"/>
        <v>9475.198618240032</v>
      </c>
      <c r="H18" s="44">
        <f t="shared" si="0"/>
        <v>11818.882982619984</v>
      </c>
      <c r="I18" s="44">
        <f t="shared" si="0"/>
        <v>16054.958443418622</v>
      </c>
      <c r="K18" s="204"/>
      <c r="L18" s="205"/>
    </row>
    <row r="19" spans="1:12" ht="14.25">
      <c r="A19" s="59"/>
      <c r="B19" s="44"/>
      <c r="C19" s="44"/>
      <c r="D19" s="44"/>
      <c r="E19" s="44"/>
      <c r="F19" s="44"/>
      <c r="G19" s="44"/>
      <c r="H19" s="44"/>
      <c r="I19" s="44"/>
      <c r="K19" s="204"/>
      <c r="L19" s="205"/>
    </row>
    <row r="20" spans="1:12" ht="14.25">
      <c r="A20" s="59"/>
      <c r="B20" s="44"/>
      <c r="C20" s="44"/>
      <c r="D20" s="44"/>
      <c r="E20" s="44"/>
      <c r="F20" s="44"/>
      <c r="G20" s="44"/>
      <c r="H20" s="44"/>
      <c r="I20" s="44"/>
      <c r="K20" s="204"/>
      <c r="L20" s="205"/>
    </row>
    <row r="21" spans="1:12" ht="14.25">
      <c r="A21" s="59" t="str">
        <f>HLOOKUP(INDICE!$F$2,Nombres!$C$3:$D$636,20,FALSE)</f>
        <v>Información adicional:</v>
      </c>
      <c r="B21" s="44"/>
      <c r="C21" s="44"/>
      <c r="D21" s="44"/>
      <c r="E21" s="44"/>
      <c r="F21" s="44"/>
      <c r="G21" s="44"/>
      <c r="H21" s="44"/>
      <c r="I21" s="44"/>
      <c r="K21" s="204"/>
      <c r="L21" s="205"/>
    </row>
    <row r="22" spans="1:12" ht="14.25">
      <c r="A22" s="305" t="str">
        <f>HLOOKUP(INDICE!$F$2,Nombres!$C$3:$D$636,263,FALSE)</f>
        <v>Resto de Negocios</v>
      </c>
      <c r="B22" s="56"/>
      <c r="C22" s="56"/>
      <c r="D22" s="56"/>
      <c r="E22" s="56"/>
      <c r="F22" s="56"/>
      <c r="G22" s="56"/>
      <c r="H22" s="56"/>
      <c r="I22" s="56">
        <v>24364.379210190004</v>
      </c>
      <c r="J22" s="306"/>
      <c r="K22" s="204"/>
      <c r="L22" s="205"/>
    </row>
    <row r="23" spans="1:12" ht="14.25">
      <c r="A23" s="305" t="str">
        <f>HLOOKUP(INDICE!$F$2,Nombres!$C$3:$D$636,266,FALSE)</f>
        <v>Centro Corporativo (para resto de negocios)</v>
      </c>
      <c r="B23" s="56"/>
      <c r="C23" s="56"/>
      <c r="D23" s="56"/>
      <c r="E23" s="56"/>
      <c r="F23" s="56"/>
      <c r="G23" s="56"/>
      <c r="H23" s="56"/>
      <c r="I23" s="56">
        <v>16301.6007464686</v>
      </c>
      <c r="J23" s="306"/>
      <c r="K23" s="204"/>
      <c r="L23" s="205"/>
    </row>
    <row r="24" spans="1:9" ht="14.25">
      <c r="A24" s="30"/>
      <c r="B24" s="207">
        <f aca="true" t="shared" si="1" ref="B24:I24">+B7+B8+B9+B10+B11+B17+B18-B6</f>
        <v>0</v>
      </c>
      <c r="C24" s="207">
        <f t="shared" si="1"/>
        <v>0</v>
      </c>
      <c r="D24" s="207">
        <f t="shared" si="1"/>
        <v>0</v>
      </c>
      <c r="E24" s="207">
        <f t="shared" si="1"/>
        <v>0</v>
      </c>
      <c r="F24" s="207">
        <f t="shared" si="1"/>
        <v>0</v>
      </c>
      <c r="G24" s="207">
        <f t="shared" si="1"/>
        <v>0</v>
      </c>
      <c r="H24" s="207">
        <f t="shared" si="1"/>
        <v>0</v>
      </c>
      <c r="I24" s="207">
        <f t="shared" si="1"/>
        <v>0</v>
      </c>
    </row>
    <row r="25" spans="1:6" ht="14.25">
      <c r="A25" s="162"/>
      <c r="B25" s="162"/>
      <c r="C25" s="162"/>
      <c r="D25" s="162"/>
      <c r="E25" s="162"/>
      <c r="F25" s="162"/>
    </row>
    <row r="26" spans="1:6" ht="14.25">
      <c r="A26" s="262" t="str">
        <f>HLOOKUP(INDICE!$F$2,Nombres!$C$3:$D$636,229,FALSE)</f>
        <v>(*) Hay pequeñas diferencias en el 1T 2019 de APRs entre las Areas de Negocio por reclasificaciones hechas posteriores al cierre no habiendo variacíon ninguna en el total de los APRs.</v>
      </c>
      <c r="B26" s="208"/>
      <c r="C26" s="208"/>
      <c r="D26" s="208"/>
      <c r="E26" s="208"/>
      <c r="F26" s="208"/>
    </row>
    <row r="27" spans="2:6" ht="14.25">
      <c r="B27" s="110"/>
      <c r="F27" s="31"/>
    </row>
    <row r="1005" ht="14.25">
      <c r="A1005" t="s">
        <v>397</v>
      </c>
    </row>
  </sheetData>
  <sheetProtection/>
  <mergeCells count="1">
    <mergeCell ref="B4:I4"/>
  </mergeCells>
  <conditionalFormatting sqref="B24:I24">
    <cfRule type="cellIs" priority="1" dxfId="143" operator="notBetween">
      <formula>0.5</formula>
      <formula>-0.5</formula>
    </cfRule>
  </conditionalFormatting>
  <printOptions/>
  <pageMargins left="0.7" right="0.7" top="0.75" bottom="0.75" header="0.3" footer="0.3"/>
  <pageSetup orientation="portrait" paperSize="9"/>
  <drawing r:id="rId1"/>
</worksheet>
</file>

<file path=xl/worksheets/sheet26.xml><?xml version="1.0" encoding="utf-8"?>
<worksheet xmlns="http://schemas.openxmlformats.org/spreadsheetml/2006/main" xmlns:r="http://schemas.openxmlformats.org/officeDocument/2006/relationships">
  <dimension ref="A1:N1000"/>
  <sheetViews>
    <sheetView showGridLines="0" zoomScalePageLayoutView="0" workbookViewId="0" topLeftCell="A43">
      <selection activeCell="L23" sqref="L23"/>
    </sheetView>
  </sheetViews>
  <sheetFormatPr defaultColWidth="11.421875" defaultRowHeight="15"/>
  <cols>
    <col min="1" max="1" width="42.421875" style="212" customWidth="1"/>
    <col min="2" max="2" width="13.57421875" style="212" bestFit="1" customWidth="1"/>
    <col min="3" max="4" width="11.421875" style="212" customWidth="1"/>
    <col min="5" max="5" width="11.7109375" style="212" bestFit="1" customWidth="1"/>
    <col min="6" max="9" width="11.421875" style="212" customWidth="1"/>
    <col min="10" max="10" width="4.7109375" style="211" customWidth="1"/>
    <col min="11" max="11" width="11.421875" style="212" customWidth="1"/>
    <col min="12" max="12" width="11.7109375" style="212" bestFit="1" customWidth="1"/>
    <col min="13" max="16384" width="11.421875" style="212" customWidth="1"/>
  </cols>
  <sheetData>
    <row r="1" spans="1:12" ht="16.5">
      <c r="A1" s="209" t="str">
        <f>HLOOKUP(INDICE!$F$2,Nombres!$C$3:$D$636,113,FALSE)</f>
        <v>Desglose del crédito no dudoso en gestión</v>
      </c>
      <c r="B1" s="210"/>
      <c r="C1" s="210"/>
      <c r="D1" s="210"/>
      <c r="E1" s="210"/>
      <c r="F1" s="210"/>
      <c r="G1" s="210"/>
      <c r="H1" s="210"/>
      <c r="I1" s="210"/>
      <c r="L1" s="213"/>
    </row>
    <row r="2" spans="1:12" ht="14.25">
      <c r="A2" s="214" t="str">
        <f>HLOOKUP(INDICE!$F$2,Nombres!$C$3:$D$636,73,FALSE)</f>
        <v>(Millones de euros constantes)</v>
      </c>
      <c r="B2" s="213"/>
      <c r="C2" s="213"/>
      <c r="D2" s="213"/>
      <c r="E2" s="213"/>
      <c r="F2" s="213"/>
      <c r="L2" s="213"/>
    </row>
    <row r="3" spans="1:12" ht="14.25">
      <c r="A3" s="215"/>
      <c r="B3" s="213"/>
      <c r="C3" s="213"/>
      <c r="D3" s="213"/>
      <c r="E3" s="213"/>
      <c r="F3" s="213"/>
      <c r="L3" s="213"/>
    </row>
    <row r="4" spans="1:9" ht="15.75" customHeight="1">
      <c r="A4" s="216"/>
      <c r="B4" s="316" t="str">
        <f>HLOOKUP(INDICE!$F$2,Nombres!$C$3:$D$636,7,FALSE)</f>
        <v>España</v>
      </c>
      <c r="C4" s="316"/>
      <c r="D4" s="316"/>
      <c r="E4" s="316"/>
      <c r="F4" s="316"/>
      <c r="G4" s="316"/>
      <c r="H4" s="316"/>
      <c r="I4" s="316"/>
    </row>
    <row r="5" spans="1:12" ht="14.25">
      <c r="A5" s="217"/>
      <c r="B5" s="123">
        <v>43555</v>
      </c>
      <c r="C5" s="123">
        <v>43646</v>
      </c>
      <c r="D5" s="123">
        <v>43738</v>
      </c>
      <c r="E5" s="123">
        <v>43830</v>
      </c>
      <c r="F5" s="123">
        <v>43921</v>
      </c>
      <c r="G5" s="123">
        <v>44012</v>
      </c>
      <c r="H5" s="123">
        <v>44104</v>
      </c>
      <c r="I5" s="123">
        <v>44196</v>
      </c>
      <c r="L5" s="123"/>
    </row>
    <row r="6" spans="1:14" ht="14.25">
      <c r="A6" s="218" t="str">
        <f>HLOOKUP(INDICE!$F$2,Nombres!$C$3:$D$636,209,FALSE)</f>
        <v>Hipotecario</v>
      </c>
      <c r="B6" s="219">
        <v>74148.28465300001</v>
      </c>
      <c r="C6" s="219">
        <v>73355.266244</v>
      </c>
      <c r="D6" s="219">
        <v>72461.449828</v>
      </c>
      <c r="E6" s="219">
        <v>72147.68396</v>
      </c>
      <c r="F6" s="219">
        <v>71518.73296000001</v>
      </c>
      <c r="G6" s="219">
        <v>70700.413705</v>
      </c>
      <c r="H6" s="219">
        <v>70123.828433</v>
      </c>
      <c r="I6" s="219">
        <v>69966.69398400001</v>
      </c>
      <c r="L6" s="219"/>
      <c r="N6" s="274"/>
    </row>
    <row r="7" spans="1:14" ht="14.25">
      <c r="A7" s="218" t="str">
        <f>HLOOKUP(INDICE!$F$2,Nombres!$C$3:$D$636,210,FALSE)</f>
        <v>Consumo  y tarjetas de Credito</v>
      </c>
      <c r="B7" s="219">
        <v>12152.644683999999</v>
      </c>
      <c r="C7" s="219">
        <v>12829.867209999997</v>
      </c>
      <c r="D7" s="219">
        <v>13018.849938</v>
      </c>
      <c r="E7" s="219">
        <v>13603.417357</v>
      </c>
      <c r="F7" s="219">
        <v>13534.321819000003</v>
      </c>
      <c r="G7" s="219">
        <v>13340.822999</v>
      </c>
      <c r="H7" s="219">
        <v>13586.875076999999</v>
      </c>
      <c r="I7" s="219">
        <v>13906.873101000001</v>
      </c>
      <c r="J7" s="301"/>
      <c r="L7" s="219"/>
      <c r="N7" s="274"/>
    </row>
    <row r="8" spans="1:14" ht="14.25">
      <c r="A8" s="218" t="str">
        <f>HLOOKUP(INDICE!$F$2,Nombres!$C$3:$D$636,211,FALSE)</f>
        <v>Negocios retail</v>
      </c>
      <c r="B8" s="219">
        <v>13428.085543999998</v>
      </c>
      <c r="C8" s="219">
        <v>13629.510632000001</v>
      </c>
      <c r="D8" s="219">
        <v>13525.689344999999</v>
      </c>
      <c r="E8" s="219">
        <v>13797.169812000002</v>
      </c>
      <c r="F8" s="219">
        <v>13758.711669999999</v>
      </c>
      <c r="G8" s="219">
        <v>14850.759936999997</v>
      </c>
      <c r="H8" s="219">
        <v>15037.313575999999</v>
      </c>
      <c r="I8" s="219">
        <v>15347.878110999998</v>
      </c>
      <c r="J8" s="301"/>
      <c r="L8" s="219"/>
      <c r="N8" s="274"/>
    </row>
    <row r="9" spans="1:14" ht="14.25">
      <c r="A9" s="218" t="str">
        <f>HLOOKUP(INDICE!$F$2,Nombres!$C$3:$D$636,212,FALSE)</f>
        <v>Empresas medianas</v>
      </c>
      <c r="B9" s="219">
        <v>16427.036564</v>
      </c>
      <c r="C9" s="219">
        <v>16813.21256</v>
      </c>
      <c r="D9" s="219">
        <v>16669.095063999997</v>
      </c>
      <c r="E9" s="219">
        <v>17085.896316000002</v>
      </c>
      <c r="F9" s="219">
        <v>17087.961375</v>
      </c>
      <c r="G9" s="219">
        <v>18043.224456</v>
      </c>
      <c r="H9" s="219">
        <v>17806.629531</v>
      </c>
      <c r="I9" s="219">
        <v>18191.853354999996</v>
      </c>
      <c r="J9" s="301"/>
      <c r="L9" s="219"/>
      <c r="N9" s="274"/>
    </row>
    <row r="10" spans="1:14" ht="14.25">
      <c r="A10" s="218" t="str">
        <f>HLOOKUP(INDICE!$F$2,Nombres!$C$3:$D$636,213,FALSE)</f>
        <v>Corporativa + CIB</v>
      </c>
      <c r="B10" s="219">
        <v>24578.77303602</v>
      </c>
      <c r="C10" s="219">
        <v>23801.786917489997</v>
      </c>
      <c r="D10" s="219">
        <v>22044.21142149</v>
      </c>
      <c r="E10" s="219">
        <v>23095.503167000003</v>
      </c>
      <c r="F10" s="219">
        <v>24784.800434</v>
      </c>
      <c r="G10" s="219">
        <v>25217.900888</v>
      </c>
      <c r="H10" s="219">
        <v>24353.853532</v>
      </c>
      <c r="I10" s="219">
        <v>23847.85196</v>
      </c>
      <c r="L10" s="219"/>
      <c r="N10" s="274"/>
    </row>
    <row r="11" spans="1:14" ht="14.25">
      <c r="A11" s="218" t="str">
        <f>HLOOKUP(INDICE!$F$2,Nombres!$C$3:$D$636,214,FALSE)</f>
        <v>Sector público</v>
      </c>
      <c r="B11" s="219">
        <v>16750.453855</v>
      </c>
      <c r="C11" s="219">
        <v>18530.475404000004</v>
      </c>
      <c r="D11" s="219">
        <v>16092.142047000001</v>
      </c>
      <c r="E11" s="219">
        <v>15298.7735</v>
      </c>
      <c r="F11" s="219">
        <v>15193.973656</v>
      </c>
      <c r="G11" s="219">
        <v>16255.107344999999</v>
      </c>
      <c r="H11" s="219">
        <v>13834.594334000001</v>
      </c>
      <c r="I11" s="219">
        <v>13835.933625000001</v>
      </c>
      <c r="L11" s="219"/>
      <c r="N11" s="274"/>
    </row>
    <row r="12" spans="1:14" ht="14.25">
      <c r="A12" s="218" t="str">
        <f>HLOOKUP(INDICE!$F$2,Nombres!$C$3:$D$636,215,FALSE)</f>
        <v>Otros</v>
      </c>
      <c r="B12" s="219">
        <v>9305.955561419996</v>
      </c>
      <c r="C12" s="219">
        <v>8570.208338999977</v>
      </c>
      <c r="D12" s="219">
        <v>9038.586744619997</v>
      </c>
      <c r="E12" s="219">
        <v>9111.916533109972</v>
      </c>
      <c r="F12" s="219">
        <v>9907.910753619977</v>
      </c>
      <c r="G12" s="219">
        <v>10120.075048570005</v>
      </c>
      <c r="H12" s="219">
        <v>9407.360923999995</v>
      </c>
      <c r="I12" s="219">
        <v>10413.719895000011</v>
      </c>
      <c r="L12" s="219"/>
      <c r="N12" s="274"/>
    </row>
    <row r="13" spans="1:14" ht="14.25">
      <c r="A13" s="220" t="str">
        <f>HLOOKUP(INDICE!$F$2,Nombres!$C$3:$D$636,112,FALSE)</f>
        <v>Crédito no dudoso en gestión (*)</v>
      </c>
      <c r="B13" s="221">
        <v>166791.23389744002</v>
      </c>
      <c r="C13" s="221">
        <v>167530.32730648998</v>
      </c>
      <c r="D13" s="221">
        <v>162850.02438811</v>
      </c>
      <c r="E13" s="221">
        <v>164140.36064510996</v>
      </c>
      <c r="F13" s="221">
        <v>165786.41266761997</v>
      </c>
      <c r="G13" s="221">
        <v>168528.30437856997</v>
      </c>
      <c r="H13" s="221">
        <v>164150.455407</v>
      </c>
      <c r="I13" s="221">
        <v>165510.80403100004</v>
      </c>
      <c r="L13" s="220"/>
      <c r="N13" s="274"/>
    </row>
    <row r="14" spans="1:14" ht="14.25">
      <c r="A14" s="213"/>
      <c r="B14" s="222">
        <f>+SUM(B6:B12)-B13</f>
        <v>0</v>
      </c>
      <c r="C14" s="222">
        <f aca="true" t="shared" si="0" ref="C14:I14">+SUM(C6:C12)-C13</f>
        <v>0</v>
      </c>
      <c r="D14" s="222">
        <f t="shared" si="0"/>
        <v>0</v>
      </c>
      <c r="E14" s="222">
        <f t="shared" si="0"/>
        <v>0</v>
      </c>
      <c r="F14" s="222">
        <f t="shared" si="0"/>
        <v>0</v>
      </c>
      <c r="G14" s="222">
        <f t="shared" si="0"/>
        <v>0</v>
      </c>
      <c r="H14" s="222">
        <f t="shared" si="0"/>
        <v>0</v>
      </c>
      <c r="I14" s="222">
        <f t="shared" si="0"/>
        <v>0</v>
      </c>
      <c r="L14" s="223"/>
      <c r="N14" s="274"/>
    </row>
    <row r="15" spans="1:14" ht="14.25">
      <c r="A15" s="302"/>
      <c r="B15" s="219"/>
      <c r="C15" s="219"/>
      <c r="D15" s="219"/>
      <c r="E15" s="219"/>
      <c r="F15" s="219"/>
      <c r="G15" s="219"/>
      <c r="H15" s="219"/>
      <c r="I15" s="219"/>
      <c r="L15" s="219"/>
      <c r="N15" s="274"/>
    </row>
    <row r="16" spans="1:12" ht="14.25">
      <c r="A16" s="213"/>
      <c r="B16" s="224"/>
      <c r="C16" s="224"/>
      <c r="D16" s="224"/>
      <c r="E16" s="224"/>
      <c r="F16" s="224"/>
      <c r="L16" s="224"/>
    </row>
    <row r="17" spans="1:9" ht="14.25">
      <c r="A17" s="216"/>
      <c r="B17" s="316" t="str">
        <f>HLOOKUP(INDICE!$F$2,Nombres!$C$3:$D$636,10,FALSE)</f>
        <v>EEUU</v>
      </c>
      <c r="C17" s="316"/>
      <c r="D17" s="316"/>
      <c r="E17" s="316"/>
      <c r="F17" s="316"/>
      <c r="G17" s="316"/>
      <c r="H17" s="316"/>
      <c r="I17" s="316"/>
    </row>
    <row r="18" spans="1:12" ht="14.25">
      <c r="A18" s="217"/>
      <c r="B18" s="123">
        <f>+B$5</f>
        <v>43555</v>
      </c>
      <c r="C18" s="123">
        <f aca="true" t="shared" si="1" ref="C18:I18">+C$5</f>
        <v>43646</v>
      </c>
      <c r="D18" s="123">
        <f t="shared" si="1"/>
        <v>43738</v>
      </c>
      <c r="E18" s="123">
        <f t="shared" si="1"/>
        <v>43830</v>
      </c>
      <c r="F18" s="123">
        <f t="shared" si="1"/>
        <v>43921</v>
      </c>
      <c r="G18" s="123">
        <f t="shared" si="1"/>
        <v>44012</v>
      </c>
      <c r="H18" s="123">
        <f t="shared" si="1"/>
        <v>44104</v>
      </c>
      <c r="I18" s="123">
        <f t="shared" si="1"/>
        <v>44196</v>
      </c>
      <c r="L18" s="53"/>
    </row>
    <row r="19" spans="1:14" ht="14.25">
      <c r="A19" s="218" t="str">
        <f>HLOOKUP(INDICE!$F$2,Nombres!$C$3:$D$636,105,FALSE)</f>
        <v>Hipotecario</v>
      </c>
      <c r="B19" s="219">
        <v>12965.65826399197</v>
      </c>
      <c r="C19" s="219">
        <v>12975.015613897483</v>
      </c>
      <c r="D19" s="219">
        <v>12935.528753170609</v>
      </c>
      <c r="E19" s="219">
        <v>12963.126699975915</v>
      </c>
      <c r="F19" s="219">
        <v>12809.675277933866</v>
      </c>
      <c r="G19" s="219">
        <v>12783.946748683362</v>
      </c>
      <c r="H19" s="219">
        <v>12704.527803559446</v>
      </c>
      <c r="I19" s="219">
        <v>12465.341542789998</v>
      </c>
      <c r="L19" s="219"/>
      <c r="N19" s="274"/>
    </row>
    <row r="20" spans="1:14" ht="14.25">
      <c r="A20" s="218" t="str">
        <f>HLOOKUP(INDICE!$F$2,Nombres!$C$3:$D$636,210,FALSE)</f>
        <v>Consumo  y tarjetas de Credito</v>
      </c>
      <c r="B20" s="219">
        <v>5638.603922865733</v>
      </c>
      <c r="C20" s="219">
        <v>5575.342384081314</v>
      </c>
      <c r="D20" s="219">
        <v>5529.911418206334</v>
      </c>
      <c r="E20" s="219">
        <v>5569.956136058711</v>
      </c>
      <c r="F20" s="219">
        <v>5677.052692438879</v>
      </c>
      <c r="G20" s="219">
        <v>5539.221021817826</v>
      </c>
      <c r="H20" s="219">
        <v>5394.493950920781</v>
      </c>
      <c r="I20" s="219">
        <v>5333.7391263</v>
      </c>
      <c r="L20" s="219"/>
      <c r="N20" s="274"/>
    </row>
    <row r="21" spans="1:14" ht="15.75" customHeight="1">
      <c r="A21" s="218" t="str">
        <f>HLOOKUP(INDICE!$F$2,Nombres!$C$3:$D$636,108,FALSE)</f>
        <v>Sector público</v>
      </c>
      <c r="B21" s="219">
        <v>5065.001831073845</v>
      </c>
      <c r="C21" s="219">
        <v>5047.637610588154</v>
      </c>
      <c r="D21" s="219">
        <v>5010.4984903510285</v>
      </c>
      <c r="E21" s="219">
        <v>4919.536458000689</v>
      </c>
      <c r="F21" s="219">
        <v>5045.728264942571</v>
      </c>
      <c r="G21" s="219">
        <v>5154.980295260224</v>
      </c>
      <c r="H21" s="219">
        <v>4898.083830846023</v>
      </c>
      <c r="I21" s="219">
        <v>4861.308826789999</v>
      </c>
      <c r="L21" s="219"/>
      <c r="N21" s="274"/>
    </row>
    <row r="22" spans="1:14" ht="14.25">
      <c r="A22" s="218" t="s">
        <v>7</v>
      </c>
      <c r="B22" s="219">
        <v>8610.365272299769</v>
      </c>
      <c r="C22" s="219">
        <v>8530.412486161764</v>
      </c>
      <c r="D22" s="219">
        <v>8466.460659395925</v>
      </c>
      <c r="E22" s="219">
        <v>9600.017260246299</v>
      </c>
      <c r="F22" s="219">
        <v>12434.980745605782</v>
      </c>
      <c r="G22" s="219">
        <v>11766.503009260217</v>
      </c>
      <c r="H22" s="219">
        <v>9752.01452977642</v>
      </c>
      <c r="I22" s="219">
        <v>8521.75266327</v>
      </c>
      <c r="L22" s="219"/>
      <c r="N22" s="274"/>
    </row>
    <row r="23" spans="1:14" ht="14.25">
      <c r="A23" s="218" t="str">
        <f>HLOOKUP(INDICE!$F$2,Nombres!$C$3:$D$636,203,FALSE)</f>
        <v>Resto Comercial</v>
      </c>
      <c r="B23" s="219">
        <v>23153.219631011983</v>
      </c>
      <c r="C23" s="219">
        <v>22678.082211874582</v>
      </c>
      <c r="D23" s="219">
        <v>23209.786000898413</v>
      </c>
      <c r="E23" s="219">
        <v>23688.089882123153</v>
      </c>
      <c r="F23" s="219">
        <v>25458.019294685742</v>
      </c>
      <c r="G23" s="219">
        <v>26699.852064198254</v>
      </c>
      <c r="H23" s="219">
        <v>25835.963177290098</v>
      </c>
      <c r="I23" s="219">
        <v>25474.177168899998</v>
      </c>
      <c r="L23" s="219"/>
      <c r="N23" s="274"/>
    </row>
    <row r="24" spans="1:14" ht="14.25">
      <c r="A24" s="218" t="str">
        <f>HLOOKUP(INDICE!$F$2,Nombres!$C$3:$D$636,111,FALSE)</f>
        <v>Otros</v>
      </c>
      <c r="B24" s="219">
        <v>1054.2135323787516</v>
      </c>
      <c r="C24" s="219">
        <v>1227.7602618922367</v>
      </c>
      <c r="D24" s="219">
        <v>1145.4876226119165</v>
      </c>
      <c r="E24" s="219">
        <v>1156.2882235425193</v>
      </c>
      <c r="F24" s="219">
        <v>1177.5567014129067</v>
      </c>
      <c r="G24" s="219">
        <v>1209.8877402831154</v>
      </c>
      <c r="H24" s="219">
        <v>1236.7593519298423</v>
      </c>
      <c r="I24" s="219">
        <v>1230.9273007200002</v>
      </c>
      <c r="L24" s="219"/>
      <c r="N24" s="274"/>
    </row>
    <row r="25" spans="1:14" ht="14.25">
      <c r="A25" s="220" t="str">
        <f>HLOOKUP(INDICE!$F$2,Nombres!$C$3:$D$636,112,FALSE)</f>
        <v>Crédito no dudoso en gestión (*)</v>
      </c>
      <c r="B25" s="221">
        <v>56487.06245362206</v>
      </c>
      <c r="C25" s="221">
        <v>56034.25056849553</v>
      </c>
      <c r="D25" s="221">
        <v>56297.67294463422</v>
      </c>
      <c r="E25" s="221">
        <v>57897.01465994729</v>
      </c>
      <c r="F25" s="221">
        <v>62603.01297701974</v>
      </c>
      <c r="G25" s="221">
        <v>63154.39087950299</v>
      </c>
      <c r="H25" s="221">
        <v>59821.842644322605</v>
      </c>
      <c r="I25" s="221">
        <v>57887.24662877</v>
      </c>
      <c r="L25" s="219"/>
      <c r="N25" s="274"/>
    </row>
    <row r="26" spans="1:14" ht="14.25">
      <c r="A26" s="213"/>
      <c r="B26" s="222">
        <f aca="true" t="shared" si="2" ref="B26:I26">+SUM(B19:B24)-B25</f>
        <v>0</v>
      </c>
      <c r="C26" s="222">
        <f t="shared" si="2"/>
        <v>0</v>
      </c>
      <c r="D26" s="222">
        <f t="shared" si="2"/>
        <v>0</v>
      </c>
      <c r="E26" s="222">
        <f t="shared" si="2"/>
        <v>0</v>
      </c>
      <c r="F26" s="222">
        <f t="shared" si="2"/>
        <v>0</v>
      </c>
      <c r="G26" s="222">
        <f t="shared" si="2"/>
        <v>0</v>
      </c>
      <c r="H26" s="222">
        <f t="shared" si="2"/>
        <v>0</v>
      </c>
      <c r="I26" s="222">
        <f t="shared" si="2"/>
        <v>0</v>
      </c>
      <c r="L26" s="225"/>
      <c r="N26" s="274"/>
    </row>
    <row r="27" spans="1:14" ht="14.25">
      <c r="A27" s="213"/>
      <c r="B27" s="223"/>
      <c r="C27" s="223"/>
      <c r="D27" s="223"/>
      <c r="E27" s="223"/>
      <c r="F27" s="223"/>
      <c r="G27" s="223"/>
      <c r="H27" s="223"/>
      <c r="I27" s="223"/>
      <c r="L27" s="226"/>
      <c r="N27" s="274"/>
    </row>
    <row r="28" spans="1:14" ht="14.25">
      <c r="A28" s="302"/>
      <c r="F28" s="224"/>
      <c r="G28" s="224"/>
      <c r="H28" s="224"/>
      <c r="I28" s="224"/>
      <c r="L28" s="219"/>
      <c r="N28" s="274"/>
    </row>
    <row r="29" spans="1:12" ht="14.25">
      <c r="A29" s="213"/>
      <c r="B29" s="224"/>
      <c r="C29" s="224"/>
      <c r="D29" s="224"/>
      <c r="E29" s="224"/>
      <c r="F29" s="224"/>
      <c r="L29" s="227"/>
    </row>
    <row r="30" spans="1:12" ht="14.25">
      <c r="A30" s="216"/>
      <c r="B30" s="316" t="str">
        <f>HLOOKUP(INDICE!$F$2,Nombres!$C$3:$D$636,204,FALSE)</f>
        <v>Mexico (***)</v>
      </c>
      <c r="C30" s="316"/>
      <c r="D30" s="316"/>
      <c r="E30" s="316"/>
      <c r="F30" s="316"/>
      <c r="G30" s="316"/>
      <c r="H30" s="316"/>
      <c r="I30" s="316"/>
      <c r="L30" s="228"/>
    </row>
    <row r="31" spans="1:12" ht="14.25">
      <c r="A31" s="217"/>
      <c r="B31" s="123">
        <f>+B$5</f>
        <v>43555</v>
      </c>
      <c r="C31" s="123">
        <f aca="true" t="shared" si="3" ref="C31:I31">+C$5</f>
        <v>43646</v>
      </c>
      <c r="D31" s="123">
        <f t="shared" si="3"/>
        <v>43738</v>
      </c>
      <c r="E31" s="123">
        <f t="shared" si="3"/>
        <v>43830</v>
      </c>
      <c r="F31" s="123">
        <f t="shared" si="3"/>
        <v>43921</v>
      </c>
      <c r="G31" s="123">
        <f t="shared" si="3"/>
        <v>44012</v>
      </c>
      <c r="H31" s="123">
        <f t="shared" si="3"/>
        <v>44104</v>
      </c>
      <c r="I31" s="123">
        <f t="shared" si="3"/>
        <v>44196</v>
      </c>
      <c r="L31" s="53"/>
    </row>
    <row r="32" spans="1:14" ht="14.25">
      <c r="A32" s="218" t="str">
        <f>HLOOKUP(INDICE!$F$2,Nombres!$C$3:$D$636,105,FALSE)</f>
        <v>Hipotecario</v>
      </c>
      <c r="B32" s="219">
        <v>8816.15929712427</v>
      </c>
      <c r="C32" s="219">
        <v>9064.875338125528</v>
      </c>
      <c r="D32" s="219">
        <v>9265.89762575004</v>
      </c>
      <c r="E32" s="219">
        <v>9468.190651821562</v>
      </c>
      <c r="F32" s="219">
        <v>9593.71518208194</v>
      </c>
      <c r="G32" s="219">
        <v>9913.215501271421</v>
      </c>
      <c r="H32" s="219">
        <v>10004.23024315226</v>
      </c>
      <c r="I32" s="219">
        <v>10171.158256880733</v>
      </c>
      <c r="L32" s="219"/>
      <c r="N32" s="274"/>
    </row>
    <row r="33" spans="1:14" ht="14.25">
      <c r="A33" s="218" t="str">
        <f>HLOOKUP(INDICE!$F$2,Nombres!$C$3:$D$636,106,FALSE)</f>
        <v>Consumo</v>
      </c>
      <c r="B33" s="219">
        <v>7192.668526667355</v>
      </c>
      <c r="C33" s="219">
        <v>7416.807579867708</v>
      </c>
      <c r="D33" s="219">
        <v>7683.136187913248</v>
      </c>
      <c r="E33" s="219">
        <v>7745.729536985176</v>
      </c>
      <c r="F33" s="219">
        <v>7825.893842951753</v>
      </c>
      <c r="G33" s="219">
        <v>7641.162744006392</v>
      </c>
      <c r="H33" s="219">
        <v>7575.261765358379</v>
      </c>
      <c r="I33" s="219">
        <v>7277.686762778506</v>
      </c>
      <c r="L33" s="219"/>
      <c r="N33" s="274"/>
    </row>
    <row r="34" spans="1:14" ht="14.25">
      <c r="A34" s="218" t="str">
        <f>HLOOKUP(INDICE!$F$2,Nombres!$C$3:$D$636,107,FALSE)</f>
        <v>Tarjetas de Crédito</v>
      </c>
      <c r="B34" s="219">
        <v>4200.127183770075</v>
      </c>
      <c r="C34" s="219">
        <v>4311.505271927013</v>
      </c>
      <c r="D34" s="219">
        <v>4378.729696891791</v>
      </c>
      <c r="E34" s="219">
        <v>4557.44066993529</v>
      </c>
      <c r="F34" s="219">
        <v>4321.139505074137</v>
      </c>
      <c r="G34" s="219">
        <v>4176.120028418668</v>
      </c>
      <c r="H34" s="219">
        <v>4227.3942505713485</v>
      </c>
      <c r="I34" s="219">
        <v>4275.8846657929225</v>
      </c>
      <c r="L34" s="219"/>
      <c r="N34" s="274"/>
    </row>
    <row r="35" spans="1:14" ht="14.25">
      <c r="A35" s="218" t="str">
        <f>HLOOKUP(INDICE!$F$2,Nombres!$C$3:$D$636,110,FALSE)</f>
        <v>Pymes</v>
      </c>
      <c r="B35" s="219">
        <v>3218.922386208219</v>
      </c>
      <c r="C35" s="219">
        <v>3198.553976036615</v>
      </c>
      <c r="D35" s="219">
        <v>3117.1969747885623</v>
      </c>
      <c r="E35" s="219">
        <v>2978.6862711663002</v>
      </c>
      <c r="F35" s="219">
        <v>2985.6448311298313</v>
      </c>
      <c r="G35" s="219">
        <v>2992.9570511979286</v>
      </c>
      <c r="H35" s="219">
        <v>2943.08632572618</v>
      </c>
      <c r="I35" s="219">
        <v>2819.6674311926604</v>
      </c>
      <c r="L35" s="219"/>
      <c r="N35" s="274"/>
    </row>
    <row r="36" spans="1:14" ht="14.25">
      <c r="A36" s="218" t="str">
        <f>HLOOKUP(INDICE!$F$2,Nombres!$C$3:$D$636,216,FALSE)</f>
        <v>Resto Minorista</v>
      </c>
      <c r="B36" s="219">
        <v>8.844534014986381</v>
      </c>
      <c r="C36" s="219">
        <v>8.855867836251994</v>
      </c>
      <c r="D36" s="219">
        <v>8.607923337571703</v>
      </c>
      <c r="E36" s="219">
        <v>8.652365726979529</v>
      </c>
      <c r="F36" s="219">
        <v>90.51691546526706</v>
      </c>
      <c r="G36" s="219">
        <v>78.57395384870348</v>
      </c>
      <c r="H36" s="219">
        <v>78.60379431807156</v>
      </c>
      <c r="I36" s="219">
        <v>78.14547837483617</v>
      </c>
      <c r="L36" s="219"/>
      <c r="N36" s="274"/>
    </row>
    <row r="37" spans="1:14" ht="14.25">
      <c r="A37" s="218" t="str">
        <f>HLOOKUP(INDICE!$F$2,Nombres!$C$3:$D$636,217,FALSE)</f>
        <v>Resto Empresas</v>
      </c>
      <c r="B37" s="219">
        <v>20489.405692113014</v>
      </c>
      <c r="C37" s="219">
        <v>21130.348379653944</v>
      </c>
      <c r="D37" s="219">
        <v>20931.691539700987</v>
      </c>
      <c r="E37" s="219">
        <v>21684.56078912053</v>
      </c>
      <c r="F37" s="219">
        <v>25346.723597910786</v>
      </c>
      <c r="G37" s="219">
        <v>24193.477267317354</v>
      </c>
      <c r="H37" s="219">
        <v>22632.10292062743</v>
      </c>
      <c r="I37" s="219">
        <v>20765.358781127128</v>
      </c>
      <c r="L37" s="219"/>
      <c r="N37" s="274"/>
    </row>
    <row r="38" spans="1:14" ht="14.25">
      <c r="A38" s="218" t="str">
        <f>HLOOKUP(INDICE!$F$2,Nombres!$C$3:$D$636,108,FALSE)</f>
        <v>Sector público</v>
      </c>
      <c r="B38" s="219">
        <v>3180.5555460594283</v>
      </c>
      <c r="C38" s="219">
        <v>3177.6665223762857</v>
      </c>
      <c r="D38" s="219">
        <v>3321.3816605348065</v>
      </c>
      <c r="E38" s="219">
        <v>3742.5337321212005</v>
      </c>
      <c r="F38" s="219">
        <v>3939.0094515073943</v>
      </c>
      <c r="G38" s="219">
        <v>3888.815093187616</v>
      </c>
      <c r="H38" s="219">
        <v>4041.843294817775</v>
      </c>
      <c r="I38" s="219">
        <v>4472.026539973787</v>
      </c>
      <c r="L38" s="219"/>
      <c r="N38" s="274"/>
    </row>
    <row r="39" spans="1:14" ht="15.75" customHeight="1">
      <c r="A39" s="220" t="str">
        <f>HLOOKUP(INDICE!$F$2,Nombres!$C$3:$D$636,112,FALSE)</f>
        <v>Crédito no dudoso en gestión (*)</v>
      </c>
      <c r="B39" s="221">
        <v>47106.68316595734</v>
      </c>
      <c r="C39" s="221">
        <v>48308.612935823345</v>
      </c>
      <c r="D39" s="221">
        <v>48706.64160891701</v>
      </c>
      <c r="E39" s="221">
        <v>50185.794016877044</v>
      </c>
      <c r="F39" s="221">
        <v>54102.643326121106</v>
      </c>
      <c r="G39" s="221">
        <v>52884.32163924808</v>
      </c>
      <c r="H39" s="221">
        <v>51502.52259457144</v>
      </c>
      <c r="I39" s="221">
        <v>49859.92791612058</v>
      </c>
      <c r="J39" s="295"/>
      <c r="L39" s="225"/>
      <c r="N39" s="274"/>
    </row>
    <row r="40" spans="1:12" ht="14.25">
      <c r="A40" s="229" t="str">
        <f>HLOOKUP(INDICE!$F$2,Nombres!$C$3:$D$636,205,FALSE)</f>
        <v>Criterio Local Contable(***) </v>
      </c>
      <c r="B40" s="222">
        <f>+SUM(B32:B38)-B39</f>
        <v>0</v>
      </c>
      <c r="C40" s="222">
        <f aca="true" t="shared" si="4" ref="C40:I40">+SUM(C32:C38)-C39</f>
        <v>0</v>
      </c>
      <c r="D40" s="222">
        <f t="shared" si="4"/>
        <v>0</v>
      </c>
      <c r="E40" s="222">
        <f t="shared" si="4"/>
        <v>0</v>
      </c>
      <c r="F40" s="222">
        <f t="shared" si="4"/>
        <v>0</v>
      </c>
      <c r="G40" s="222">
        <f t="shared" si="4"/>
        <v>0</v>
      </c>
      <c r="H40" s="222">
        <f t="shared" si="4"/>
        <v>0</v>
      </c>
      <c r="I40" s="222">
        <f t="shared" si="4"/>
        <v>0</v>
      </c>
      <c r="L40" s="226"/>
    </row>
    <row r="41" spans="1:12" ht="14.25">
      <c r="A41" s="302"/>
      <c r="B41" s="219"/>
      <c r="C41" s="219"/>
      <c r="D41" s="219"/>
      <c r="E41" s="219"/>
      <c r="F41" s="219"/>
      <c r="G41" s="219"/>
      <c r="H41" s="219"/>
      <c r="I41" s="219"/>
      <c r="L41" s="219"/>
    </row>
    <row r="42" spans="2:12" ht="14.25">
      <c r="B42" s="224"/>
      <c r="C42" s="224"/>
      <c r="D42" s="224"/>
      <c r="E42" s="224"/>
      <c r="F42" s="224"/>
      <c r="L42" s="224"/>
    </row>
    <row r="43" spans="1:13" ht="14.25">
      <c r="A43" s="216"/>
      <c r="B43" s="316" t="str">
        <f>HLOOKUP(INDICE!$F$2,Nombres!$C$3:$D$636,12,FALSE)</f>
        <v>Turquía </v>
      </c>
      <c r="C43" s="316"/>
      <c r="D43" s="316"/>
      <c r="E43" s="316"/>
      <c r="F43" s="316"/>
      <c r="G43" s="316"/>
      <c r="H43" s="316"/>
      <c r="I43" s="316"/>
      <c r="L43" s="230"/>
      <c r="M43" s="230"/>
    </row>
    <row r="44" spans="1:13" ht="14.25">
      <c r="A44" s="217"/>
      <c r="B44" s="123">
        <f>+B$5</f>
        <v>43555</v>
      </c>
      <c r="C44" s="123">
        <f aca="true" t="shared" si="5" ref="C44:I44">+C$5</f>
        <v>43646</v>
      </c>
      <c r="D44" s="123">
        <f t="shared" si="5"/>
        <v>43738</v>
      </c>
      <c r="E44" s="123">
        <f t="shared" si="5"/>
        <v>43830</v>
      </c>
      <c r="F44" s="123">
        <f t="shared" si="5"/>
        <v>43921</v>
      </c>
      <c r="G44" s="123">
        <f t="shared" si="5"/>
        <v>44012</v>
      </c>
      <c r="H44" s="123">
        <f t="shared" si="5"/>
        <v>44104</v>
      </c>
      <c r="I44" s="123">
        <f t="shared" si="5"/>
        <v>44196</v>
      </c>
      <c r="L44" s="53"/>
      <c r="M44" s="230"/>
    </row>
    <row r="45" spans="1:14" ht="14.25">
      <c r="A45" s="218" t="str">
        <f>HLOOKUP(INDICE!$F$2,Nombres!$C$3:$D$636,105,FALSE)</f>
        <v>Hipotecario</v>
      </c>
      <c r="B45" s="219">
        <v>2254.6660756604524</v>
      </c>
      <c r="C45" s="219">
        <v>2168.683868250268</v>
      </c>
      <c r="D45" s="219">
        <v>2096.402632473531</v>
      </c>
      <c r="E45" s="219">
        <v>2147.665489315318</v>
      </c>
      <c r="F45" s="219">
        <v>2248.999061946289</v>
      </c>
      <c r="G45" s="219">
        <v>2240.204129510595</v>
      </c>
      <c r="H45" s="219">
        <v>2325.286945847778</v>
      </c>
      <c r="I45" s="219">
        <v>2349.04871334</v>
      </c>
      <c r="L45" s="219"/>
      <c r="M45" s="230"/>
      <c r="N45" s="274"/>
    </row>
    <row r="46" spans="1:14" ht="14.25">
      <c r="A46" s="218" t="str">
        <f>HLOOKUP(INDICE!$F$2,Nombres!$C$3:$D$636,106,FALSE)</f>
        <v>Consumo</v>
      </c>
      <c r="B46" s="219">
        <v>3390.954928990562</v>
      </c>
      <c r="C46" s="219">
        <v>3399.018991350028</v>
      </c>
      <c r="D46" s="219">
        <v>3494.519506604363</v>
      </c>
      <c r="E46" s="219">
        <v>4109.742192021986</v>
      </c>
      <c r="F46" s="219">
        <v>4623.607757416689</v>
      </c>
      <c r="G46" s="219">
        <v>4967.147134188963</v>
      </c>
      <c r="H46" s="219">
        <v>5379.678430077727</v>
      </c>
      <c r="I46" s="219">
        <v>5625.6097967000005</v>
      </c>
      <c r="L46" s="219"/>
      <c r="M46" s="230"/>
      <c r="N46" s="274"/>
    </row>
    <row r="47" spans="1:14" ht="14.25">
      <c r="A47" s="218" t="str">
        <f>HLOOKUP(INDICE!$F$2,Nombres!$C$3:$D$636,107,FALSE)</f>
        <v>Tarjetas de Crédito</v>
      </c>
      <c r="B47" s="219">
        <v>2574.7187576867423</v>
      </c>
      <c r="C47" s="219">
        <v>2651.709565791859</v>
      </c>
      <c r="D47" s="219">
        <v>2756.5708630227095</v>
      </c>
      <c r="E47" s="219">
        <v>2814.613933216273</v>
      </c>
      <c r="F47" s="219">
        <v>2643.2525891974337</v>
      </c>
      <c r="G47" s="219">
        <v>2705.1836166193452</v>
      </c>
      <c r="H47" s="219">
        <v>3093.932577597597</v>
      </c>
      <c r="I47" s="219">
        <v>3258.86</v>
      </c>
      <c r="L47" s="219"/>
      <c r="M47" s="230"/>
      <c r="N47" s="274"/>
    </row>
    <row r="48" spans="1:14" ht="14.25">
      <c r="A48" s="218" t="str">
        <f>HLOOKUP(INDICE!$F$2,Nombres!$C$3:$D$636,108,FALSE)</f>
        <v>Sector público</v>
      </c>
      <c r="B48" s="219">
        <v>47.20210854718768</v>
      </c>
      <c r="C48" s="219">
        <v>47.02785857724764</v>
      </c>
      <c r="D48" s="219">
        <v>66.92411860950692</v>
      </c>
      <c r="E48" s="219">
        <v>78.53544563349475</v>
      </c>
      <c r="F48" s="219">
        <v>76.06979484483166</v>
      </c>
      <c r="G48" s="219">
        <v>162.44548414928246</v>
      </c>
      <c r="H48" s="219">
        <v>174.6833071067603</v>
      </c>
      <c r="I48" s="219">
        <v>177.61599999999999</v>
      </c>
      <c r="L48" s="219"/>
      <c r="M48" s="230"/>
      <c r="N48" s="274"/>
    </row>
    <row r="49" spans="1:14" ht="14.25">
      <c r="A49" s="218" t="str">
        <f>HLOOKUP(INDICE!$F$2,Nombres!$C$3:$D$636,109,FALSE)</f>
        <v>Sociedades financieras y sociedades no financieras</v>
      </c>
      <c r="B49" s="219">
        <v>20154.858258483673</v>
      </c>
      <c r="C49" s="219">
        <v>19071.802375824685</v>
      </c>
      <c r="D49" s="219">
        <v>18027.099691815092</v>
      </c>
      <c r="E49" s="219">
        <v>19475.432840871385</v>
      </c>
      <c r="F49" s="219">
        <v>21084.290610409265</v>
      </c>
      <c r="G49" s="219">
        <v>23580.718756243205</v>
      </c>
      <c r="H49" s="219">
        <v>24549.903957187293</v>
      </c>
      <c r="I49" s="219">
        <v>24596.97</v>
      </c>
      <c r="L49" s="218"/>
      <c r="M49" s="230"/>
      <c r="N49" s="274"/>
    </row>
    <row r="50" spans="1:14" ht="14.25">
      <c r="A50" s="218" t="str">
        <f>HLOOKUP(INDICE!$F$2,Nombres!$C$3:$D$636,111,FALSE)</f>
        <v>Otros</v>
      </c>
      <c r="B50" s="219">
        <v>391.9379783707886</v>
      </c>
      <c r="C50" s="219">
        <v>428.92546611106786</v>
      </c>
      <c r="D50" s="219">
        <v>451.70169145473074</v>
      </c>
      <c r="E50" s="219">
        <v>465.65687246136525</v>
      </c>
      <c r="F50" s="219">
        <v>537.2497457402707</v>
      </c>
      <c r="G50" s="219">
        <v>482.6494592530172</v>
      </c>
      <c r="H50" s="219">
        <v>605.7441753516562</v>
      </c>
      <c r="I50" s="219">
        <v>630.0914899600015</v>
      </c>
      <c r="L50" s="218"/>
      <c r="M50" s="230"/>
      <c r="N50" s="274"/>
    </row>
    <row r="51" spans="1:14" ht="14.25">
      <c r="A51" s="220" t="str">
        <f>HLOOKUP(INDICE!$F$2,Nombres!$C$3:$D$636,112,FALSE)</f>
        <v>Crédito no dudoso en gestión (*)</v>
      </c>
      <c r="B51" s="221">
        <v>28814.3381077394</v>
      </c>
      <c r="C51" s="221">
        <v>27767.168125905155</v>
      </c>
      <c r="D51" s="221">
        <v>26893.218503979933</v>
      </c>
      <c r="E51" s="221">
        <v>29091.64677351982</v>
      </c>
      <c r="F51" s="221">
        <v>31213.469559554782</v>
      </c>
      <c r="G51" s="221">
        <v>34138.348579964404</v>
      </c>
      <c r="H51" s="221">
        <v>36129.22939316881</v>
      </c>
      <c r="I51" s="221">
        <v>36638.196</v>
      </c>
      <c r="L51" s="218"/>
      <c r="M51" s="230"/>
      <c r="N51" s="274"/>
    </row>
    <row r="52" spans="1:14" ht="14.25">
      <c r="A52" s="213"/>
      <c r="B52" s="222">
        <f>+SUM(B45:B50)-B51</f>
        <v>0</v>
      </c>
      <c r="C52" s="222">
        <f aca="true" t="shared" si="6" ref="C52:I52">+SUM(C45:C50)-C51</f>
        <v>0</v>
      </c>
      <c r="D52" s="222">
        <f t="shared" si="6"/>
        <v>0</v>
      </c>
      <c r="E52" s="222">
        <f t="shared" si="6"/>
        <v>0</v>
      </c>
      <c r="F52" s="222">
        <f t="shared" si="6"/>
        <v>0</v>
      </c>
      <c r="G52" s="222">
        <f t="shared" si="6"/>
        <v>0</v>
      </c>
      <c r="H52" s="222">
        <f t="shared" si="6"/>
        <v>0</v>
      </c>
      <c r="I52" s="222">
        <f t="shared" si="6"/>
        <v>0</v>
      </c>
      <c r="L52" s="220"/>
      <c r="M52" s="230"/>
      <c r="N52" s="274"/>
    </row>
    <row r="53" spans="1:13" ht="14.25">
      <c r="A53" s="213"/>
      <c r="B53" s="223"/>
      <c r="C53" s="223"/>
      <c r="D53" s="223"/>
      <c r="E53" s="223"/>
      <c r="F53" s="223"/>
      <c r="G53" s="223"/>
      <c r="H53" s="223"/>
      <c r="I53" s="223"/>
      <c r="L53" s="223"/>
      <c r="M53" s="230"/>
    </row>
    <row r="54" spans="1:12" ht="14.25">
      <c r="A54" s="213"/>
      <c r="B54" s="223"/>
      <c r="C54" s="223"/>
      <c r="D54" s="223"/>
      <c r="E54" s="223"/>
      <c r="F54" s="223"/>
      <c r="G54" s="223"/>
      <c r="H54" s="223"/>
      <c r="I54" s="223"/>
      <c r="L54" s="223"/>
    </row>
    <row r="55" spans="1:9" ht="15.75" customHeight="1">
      <c r="A55" s="216"/>
      <c r="B55" s="316" t="str">
        <f>HLOOKUP(INDICE!$F$2,Nombres!$C$3:$D$636,13,FALSE)</f>
        <v>América del Sur </v>
      </c>
      <c r="C55" s="316"/>
      <c r="D55" s="316"/>
      <c r="E55" s="316"/>
      <c r="F55" s="316"/>
      <c r="G55" s="316"/>
      <c r="H55" s="316"/>
      <c r="I55" s="316"/>
    </row>
    <row r="56" spans="1:9" ht="14.25">
      <c r="A56" s="217"/>
      <c r="B56" s="123">
        <f>+B$5</f>
        <v>43555</v>
      </c>
      <c r="C56" s="123">
        <f aca="true" t="shared" si="7" ref="C56:I56">+C$5</f>
        <v>43646</v>
      </c>
      <c r="D56" s="123">
        <f t="shared" si="7"/>
        <v>43738</v>
      </c>
      <c r="E56" s="123">
        <f t="shared" si="7"/>
        <v>43830</v>
      </c>
      <c r="F56" s="123">
        <f t="shared" si="7"/>
        <v>43921</v>
      </c>
      <c r="G56" s="123">
        <f t="shared" si="7"/>
        <v>44012</v>
      </c>
      <c r="H56" s="123">
        <f t="shared" si="7"/>
        <v>44104</v>
      </c>
      <c r="I56" s="123">
        <f t="shared" si="7"/>
        <v>44196</v>
      </c>
    </row>
    <row r="57" spans="1:14" ht="14.25">
      <c r="A57" s="218" t="s">
        <v>8</v>
      </c>
      <c r="B57" s="219">
        <v>1762.0971930356627</v>
      </c>
      <c r="C57" s="219">
        <v>1756.012689418102</v>
      </c>
      <c r="D57" s="219">
        <v>2013.9443424930637</v>
      </c>
      <c r="E57" s="219">
        <v>1908.8962372973572</v>
      </c>
      <c r="F57" s="219">
        <v>2149.788932081032</v>
      </c>
      <c r="G57" s="219">
        <v>2421.772472644603</v>
      </c>
      <c r="H57" s="219">
        <v>2498.8753277732967</v>
      </c>
      <c r="I57" s="219">
        <v>2811.84697188</v>
      </c>
      <c r="L57" s="219"/>
      <c r="N57" s="274"/>
    </row>
    <row r="58" spans="1:14" ht="14.25">
      <c r="A58" s="218" t="s">
        <v>9</v>
      </c>
      <c r="B58" s="219">
        <v>1856.8418291360213</v>
      </c>
      <c r="C58" s="219">
        <v>1832.9598722414285</v>
      </c>
      <c r="D58" s="219">
        <v>1843.9821538945466</v>
      </c>
      <c r="E58" s="219">
        <v>1740.9219088696948</v>
      </c>
      <c r="F58" s="219">
        <v>1653.3307810630956</v>
      </c>
      <c r="G58" s="219">
        <v>1488.1452925789465</v>
      </c>
      <c r="H58" s="219">
        <v>1513.5098602141982</v>
      </c>
      <c r="I58" s="219">
        <v>1490.037</v>
      </c>
      <c r="L58" s="219"/>
      <c r="N58" s="274"/>
    </row>
    <row r="59" spans="1:14" ht="14.25">
      <c r="A59" s="218" t="s">
        <v>10</v>
      </c>
      <c r="B59" s="219">
        <v>10382.194727543201</v>
      </c>
      <c r="C59" s="219">
        <v>10582.562945847967</v>
      </c>
      <c r="D59" s="219">
        <v>10955.24097514278</v>
      </c>
      <c r="E59" s="219">
        <v>11234.354671071585</v>
      </c>
      <c r="F59" s="219">
        <v>11729.540974989379</v>
      </c>
      <c r="G59" s="219">
        <v>11876.966565407249</v>
      </c>
      <c r="H59" s="219">
        <v>11759.916991490953</v>
      </c>
      <c r="I59" s="219">
        <v>11682.405704340003</v>
      </c>
      <c r="L59" s="219"/>
      <c r="N59" s="274"/>
    </row>
    <row r="60" spans="1:14" ht="15" customHeight="1">
      <c r="A60" s="218" t="s">
        <v>11</v>
      </c>
      <c r="B60" s="219">
        <v>11997.013169230491</v>
      </c>
      <c r="C60" s="219">
        <v>12068.53075005672</v>
      </c>
      <c r="D60" s="219">
        <v>12456.34792792807</v>
      </c>
      <c r="E60" s="219">
        <v>12574.709487799877</v>
      </c>
      <c r="F60" s="219">
        <v>13053.329884801824</v>
      </c>
      <c r="G60" s="219">
        <v>14215.500447504763</v>
      </c>
      <c r="H60" s="219">
        <v>15102.515477591629</v>
      </c>
      <c r="I60" s="219">
        <v>15106.36794085</v>
      </c>
      <c r="L60" s="219"/>
      <c r="N60" s="274"/>
    </row>
    <row r="61" spans="1:14" ht="15" customHeight="1">
      <c r="A61" s="218" t="s">
        <v>12</v>
      </c>
      <c r="B61" s="219">
        <v>2303.9356320144475</v>
      </c>
      <c r="C61" s="219">
        <v>2343.7091442139117</v>
      </c>
      <c r="D61" s="219">
        <v>2381.4395445555942</v>
      </c>
      <c r="E61" s="219">
        <v>2497.7165937841855</v>
      </c>
      <c r="F61" s="219">
        <v>2596.494615044913</v>
      </c>
      <c r="G61" s="219">
        <v>2528.9522406563315</v>
      </c>
      <c r="H61" s="219">
        <v>2502.706548081745</v>
      </c>
      <c r="I61" s="219">
        <v>2628.1717400800003</v>
      </c>
      <c r="L61" s="219"/>
      <c r="N61" s="274"/>
    </row>
    <row r="62" spans="1:14" ht="15" customHeight="1">
      <c r="A62" s="220" t="str">
        <f>HLOOKUP(INDICE!$F$2,Nombres!$C$3:$D$636,112,FALSE)</f>
        <v>Crédito no dudoso en gestión (*)</v>
      </c>
      <c r="B62" s="221">
        <v>28302.082550959825</v>
      </c>
      <c r="C62" s="221">
        <v>28583.77540177813</v>
      </c>
      <c r="D62" s="221">
        <v>29650.954944014058</v>
      </c>
      <c r="E62" s="221">
        <v>29956.5988988227</v>
      </c>
      <c r="F62" s="221">
        <v>31182.485187980245</v>
      </c>
      <c r="G62" s="221">
        <v>32531.33701879189</v>
      </c>
      <c r="H62" s="221">
        <v>33377.52420515182</v>
      </c>
      <c r="I62" s="221">
        <v>33718.82935715</v>
      </c>
      <c r="L62" s="220"/>
      <c r="N62" s="274"/>
    </row>
    <row r="63" spans="1:12" ht="14.25">
      <c r="A63" s="213"/>
      <c r="B63" s="222">
        <f>+SUM(B57:B61)-B62</f>
        <v>0</v>
      </c>
      <c r="C63" s="222">
        <f aca="true" t="shared" si="8" ref="C63:I63">+SUM(C57:C61)-C62</f>
        <v>0</v>
      </c>
      <c r="D63" s="222">
        <f t="shared" si="8"/>
        <v>0</v>
      </c>
      <c r="E63" s="222">
        <f t="shared" si="8"/>
        <v>0</v>
      </c>
      <c r="F63" s="222">
        <f t="shared" si="8"/>
        <v>0</v>
      </c>
      <c r="G63" s="222">
        <f t="shared" si="8"/>
        <v>0</v>
      </c>
      <c r="H63" s="222">
        <f t="shared" si="8"/>
        <v>0</v>
      </c>
      <c r="I63" s="222">
        <f t="shared" si="8"/>
        <v>0</v>
      </c>
      <c r="L63" s="223"/>
    </row>
    <row r="64" spans="1:12" ht="14.25">
      <c r="A64" s="213"/>
      <c r="B64" s="213"/>
      <c r="C64" s="213"/>
      <c r="D64" s="213"/>
      <c r="E64" s="213"/>
      <c r="F64" s="213"/>
      <c r="L64" s="213"/>
    </row>
    <row r="65" spans="1:12" ht="14.25">
      <c r="A65" s="231" t="str">
        <f>HLOOKUP(INDICE!$F$2,Nombres!$C$3:$D$636,71,FALSE)</f>
        <v>(*) No incluye las adquisiciones temporales de activos.</v>
      </c>
      <c r="B65" s="213"/>
      <c r="C65" s="213"/>
      <c r="D65" s="213"/>
      <c r="E65" s="213"/>
      <c r="F65" s="213"/>
      <c r="L65" s="213"/>
    </row>
    <row r="66" spans="1:12" ht="14.25">
      <c r="A66" s="213"/>
      <c r="B66" s="213"/>
      <c r="C66" s="213"/>
      <c r="D66" s="213"/>
      <c r="E66" s="213"/>
      <c r="F66" s="213"/>
      <c r="L66" s="213"/>
    </row>
    <row r="67" spans="1:12" ht="14.25">
      <c r="A67" s="213"/>
      <c r="B67" s="213"/>
      <c r="C67" s="213"/>
      <c r="D67" s="213"/>
      <c r="E67" s="213"/>
      <c r="F67" s="213"/>
      <c r="L67" s="213"/>
    </row>
    <row r="68" spans="1:12" ht="14.25">
      <c r="A68" s="213"/>
      <c r="B68" s="213"/>
      <c r="C68" s="213"/>
      <c r="D68" s="213"/>
      <c r="E68" s="213"/>
      <c r="F68" s="213"/>
      <c r="L68" s="213"/>
    </row>
    <row r="69" spans="1:12" ht="14.25">
      <c r="A69" s="213"/>
      <c r="B69" s="213"/>
      <c r="C69" s="213"/>
      <c r="D69" s="213"/>
      <c r="E69" s="213"/>
      <c r="F69" s="213"/>
      <c r="L69" s="213"/>
    </row>
    <row r="70" spans="1:12" ht="14.25">
      <c r="A70" s="213"/>
      <c r="B70" s="213"/>
      <c r="C70" s="213"/>
      <c r="D70" s="213"/>
      <c r="E70" s="213"/>
      <c r="F70" s="213"/>
      <c r="L70" s="213"/>
    </row>
    <row r="71" spans="1:12" ht="14.25">
      <c r="A71" s="213"/>
      <c r="B71" s="213"/>
      <c r="C71" s="213"/>
      <c r="D71" s="213"/>
      <c r="E71" s="213"/>
      <c r="F71" s="213"/>
      <c r="L71" s="213"/>
    </row>
    <row r="72" spans="1:12" ht="14.25">
      <c r="A72" s="213"/>
      <c r="B72" s="213"/>
      <c r="C72" s="213"/>
      <c r="D72" s="213"/>
      <c r="E72" s="213"/>
      <c r="F72" s="213"/>
      <c r="L72" s="213"/>
    </row>
    <row r="73" spans="1:12" ht="14.25">
      <c r="A73" s="213"/>
      <c r="B73" s="213"/>
      <c r="C73" s="213"/>
      <c r="D73" s="213"/>
      <c r="E73" s="213"/>
      <c r="F73" s="213"/>
      <c r="L73" s="213"/>
    </row>
    <row r="74" spans="1:12" ht="14.25">
      <c r="A74" s="213"/>
      <c r="B74" s="213"/>
      <c r="C74" s="213"/>
      <c r="D74" s="213"/>
      <c r="E74" s="213"/>
      <c r="F74" s="213"/>
      <c r="L74" s="213"/>
    </row>
    <row r="1000" ht="14.25">
      <c r="A1000" s="212" t="s">
        <v>397</v>
      </c>
    </row>
  </sheetData>
  <sheetProtection/>
  <mergeCells count="5">
    <mergeCell ref="B4:I4"/>
    <mergeCell ref="B17:I17"/>
    <mergeCell ref="B30:I30"/>
    <mergeCell ref="B43:I43"/>
    <mergeCell ref="B55:I55"/>
  </mergeCells>
  <conditionalFormatting sqref="B14:I14">
    <cfRule type="cellIs" priority="7" dxfId="143" operator="notBetween">
      <formula>0.5</formula>
      <formula>-0.5</formula>
    </cfRule>
  </conditionalFormatting>
  <conditionalFormatting sqref="B26:I26">
    <cfRule type="cellIs" priority="6" dxfId="143" operator="notBetween">
      <formula>0.5</formula>
      <formula>-0.5</formula>
    </cfRule>
  </conditionalFormatting>
  <conditionalFormatting sqref="B40:I40">
    <cfRule type="cellIs" priority="5" dxfId="143" operator="notBetween">
      <formula>0.5</formula>
      <formula>-0.5</formula>
    </cfRule>
  </conditionalFormatting>
  <conditionalFormatting sqref="C40:I40">
    <cfRule type="cellIs" priority="4" dxfId="143" operator="notBetween">
      <formula>0.5</formula>
      <formula>-0.5</formula>
    </cfRule>
  </conditionalFormatting>
  <conditionalFormatting sqref="B52">
    <cfRule type="cellIs" priority="3" dxfId="143" operator="notBetween">
      <formula>0.5</formula>
      <formula>-0.5</formula>
    </cfRule>
  </conditionalFormatting>
  <conditionalFormatting sqref="C52:I52">
    <cfRule type="cellIs" priority="2" dxfId="143" operator="notBetween">
      <formula>0.5</formula>
      <formula>-0.5</formula>
    </cfRule>
  </conditionalFormatting>
  <conditionalFormatting sqref="B63:I63">
    <cfRule type="cellIs" priority="1" dxfId="143" operator="notBetween">
      <formula>0.5</formula>
      <formula>-0.5</formula>
    </cfRule>
  </conditionalFormatting>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dimension ref="A1:L1000"/>
  <sheetViews>
    <sheetView showGridLines="0" zoomScalePageLayoutView="0" workbookViewId="0" topLeftCell="A1">
      <selection activeCell="N21" sqref="N21"/>
    </sheetView>
  </sheetViews>
  <sheetFormatPr defaultColWidth="11.421875" defaultRowHeight="15"/>
  <cols>
    <col min="1" max="1" width="35.7109375" style="212" customWidth="1"/>
    <col min="2" max="2" width="12.28125" style="212" customWidth="1"/>
    <col min="3" max="9" width="11.421875" style="212" customWidth="1"/>
    <col min="10" max="11" width="5.7109375" style="212" customWidth="1"/>
    <col min="12" max="12" width="19.57421875" style="212" customWidth="1"/>
    <col min="13" max="16384" width="11.421875" style="212" customWidth="1"/>
  </cols>
  <sheetData>
    <row r="1" spans="1:9" ht="16.5">
      <c r="A1" s="209" t="str">
        <f>HLOOKUP(INDICE!$F$2,Nombres!$C$3:$D$636,120,FALSE)</f>
        <v>Desglose de los recursos de clientes en gestión</v>
      </c>
      <c r="B1" s="210"/>
      <c r="C1" s="210"/>
      <c r="D1" s="210"/>
      <c r="E1" s="210"/>
      <c r="F1" s="210"/>
      <c r="G1" s="210"/>
      <c r="H1" s="210"/>
      <c r="I1" s="210"/>
    </row>
    <row r="2" spans="1:6" ht="14.25">
      <c r="A2" s="214" t="str">
        <f>HLOOKUP(INDICE!$F$2,Nombres!$C$3:$D$636,73,FALSE)</f>
        <v>(Millones de euros constantes)</v>
      </c>
      <c r="B2" s="213"/>
      <c r="C2" s="213"/>
      <c r="D2" s="213"/>
      <c r="E2" s="213"/>
      <c r="F2" s="213"/>
    </row>
    <row r="3" spans="1:12" ht="15.75" customHeight="1">
      <c r="A3" s="216"/>
      <c r="B3" s="316" t="str">
        <f>HLOOKUP(INDICE!$F$2,Nombres!$C$3:$D$636,7,FALSE)</f>
        <v>España</v>
      </c>
      <c r="C3" s="316"/>
      <c r="D3" s="316"/>
      <c r="E3" s="316"/>
      <c r="F3" s="316"/>
      <c r="G3" s="316"/>
      <c r="H3" s="316"/>
      <c r="I3" s="316"/>
      <c r="L3" s="232"/>
    </row>
    <row r="4" spans="1:9" ht="14.25">
      <c r="A4" s="217"/>
      <c r="B4" s="123">
        <v>43555</v>
      </c>
      <c r="C4" s="123">
        <v>43646</v>
      </c>
      <c r="D4" s="123">
        <v>43738</v>
      </c>
      <c r="E4" s="123">
        <v>43830</v>
      </c>
      <c r="F4" s="123">
        <v>43921</v>
      </c>
      <c r="G4" s="123">
        <v>44012</v>
      </c>
      <c r="H4" s="123">
        <v>44104</v>
      </c>
      <c r="I4" s="123">
        <v>44196</v>
      </c>
    </row>
    <row r="5" spans="1:12" ht="14.25">
      <c r="A5" s="218" t="str">
        <f>HLOOKUP(INDICE!$F$2,Nombres!$C$3:$D$636,114,FALSE)</f>
        <v>Depósitos a la vista + Disponibles con preaviso</v>
      </c>
      <c r="B5" s="219">
        <v>146517.89825499998</v>
      </c>
      <c r="C5" s="219">
        <v>148043.270841</v>
      </c>
      <c r="D5" s="219">
        <v>148621.77461199998</v>
      </c>
      <c r="E5" s="219">
        <v>150916.6172</v>
      </c>
      <c r="F5" s="219">
        <v>158491.67497999998</v>
      </c>
      <c r="G5" s="219">
        <v>165079.441489</v>
      </c>
      <c r="H5" s="219">
        <v>165967.154141</v>
      </c>
      <c r="I5" s="219">
        <v>174789.43881499997</v>
      </c>
      <c r="L5" s="218"/>
    </row>
    <row r="6" spans="1:12" ht="14.25">
      <c r="A6" s="218" t="str">
        <f>HLOOKUP(INDICE!$F$2,Nombres!$C$3:$D$636,115,FALSE)</f>
        <v>Depósitos a plazo</v>
      </c>
      <c r="B6" s="219">
        <v>34765.11081499999</v>
      </c>
      <c r="C6" s="219">
        <v>32390.836123999998</v>
      </c>
      <c r="D6" s="219">
        <v>32031.019715000002</v>
      </c>
      <c r="E6" s="219">
        <v>31453.257604999995</v>
      </c>
      <c r="F6" s="219">
        <v>27835.713702999998</v>
      </c>
      <c r="G6" s="219">
        <v>30596.272778</v>
      </c>
      <c r="H6" s="219">
        <v>29715.085439</v>
      </c>
      <c r="I6" s="219">
        <v>31019.070096000003</v>
      </c>
      <c r="L6" s="218"/>
    </row>
    <row r="7" spans="1:12" ht="14.25">
      <c r="A7" s="218" t="str">
        <f>HLOOKUP(INDICE!$F$2,Nombres!$C$3:$D$636,116,FALSE)</f>
        <v>Recursos fuera de balance (*)</v>
      </c>
      <c r="B7" s="219">
        <v>64187.73890332</v>
      </c>
      <c r="C7" s="219">
        <v>64335.04963101</v>
      </c>
      <c r="D7" s="219">
        <v>64728.44502135999</v>
      </c>
      <c r="E7" s="219">
        <v>66068.14777471</v>
      </c>
      <c r="F7" s="219">
        <v>58528.213089720004</v>
      </c>
      <c r="G7" s="219">
        <v>60973.8758073</v>
      </c>
      <c r="H7" s="219">
        <v>60890.98777746001</v>
      </c>
      <c r="I7" s="219">
        <v>62706.994929960005</v>
      </c>
      <c r="L7" s="218"/>
    </row>
    <row r="8" spans="1:12" ht="14.25">
      <c r="A8" s="220" t="str">
        <f>HLOOKUP(INDICE!$F$2,Nombres!$C$3:$D$636,208,FALSE)</f>
        <v> Recursos de clientes en gestión (**)</v>
      </c>
      <c r="B8" s="220">
        <v>245470.74797332002</v>
      </c>
      <c r="C8" s="220">
        <v>244769.15659601</v>
      </c>
      <c r="D8" s="220">
        <v>245381.23934836</v>
      </c>
      <c r="E8" s="220">
        <v>248438.02257971</v>
      </c>
      <c r="F8" s="220">
        <v>244855.60177272002</v>
      </c>
      <c r="G8" s="263">
        <v>256649.5900743</v>
      </c>
      <c r="H8" s="263">
        <v>256573.22735746</v>
      </c>
      <c r="I8" s="263">
        <v>268515.50384096</v>
      </c>
      <c r="L8" s="220"/>
    </row>
    <row r="9" spans="1:12" ht="14.25">
      <c r="A9" s="218" t="str">
        <f>HLOOKUP(INDICE!$F$2,Nombres!$C$3:$D$636,118,FALSE)</f>
        <v>Vista+Plazo</v>
      </c>
      <c r="B9" s="224">
        <f>+B5+B6</f>
        <v>181283.00906999997</v>
      </c>
      <c r="C9" s="224">
        <f aca="true" t="shared" si="0" ref="C9:I9">+C5+C6</f>
        <v>180434.10696499998</v>
      </c>
      <c r="D9" s="224">
        <f t="shared" si="0"/>
        <v>180652.79432699998</v>
      </c>
      <c r="E9" s="224">
        <f t="shared" si="0"/>
        <v>182369.874805</v>
      </c>
      <c r="F9" s="224">
        <f t="shared" si="0"/>
        <v>186327.38868299997</v>
      </c>
      <c r="G9" s="264">
        <f t="shared" si="0"/>
        <v>195675.71426699997</v>
      </c>
      <c r="H9" s="264">
        <f t="shared" si="0"/>
        <v>195682.23958</v>
      </c>
      <c r="I9" s="264">
        <f t="shared" si="0"/>
        <v>205808.50891099998</v>
      </c>
      <c r="L9" s="213"/>
    </row>
    <row r="10" spans="1:9" ht="14.25">
      <c r="A10" s="213"/>
      <c r="B10" s="222">
        <f>+B5+B6+B7-B8</f>
        <v>0</v>
      </c>
      <c r="C10" s="222">
        <f aca="true" t="shared" si="1" ref="C10:I10">+C5+C6+C7-C8</f>
        <v>0</v>
      </c>
      <c r="D10" s="222">
        <f t="shared" si="1"/>
        <v>0</v>
      </c>
      <c r="E10" s="222">
        <f t="shared" si="1"/>
        <v>0</v>
      </c>
      <c r="F10" s="222">
        <f t="shared" si="1"/>
        <v>0</v>
      </c>
      <c r="G10" s="222">
        <f t="shared" si="1"/>
        <v>0</v>
      </c>
      <c r="H10" s="222">
        <f t="shared" si="1"/>
        <v>0</v>
      </c>
      <c r="I10" s="222">
        <f t="shared" si="1"/>
        <v>0</v>
      </c>
    </row>
    <row r="11" spans="1:9" ht="14.25">
      <c r="A11" s="213"/>
      <c r="B11" s="233"/>
      <c r="C11" s="224"/>
      <c r="D11" s="224"/>
      <c r="E11" s="224"/>
      <c r="F11" s="224"/>
      <c r="G11" s="224"/>
      <c r="H11" s="224"/>
      <c r="I11" s="224"/>
    </row>
    <row r="12" spans="1:12" ht="14.25">
      <c r="A12" s="216"/>
      <c r="B12" s="316" t="str">
        <f>HLOOKUP(INDICE!$F$2,Nombres!$C$3:$D$636,10,FALSE)</f>
        <v>EEUU</v>
      </c>
      <c r="C12" s="316"/>
      <c r="D12" s="316"/>
      <c r="E12" s="316"/>
      <c r="F12" s="316"/>
      <c r="G12" s="316"/>
      <c r="H12" s="316"/>
      <c r="I12" s="316"/>
      <c r="L12" s="232"/>
    </row>
    <row r="13" spans="1:9" ht="14.25">
      <c r="A13" s="217"/>
      <c r="B13" s="123">
        <f>+B$4</f>
        <v>43555</v>
      </c>
      <c r="C13" s="123">
        <f aca="true" t="shared" si="2" ref="C13:I13">+C$4</f>
        <v>43646</v>
      </c>
      <c r="D13" s="123">
        <f t="shared" si="2"/>
        <v>43738</v>
      </c>
      <c r="E13" s="123">
        <f t="shared" si="2"/>
        <v>43830</v>
      </c>
      <c r="F13" s="123">
        <f t="shared" si="2"/>
        <v>43921</v>
      </c>
      <c r="G13" s="123">
        <f t="shared" si="2"/>
        <v>44012</v>
      </c>
      <c r="H13" s="123">
        <f t="shared" si="2"/>
        <v>44104</v>
      </c>
      <c r="I13" s="123">
        <f t="shared" si="2"/>
        <v>44196</v>
      </c>
    </row>
    <row r="14" spans="1:12" ht="14.25">
      <c r="A14" s="218" t="str">
        <f>HLOOKUP(INDICE!$F$2,Nombres!$C$3:$D$636,114,FALSE)</f>
        <v>Depósitos a la vista + Disponibles con preaviso</v>
      </c>
      <c r="B14" s="219">
        <v>44324.533744022745</v>
      </c>
      <c r="C14" s="219">
        <v>43729.70627666881</v>
      </c>
      <c r="D14" s="219">
        <v>45750.92081695015</v>
      </c>
      <c r="E14" s="219">
        <v>48522.08932616575</v>
      </c>
      <c r="F14" s="219">
        <v>51207.60140284988</v>
      </c>
      <c r="G14" s="219">
        <v>58023.67603839085</v>
      </c>
      <c r="H14" s="219">
        <v>60397.68631453468</v>
      </c>
      <c r="I14" s="219">
        <v>61354.389250509994</v>
      </c>
      <c r="L14" s="218"/>
    </row>
    <row r="15" spans="1:12" ht="14.25">
      <c r="A15" s="218" t="str">
        <f>HLOOKUP(INDICE!$F$2,Nombres!$C$3:$D$636,115,FALSE)</f>
        <v>Depósitos a plazo</v>
      </c>
      <c r="B15" s="219">
        <v>15337.112723494178</v>
      </c>
      <c r="C15" s="219">
        <v>14806.90568023864</v>
      </c>
      <c r="D15" s="219">
        <v>14034.815743108697</v>
      </c>
      <c r="E15" s="219">
        <v>13299.58857596049</v>
      </c>
      <c r="F15" s="219">
        <v>12107.46051923041</v>
      </c>
      <c r="G15" s="219">
        <v>11012.703601511012</v>
      </c>
      <c r="H15" s="219">
        <v>9539.187378528415</v>
      </c>
      <c r="I15" s="219">
        <v>8571.178721569999</v>
      </c>
      <c r="L15" s="218"/>
    </row>
    <row r="16" spans="1:12" ht="14.25">
      <c r="A16" s="218" t="str">
        <f>HLOOKUP(INDICE!$F$2,Nombres!$C$3:$D$636,116,FALSE)</f>
        <v>Recursos fuera de balance (*)</v>
      </c>
      <c r="B16" s="219">
        <v>0</v>
      </c>
      <c r="C16" s="219">
        <v>0</v>
      </c>
      <c r="D16" s="219">
        <v>0</v>
      </c>
      <c r="E16" s="219">
        <v>0</v>
      </c>
      <c r="F16" s="219">
        <v>0</v>
      </c>
      <c r="G16" s="219">
        <v>0</v>
      </c>
      <c r="H16" s="219">
        <v>0</v>
      </c>
      <c r="I16" s="219">
        <v>0</v>
      </c>
      <c r="L16" s="218"/>
    </row>
    <row r="17" spans="1:12" ht="14.25">
      <c r="A17" s="220" t="str">
        <f>HLOOKUP(INDICE!$F$2,Nombres!$C$3:$D$636,208,FALSE)</f>
        <v> Recursos de clientes en gestión (**)</v>
      </c>
      <c r="B17" s="220">
        <v>59661.64646751692</v>
      </c>
      <c r="C17" s="220">
        <v>58536.61195690745</v>
      </c>
      <c r="D17" s="220">
        <v>59785.736560058845</v>
      </c>
      <c r="E17" s="220">
        <v>61821.67790212624</v>
      </c>
      <c r="F17" s="220">
        <v>63315.06192208029</v>
      </c>
      <c r="G17" s="263">
        <v>69036.37963990186</v>
      </c>
      <c r="H17" s="263">
        <v>69936.8736930631</v>
      </c>
      <c r="I17" s="263">
        <v>69925.56797208</v>
      </c>
      <c r="L17" s="220"/>
    </row>
    <row r="18" spans="1:12" ht="14.25">
      <c r="A18" s="218" t="str">
        <f>HLOOKUP(INDICE!$F$2,Nombres!$C$3:$D$636,118,FALSE)</f>
        <v>Vista+Plazo</v>
      </c>
      <c r="B18" s="224">
        <f>+B14+B15</f>
        <v>59661.646467516926</v>
      </c>
      <c r="C18" s="224">
        <f aca="true" t="shared" si="3" ref="C18:I18">+C14+C15</f>
        <v>58536.61195690745</v>
      </c>
      <c r="D18" s="224">
        <f t="shared" si="3"/>
        <v>59785.736560058845</v>
      </c>
      <c r="E18" s="224">
        <f t="shared" si="3"/>
        <v>61821.677902126234</v>
      </c>
      <c r="F18" s="224">
        <f t="shared" si="3"/>
        <v>63315.06192208029</v>
      </c>
      <c r="G18" s="264">
        <f t="shared" si="3"/>
        <v>69036.37963990186</v>
      </c>
      <c r="H18" s="264">
        <f t="shared" si="3"/>
        <v>69936.8736930631</v>
      </c>
      <c r="I18" s="264">
        <f t="shared" si="3"/>
        <v>69925.56797208</v>
      </c>
      <c r="L18" s="234"/>
    </row>
    <row r="19" spans="1:9" ht="14.25">
      <c r="A19" s="213"/>
      <c r="B19" s="222">
        <f>+B14+B15+B16-B17</f>
        <v>0</v>
      </c>
      <c r="C19" s="222">
        <f aca="true" t="shared" si="4" ref="C19:I19">+C14+C15+C16-C17</f>
        <v>0</v>
      </c>
      <c r="D19" s="222">
        <f t="shared" si="4"/>
        <v>0</v>
      </c>
      <c r="E19" s="222">
        <f t="shared" si="4"/>
        <v>0</v>
      </c>
      <c r="F19" s="222">
        <f t="shared" si="4"/>
        <v>0</v>
      </c>
      <c r="G19" s="222">
        <f t="shared" si="4"/>
        <v>0</v>
      </c>
      <c r="H19" s="222">
        <f t="shared" si="4"/>
        <v>0</v>
      </c>
      <c r="I19" s="222">
        <f t="shared" si="4"/>
        <v>0</v>
      </c>
    </row>
    <row r="20" spans="1:9" ht="14.25">
      <c r="A20" s="213"/>
      <c r="B20" s="223"/>
      <c r="C20" s="223"/>
      <c r="D20" s="223"/>
      <c r="E20" s="223"/>
      <c r="F20" s="223"/>
      <c r="G20" s="223"/>
      <c r="H20" s="223"/>
      <c r="I20" s="223"/>
    </row>
    <row r="21" spans="1:12" ht="15.75" customHeight="1">
      <c r="A21" s="216"/>
      <c r="B21" s="316" t="str">
        <f>HLOOKUP(INDICE!$F$2,Nombres!$C$3:$D$636,204,FALSE)</f>
        <v>Mexico (***)</v>
      </c>
      <c r="C21" s="316"/>
      <c r="D21" s="316"/>
      <c r="E21" s="316"/>
      <c r="F21" s="316"/>
      <c r="G21" s="316"/>
      <c r="H21" s="316"/>
      <c r="I21" s="316"/>
      <c r="L21" s="232"/>
    </row>
    <row r="22" spans="1:9" ht="14.25">
      <c r="A22" s="217"/>
      <c r="B22" s="123">
        <f>+B$4</f>
        <v>43555</v>
      </c>
      <c r="C22" s="123">
        <f aca="true" t="shared" si="5" ref="C22:I22">+C$4</f>
        <v>43646</v>
      </c>
      <c r="D22" s="123">
        <f t="shared" si="5"/>
        <v>43738</v>
      </c>
      <c r="E22" s="123">
        <f t="shared" si="5"/>
        <v>43830</v>
      </c>
      <c r="F22" s="123">
        <f t="shared" si="5"/>
        <v>43921</v>
      </c>
      <c r="G22" s="123">
        <f t="shared" si="5"/>
        <v>44012</v>
      </c>
      <c r="H22" s="123">
        <f t="shared" si="5"/>
        <v>44104</v>
      </c>
      <c r="I22" s="123">
        <f t="shared" si="5"/>
        <v>44196</v>
      </c>
    </row>
    <row r="23" spans="1:12" ht="14.25">
      <c r="A23" s="218" t="str">
        <f>HLOOKUP(INDICE!$F$2,Nombres!$C$3:$D$636,114,FALSE)</f>
        <v>Depósitos a la vista + Disponibles con preaviso</v>
      </c>
      <c r="B23" s="219">
        <v>34325.98233418205</v>
      </c>
      <c r="C23" s="219">
        <v>36094.051730838066</v>
      </c>
      <c r="D23" s="219">
        <v>34410.14950446182</v>
      </c>
      <c r="E23" s="219">
        <v>37663.39149685273</v>
      </c>
      <c r="F23" s="219">
        <v>41306.208575034034</v>
      </c>
      <c r="G23" s="219">
        <v>41509.679779662234</v>
      </c>
      <c r="H23" s="219">
        <v>42789.571071638224</v>
      </c>
      <c r="I23" s="219">
        <v>44180.28534841574</v>
      </c>
      <c r="J23" s="219"/>
      <c r="L23" s="218"/>
    </row>
    <row r="24" spans="1:12" ht="14.25">
      <c r="A24" s="218" t="str">
        <f>HLOOKUP(INDICE!$F$2,Nombres!$C$3:$D$636,115,FALSE)</f>
        <v>Depósitos a plazo</v>
      </c>
      <c r="B24" s="219">
        <v>9434.631657917005</v>
      </c>
      <c r="C24" s="219">
        <v>10275.923708086824</v>
      </c>
      <c r="D24" s="219">
        <v>11074.061033163982</v>
      </c>
      <c r="E24" s="219">
        <v>9691.3407746381</v>
      </c>
      <c r="F24" s="219">
        <v>10397.019942835675</v>
      </c>
      <c r="G24" s="219">
        <v>10455.844668453194</v>
      </c>
      <c r="H24" s="219">
        <v>10609.338355976774</v>
      </c>
      <c r="I24" s="219">
        <v>9457.990158510562</v>
      </c>
      <c r="J24" s="219"/>
      <c r="L24" s="218"/>
    </row>
    <row r="25" spans="1:12" ht="14.25">
      <c r="A25" s="218" t="str">
        <f>HLOOKUP(INDICE!$F$2,Nombres!$C$3:$D$636,116,FALSE)</f>
        <v>Recursos fuera de balance (*)</v>
      </c>
      <c r="B25" s="219">
        <v>20262.464865883307</v>
      </c>
      <c r="C25" s="219">
        <v>20993.19167015396</v>
      </c>
      <c r="D25" s="219">
        <v>21289.194921157577</v>
      </c>
      <c r="E25" s="219">
        <v>21316.020661333645</v>
      </c>
      <c r="F25" s="219">
        <v>22155.552390976656</v>
      </c>
      <c r="G25" s="219">
        <v>22663.670193382695</v>
      </c>
      <c r="H25" s="219">
        <v>22938.469202853477</v>
      </c>
      <c r="I25" s="219">
        <v>22245.15328201064</v>
      </c>
      <c r="J25" s="219"/>
      <c r="L25" s="218"/>
    </row>
    <row r="26" spans="1:12" ht="14.25">
      <c r="A26" s="220" t="str">
        <f>HLOOKUP(INDICE!$F$2,Nombres!$C$3:$D$636,208,FALSE)</f>
        <v> Recursos de clientes en gestión (**)</v>
      </c>
      <c r="B26" s="220">
        <v>64023.078857982364</v>
      </c>
      <c r="C26" s="220">
        <v>67363.16710907884</v>
      </c>
      <c r="D26" s="220">
        <v>66773.40545878338</v>
      </c>
      <c r="E26" s="220">
        <v>68670.75293282447</v>
      </c>
      <c r="F26" s="220">
        <v>73858.78090884635</v>
      </c>
      <c r="G26" s="220">
        <v>74629.19464149812</v>
      </c>
      <c r="H26" s="220">
        <v>76337.37863046848</v>
      </c>
      <c r="I26" s="220">
        <v>75883.42878893694</v>
      </c>
      <c r="J26" s="219"/>
      <c r="L26" s="218"/>
    </row>
    <row r="27" spans="1:12" ht="14.25">
      <c r="A27" s="218" t="str">
        <f>HLOOKUP(INDICE!$F$2,Nombres!$C$3:$D$636,118,FALSE)</f>
        <v>Vista+Plazo</v>
      </c>
      <c r="B27" s="224">
        <f>+B23+B24</f>
        <v>43760.61399209905</v>
      </c>
      <c r="C27" s="224">
        <f aca="true" t="shared" si="6" ref="C27:I27">+C23+C24</f>
        <v>46369.97543892489</v>
      </c>
      <c r="D27" s="224">
        <f t="shared" si="6"/>
        <v>45484.210537625804</v>
      </c>
      <c r="E27" s="224">
        <f t="shared" si="6"/>
        <v>47354.73227149083</v>
      </c>
      <c r="F27" s="224">
        <f t="shared" si="6"/>
        <v>51703.228517869706</v>
      </c>
      <c r="G27" s="264">
        <f t="shared" si="6"/>
        <v>51965.52444811543</v>
      </c>
      <c r="H27" s="264">
        <f t="shared" si="6"/>
        <v>53398.909427615</v>
      </c>
      <c r="I27" s="264">
        <f t="shared" si="6"/>
        <v>53638.2755069263</v>
      </c>
      <c r="J27" s="220"/>
      <c r="L27" s="220"/>
    </row>
    <row r="28" spans="1:9" ht="14.25">
      <c r="A28" s="229" t="str">
        <f>HLOOKUP(INDICE!$F$2,Nombres!$C$3:$D$636,205,FALSE)</f>
        <v>Criterio Local Contable(***) </v>
      </c>
      <c r="B28" s="222">
        <f>+B23+B24+B25-B26</f>
        <v>0</v>
      </c>
      <c r="C28" s="222">
        <f aca="true" t="shared" si="7" ref="C28:I28">+C23+C24+C25-C26</f>
        <v>0</v>
      </c>
      <c r="D28" s="222">
        <f t="shared" si="7"/>
        <v>0</v>
      </c>
      <c r="E28" s="222">
        <f t="shared" si="7"/>
        <v>0</v>
      </c>
      <c r="F28" s="222">
        <f t="shared" si="7"/>
        <v>0</v>
      </c>
      <c r="G28" s="222">
        <f t="shared" si="7"/>
        <v>0</v>
      </c>
      <c r="H28" s="222">
        <f t="shared" si="7"/>
        <v>0</v>
      </c>
      <c r="I28" s="222">
        <f t="shared" si="7"/>
        <v>0</v>
      </c>
    </row>
    <row r="29" spans="1:12" ht="14.25">
      <c r="A29" s="213"/>
      <c r="B29" s="224"/>
      <c r="C29" s="224"/>
      <c r="D29" s="224"/>
      <c r="E29" s="224"/>
      <c r="F29" s="224"/>
      <c r="L29" s="232"/>
    </row>
    <row r="30" spans="1:12" ht="15.75" customHeight="1">
      <c r="A30" s="216"/>
      <c r="B30" s="316" t="str">
        <f>HLOOKUP(INDICE!$F$2,Nombres!$C$3:$D$636,12,FALSE)</f>
        <v>Turquía </v>
      </c>
      <c r="C30" s="316"/>
      <c r="D30" s="316"/>
      <c r="E30" s="316"/>
      <c r="F30" s="316"/>
      <c r="G30" s="316"/>
      <c r="H30" s="316"/>
      <c r="I30" s="316"/>
      <c r="L30" s="232"/>
    </row>
    <row r="31" spans="1:9" ht="14.25">
      <c r="A31" s="217"/>
      <c r="B31" s="123">
        <f>+B$4</f>
        <v>43555</v>
      </c>
      <c r="C31" s="123">
        <f aca="true" t="shared" si="8" ref="C31:I31">+C$4</f>
        <v>43646</v>
      </c>
      <c r="D31" s="123">
        <f t="shared" si="8"/>
        <v>43738</v>
      </c>
      <c r="E31" s="123">
        <f t="shared" si="8"/>
        <v>43830</v>
      </c>
      <c r="F31" s="123">
        <f t="shared" si="8"/>
        <v>43921</v>
      </c>
      <c r="G31" s="123">
        <f t="shared" si="8"/>
        <v>44012</v>
      </c>
      <c r="H31" s="123">
        <f t="shared" si="8"/>
        <v>44104</v>
      </c>
      <c r="I31" s="123">
        <f t="shared" si="8"/>
        <v>44196</v>
      </c>
    </row>
    <row r="32" spans="1:12" ht="14.25">
      <c r="A32" s="218" t="str">
        <f>HLOOKUP(INDICE!$F$2,Nombres!$C$3:$D$636,114,FALSE)</f>
        <v>Depósitos a la vista + Disponibles con preaviso</v>
      </c>
      <c r="B32" s="219">
        <v>9588.974087926119</v>
      </c>
      <c r="C32" s="219">
        <v>10124.079384574723</v>
      </c>
      <c r="D32" s="219">
        <v>10281.374011263533</v>
      </c>
      <c r="E32" s="219">
        <v>11542.865799462566</v>
      </c>
      <c r="F32" s="219">
        <v>13653.502555362955</v>
      </c>
      <c r="G32" s="219">
        <v>16560.173919224435</v>
      </c>
      <c r="H32" s="219">
        <v>19501.832553839973</v>
      </c>
      <c r="I32" s="219">
        <v>20075.351</v>
      </c>
      <c r="L32" s="218"/>
    </row>
    <row r="33" spans="1:12" ht="14.25">
      <c r="A33" s="218" t="str">
        <f>HLOOKUP(INDICE!$F$2,Nombres!$C$3:$D$636,115,FALSE)</f>
        <v>Depósitos a plazo</v>
      </c>
      <c r="B33" s="219">
        <v>18635.2377573321</v>
      </c>
      <c r="C33" s="219">
        <v>18299.02852323828</v>
      </c>
      <c r="D33" s="219">
        <v>17820.42796241446</v>
      </c>
      <c r="E33" s="219">
        <v>18767.921422624746</v>
      </c>
      <c r="F33" s="219">
        <v>18807.473524882604</v>
      </c>
      <c r="G33" s="219">
        <v>17072.819407752228</v>
      </c>
      <c r="H33" s="219">
        <v>18564.558972515162</v>
      </c>
      <c r="I33" s="219">
        <v>19270.192000000006</v>
      </c>
      <c r="L33" s="218"/>
    </row>
    <row r="34" spans="1:12" ht="14.25">
      <c r="A34" s="218" t="str">
        <f>HLOOKUP(INDICE!$F$2,Nombres!$C$3:$D$636,116,FALSE)</f>
        <v>Recursos fuera de balance (*)</v>
      </c>
      <c r="B34" s="219">
        <v>2346.080346212418</v>
      </c>
      <c r="C34" s="219">
        <v>2149.0663668251655</v>
      </c>
      <c r="D34" s="219">
        <v>2334.938726998538</v>
      </c>
      <c r="E34" s="219">
        <v>2864.9161678018327</v>
      </c>
      <c r="F34" s="219">
        <v>3054.524340687306</v>
      </c>
      <c r="G34" s="219">
        <v>3547.601288345134</v>
      </c>
      <c r="H34" s="219">
        <v>3425.7024600733494</v>
      </c>
      <c r="I34" s="219">
        <v>3424.631</v>
      </c>
      <c r="L34" s="218"/>
    </row>
    <row r="35" spans="1:12" ht="14.25">
      <c r="A35" s="220" t="str">
        <f>HLOOKUP(INDICE!$F$2,Nombres!$C$3:$D$636,208,FALSE)</f>
        <v> Recursos de clientes en gestión (**)</v>
      </c>
      <c r="B35" s="220">
        <v>30570.292191470646</v>
      </c>
      <c r="C35" s="220">
        <v>30572.174274638168</v>
      </c>
      <c r="D35" s="220">
        <v>30436.740700676535</v>
      </c>
      <c r="E35" s="220">
        <v>33175.703389889146</v>
      </c>
      <c r="F35" s="220">
        <v>35515.50042093286</v>
      </c>
      <c r="G35" s="263">
        <v>37180.594615321796</v>
      </c>
      <c r="H35" s="263">
        <v>41492.093986428496</v>
      </c>
      <c r="I35" s="263">
        <v>42770.174</v>
      </c>
      <c r="L35" s="220"/>
    </row>
    <row r="36" spans="1:9" ht="14.25">
      <c r="A36" s="218" t="str">
        <f>HLOOKUP(INDICE!$F$2,Nombres!$C$3:$D$636,118,FALSE)</f>
        <v>Vista+Plazo</v>
      </c>
      <c r="B36" s="224">
        <f>+B32+B33</f>
        <v>28224.211845258218</v>
      </c>
      <c r="C36" s="224">
        <f aca="true" t="shared" si="9" ref="C36:I36">+C32+C33</f>
        <v>28423.107907813006</v>
      </c>
      <c r="D36" s="224">
        <f t="shared" si="9"/>
        <v>28101.80197367799</v>
      </c>
      <c r="E36" s="224">
        <f t="shared" si="9"/>
        <v>30310.78722208731</v>
      </c>
      <c r="F36" s="224">
        <f>+F32+F33</f>
        <v>32460.976080245557</v>
      </c>
      <c r="G36" s="264">
        <f t="shared" si="9"/>
        <v>33632.99332697666</v>
      </c>
      <c r="H36" s="264">
        <f t="shared" si="9"/>
        <v>38066.39152635513</v>
      </c>
      <c r="I36" s="264">
        <f t="shared" si="9"/>
        <v>39345.543000000005</v>
      </c>
    </row>
    <row r="37" spans="1:9" ht="14.25">
      <c r="A37" s="213"/>
      <c r="B37" s="222">
        <f>+B32+B33+B34-B35</f>
        <v>0</v>
      </c>
      <c r="C37" s="222">
        <f aca="true" t="shared" si="10" ref="C37:I37">+C32+C33+C34-C35</f>
        <v>0</v>
      </c>
      <c r="D37" s="222">
        <f t="shared" si="10"/>
        <v>0</v>
      </c>
      <c r="E37" s="222">
        <f t="shared" si="10"/>
        <v>0</v>
      </c>
      <c r="F37" s="222">
        <f t="shared" si="10"/>
        <v>0</v>
      </c>
      <c r="G37" s="222">
        <f t="shared" si="10"/>
        <v>0</v>
      </c>
      <c r="H37" s="222">
        <f t="shared" si="10"/>
        <v>0</v>
      </c>
      <c r="I37" s="222">
        <f t="shared" si="10"/>
        <v>0</v>
      </c>
    </row>
    <row r="38" spans="1:9" ht="14.25">
      <c r="A38" s="220"/>
      <c r="B38" s="220"/>
      <c r="C38" s="220"/>
      <c r="D38" s="220"/>
      <c r="E38" s="220"/>
      <c r="F38" s="220"/>
      <c r="G38" s="220"/>
      <c r="H38" s="220"/>
      <c r="I38" s="220"/>
    </row>
    <row r="39" spans="1:12" ht="15.75" customHeight="1">
      <c r="A39" s="216"/>
      <c r="B39" s="316" t="str">
        <f>HLOOKUP(INDICE!$F$2,Nombres!$C$3:$D$636,13,FALSE)</f>
        <v>América del Sur </v>
      </c>
      <c r="C39" s="316"/>
      <c r="D39" s="316"/>
      <c r="E39" s="316"/>
      <c r="F39" s="316"/>
      <c r="G39" s="316"/>
      <c r="H39" s="316"/>
      <c r="I39" s="316"/>
      <c r="L39" s="232"/>
    </row>
    <row r="40" spans="1:9" ht="14.25">
      <c r="A40" s="217"/>
      <c r="B40" s="123">
        <f>+B$4</f>
        <v>43555</v>
      </c>
      <c r="C40" s="123">
        <f aca="true" t="shared" si="11" ref="C40:I40">+C$4</f>
        <v>43646</v>
      </c>
      <c r="D40" s="123">
        <f t="shared" si="11"/>
        <v>43738</v>
      </c>
      <c r="E40" s="123">
        <f t="shared" si="11"/>
        <v>43830</v>
      </c>
      <c r="F40" s="123">
        <f t="shared" si="11"/>
        <v>43921</v>
      </c>
      <c r="G40" s="123">
        <f t="shared" si="11"/>
        <v>44012</v>
      </c>
      <c r="H40" s="123">
        <f t="shared" si="11"/>
        <v>44104</v>
      </c>
      <c r="I40" s="123">
        <f t="shared" si="11"/>
        <v>44196</v>
      </c>
    </row>
    <row r="41" spans="1:12" ht="14.25">
      <c r="A41" s="218" t="s">
        <v>8</v>
      </c>
      <c r="B41" s="219">
        <v>3185.284070918958</v>
      </c>
      <c r="C41" s="219">
        <v>3250.1133335111335</v>
      </c>
      <c r="D41" s="219">
        <v>3052.2400400705824</v>
      </c>
      <c r="E41" s="219">
        <v>3264.849027311882</v>
      </c>
      <c r="F41" s="219">
        <v>3820.0134559566764</v>
      </c>
      <c r="G41" s="219">
        <v>4722.519322164391</v>
      </c>
      <c r="H41" s="219">
        <v>4835.4741445500795</v>
      </c>
      <c r="I41" s="219">
        <v>5591.569983269999</v>
      </c>
      <c r="L41" s="218"/>
    </row>
    <row r="42" spans="1:12" ht="14.25">
      <c r="A42" s="218" t="s">
        <v>9</v>
      </c>
      <c r="B42" s="219">
        <v>9.478148948946965</v>
      </c>
      <c r="C42" s="219">
        <v>6.445515484122117</v>
      </c>
      <c r="D42" s="219">
        <v>8.307649841721348</v>
      </c>
      <c r="E42" s="219">
        <v>5.644157941459872</v>
      </c>
      <c r="F42" s="219">
        <v>4.335219138885411</v>
      </c>
      <c r="G42" s="219">
        <v>3.7230457524511027</v>
      </c>
      <c r="H42" s="219">
        <v>4.8195921794581675</v>
      </c>
      <c r="I42" s="219">
        <v>4.954</v>
      </c>
      <c r="L42" s="218"/>
    </row>
    <row r="43" spans="1:12" ht="14.25">
      <c r="A43" s="218" t="s">
        <v>10</v>
      </c>
      <c r="B43" s="219">
        <v>12127.016150650354</v>
      </c>
      <c r="C43" s="219">
        <v>12229.361240248618</v>
      </c>
      <c r="D43" s="219">
        <v>12563.210852183845</v>
      </c>
      <c r="E43" s="219">
        <v>12310.8919705819</v>
      </c>
      <c r="F43" s="219">
        <v>13432.234844807315</v>
      </c>
      <c r="G43" s="219">
        <v>14712.558244096257</v>
      </c>
      <c r="H43" s="219">
        <v>13858.236504728377</v>
      </c>
      <c r="I43" s="219">
        <v>13695.94674112</v>
      </c>
      <c r="L43" s="218"/>
    </row>
    <row r="44" spans="1:12" ht="14.25">
      <c r="A44" s="218" t="s">
        <v>11</v>
      </c>
      <c r="B44" s="219">
        <v>13480.421274743327</v>
      </c>
      <c r="C44" s="219">
        <v>13032.566580413813</v>
      </c>
      <c r="D44" s="219">
        <v>13598.960136805928</v>
      </c>
      <c r="E44" s="219">
        <v>13773.677778887874</v>
      </c>
      <c r="F44" s="219">
        <v>14028.616829944136</v>
      </c>
      <c r="G44" s="219">
        <v>16236.71922498054</v>
      </c>
      <c r="H44" s="219">
        <v>16773.78816896024</v>
      </c>
      <c r="I44" s="219">
        <v>17995.802718770003</v>
      </c>
      <c r="L44" s="218"/>
    </row>
    <row r="45" spans="1:12" ht="14.25">
      <c r="A45" s="218" t="s">
        <v>12</v>
      </c>
      <c r="B45" s="219">
        <v>11129.131721923804</v>
      </c>
      <c r="C45" s="219">
        <v>11501.390332212566</v>
      </c>
      <c r="D45" s="219">
        <v>11729.059264795462</v>
      </c>
      <c r="E45" s="219">
        <v>11958.83534397331</v>
      </c>
      <c r="F45" s="219">
        <v>12545.788294989345</v>
      </c>
      <c r="G45" s="219">
        <v>12784.743610685593</v>
      </c>
      <c r="H45" s="219">
        <v>13147.408513301281</v>
      </c>
      <c r="I45" s="219">
        <v>13319.79301737</v>
      </c>
      <c r="L45" s="218"/>
    </row>
    <row r="46" spans="1:12" ht="14.25">
      <c r="A46" s="220" t="str">
        <f>HLOOKUP(INDICE!$F$2,Nombres!$C$3:$D$636,208,FALSE)</f>
        <v> Recursos de clientes en gestión (**)</v>
      </c>
      <c r="B46" s="220">
        <f aca="true" t="shared" si="12" ref="B46:I46">+SUM(B41:B45)</f>
        <v>39931.33136718539</v>
      </c>
      <c r="C46" s="220">
        <f t="shared" si="12"/>
        <v>40019.87700187025</v>
      </c>
      <c r="D46" s="220">
        <f t="shared" si="12"/>
        <v>40951.77794369754</v>
      </c>
      <c r="E46" s="220">
        <f t="shared" si="12"/>
        <v>41313.898278696426</v>
      </c>
      <c r="F46" s="220">
        <f t="shared" si="12"/>
        <v>43830.98864483636</v>
      </c>
      <c r="G46" s="220">
        <f t="shared" si="12"/>
        <v>48460.26344767923</v>
      </c>
      <c r="H46" s="220">
        <f t="shared" si="12"/>
        <v>48619.72692371944</v>
      </c>
      <c r="I46" s="220">
        <f t="shared" si="12"/>
        <v>50608.06646053</v>
      </c>
      <c r="L46" s="220"/>
    </row>
    <row r="47" spans="1:9" ht="14.25">
      <c r="A47" s="213"/>
      <c r="B47" s="222">
        <f>+B41+B42+B43+B44+B45-B46</f>
        <v>0</v>
      </c>
      <c r="C47" s="222">
        <f aca="true" t="shared" si="13" ref="C47:I47">+C41+C42+C43+C44+C45-C46</f>
        <v>0</v>
      </c>
      <c r="D47" s="222">
        <f t="shared" si="13"/>
        <v>0</v>
      </c>
      <c r="E47" s="222">
        <f t="shared" si="13"/>
        <v>0</v>
      </c>
      <c r="F47" s="222">
        <f t="shared" si="13"/>
        <v>0</v>
      </c>
      <c r="G47" s="222">
        <f t="shared" si="13"/>
        <v>0</v>
      </c>
      <c r="H47" s="222">
        <f t="shared" si="13"/>
        <v>0</v>
      </c>
      <c r="I47" s="222">
        <f t="shared" si="13"/>
        <v>0</v>
      </c>
    </row>
    <row r="50" ht="14.25">
      <c r="A50" s="231" t="str">
        <f>HLOOKUP(INDICE!$F$2,Nombres!$C$3:$D$636,206,FALSE)</f>
        <v>Incluye fondos de inversión, fondos de pensiones y otros recursos fuera de balance.(*)</v>
      </c>
    </row>
    <row r="51" ht="14.25">
      <c r="A51" s="231" t="str">
        <f>HLOOKUP(INDICE!$F$2,Nombres!$C$3:$D$636,207,FALSE)</f>
        <v>No incluye las cesiones temporales de activos.  (**)</v>
      </c>
    </row>
    <row r="1000" ht="14.25">
      <c r="A1000" s="212" t="s">
        <v>397</v>
      </c>
    </row>
  </sheetData>
  <sheetProtection/>
  <mergeCells count="5">
    <mergeCell ref="B3:I3"/>
    <mergeCell ref="B12:I12"/>
    <mergeCell ref="B21:I21"/>
    <mergeCell ref="B30:I30"/>
    <mergeCell ref="B39:I39"/>
  </mergeCells>
  <conditionalFormatting sqref="B10:I10">
    <cfRule type="cellIs" priority="5" dxfId="143" operator="notBetween">
      <formula>0.5</formula>
      <formula>-0.5</formula>
    </cfRule>
  </conditionalFormatting>
  <conditionalFormatting sqref="B19:I19">
    <cfRule type="cellIs" priority="4" dxfId="143" operator="notBetween">
      <formula>0.5</formula>
      <formula>-0.5</formula>
    </cfRule>
  </conditionalFormatting>
  <conditionalFormatting sqref="B28:I28">
    <cfRule type="cellIs" priority="3" dxfId="143" operator="notBetween">
      <formula>0.5</formula>
      <formula>-0.5</formula>
    </cfRule>
  </conditionalFormatting>
  <conditionalFormatting sqref="B37:I37">
    <cfRule type="cellIs" priority="2" dxfId="143" operator="notBetween">
      <formula>0.5</formula>
      <formula>-0.5</formula>
    </cfRule>
  </conditionalFormatting>
  <conditionalFormatting sqref="B47:I47">
    <cfRule type="cellIs" priority="1" dxfId="143" operator="notBetween">
      <formula>0.5</formula>
      <formula>-0.5</formula>
    </cfRule>
  </conditionalFormatting>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1004"/>
  <sheetViews>
    <sheetView showGridLines="0" zoomScale="80" zoomScaleNormal="80" zoomScalePageLayoutView="0" workbookViewId="0" topLeftCell="A1">
      <selection activeCell="A20" sqref="A20"/>
    </sheetView>
  </sheetViews>
  <sheetFormatPr defaultColWidth="11.421875" defaultRowHeight="15"/>
  <cols>
    <col min="1" max="1" width="95.57421875" style="31" customWidth="1"/>
    <col min="2" max="4" width="11.421875" style="31" customWidth="1"/>
    <col min="5" max="5" width="10.421875" style="31" customWidth="1"/>
    <col min="6" max="6" width="11.421875" style="31" customWidth="1"/>
    <col min="7" max="7" width="11.8515625" style="31" bestFit="1" customWidth="1"/>
    <col min="8" max="9" width="11.57421875" style="31" bestFit="1" customWidth="1"/>
    <col min="10" max="16384" width="11.421875" style="31" customWidth="1"/>
  </cols>
  <sheetData>
    <row r="1" spans="1:9" ht="16.5">
      <c r="A1" s="29" t="str">
        <f>HLOOKUP(INDICE!$F$2,Nombres!$C$3:$D$636,91,FALSE)</f>
        <v>Grupo BBVA. Cuentas de resultados consolidadas</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8">
        <f>+España!B6</f>
        <v>2019</v>
      </c>
      <c r="C6" s="308"/>
      <c r="D6" s="308"/>
      <c r="E6" s="309"/>
      <c r="F6" s="310">
        <f>+España!F6</f>
        <v>2020</v>
      </c>
      <c r="G6" s="308"/>
      <c r="H6" s="308"/>
      <c r="I6" s="308"/>
    </row>
    <row r="7" spans="1:9" ht="14.2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4.25">
      <c r="A8" s="41" t="str">
        <f>HLOOKUP(INDICE!$F$2,Nombres!$C$3:$D$636,33,FALSE)</f>
        <v>Margen de intereses</v>
      </c>
      <c r="B8" s="41">
        <v>4397.9275026</v>
      </c>
      <c r="C8" s="41">
        <v>4543.53272175</v>
      </c>
      <c r="D8" s="41">
        <v>4473.36023464</v>
      </c>
      <c r="E8" s="42">
        <v>4708.792296660001</v>
      </c>
      <c r="F8" s="41">
        <v>4556.0459998999995</v>
      </c>
      <c r="G8" s="50">
        <v>4097.22400002</v>
      </c>
      <c r="H8" s="50">
        <v>4109.46700007</v>
      </c>
      <c r="I8" s="50">
        <v>4037.8519999600003</v>
      </c>
    </row>
    <row r="9" spans="1:9" ht="14.25">
      <c r="A9" s="43" t="str">
        <f>HLOOKUP(INDICE!$F$2,Nombres!$C$3:$D$636,34,FALSE)</f>
        <v>Comisiones netas</v>
      </c>
      <c r="B9" s="44">
        <v>1213.998</v>
      </c>
      <c r="C9" s="44">
        <v>1255.80100002</v>
      </c>
      <c r="D9" s="44">
        <v>1272.97799992</v>
      </c>
      <c r="E9" s="45">
        <v>1290.092</v>
      </c>
      <c r="F9" s="44">
        <v>1257.6620000099997</v>
      </c>
      <c r="G9" s="44">
        <v>1043.2239999600001</v>
      </c>
      <c r="H9" s="44">
        <v>1142.95299991</v>
      </c>
      <c r="I9" s="44">
        <v>1172.56200017</v>
      </c>
    </row>
    <row r="10" spans="1:9" ht="14.25">
      <c r="A10" s="43" t="str">
        <f>HLOOKUP(INDICE!$F$2,Nombres!$C$3:$D$636,35,FALSE)</f>
        <v>Resultados de operaciones financieras</v>
      </c>
      <c r="B10" s="44">
        <v>426.17800001999996</v>
      </c>
      <c r="C10" s="44">
        <v>116.03799998999999</v>
      </c>
      <c r="D10" s="44">
        <v>351.2339999899999</v>
      </c>
      <c r="E10" s="45">
        <v>490.02400001</v>
      </c>
      <c r="F10" s="44">
        <v>594.40199996</v>
      </c>
      <c r="G10" s="44">
        <v>512.32400002</v>
      </c>
      <c r="H10" s="44">
        <v>372.26599996999994</v>
      </c>
      <c r="I10" s="44">
        <v>212.8350000700001</v>
      </c>
    </row>
    <row r="11" spans="1:9" ht="14.25">
      <c r="A11" s="43" t="str">
        <f>HLOOKUP(INDICE!$F$2,Nombres!$C$3:$D$636,96,FALSE)</f>
        <v>Ingresos por dividendos</v>
      </c>
      <c r="B11" s="44">
        <v>10.28400000000002</v>
      </c>
      <c r="C11" s="44">
        <v>92.24199998999993</v>
      </c>
      <c r="D11" s="44">
        <v>1.3880000000002057</v>
      </c>
      <c r="E11" s="45">
        <v>58.51300000000013</v>
      </c>
      <c r="F11" s="44">
        <v>5.850999999999939</v>
      </c>
      <c r="G11" s="44">
        <v>70.66500000000009</v>
      </c>
      <c r="H11" s="44">
        <v>4.475000009999947</v>
      </c>
      <c r="I11" s="44">
        <v>60.27499998000009</v>
      </c>
    </row>
    <row r="12" spans="1:9" ht="14.25">
      <c r="A12" s="43" t="str">
        <f>HLOOKUP(INDICE!$F$2,Nombres!$C$3:$D$636,97,FALSE)</f>
        <v>Part. gananc/pdas inversiones en dependientes, neg conjunt y asoc</v>
      </c>
      <c r="B12" s="44">
        <v>-4.149</v>
      </c>
      <c r="C12" s="44">
        <v>-15.067000000000002</v>
      </c>
      <c r="D12" s="44">
        <v>-6.136999999999996</v>
      </c>
      <c r="E12" s="45">
        <v>-16.655</v>
      </c>
      <c r="F12" s="44">
        <v>-7.762000000000002</v>
      </c>
      <c r="G12" s="44">
        <v>-9.286999999999997</v>
      </c>
      <c r="H12" s="44">
        <v>-9.142</v>
      </c>
      <c r="I12" s="44">
        <v>-12.913999999999998</v>
      </c>
    </row>
    <row r="13" spans="1:9" ht="14.25">
      <c r="A13" s="43" t="str">
        <f>HLOOKUP(INDICE!$F$2,Nombres!$C$3:$D$636,98,FALSE)</f>
        <v>Otros productos/cargas de explotación</v>
      </c>
      <c r="B13" s="44">
        <v>1.8620000100000027</v>
      </c>
      <c r="C13" s="44">
        <v>-95.11899996999996</v>
      </c>
      <c r="D13" s="44">
        <v>27.216999960000045</v>
      </c>
      <c r="E13" s="45">
        <v>-130.98099998000006</v>
      </c>
      <c r="F13" s="44">
        <v>77.31199999000002</v>
      </c>
      <c r="G13" s="44">
        <v>-152.82399999999996</v>
      </c>
      <c r="H13" s="44">
        <v>42.81999999999993</v>
      </c>
      <c r="I13" s="44">
        <v>-204.40499998999996</v>
      </c>
    </row>
    <row r="14" spans="1:9" ht="14.25">
      <c r="A14" s="41" t="str">
        <f>HLOOKUP(INDICE!$F$2,Nombres!$C$3:$D$636,37,FALSE)</f>
        <v>Margen bruto</v>
      </c>
      <c r="B14" s="41">
        <f>+SUM(B8:B13)</f>
        <v>6046.100502629998</v>
      </c>
      <c r="C14" s="41">
        <f aca="true" t="shared" si="0" ref="C14:I14">+SUM(C8:C13)</f>
        <v>5897.42772178</v>
      </c>
      <c r="D14" s="41">
        <f t="shared" si="0"/>
        <v>6120.04023451</v>
      </c>
      <c r="E14" s="42">
        <f t="shared" si="0"/>
        <v>6399.785296690001</v>
      </c>
      <c r="F14" s="41">
        <f t="shared" si="0"/>
        <v>6483.510999859999</v>
      </c>
      <c r="G14" s="50">
        <f t="shared" si="0"/>
        <v>5561.326000000001</v>
      </c>
      <c r="H14" s="50">
        <f t="shared" si="0"/>
        <v>5662.83899996</v>
      </c>
      <c r="I14" s="50">
        <f t="shared" si="0"/>
        <v>5266.205000190001</v>
      </c>
    </row>
    <row r="15" spans="1:9" ht="14.25">
      <c r="A15" s="43" t="str">
        <f>HLOOKUP(INDICE!$F$2,Nombres!$C$3:$D$636,38,FALSE)</f>
        <v>Gastos de explotación</v>
      </c>
      <c r="B15" s="44">
        <v>-2921.7309999</v>
      </c>
      <c r="C15" s="44">
        <v>-2952.4370001700004</v>
      </c>
      <c r="D15" s="44">
        <v>-2945.6049999300003</v>
      </c>
      <c r="E15" s="45">
        <v>-3082.45900008</v>
      </c>
      <c r="F15" s="44">
        <v>-2917.6399998899997</v>
      </c>
      <c r="G15" s="44">
        <v>-2594.47600006</v>
      </c>
      <c r="H15" s="44">
        <v>-2569.59600011</v>
      </c>
      <c r="I15" s="44">
        <v>-2673.56499988</v>
      </c>
    </row>
    <row r="16" spans="1:9" ht="14.25">
      <c r="A16" s="43" t="str">
        <f>HLOOKUP(INDICE!$F$2,Nombres!$C$3:$D$636,39,FALSE)</f>
        <v>  Gastos de administración</v>
      </c>
      <c r="B16" s="44">
        <v>-2529.76799991</v>
      </c>
      <c r="C16" s="44">
        <v>-2553.98800013</v>
      </c>
      <c r="D16" s="44">
        <v>-2543.0409999400003</v>
      </c>
      <c r="E16" s="45">
        <v>-2676.1410000899996</v>
      </c>
      <c r="F16" s="44">
        <v>-2520.62699986</v>
      </c>
      <c r="G16" s="44">
        <v>-2225.81100012</v>
      </c>
      <c r="H16" s="44">
        <v>-2203.6470000900003</v>
      </c>
      <c r="I16" s="44">
        <v>-2311.47999991</v>
      </c>
    </row>
    <row r="17" spans="1:9" ht="14.25">
      <c r="A17" s="46" t="str">
        <f>HLOOKUP(INDICE!$F$2,Nombres!$C$3:$D$636,40,FALSE)</f>
        <v>  Gastos de personal</v>
      </c>
      <c r="B17" s="44">
        <v>-1552.57500002</v>
      </c>
      <c r="C17" s="44">
        <v>-1578.3360000300002</v>
      </c>
      <c r="D17" s="44">
        <v>-1572.27499993</v>
      </c>
      <c r="E17" s="45">
        <v>-1637.2500000199998</v>
      </c>
      <c r="F17" s="44">
        <v>-1532.48199999</v>
      </c>
      <c r="G17" s="44">
        <v>-1342.0940000599999</v>
      </c>
      <c r="H17" s="44">
        <v>-1355.77799993</v>
      </c>
      <c r="I17" s="44">
        <v>-1419.65500007</v>
      </c>
    </row>
    <row r="18" spans="1:9" ht="14.25">
      <c r="A18" s="46" t="str">
        <f>HLOOKUP(INDICE!$F$2,Nombres!$C$3:$D$636,41,FALSE)</f>
        <v>  Otros gastos de administración</v>
      </c>
      <c r="B18" s="44">
        <v>-977.1929998899999</v>
      </c>
      <c r="C18" s="44">
        <v>-975.6520001000001</v>
      </c>
      <c r="D18" s="44">
        <v>-970.7660000100002</v>
      </c>
      <c r="E18" s="45">
        <v>-1038.8910000699998</v>
      </c>
      <c r="F18" s="44">
        <v>-988.14499987</v>
      </c>
      <c r="G18" s="44">
        <v>-883.71700006</v>
      </c>
      <c r="H18" s="44">
        <v>-847.8690001599999</v>
      </c>
      <c r="I18" s="44">
        <v>-891.8249998399999</v>
      </c>
    </row>
    <row r="19" spans="1:9" ht="14.25">
      <c r="A19" s="43" t="str">
        <f>HLOOKUP(INDICE!$F$2,Nombres!$C$3:$D$636,42,FALSE)</f>
        <v>  Amortización</v>
      </c>
      <c r="B19" s="44">
        <v>-391.96299999000007</v>
      </c>
      <c r="C19" s="44">
        <v>-398.44900004</v>
      </c>
      <c r="D19" s="44">
        <v>-402.56399998999996</v>
      </c>
      <c r="E19" s="45">
        <v>-406.31799999000003</v>
      </c>
      <c r="F19" s="44">
        <v>-397.01300003000006</v>
      </c>
      <c r="G19" s="44">
        <v>-368.66499994000003</v>
      </c>
      <c r="H19" s="44">
        <v>-365.94900001999997</v>
      </c>
      <c r="I19" s="44">
        <v>-362.08499996999996</v>
      </c>
    </row>
    <row r="20" spans="1:9" ht="14.25">
      <c r="A20" s="41" t="str">
        <f>HLOOKUP(INDICE!$F$2,Nombres!$C$3:$D$636,43,FALSE)</f>
        <v>Margen neto</v>
      </c>
      <c r="B20" s="41">
        <f>+B14+B15</f>
        <v>3124.369502729998</v>
      </c>
      <c r="C20" s="41">
        <f aca="true" t="shared" si="1" ref="C20:I20">+C14+C15</f>
        <v>2944.9907216099996</v>
      </c>
      <c r="D20" s="41">
        <f t="shared" si="1"/>
        <v>3174.43523458</v>
      </c>
      <c r="E20" s="42">
        <f t="shared" si="1"/>
        <v>3317.326296610001</v>
      </c>
      <c r="F20" s="41">
        <f t="shared" si="1"/>
        <v>3565.8709999699995</v>
      </c>
      <c r="G20" s="50">
        <f t="shared" si="1"/>
        <v>2966.849999940001</v>
      </c>
      <c r="H20" s="50">
        <f t="shared" si="1"/>
        <v>3093.24299985</v>
      </c>
      <c r="I20" s="50">
        <f t="shared" si="1"/>
        <v>2592.6400003100007</v>
      </c>
    </row>
    <row r="21" spans="1:9" ht="14.25">
      <c r="A21" s="43" t="str">
        <f>HLOOKUP(INDICE!$F$2,Nombres!$C$3:$D$636,44,FALSE)</f>
        <v>Deterioro de activos financieros no valorados a valor razonable con cambios en resultados</v>
      </c>
      <c r="B21" s="44">
        <v>-1000.72950272</v>
      </c>
      <c r="C21" s="44">
        <v>-730.70172366</v>
      </c>
      <c r="D21" s="44">
        <v>-1172.1722326</v>
      </c>
      <c r="E21" s="45">
        <v>-1169.08429466</v>
      </c>
      <c r="F21" s="44">
        <v>-2575.04299997</v>
      </c>
      <c r="G21" s="44">
        <v>-1571.0249999899997</v>
      </c>
      <c r="H21" s="44">
        <v>-928.15900007</v>
      </c>
      <c r="I21" s="44">
        <v>-833.7089999700001</v>
      </c>
    </row>
    <row r="22" spans="1:9" ht="14.25">
      <c r="A22" s="43" t="str">
        <f>HLOOKUP(INDICE!$F$2,Nombres!$C$3:$D$636,247,FALSE)</f>
        <v>Provisiones o reversión de provisiones</v>
      </c>
      <c r="B22" s="44">
        <v>-143.97699998</v>
      </c>
      <c r="C22" s="44">
        <v>-116.52999999</v>
      </c>
      <c r="D22" s="44">
        <v>-112.66100001000002</v>
      </c>
      <c r="E22" s="45">
        <v>-243.39500001</v>
      </c>
      <c r="F22" s="44">
        <v>-312.47700000000003</v>
      </c>
      <c r="G22" s="44">
        <v>-228.22099998</v>
      </c>
      <c r="H22" s="44">
        <v>-59.559000010000005</v>
      </c>
      <c r="I22" s="44">
        <v>-143.98100001999993</v>
      </c>
    </row>
    <row r="23" spans="1:9" ht="14.25">
      <c r="A23" s="43" t="str">
        <f>HLOOKUP(INDICE!$F$2,Nombres!$C$3:$D$636,248,FALSE)</f>
        <v>Otros resultados</v>
      </c>
      <c r="B23" s="44">
        <v>-22.422999999999995</v>
      </c>
      <c r="C23" s="44">
        <v>-2.6680000100000116</v>
      </c>
      <c r="D23" s="44">
        <v>-3.8949999800000015</v>
      </c>
      <c r="E23" s="45">
        <v>-126.4820127100001</v>
      </c>
      <c r="F23" s="44">
        <v>-28.97299996999981</v>
      </c>
      <c r="G23" s="44">
        <v>-101.28600003999995</v>
      </c>
      <c r="H23" s="44">
        <v>-127.73299998</v>
      </c>
      <c r="I23" s="44">
        <v>-83.09498658000018</v>
      </c>
    </row>
    <row r="24" spans="1:9" ht="14.25">
      <c r="A24" s="41" t="str">
        <f>HLOOKUP(INDICE!$F$2,Nombres!$C$3:$D$636,46,FALSE)</f>
        <v>Resultado antes de impuestos</v>
      </c>
      <c r="B24" s="50">
        <f aca="true" t="shared" si="2" ref="B24:I24">+B20+B21+B22+B23</f>
        <v>1957.2400000299983</v>
      </c>
      <c r="C24" s="50">
        <f t="shared" si="2"/>
        <v>2095.0909979499997</v>
      </c>
      <c r="D24" s="50">
        <f t="shared" si="2"/>
        <v>1885.70700199</v>
      </c>
      <c r="E24" s="42">
        <f t="shared" si="2"/>
        <v>1778.364989230001</v>
      </c>
      <c r="F24" s="50">
        <f t="shared" si="2"/>
        <v>649.3780000299996</v>
      </c>
      <c r="G24" s="50">
        <f t="shared" si="2"/>
        <v>1066.3179999300014</v>
      </c>
      <c r="H24" s="50">
        <f t="shared" si="2"/>
        <v>1977.7919997900003</v>
      </c>
      <c r="I24" s="50">
        <f t="shared" si="2"/>
        <v>1531.8550137400002</v>
      </c>
    </row>
    <row r="25" spans="1:9" ht="14.25">
      <c r="A25" s="43" t="str">
        <f>HLOOKUP(INDICE!$F$2,Nombres!$C$3:$D$636,47,FALSE)</f>
        <v>Impuesto sobre beneficios</v>
      </c>
      <c r="B25" s="44">
        <v>-541.01045088</v>
      </c>
      <c r="C25" s="44">
        <v>-594.91754912</v>
      </c>
      <c r="D25" s="44">
        <v>-487.5319999700001</v>
      </c>
      <c r="E25" s="45">
        <v>-429.6199999899997</v>
      </c>
      <c r="F25" s="44">
        <v>-185.891</v>
      </c>
      <c r="G25" s="44">
        <v>-268.76800000000003</v>
      </c>
      <c r="H25" s="44">
        <v>-524.11500002</v>
      </c>
      <c r="I25" s="44">
        <v>-406.56550404</v>
      </c>
    </row>
    <row r="26" spans="1:9" ht="14.25">
      <c r="A26" s="92" t="str">
        <f>HLOOKUP(INDICE!$F$2,Nombres!$C$3:$D$636,99,FALSE)</f>
        <v>Resultado después de impuestos de operaciones continuadas</v>
      </c>
      <c r="B26" s="50">
        <f aca="true" t="shared" si="3" ref="B26:I26">+B24+B25</f>
        <v>1416.2295491499983</v>
      </c>
      <c r="C26" s="50">
        <f t="shared" si="3"/>
        <v>1500.1734488299999</v>
      </c>
      <c r="D26" s="50">
        <f t="shared" si="3"/>
        <v>1398.17500202</v>
      </c>
      <c r="E26" s="42">
        <f t="shared" si="3"/>
        <v>1348.7449892400011</v>
      </c>
      <c r="F26" s="50">
        <f t="shared" si="3"/>
        <v>463.48700002999965</v>
      </c>
      <c r="G26" s="50">
        <f t="shared" si="3"/>
        <v>797.5499999300014</v>
      </c>
      <c r="H26" s="50">
        <f t="shared" si="3"/>
        <v>1453.6769997700003</v>
      </c>
      <c r="I26" s="50">
        <f t="shared" si="3"/>
        <v>1125.2895097000003</v>
      </c>
    </row>
    <row r="27" spans="1:16" ht="14.25">
      <c r="A27" s="43" t="str">
        <f>HLOOKUP(INDICE!$F$2,Nombres!$C$3:$D$636,259,FALSE)</f>
        <v>Operaciones Corporativas (1)</v>
      </c>
      <c r="B27" s="44">
        <v>0</v>
      </c>
      <c r="C27" s="44">
        <v>0</v>
      </c>
      <c r="D27" s="44">
        <v>0</v>
      </c>
      <c r="E27" s="45">
        <v>-1317.9119873</v>
      </c>
      <c r="F27" s="44">
        <v>-2084.157</v>
      </c>
      <c r="G27" s="44">
        <v>0</v>
      </c>
      <c r="H27" s="44">
        <v>0</v>
      </c>
      <c r="I27" s="44">
        <v>304.4685058600003</v>
      </c>
      <c r="M27" s="291"/>
      <c r="N27" s="291"/>
      <c r="O27" s="291"/>
      <c r="P27" s="291"/>
    </row>
    <row r="28" spans="1:9" ht="14.25">
      <c r="A28" s="41" t="str">
        <f>HLOOKUP(INDICE!$F$2,Nombres!$C$3:$D$636,48,FALSE)</f>
        <v>Resultado del ejercicio</v>
      </c>
      <c r="B28" s="50">
        <f>+B26+B27</f>
        <v>1416.2295491499983</v>
      </c>
      <c r="C28" s="50">
        <f aca="true" t="shared" si="4" ref="C28:I28">+C26+C27</f>
        <v>1500.1734488299999</v>
      </c>
      <c r="D28" s="50">
        <f t="shared" si="4"/>
        <v>1398.17500202</v>
      </c>
      <c r="E28" s="42">
        <f t="shared" si="4"/>
        <v>30.833001940001168</v>
      </c>
      <c r="F28" s="50">
        <f t="shared" si="4"/>
        <v>-1620.6699999700004</v>
      </c>
      <c r="G28" s="50">
        <f t="shared" si="4"/>
        <v>797.5499999300014</v>
      </c>
      <c r="H28" s="50">
        <f t="shared" si="4"/>
        <v>1453.6769997700003</v>
      </c>
      <c r="I28" s="50">
        <f t="shared" si="4"/>
        <v>1429.7580155600006</v>
      </c>
    </row>
    <row r="29" spans="1:9" ht="14.25">
      <c r="A29" s="43" t="str">
        <f>HLOOKUP(INDICE!$F$2,Nombres!$C$3:$D$636,49,FALSE)</f>
        <v>Minoritarios</v>
      </c>
      <c r="B29" s="44">
        <v>-234.01899999999998</v>
      </c>
      <c r="C29" s="44">
        <v>-240.50699998999997</v>
      </c>
      <c r="D29" s="44">
        <v>-173.22900001000008</v>
      </c>
      <c r="E29" s="45">
        <v>-185.5979999999999</v>
      </c>
      <c r="F29" s="44">
        <v>-171.79500001000008</v>
      </c>
      <c r="G29" s="44">
        <v>-161.60999999999999</v>
      </c>
      <c r="H29" s="44">
        <v>-312.23799998000004</v>
      </c>
      <c r="I29" s="44">
        <v>-109.99300002</v>
      </c>
    </row>
    <row r="30" spans="1:9" ht="14.25">
      <c r="A30" s="47" t="str">
        <f>HLOOKUP(INDICE!$F$2,Nombres!$C$3:$D$636,50,FALSE)</f>
        <v>Resultado atribuido</v>
      </c>
      <c r="B30" s="47">
        <f>+B28+B29</f>
        <v>1182.2105491499983</v>
      </c>
      <c r="C30" s="47">
        <f aca="true" t="shared" si="5" ref="C30:I30">+C28+C29</f>
        <v>1259.66644884</v>
      </c>
      <c r="D30" s="47">
        <f t="shared" si="5"/>
        <v>1224.9460020099998</v>
      </c>
      <c r="E30" s="47">
        <f t="shared" si="5"/>
        <v>-154.76499805999873</v>
      </c>
      <c r="F30" s="47">
        <f>+F28+F29</f>
        <v>-1792.4649999800004</v>
      </c>
      <c r="G30" s="51">
        <f t="shared" si="5"/>
        <v>635.9399999300014</v>
      </c>
      <c r="H30" s="51">
        <f t="shared" si="5"/>
        <v>1141.4389997900003</v>
      </c>
      <c r="I30" s="51">
        <f t="shared" si="5"/>
        <v>1319.7650155400006</v>
      </c>
    </row>
    <row r="31" spans="1:9" ht="14.25">
      <c r="A31" s="48"/>
      <c r="B31" s="48"/>
      <c r="C31" s="48"/>
      <c r="D31" s="48"/>
      <c r="E31" s="48"/>
      <c r="F31" s="48"/>
      <c r="G31" s="276"/>
      <c r="H31" s="276"/>
      <c r="I31" s="276"/>
    </row>
    <row r="32" spans="1:9" ht="14.25">
      <c r="A32" s="47" t="str">
        <f>HLOOKUP(INDICE!$F$2,Nombres!$C$3:$D$636,262,FALSE)</f>
        <v>Resultado atribuido sin el deterioro del fondo de comercio de Estados Unidos y sin operaciones corporativas</v>
      </c>
      <c r="B32" s="47">
        <f>+B30-B27</f>
        <v>1182.2105491499983</v>
      </c>
      <c r="C32" s="47">
        <f aca="true" t="shared" si="6" ref="C32:I32">+C30-C27</f>
        <v>1259.66644884</v>
      </c>
      <c r="D32" s="47">
        <f t="shared" si="6"/>
        <v>1224.9460020099998</v>
      </c>
      <c r="E32" s="47">
        <f t="shared" si="6"/>
        <v>1163.1469892400012</v>
      </c>
      <c r="F32" s="47">
        <f t="shared" si="6"/>
        <v>291.6920000199998</v>
      </c>
      <c r="G32" s="47">
        <f t="shared" si="6"/>
        <v>635.9399999300014</v>
      </c>
      <c r="H32" s="47">
        <f t="shared" si="6"/>
        <v>1141.4389997900003</v>
      </c>
      <c r="I32" s="47">
        <f t="shared" si="6"/>
        <v>1015.2965096800003</v>
      </c>
    </row>
    <row r="33" spans="2:9" ht="17.25" customHeight="1">
      <c r="B33" s="48">
        <v>-1.8189894035458565E-12</v>
      </c>
      <c r="C33" s="48">
        <v>0</v>
      </c>
      <c r="D33" s="48">
        <v>0</v>
      </c>
      <c r="E33" s="48">
        <v>0</v>
      </c>
      <c r="F33" s="48">
        <v>0</v>
      </c>
      <c r="G33" s="48">
        <v>1.2505552149377763E-12</v>
      </c>
      <c r="H33" s="48">
        <v>0</v>
      </c>
      <c r="I33" s="48">
        <v>0</v>
      </c>
    </row>
    <row r="34" spans="1:9" ht="12.75" customHeight="1">
      <c r="A34" s="43"/>
      <c r="B34" s="48">
        <v>-1.8189894035458565E-12</v>
      </c>
      <c r="C34" s="48">
        <v>0</v>
      </c>
      <c r="D34" s="48">
        <v>0</v>
      </c>
      <c r="E34" s="48">
        <v>0</v>
      </c>
      <c r="F34" s="48">
        <v>4.547473508864641E-13</v>
      </c>
      <c r="G34" s="48">
        <v>1.2505552149377763E-12</v>
      </c>
      <c r="H34" s="48">
        <v>0</v>
      </c>
      <c r="I34" s="48">
        <v>0</v>
      </c>
    </row>
    <row r="35" spans="1:9" ht="36" customHeight="1">
      <c r="A35" s="307" t="str">
        <f>HLOOKUP(INDICE!$F$2,Nombres!$C$3:$D$636,257,FALSE)</f>
        <v>Nota general: como consecuencia de una interpretación emitida por el IFRIC (International Financial Reporting Standards Interpretations Committee) relativa al cobro de intereses de fallidos en el marco de la NIIF 9, dichos cobros se presentan como menor saneamiento crediticio y no como un mayor ingreso por intereses, método de reconocimiento aplicado hasta diciembre de 2019. Por ello, y con el fin de que la información sea comparable, se ha procedido a reexpresar la información de la cuenta de resultados del primer semestre de 2019. </v>
      </c>
      <c r="B35" s="307"/>
      <c r="C35" s="307"/>
      <c r="D35" s="307"/>
      <c r="E35" s="307"/>
      <c r="F35" s="307"/>
      <c r="G35" s="307"/>
      <c r="H35" s="307"/>
      <c r="I35" s="307"/>
    </row>
    <row r="36" spans="1:9" ht="15" customHeight="1">
      <c r="A36" s="307" t="str">
        <f>HLOOKUP(INDICE!$F$2,Nombres!$C$3:$D$636,261,FALSE)</f>
        <v>(1) Incluye el resultado neto de impuestos por la venta a Allianz de la mitad más una acción de la sociedad constituida para impulsar de forma conjunta el negocio de seguros de no vida en España, excluyendo el ramo de salud.</v>
      </c>
      <c r="B36" s="307"/>
      <c r="C36" s="307"/>
      <c r="D36" s="307"/>
      <c r="E36" s="307"/>
      <c r="F36" s="307"/>
      <c r="G36" s="307"/>
      <c r="H36" s="307"/>
      <c r="I36" s="307"/>
    </row>
    <row r="37" spans="2:9" ht="14.25">
      <c r="B37" s="292">
        <f>+B30-España!B25-EEUU!B25-Mexico!B25-Turquia!B25-AdS!B25-'Resto de Eurasia'!B25-'Centro Corporativo'!B27</f>
        <v>-2.1600499167107046E-12</v>
      </c>
      <c r="C37" s="292">
        <f>+C30-España!C25-EEUU!C25-Mexico!C25-Turquia!C25-AdS!C25-'Resto de Eurasia'!C25-'Centro Corporativo'!C27</f>
        <v>7.958078640513122E-13</v>
      </c>
      <c r="D37" s="292">
        <f>+D30-España!D25-EEUU!D25-Mexico!D25-Turquia!D25-AdS!D25-'Resto de Eurasia'!D25-'Centro Corporativo'!D27</f>
        <v>0</v>
      </c>
      <c r="E37" s="292">
        <f>+E30-España!E25-EEUU!E25-Mexico!E25-Turquia!E25-AdS!E25-'Resto de Eurasia'!E25-'Centro Corporativo'!E27</f>
        <v>0</v>
      </c>
      <c r="F37" s="292">
        <f>+F30-España!F25-EEUU!F25-Mexico!F25-Turquia!F25-AdS!F25-'Resto de Eurasia'!F25-'Centro Corporativo'!F27</f>
        <v>0</v>
      </c>
      <c r="G37" s="292">
        <f>+G30-España!G25-EEUU!G25-Mexico!G25-Turquia!G25-AdS!G25-'Resto de Eurasia'!G25-'Centro Corporativo'!G27</f>
        <v>1.0231815394945443E-12</v>
      </c>
      <c r="H37" s="292">
        <f>+H30-España!H25-EEUU!H25-Mexico!H25-Turquia!H25-AdS!H25-'Resto de Eurasia'!H25-'Centro Corporativo'!H27</f>
        <v>0</v>
      </c>
      <c r="I37" s="292">
        <f>+I30-España!I25-EEUU!I25-Mexico!I25-Turquia!I25-AdS!I25-'Resto de Eurasia'!I25-'Centro Corporativo'!I27</f>
        <v>-2.913225216616411E-13</v>
      </c>
    </row>
    <row r="38" spans="1:9" ht="14.25">
      <c r="A38" s="43"/>
      <c r="B38" s="49"/>
      <c r="C38" s="49"/>
      <c r="D38" s="49"/>
      <c r="E38" s="49"/>
      <c r="F38" s="49"/>
      <c r="G38" s="49"/>
      <c r="H38" s="49"/>
      <c r="I38" s="49"/>
    </row>
    <row r="39" spans="2:9" ht="14.25">
      <c r="B39" s="277"/>
      <c r="C39" s="277"/>
      <c r="D39" s="277"/>
      <c r="E39" s="277"/>
      <c r="F39" s="277"/>
      <c r="G39" s="277"/>
      <c r="H39" s="277"/>
      <c r="I39" s="277"/>
    </row>
    <row r="41" spans="1:9" ht="16.5">
      <c r="A41" s="33" t="str">
        <f>HLOOKUP(INDICE!$F$2,Nombres!$C$3:$D$636,31,FALSE)</f>
        <v>Cuenta de resultados  </v>
      </c>
      <c r="B41" s="34"/>
      <c r="C41" s="34"/>
      <c r="D41" s="34"/>
      <c r="E41" s="34"/>
      <c r="F41" s="34"/>
      <c r="G41" s="34"/>
      <c r="H41" s="34"/>
      <c r="I41" s="34"/>
    </row>
    <row r="42" spans="1:9" ht="14.25">
      <c r="A42" s="35" t="str">
        <f>HLOOKUP(INDICE!$F$2,Nombres!$C$3:$D$636,73,FALSE)</f>
        <v>(Millones de euros constantes)</v>
      </c>
      <c r="B42" s="30"/>
      <c r="C42" s="36"/>
      <c r="D42" s="36"/>
      <c r="E42" s="36"/>
      <c r="F42" s="30"/>
      <c r="G42" s="30"/>
      <c r="H42" s="30"/>
      <c r="I42" s="30"/>
    </row>
    <row r="43" spans="1:9" ht="14.25">
      <c r="A43" s="37"/>
      <c r="B43" s="30"/>
      <c r="C43" s="36"/>
      <c r="D43" s="36"/>
      <c r="E43" s="36"/>
      <c r="F43" s="30"/>
      <c r="G43" s="30"/>
      <c r="H43" s="30"/>
      <c r="I43" s="30"/>
    </row>
    <row r="44" spans="1:9" ht="14.25">
      <c r="A44" s="38"/>
      <c r="B44" s="308">
        <f>+España!B6</f>
        <v>2019</v>
      </c>
      <c r="C44" s="308"/>
      <c r="D44" s="308"/>
      <c r="E44" s="309"/>
      <c r="F44" s="310">
        <f>+España!F6</f>
        <v>2020</v>
      </c>
      <c r="G44" s="308"/>
      <c r="H44" s="308"/>
      <c r="I44" s="308"/>
    </row>
    <row r="45" spans="1:9" ht="14.25">
      <c r="A45" s="38"/>
      <c r="B45" s="39" t="str">
        <f>+España!B7</f>
        <v>1er Trim.</v>
      </c>
      <c r="C45" s="39" t="str">
        <f>+España!C7</f>
        <v>2º Trim.</v>
      </c>
      <c r="D45" s="39" t="str">
        <f>+España!D7</f>
        <v>3er Trim.</v>
      </c>
      <c r="E45" s="40" t="str">
        <f>+España!E7</f>
        <v>4º Trim.</v>
      </c>
      <c r="F45" s="39" t="str">
        <f>+España!F7</f>
        <v>1er Trim.</v>
      </c>
      <c r="G45" s="39" t="str">
        <f>+España!G7</f>
        <v>2º Trim.</v>
      </c>
      <c r="H45" s="39" t="str">
        <f>+España!H7</f>
        <v>3er Trim.</v>
      </c>
      <c r="I45" s="39" t="str">
        <f>+España!I7</f>
        <v>4º Trim.</v>
      </c>
    </row>
    <row r="46" spans="1:9" ht="14.25">
      <c r="A46" s="41" t="str">
        <f>HLOOKUP(INDICE!$F$2,Nombres!$C$3:$D$636,33,FALSE)</f>
        <v>Margen de intereses</v>
      </c>
      <c r="B46" s="41">
        <v>3887.055225103322</v>
      </c>
      <c r="C46" s="41">
        <v>4020.7327722942537</v>
      </c>
      <c r="D46" s="41">
        <v>4068.5763190090056</v>
      </c>
      <c r="E46" s="42">
        <v>4233.549825996244</v>
      </c>
      <c r="F46" s="41">
        <v>4141.543935668169</v>
      </c>
      <c r="G46" s="50">
        <v>4083.4506757413074</v>
      </c>
      <c r="H46" s="50">
        <v>4284.369018282478</v>
      </c>
      <c r="I46" s="50">
        <v>4291.225370258046</v>
      </c>
    </row>
    <row r="47" spans="1:9" ht="14.25">
      <c r="A47" s="43" t="str">
        <f>HLOOKUP(INDICE!$F$2,Nombres!$C$3:$D$636,34,FALSE)</f>
        <v>Comisiones netas</v>
      </c>
      <c r="B47" s="44">
        <v>1106.9850681920052</v>
      </c>
      <c r="C47" s="44">
        <v>1148.5863424092668</v>
      </c>
      <c r="D47" s="44">
        <v>1184.8235446470978</v>
      </c>
      <c r="E47" s="45">
        <v>1195.5736438617523</v>
      </c>
      <c r="F47" s="44">
        <v>1180.9280838033656</v>
      </c>
      <c r="G47" s="44">
        <v>1040.7503810869468</v>
      </c>
      <c r="H47" s="44">
        <v>1173.3108740449284</v>
      </c>
      <c r="I47" s="44">
        <v>1221.4116611147592</v>
      </c>
    </row>
    <row r="48" spans="1:9" ht="14.25">
      <c r="A48" s="43" t="str">
        <f>HLOOKUP(INDICE!$F$2,Nombres!$C$3:$D$636,35,FALSE)</f>
        <v>Resultados de operaciones financieras</v>
      </c>
      <c r="B48" s="44">
        <v>344.53222178373187</v>
      </c>
      <c r="C48" s="44">
        <v>95.4013865106308</v>
      </c>
      <c r="D48" s="44">
        <v>344.02474847019926</v>
      </c>
      <c r="E48" s="45">
        <v>445.48759276855014</v>
      </c>
      <c r="F48" s="44">
        <v>560.1601651715961</v>
      </c>
      <c r="G48" s="44">
        <v>503.00651867809063</v>
      </c>
      <c r="H48" s="44">
        <v>388.1163029169028</v>
      </c>
      <c r="I48" s="44">
        <v>240.5440132534107</v>
      </c>
    </row>
    <row r="49" spans="1:9" ht="14.25">
      <c r="A49" s="43" t="str">
        <f>HLOOKUP(INDICE!$F$2,Nombres!$C$3:$D$636,96,FALSE)</f>
        <v>Ingresos por dividendos</v>
      </c>
      <c r="B49" s="44">
        <v>9.434308096004264</v>
      </c>
      <c r="C49" s="44">
        <v>81.83402182550438</v>
      </c>
      <c r="D49" s="44">
        <v>4.5804441020034545</v>
      </c>
      <c r="E49" s="45">
        <v>58.9200185346977</v>
      </c>
      <c r="F49" s="44">
        <v>5.61165949117341</v>
      </c>
      <c r="G49" s="44">
        <v>69.80501610592582</v>
      </c>
      <c r="H49" s="44">
        <v>5.095841540202185</v>
      </c>
      <c r="I49" s="44">
        <v>60.75348285269866</v>
      </c>
    </row>
    <row r="50" spans="1:9" ht="14.25">
      <c r="A50" s="43" t="str">
        <f>HLOOKUP(INDICE!$F$2,Nombres!$C$3:$D$636,97,FALSE)</f>
        <v>Part. gananc/pdas inversiones en dependientes, neg conjunt y asoc</v>
      </c>
      <c r="B50" s="44">
        <v>-3.376075993567236</v>
      </c>
      <c r="C50" s="44">
        <v>-14.773367434989465</v>
      </c>
      <c r="D50" s="44">
        <v>-7.014398600714491</v>
      </c>
      <c r="E50" s="45">
        <v>-16.31440822680466</v>
      </c>
      <c r="F50" s="44">
        <v>-7.919020330526101</v>
      </c>
      <c r="G50" s="44">
        <v>-9.09752900140123</v>
      </c>
      <c r="H50" s="44">
        <v>-9.065386923489786</v>
      </c>
      <c r="I50" s="44">
        <v>-13.02306374458288</v>
      </c>
    </row>
    <row r="51" spans="1:9" ht="14.25">
      <c r="A51" s="43" t="str">
        <f>HLOOKUP(INDICE!$F$2,Nombres!$C$3:$D$636,98,FALSE)</f>
        <v>Otros productos/cargas de explotación</v>
      </c>
      <c r="B51" s="44">
        <v>7.995294989452274</v>
      </c>
      <c r="C51" s="44">
        <v>-93.51655078191271</v>
      </c>
      <c r="D51" s="44">
        <v>21.907184838707003</v>
      </c>
      <c r="E51" s="45">
        <v>-141.93998679826538</v>
      </c>
      <c r="F51" s="44">
        <v>73.6520361799341</v>
      </c>
      <c r="G51" s="44">
        <v>-144.46588874493324</v>
      </c>
      <c r="H51" s="44">
        <v>42.883913193988654</v>
      </c>
      <c r="I51" s="44">
        <v>-209.16706062898945</v>
      </c>
    </row>
    <row r="52" spans="1:9" ht="14.25">
      <c r="A52" s="41" t="str">
        <f>HLOOKUP(INDICE!$F$2,Nombres!$C$3:$D$636,37,FALSE)</f>
        <v>Margen bruto</v>
      </c>
      <c r="B52" s="41">
        <f>+SUM(B46:B51)</f>
        <v>5352.6260421709485</v>
      </c>
      <c r="C52" s="41">
        <f aca="true" t="shared" si="7" ref="C52:I52">+SUM(C46:C51)</f>
        <v>5238.264604822753</v>
      </c>
      <c r="D52" s="41">
        <f t="shared" si="7"/>
        <v>5616.897842466299</v>
      </c>
      <c r="E52" s="42">
        <f t="shared" si="7"/>
        <v>5775.276686136174</v>
      </c>
      <c r="F52" s="41">
        <f t="shared" si="7"/>
        <v>5953.9768599837125</v>
      </c>
      <c r="G52" s="50">
        <f t="shared" si="7"/>
        <v>5543.449173865935</v>
      </c>
      <c r="H52" s="50">
        <f t="shared" si="7"/>
        <v>5884.710563055009</v>
      </c>
      <c r="I52" s="50">
        <f t="shared" si="7"/>
        <v>5591.744403105342</v>
      </c>
    </row>
    <row r="53" spans="1:9" ht="14.25">
      <c r="A53" s="43" t="str">
        <f>HLOOKUP(INDICE!$F$2,Nombres!$C$3:$D$636,38,FALSE)</f>
        <v>Gastos de explotación</v>
      </c>
      <c r="B53" s="44">
        <v>-2690.552528537398</v>
      </c>
      <c r="C53" s="44">
        <v>-2724.0780511939847</v>
      </c>
      <c r="D53" s="44">
        <v>-2760.764667350438</v>
      </c>
      <c r="E53" s="45">
        <v>-2867.1624224911475</v>
      </c>
      <c r="F53" s="44">
        <v>-2731.9791839526415</v>
      </c>
      <c r="G53" s="44">
        <v>-2581.897838702599</v>
      </c>
      <c r="H53" s="44">
        <v>-2651.206613808179</v>
      </c>
      <c r="I53" s="44">
        <v>-2790.1933634765805</v>
      </c>
    </row>
    <row r="54" spans="1:9" ht="14.25">
      <c r="A54" s="43" t="str">
        <f>HLOOKUP(INDICE!$F$2,Nombres!$C$3:$D$636,39,FALSE)</f>
        <v>  Gastos de administración</v>
      </c>
      <c r="B54" s="44">
        <v>-2325.6707800914833</v>
      </c>
      <c r="C54" s="44">
        <v>-2351.914734830907</v>
      </c>
      <c r="D54" s="44">
        <v>-2382.6998364114957</v>
      </c>
      <c r="E54" s="45">
        <v>-2488.713023600603</v>
      </c>
      <c r="F54" s="44">
        <v>-2357.1500189861026</v>
      </c>
      <c r="G54" s="44">
        <v>-2213.7881625188656</v>
      </c>
      <c r="H54" s="44">
        <v>-2275.186723857039</v>
      </c>
      <c r="I54" s="44">
        <v>-2415.440094617993</v>
      </c>
    </row>
    <row r="55" spans="1:9" ht="14.25">
      <c r="A55" s="46" t="str">
        <f>HLOOKUP(INDICE!$F$2,Nombres!$C$3:$D$636,40,FALSE)</f>
        <v>  Gastos de personal</v>
      </c>
      <c r="B55" s="44">
        <v>-1433.40655915655</v>
      </c>
      <c r="C55" s="44">
        <v>-1459.5412649416799</v>
      </c>
      <c r="D55" s="44">
        <v>-1481.414154656047</v>
      </c>
      <c r="E55" s="45">
        <v>-1533.9585247257041</v>
      </c>
      <c r="F55" s="44">
        <v>-1438.5085883541271</v>
      </c>
      <c r="G55" s="44">
        <v>-1331.67294935368</v>
      </c>
      <c r="H55" s="44">
        <v>-1396.2283170440692</v>
      </c>
      <c r="I55" s="44">
        <v>-1483.5991452981234</v>
      </c>
    </row>
    <row r="56" spans="1:9" ht="14.25">
      <c r="A56" s="46" t="str">
        <f>HLOOKUP(INDICE!$F$2,Nombres!$C$3:$D$636,41,FALSE)</f>
        <v>  Otros gastos de administración</v>
      </c>
      <c r="B56" s="44">
        <v>-892.2642209349333</v>
      </c>
      <c r="C56" s="44">
        <v>-892.373469889227</v>
      </c>
      <c r="D56" s="44">
        <v>-901.2856817554484</v>
      </c>
      <c r="E56" s="45">
        <v>-954.7544988748987</v>
      </c>
      <c r="F56" s="44">
        <v>-918.6414306319754</v>
      </c>
      <c r="G56" s="44">
        <v>-882.1152131651858</v>
      </c>
      <c r="H56" s="44">
        <v>-878.9584068129695</v>
      </c>
      <c r="I56" s="44">
        <v>-931.8409493198692</v>
      </c>
    </row>
    <row r="57" spans="1:9" ht="14.25">
      <c r="A57" s="43" t="str">
        <f>HLOOKUP(INDICE!$F$2,Nombres!$C$3:$D$636,42,FALSE)</f>
        <v>  Amortización</v>
      </c>
      <c r="B57" s="44">
        <v>-364.88174844591447</v>
      </c>
      <c r="C57" s="44">
        <v>-372.16331636307746</v>
      </c>
      <c r="D57" s="44">
        <v>-378.06483093894246</v>
      </c>
      <c r="E57" s="45">
        <v>-378.4493988905445</v>
      </c>
      <c r="F57" s="44">
        <v>-374.82916496653894</v>
      </c>
      <c r="G57" s="44">
        <v>-368.1096761837332</v>
      </c>
      <c r="H57" s="44">
        <v>-376.01988995114</v>
      </c>
      <c r="I57" s="44">
        <v>-374.7532688585879</v>
      </c>
    </row>
    <row r="58" spans="1:9" ht="14.25">
      <c r="A58" s="41" t="str">
        <f>HLOOKUP(INDICE!$F$2,Nombres!$C$3:$D$636,43,FALSE)</f>
        <v>Margen neto</v>
      </c>
      <c r="B58" s="41">
        <f>+B52+B53</f>
        <v>2662.0735136335506</v>
      </c>
      <c r="C58" s="41">
        <f aca="true" t="shared" si="8" ref="C58:I58">+C52+C53</f>
        <v>2514.1865536287687</v>
      </c>
      <c r="D58" s="41">
        <f t="shared" si="8"/>
        <v>2856.1331751158614</v>
      </c>
      <c r="E58" s="42">
        <f t="shared" si="8"/>
        <v>2908.1142636450268</v>
      </c>
      <c r="F58" s="41">
        <f t="shared" si="8"/>
        <v>3221.997676031071</v>
      </c>
      <c r="G58" s="50">
        <f t="shared" si="8"/>
        <v>2961.5513351633363</v>
      </c>
      <c r="H58" s="50">
        <f t="shared" si="8"/>
        <v>3233.5039492468295</v>
      </c>
      <c r="I58" s="50">
        <f t="shared" si="8"/>
        <v>2801.5510396287614</v>
      </c>
    </row>
    <row r="59" spans="1:9" ht="14.25">
      <c r="A59" s="43" t="str">
        <f>HLOOKUP(INDICE!$F$2,Nombres!$C$3:$D$636,44,FALSE)</f>
        <v>Deterioro de activos financieros no valorados a valor razonable con cambios en resultados</v>
      </c>
      <c r="B59" s="44">
        <v>-877.9146486308948</v>
      </c>
      <c r="C59" s="44">
        <v>-620.4422328658037</v>
      </c>
      <c r="D59" s="44">
        <v>-1010.9066039821554</v>
      </c>
      <c r="E59" s="45">
        <v>-1022.8888956411452</v>
      </c>
      <c r="F59" s="44">
        <v>-2380.2462462316807</v>
      </c>
      <c r="G59" s="44">
        <v>-1594.084262350778</v>
      </c>
      <c r="H59" s="44">
        <v>-1031.0798481842205</v>
      </c>
      <c r="I59" s="44">
        <v>-902.5256432333199</v>
      </c>
    </row>
    <row r="60" spans="1:9" ht="14.25">
      <c r="A60" s="43" t="str">
        <f>HLOOKUP(INDICE!$F$2,Nombres!$C$3:$D$636,247,FALSE)</f>
        <v>Provisiones o reversión de provisiones</v>
      </c>
      <c r="B60" s="44">
        <v>-140.0197864712792</v>
      </c>
      <c r="C60" s="44">
        <v>-105.17841582378642</v>
      </c>
      <c r="D60" s="44">
        <v>-106.97609663270188</v>
      </c>
      <c r="E60" s="45">
        <v>-207.4862521229527</v>
      </c>
      <c r="F60" s="44">
        <v>-304.3772842588485</v>
      </c>
      <c r="G60" s="44">
        <v>-225.43294053710926</v>
      </c>
      <c r="H60" s="44">
        <v>-64.06280943476712</v>
      </c>
      <c r="I60" s="44">
        <v>-150.36496577927517</v>
      </c>
    </row>
    <row r="61" spans="1:9" ht="14.25">
      <c r="A61" s="43" t="str">
        <f>HLOOKUP(INDICE!$F$2,Nombres!$C$3:$D$636,248,FALSE)</f>
        <v>Otros resultados</v>
      </c>
      <c r="B61" s="44">
        <v>-22.975800461279334</v>
      </c>
      <c r="C61" s="44">
        <v>-2.837359055701813</v>
      </c>
      <c r="D61" s="44">
        <v>-3.5850518744392623</v>
      </c>
      <c r="E61" s="45">
        <v>-127.77301653309131</v>
      </c>
      <c r="F61" s="44">
        <v>-29.5758645395495</v>
      </c>
      <c r="G61" s="44">
        <v>-99.42898508215977</v>
      </c>
      <c r="H61" s="44">
        <v>-128.6781667818142</v>
      </c>
      <c r="I61" s="44">
        <v>-83.40397016647657</v>
      </c>
    </row>
    <row r="62" spans="1:9" ht="14.25">
      <c r="A62" s="41" t="str">
        <f>HLOOKUP(INDICE!$F$2,Nombres!$C$3:$D$636,46,FALSE)</f>
        <v>Resultado antes de impuestos</v>
      </c>
      <c r="B62" s="41">
        <f aca="true" t="shared" si="9" ref="B62:I62">+B58+B59+B60+B61</f>
        <v>1621.1632780700972</v>
      </c>
      <c r="C62" s="41">
        <f t="shared" si="9"/>
        <v>1785.7285458834765</v>
      </c>
      <c r="D62" s="41">
        <f t="shared" si="9"/>
        <v>1734.6654226265648</v>
      </c>
      <c r="E62" s="42">
        <f t="shared" si="9"/>
        <v>1549.9660993478376</v>
      </c>
      <c r="F62" s="41">
        <f t="shared" si="9"/>
        <v>507.7982810009923</v>
      </c>
      <c r="G62" s="41">
        <f t="shared" si="9"/>
        <v>1042.6051471932892</v>
      </c>
      <c r="H62" s="41">
        <f t="shared" si="9"/>
        <v>2009.6831248460278</v>
      </c>
      <c r="I62" s="41">
        <f t="shared" si="9"/>
        <v>1665.2564604496897</v>
      </c>
    </row>
    <row r="63" spans="1:9" ht="14.25">
      <c r="A63" s="43" t="str">
        <f>HLOOKUP(INDICE!$F$2,Nombres!$C$3:$D$636,47,FALSE)</f>
        <v>Impuesto sobre beneficios</v>
      </c>
      <c r="B63" s="44">
        <v>-451.7056971473812</v>
      </c>
      <c r="C63" s="44">
        <v>-515.8531484271524</v>
      </c>
      <c r="D63" s="44">
        <v>-444.6755388464625</v>
      </c>
      <c r="E63" s="45">
        <v>-374.09306641966026</v>
      </c>
      <c r="F63" s="44">
        <v>-147.70826986863676</v>
      </c>
      <c r="G63" s="44">
        <v>-264.1494286425849</v>
      </c>
      <c r="H63" s="44">
        <v>-532.8126334637905</v>
      </c>
      <c r="I63" s="44">
        <v>-440.66917208498785</v>
      </c>
    </row>
    <row r="64" spans="1:9" ht="14.25">
      <c r="A64" s="92" t="str">
        <f>HLOOKUP(INDICE!$F$2,Nombres!$C$3:$D$636,99,FALSE)</f>
        <v>Resultado después de impuestos de operaciones continuadas</v>
      </c>
      <c r="B64" s="41">
        <f aca="true" t="shared" si="10" ref="B64:I64">+B62+B63</f>
        <v>1169.457580922716</v>
      </c>
      <c r="C64" s="41">
        <f t="shared" si="10"/>
        <v>1269.8753974563242</v>
      </c>
      <c r="D64" s="41">
        <f t="shared" si="10"/>
        <v>1289.9898837801024</v>
      </c>
      <c r="E64" s="42">
        <f t="shared" si="10"/>
        <v>1175.8730329281773</v>
      </c>
      <c r="F64" s="41">
        <f t="shared" si="10"/>
        <v>360.0900111323555</v>
      </c>
      <c r="G64" s="41">
        <f t="shared" si="10"/>
        <v>778.4557185507043</v>
      </c>
      <c r="H64" s="41">
        <f t="shared" si="10"/>
        <v>1476.8704913822373</v>
      </c>
      <c r="I64" s="41">
        <f t="shared" si="10"/>
        <v>1224.5872883647019</v>
      </c>
    </row>
    <row r="65" spans="1:9" ht="14.25">
      <c r="A65" s="43" t="str">
        <f>HLOOKUP(INDICE!$F$2,Nombres!$C$3:$D$636,259,FALSE)</f>
        <v>Operaciones Corporativas (1)</v>
      </c>
      <c r="B65" s="44">
        <v>0</v>
      </c>
      <c r="C65" s="44">
        <v>0</v>
      </c>
      <c r="D65" s="44">
        <v>0</v>
      </c>
      <c r="E65" s="45">
        <v>-1317.9119873</v>
      </c>
      <c r="F65" s="44">
        <v>-2084.157</v>
      </c>
      <c r="G65" s="44">
        <v>0</v>
      </c>
      <c r="H65" s="44">
        <v>0</v>
      </c>
      <c r="I65" s="44">
        <v>304.4685058600003</v>
      </c>
    </row>
    <row r="66" spans="1:9" ht="14.25">
      <c r="A66" s="41" t="str">
        <f>HLOOKUP(INDICE!$F$2,Nombres!$C$3:$D$636,48,FALSE)</f>
        <v>Resultado del ejercicio</v>
      </c>
      <c r="B66" s="41">
        <f>+B64+B65</f>
        <v>1169.457580922716</v>
      </c>
      <c r="C66" s="41">
        <f aca="true" t="shared" si="11" ref="C66:I66">+C64+C65</f>
        <v>1269.8753974563242</v>
      </c>
      <c r="D66" s="41">
        <f t="shared" si="11"/>
        <v>1289.9898837801024</v>
      </c>
      <c r="E66" s="42">
        <f t="shared" si="11"/>
        <v>-142.03895437182268</v>
      </c>
      <c r="F66" s="41">
        <f t="shared" si="11"/>
        <v>-1724.0669888676446</v>
      </c>
      <c r="G66" s="41">
        <f t="shared" si="11"/>
        <v>778.4557185507043</v>
      </c>
      <c r="H66" s="41">
        <f t="shared" si="11"/>
        <v>1476.8704913822373</v>
      </c>
      <c r="I66" s="41">
        <f t="shared" si="11"/>
        <v>1529.0557942247021</v>
      </c>
    </row>
    <row r="67" spans="1:9" ht="14.25">
      <c r="A67" s="43" t="str">
        <f>HLOOKUP(INDICE!$F$2,Nombres!$C$3:$D$636,49,FALSE)</f>
        <v>Minoritarios</v>
      </c>
      <c r="B67" s="44">
        <v>-167.0510787539471</v>
      </c>
      <c r="C67" s="44">
        <v>-189.43886604230585</v>
      </c>
      <c r="D67" s="44">
        <v>-158.8013180336152</v>
      </c>
      <c r="E67" s="45">
        <v>-153.6344071664334</v>
      </c>
      <c r="F67" s="44">
        <v>-141.93023624712185</v>
      </c>
      <c r="G67" s="44">
        <v>-147.3895387035101</v>
      </c>
      <c r="H67" s="44">
        <v>-314.3317554101404</v>
      </c>
      <c r="I67" s="44">
        <v>-151.98446964922766</v>
      </c>
    </row>
    <row r="68" spans="1:9" ht="14.25">
      <c r="A68" s="47" t="str">
        <f>HLOOKUP(INDICE!$F$2,Nombres!$C$3:$D$636,50,FALSE)</f>
        <v>Resultado atribuido</v>
      </c>
      <c r="B68" s="47">
        <f>+B66+B67</f>
        <v>1002.406502168769</v>
      </c>
      <c r="C68" s="47">
        <f aca="true" t="shared" si="12" ref="C68:I68">+C66+C67</f>
        <v>1080.4365314140184</v>
      </c>
      <c r="D68" s="47">
        <f t="shared" si="12"/>
        <v>1131.1885657464873</v>
      </c>
      <c r="E68" s="47">
        <f t="shared" si="12"/>
        <v>-295.6733615382561</v>
      </c>
      <c r="F68" s="47">
        <f t="shared" si="12"/>
        <v>-1865.9972251147665</v>
      </c>
      <c r="G68" s="51">
        <f t="shared" si="12"/>
        <v>631.0661798471942</v>
      </c>
      <c r="H68" s="51">
        <f t="shared" si="12"/>
        <v>1162.538735972097</v>
      </c>
      <c r="I68" s="51">
        <f t="shared" si="12"/>
        <v>1377.0713245754746</v>
      </c>
    </row>
    <row r="69" spans="1:9" ht="14.25" customHeight="1">
      <c r="A69" s="48"/>
      <c r="B69" s="48"/>
      <c r="C69" s="48"/>
      <c r="D69" s="48"/>
      <c r="E69" s="48"/>
      <c r="F69" s="48"/>
      <c r="G69" s="276"/>
      <c r="H69" s="276"/>
      <c r="I69" s="276"/>
    </row>
    <row r="70" spans="1:9" ht="15" customHeight="1">
      <c r="A70" s="47" t="str">
        <f>HLOOKUP(INDICE!$F$2,Nombres!$C$3:$D$636,262,FALSE)</f>
        <v>Resultado atribuido sin el deterioro del fondo de comercio de Estados Unidos y sin operaciones corporativas</v>
      </c>
      <c r="B70" s="47">
        <f>+B68-B65</f>
        <v>1002.406502168769</v>
      </c>
      <c r="C70" s="47">
        <f aca="true" t="shared" si="13" ref="C70:I70">+C68-C65</f>
        <v>1080.4365314140184</v>
      </c>
      <c r="D70" s="47">
        <f t="shared" si="13"/>
        <v>1131.1885657464873</v>
      </c>
      <c r="E70" s="47">
        <f t="shared" si="13"/>
        <v>1022.2386257617438</v>
      </c>
      <c r="F70" s="47">
        <f t="shared" si="13"/>
        <v>218.15977488523367</v>
      </c>
      <c r="G70" s="47">
        <f t="shared" si="13"/>
        <v>631.0661798471942</v>
      </c>
      <c r="H70" s="47">
        <f t="shared" si="13"/>
        <v>1162.538735972097</v>
      </c>
      <c r="I70" s="47">
        <f t="shared" si="13"/>
        <v>1072.6028187154743</v>
      </c>
    </row>
    <row r="71" spans="2:9" ht="14.25">
      <c r="B71" s="48">
        <v>0</v>
      </c>
      <c r="C71" s="48">
        <v>0</v>
      </c>
      <c r="D71" s="48">
        <v>0</v>
      </c>
      <c r="E71" s="48">
        <v>0</v>
      </c>
      <c r="F71" s="48">
        <v>0</v>
      </c>
      <c r="G71" s="48">
        <v>-1.1368683772161603E-12</v>
      </c>
      <c r="H71" s="48">
        <v>0</v>
      </c>
      <c r="I71" s="48">
        <v>0</v>
      </c>
    </row>
    <row r="72" spans="1:9" ht="14.25">
      <c r="A72" s="43"/>
      <c r="B72" s="48">
        <v>0</v>
      </c>
      <c r="C72" s="48">
        <v>0</v>
      </c>
      <c r="D72" s="48">
        <v>0</v>
      </c>
      <c r="E72" s="48">
        <v>0</v>
      </c>
      <c r="F72" s="48">
        <v>1.2505552149377763E-12</v>
      </c>
      <c r="G72" s="48">
        <v>-1.1368683772161603E-12</v>
      </c>
      <c r="H72" s="48">
        <v>0</v>
      </c>
      <c r="I72" s="48">
        <v>0</v>
      </c>
    </row>
    <row r="73" spans="1:9" ht="37.5" customHeight="1">
      <c r="A73" s="307" t="str">
        <f>HLOOKUP(INDICE!$F$2,Nombres!$C$3:$D$636,257,FALSE)</f>
        <v>Nota general: como consecuencia de una interpretación emitida por el IFRIC (International Financial Reporting Standards Interpretations Committee) relativa al cobro de intereses de fallidos en el marco de la NIIF 9, dichos cobros se presentan como menor saneamiento crediticio y no como un mayor ingreso por intereses, método de reconocimiento aplicado hasta diciembre de 2019. Por ello, y con el fin de que la información sea comparable, se ha procedido a reexpresar la información de la cuenta de resultados del primer semestre de 2019. </v>
      </c>
      <c r="B73" s="307"/>
      <c r="C73" s="307"/>
      <c r="D73" s="307"/>
      <c r="E73" s="307"/>
      <c r="F73" s="307"/>
      <c r="G73" s="307"/>
      <c r="H73" s="307"/>
      <c r="I73" s="307"/>
    </row>
    <row r="74" spans="1:9" ht="15" customHeight="1">
      <c r="A74" s="307" t="str">
        <f>HLOOKUP(INDICE!$F$2,Nombres!$C$3:$D$636,261,FALSE)</f>
        <v>(1) Incluye el resultado neto de impuestos por la venta a Allianz de la mitad más una acción de la sociedad constituida para impulsar de forma conjunta el negocio de seguros de no vida en España, excluyendo el ramo de salud.</v>
      </c>
      <c r="B74" s="307"/>
      <c r="C74" s="307"/>
      <c r="D74" s="307"/>
      <c r="E74" s="307"/>
      <c r="F74" s="307"/>
      <c r="G74" s="307"/>
      <c r="H74" s="307"/>
      <c r="I74" s="307"/>
    </row>
    <row r="75" spans="2:9" ht="14.25">
      <c r="B75" s="275"/>
      <c r="C75" s="275"/>
      <c r="D75" s="275"/>
      <c r="E75" s="275"/>
      <c r="F75" s="275"/>
      <c r="G75" s="275"/>
      <c r="H75" s="275"/>
      <c r="I75" s="275"/>
    </row>
    <row r="76" spans="1:9" ht="14.25">
      <c r="A76" s="43"/>
      <c r="B76" s="275"/>
      <c r="C76" s="275"/>
      <c r="D76" s="275"/>
      <c r="E76" s="275"/>
      <c r="F76" s="275"/>
      <c r="G76" s="275"/>
      <c r="H76" s="275"/>
      <c r="I76" s="275"/>
    </row>
    <row r="77" spans="1:9" ht="14.25">
      <c r="A77"/>
      <c r="B77" s="275"/>
      <c r="C77" s="275"/>
      <c r="D77" s="275"/>
      <c r="E77" s="275"/>
      <c r="F77" s="275"/>
      <c r="G77" s="275"/>
      <c r="H77" s="275"/>
      <c r="I77" s="275"/>
    </row>
    <row r="78" spans="2:9" ht="14.25">
      <c r="B78" s="275"/>
      <c r="C78" s="275"/>
      <c r="D78" s="275"/>
      <c r="E78" s="275"/>
      <c r="F78" s="275"/>
      <c r="G78" s="275"/>
      <c r="H78" s="275"/>
      <c r="I78" s="275"/>
    </row>
    <row r="90" ht="14.25">
      <c r="A90"/>
    </row>
    <row r="1004" ht="14.25">
      <c r="A1004" s="31" t="s">
        <v>397</v>
      </c>
    </row>
  </sheetData>
  <sheetProtection/>
  <mergeCells count="8">
    <mergeCell ref="A73:I73"/>
    <mergeCell ref="A74:I74"/>
    <mergeCell ref="B6:E6"/>
    <mergeCell ref="F6:I6"/>
    <mergeCell ref="A35:I35"/>
    <mergeCell ref="A36:I36"/>
    <mergeCell ref="B44:E44"/>
    <mergeCell ref="F44:I44"/>
  </mergeCells>
  <conditionalFormatting sqref="B38:I38">
    <cfRule type="cellIs" priority="44" dxfId="16" operator="notBetween">
      <formula>0.4</formula>
      <formula>-0.4</formula>
    </cfRule>
  </conditionalFormatting>
  <conditionalFormatting sqref="B39:I39">
    <cfRule type="cellIs" priority="43" dxfId="16" operator="notBetween">
      <formula>0.4</formula>
      <formula>-0.4</formula>
    </cfRule>
  </conditionalFormatting>
  <conditionalFormatting sqref="B71:I71">
    <cfRule type="cellIs" priority="40" dxfId="143" operator="notBetween">
      <formula>0.5</formula>
      <formula>-0.5</formula>
    </cfRule>
  </conditionalFormatting>
  <conditionalFormatting sqref="D71">
    <cfRule type="cellIs" priority="38" dxfId="143" operator="notBetween">
      <formula>0.5</formula>
      <formula>-0.5</formula>
    </cfRule>
  </conditionalFormatting>
  <conditionalFormatting sqref="F71">
    <cfRule type="cellIs" priority="36" dxfId="143" operator="notBetween">
      <formula>0.5</formula>
      <formula>-0.5</formula>
    </cfRule>
  </conditionalFormatting>
  <conditionalFormatting sqref="H71">
    <cfRule type="cellIs" priority="34" dxfId="143" operator="notBetween">
      <formula>0.5</formula>
      <formula>-0.5</formula>
    </cfRule>
  </conditionalFormatting>
  <conditionalFormatting sqref="E33">
    <cfRule type="cellIs" priority="27" dxfId="143" operator="notBetween">
      <formula>0.5</formula>
      <formula>-0.5</formula>
    </cfRule>
  </conditionalFormatting>
  <conditionalFormatting sqref="C33">
    <cfRule type="cellIs" priority="25" dxfId="143" operator="notBetween">
      <formula>0.5</formula>
      <formula>-0.5</formula>
    </cfRule>
  </conditionalFormatting>
  <conditionalFormatting sqref="H33">
    <cfRule type="cellIs" priority="30" dxfId="143" operator="notBetween">
      <formula>0.5</formula>
      <formula>-0.5</formula>
    </cfRule>
  </conditionalFormatting>
  <conditionalFormatting sqref="I33">
    <cfRule type="cellIs" priority="42" dxfId="143" operator="notBetween">
      <formula>0.5</formula>
      <formula>-0.5</formula>
    </cfRule>
  </conditionalFormatting>
  <conditionalFormatting sqref="B76:G76">
    <cfRule type="cellIs" priority="41" dxfId="16" operator="notBetween">
      <formula>0.4</formula>
      <formula>-0.4</formula>
    </cfRule>
  </conditionalFormatting>
  <conditionalFormatting sqref="I71">
    <cfRule type="cellIs" priority="33" dxfId="143" operator="notBetween">
      <formula>0.5</formula>
      <formula>-0.5</formula>
    </cfRule>
  </conditionalFormatting>
  <conditionalFormatting sqref="C71">
    <cfRule type="cellIs" priority="39" dxfId="143" operator="notBetween">
      <formula>0.5</formula>
      <formula>-0.5</formula>
    </cfRule>
  </conditionalFormatting>
  <conditionalFormatting sqref="E71">
    <cfRule type="cellIs" priority="37" dxfId="143" operator="notBetween">
      <formula>0.5</formula>
      <formula>-0.5</formula>
    </cfRule>
  </conditionalFormatting>
  <conditionalFormatting sqref="G71">
    <cfRule type="cellIs" priority="35" dxfId="143" operator="notBetween">
      <formula>0.5</formula>
      <formula>-0.5</formula>
    </cfRule>
  </conditionalFormatting>
  <conditionalFormatting sqref="G33">
    <cfRule type="cellIs" priority="29" dxfId="143" operator="notBetween">
      <formula>0.5</formula>
      <formula>-0.5</formula>
    </cfRule>
  </conditionalFormatting>
  <conditionalFormatting sqref="H76">
    <cfRule type="cellIs" priority="32" dxfId="16" operator="notBetween">
      <formula>0.4</formula>
      <formula>-0.4</formula>
    </cfRule>
  </conditionalFormatting>
  <conditionalFormatting sqref="I76">
    <cfRule type="cellIs" priority="31" dxfId="16" operator="notBetween">
      <formula>0.4</formula>
      <formula>-0.4</formula>
    </cfRule>
  </conditionalFormatting>
  <conditionalFormatting sqref="F33">
    <cfRule type="cellIs" priority="28" dxfId="143" operator="notBetween">
      <formula>0.5</formula>
      <formula>-0.5</formula>
    </cfRule>
  </conditionalFormatting>
  <conditionalFormatting sqref="D33">
    <cfRule type="cellIs" priority="26" dxfId="143" operator="notBetween">
      <formula>0.5</formula>
      <formula>-0.5</formula>
    </cfRule>
  </conditionalFormatting>
  <conditionalFormatting sqref="D34">
    <cfRule type="cellIs" priority="22" dxfId="143" operator="notBetween">
      <formula>0.5</formula>
      <formula>-0.5</formula>
    </cfRule>
  </conditionalFormatting>
  <conditionalFormatting sqref="B33:I33">
    <cfRule type="cellIs" priority="24" dxfId="143" operator="notBetween">
      <formula>0.5</formula>
      <formula>-0.5</formula>
    </cfRule>
  </conditionalFormatting>
  <conditionalFormatting sqref="C34">
    <cfRule type="cellIs" priority="23" dxfId="143" operator="notBetween">
      <formula>0.5</formula>
      <formula>-0.5</formula>
    </cfRule>
  </conditionalFormatting>
  <conditionalFormatting sqref="B34:E34">
    <cfRule type="cellIs" priority="21" dxfId="143" operator="notBetween">
      <formula>0.5</formula>
      <formula>-0.5</formula>
    </cfRule>
  </conditionalFormatting>
  <conditionalFormatting sqref="B37:I37">
    <cfRule type="cellIs" priority="20" dxfId="89" operator="notBetween">
      <formula>-1</formula>
      <formula>1</formula>
    </cfRule>
  </conditionalFormatting>
  <conditionalFormatting sqref="F33">
    <cfRule type="cellIs" priority="19" dxfId="143" operator="notBetween">
      <formula>0.5</formula>
      <formula>-0.5</formula>
    </cfRule>
  </conditionalFormatting>
  <conditionalFormatting sqref="G33">
    <cfRule type="cellIs" priority="18" dxfId="143" operator="notBetween">
      <formula>0.5</formula>
      <formula>-0.5</formula>
    </cfRule>
  </conditionalFormatting>
  <conditionalFormatting sqref="H33">
    <cfRule type="cellIs" priority="17" dxfId="143" operator="notBetween">
      <formula>0.5</formula>
      <formula>-0.5</formula>
    </cfRule>
  </conditionalFormatting>
  <conditionalFormatting sqref="I33">
    <cfRule type="cellIs" priority="16" dxfId="143" operator="notBetween">
      <formula>0.5</formula>
      <formula>-0.5</formula>
    </cfRule>
  </conditionalFormatting>
  <conditionalFormatting sqref="D33">
    <cfRule type="cellIs" priority="15" dxfId="143" operator="notBetween">
      <formula>0.5</formula>
      <formula>-0.5</formula>
    </cfRule>
  </conditionalFormatting>
  <conditionalFormatting sqref="C33">
    <cfRule type="cellIs" priority="14" dxfId="143" operator="notBetween">
      <formula>0.5</formula>
      <formula>-0.5</formula>
    </cfRule>
  </conditionalFormatting>
  <conditionalFormatting sqref="B33">
    <cfRule type="cellIs" priority="13" dxfId="143" operator="notBetween">
      <formula>0.5</formula>
      <formula>-0.5</formula>
    </cfRule>
  </conditionalFormatting>
  <conditionalFormatting sqref="F34:I34">
    <cfRule type="cellIs" priority="12" dxfId="143" operator="notBetween">
      <formula>0.5</formula>
      <formula>-0.5</formula>
    </cfRule>
  </conditionalFormatting>
  <conditionalFormatting sqref="B72:I72">
    <cfRule type="cellIs" priority="11" dxfId="143" operator="notBetween">
      <formula>0.5</formula>
      <formula>-0.5</formula>
    </cfRule>
  </conditionalFormatting>
  <conditionalFormatting sqref="D72">
    <cfRule type="cellIs" priority="9" dxfId="143" operator="notBetween">
      <formula>0.5</formula>
      <formula>-0.5</formula>
    </cfRule>
  </conditionalFormatting>
  <conditionalFormatting sqref="F72">
    <cfRule type="cellIs" priority="7" dxfId="143" operator="notBetween">
      <formula>0.5</formula>
      <formula>-0.5</formula>
    </cfRule>
  </conditionalFormatting>
  <conditionalFormatting sqref="H72">
    <cfRule type="cellIs" priority="5" dxfId="143" operator="notBetween">
      <formula>0.5</formula>
      <formula>-0.5</formula>
    </cfRule>
  </conditionalFormatting>
  <conditionalFormatting sqref="I72">
    <cfRule type="cellIs" priority="4" dxfId="143" operator="notBetween">
      <formula>0.5</formula>
      <formula>-0.5</formula>
    </cfRule>
  </conditionalFormatting>
  <conditionalFormatting sqref="C72">
    <cfRule type="cellIs" priority="10" dxfId="143" operator="notBetween">
      <formula>0.5</formula>
      <formula>-0.5</formula>
    </cfRule>
  </conditionalFormatting>
  <conditionalFormatting sqref="E72">
    <cfRule type="cellIs" priority="8" dxfId="143" operator="notBetween">
      <formula>0.5</formula>
      <formula>-0.5</formula>
    </cfRule>
  </conditionalFormatting>
  <conditionalFormatting sqref="G72">
    <cfRule type="cellIs" priority="6" dxfId="143" operator="notBetween">
      <formula>0.5</formula>
      <formula>-0.5</formula>
    </cfRule>
  </conditionalFormatting>
  <conditionalFormatting sqref="B77:G77">
    <cfRule type="cellIs" priority="3" dxfId="16" operator="notBetween">
      <formula>0.4</formula>
      <formula>-0.4</formula>
    </cfRule>
  </conditionalFormatting>
  <conditionalFormatting sqref="H77">
    <cfRule type="cellIs" priority="2" dxfId="16" operator="notBetween">
      <formula>0.4</formula>
      <formula>-0.4</formula>
    </cfRule>
  </conditionalFormatting>
  <conditionalFormatting sqref="I77">
    <cfRule type="cellIs" priority="1" dxfId="16" operator="notBetween">
      <formula>0.4</formula>
      <formula>-0.4</formula>
    </cfRule>
  </conditionalFormatting>
  <printOptions/>
  <pageMargins left="0.7" right="0.7" top="0.75" bottom="0.75" header="0.3" footer="0.3"/>
  <pageSetup orientation="portrait" paperSize="9"/>
  <drawing r:id="rId1"/>
</worksheet>
</file>

<file path=xl/worksheets/sheet3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I1000"/>
  <sheetViews>
    <sheetView showGridLines="0" zoomScalePageLayoutView="0" workbookViewId="0" topLeftCell="A1">
      <selection activeCell="A1" sqref="A1"/>
    </sheetView>
  </sheetViews>
  <sheetFormatPr defaultColWidth="11.421875" defaultRowHeight="15"/>
  <cols>
    <col min="1" max="1" width="33.7109375" style="0" customWidth="1"/>
  </cols>
  <sheetData>
    <row r="1" spans="1:9" ht="16.5">
      <c r="A1" s="265" t="str">
        <f>HLOOKUP(INDICE!$F$2,Nombres!$C$3:$D$636,242,FALSE)</f>
        <v>Carteras Coap</v>
      </c>
      <c r="B1" s="210"/>
      <c r="C1" s="210"/>
      <c r="D1" s="210"/>
      <c r="E1" s="210"/>
      <c r="F1" s="210"/>
      <c r="G1" s="210"/>
      <c r="H1" s="210"/>
      <c r="I1" s="210"/>
    </row>
    <row r="2" spans="1:9" ht="14.25">
      <c r="A2" s="86" t="str">
        <f>HLOOKUP(INDICE!$F$2,Nombres!$C$3:$D$636,32,FALSE)</f>
        <v>(Millones de euros)</v>
      </c>
      <c r="B2" s="213"/>
      <c r="C2" s="213"/>
      <c r="D2" s="213"/>
      <c r="E2" s="213"/>
      <c r="F2" s="213"/>
      <c r="G2" s="212"/>
      <c r="H2" s="212"/>
      <c r="I2" s="212"/>
    </row>
    <row r="3" spans="1:9" ht="14.25">
      <c r="A3" s="215"/>
      <c r="B3" s="213"/>
      <c r="C3" s="213"/>
      <c r="D3" s="213"/>
      <c r="E3" s="213"/>
      <c r="F3" s="213"/>
      <c r="G3" s="212"/>
      <c r="H3" s="212"/>
      <c r="I3" s="212"/>
    </row>
    <row r="4" spans="1:9" ht="15.75" customHeight="1">
      <c r="A4" s="216"/>
      <c r="B4" s="317" t="str">
        <f>HLOOKUP(INDICE!$F$2,Nombres!$C$3:$D$636,239,FALSE)</f>
        <v>Total Cartera COAP</v>
      </c>
      <c r="C4" s="316"/>
      <c r="D4" s="316"/>
      <c r="E4" s="316"/>
      <c r="F4" s="316"/>
      <c r="G4" s="316"/>
      <c r="H4" s="316"/>
      <c r="I4" s="316"/>
    </row>
    <row r="5" spans="1:9" ht="14.25">
      <c r="A5" s="217"/>
      <c r="B5" s="123">
        <v>43555</v>
      </c>
      <c r="C5" s="123">
        <v>43646</v>
      </c>
      <c r="D5" s="123">
        <v>43738</v>
      </c>
      <c r="E5" s="123">
        <v>43830</v>
      </c>
      <c r="F5" s="123">
        <v>43921</v>
      </c>
      <c r="G5" s="123">
        <v>44012</v>
      </c>
      <c r="H5" s="123">
        <v>44104</v>
      </c>
      <c r="I5" s="123">
        <v>44196</v>
      </c>
    </row>
    <row r="6" spans="1:9" ht="14.25">
      <c r="A6" s="266" t="str">
        <f>HLOOKUP(INDICE!$F$2,Nombres!$C$3:$D$636,230,FALSE)</f>
        <v>Grupo BBVA</v>
      </c>
      <c r="B6" s="221">
        <v>52421</v>
      </c>
      <c r="C6" s="221">
        <v>50894</v>
      </c>
      <c r="D6" s="221">
        <v>51598</v>
      </c>
      <c r="E6" s="221">
        <v>50831.4</v>
      </c>
      <c r="F6" s="221">
        <v>54236</v>
      </c>
      <c r="G6" s="221">
        <v>55141.8</v>
      </c>
      <c r="H6" s="221">
        <v>56905</v>
      </c>
      <c r="I6" s="221">
        <v>57520</v>
      </c>
    </row>
    <row r="7" spans="1:9" ht="14.25">
      <c r="A7" s="267" t="str">
        <f>HLOOKUP(INDICE!$F$2,Nombres!$C$3:$D$636,231,FALSE)</f>
        <v>Balance Euro</v>
      </c>
      <c r="B7" s="219">
        <v>22992</v>
      </c>
      <c r="C7" s="219">
        <v>23044</v>
      </c>
      <c r="D7" s="219">
        <v>22637</v>
      </c>
      <c r="E7" s="219">
        <v>21901</v>
      </c>
      <c r="F7" s="219">
        <v>24184</v>
      </c>
      <c r="G7" s="219">
        <v>23957</v>
      </c>
      <c r="H7" s="219">
        <v>25212</v>
      </c>
      <c r="I7" s="219">
        <v>24686</v>
      </c>
    </row>
    <row r="8" spans="1:9" ht="14.25">
      <c r="A8" s="268" t="str">
        <f>HLOOKUP(INDICE!$F$2,Nombres!$C$3:$D$636,232,FALSE)</f>
        <v>España</v>
      </c>
      <c r="B8" s="219">
        <v>15201</v>
      </c>
      <c r="C8" s="219">
        <v>15416</v>
      </c>
      <c r="D8" s="219">
        <v>14920</v>
      </c>
      <c r="E8" s="219">
        <v>13122</v>
      </c>
      <c r="F8" s="219">
        <v>15376</v>
      </c>
      <c r="G8" s="219">
        <v>15111</v>
      </c>
      <c r="H8" s="219">
        <v>15035</v>
      </c>
      <c r="I8" s="219">
        <v>14755</v>
      </c>
    </row>
    <row r="9" spans="1:9" ht="14.25">
      <c r="A9" s="268" t="str">
        <f>HLOOKUP(INDICE!$F$2,Nombres!$C$3:$D$636,233,FALSE)</f>
        <v>Italia</v>
      </c>
      <c r="B9" s="219">
        <v>4581</v>
      </c>
      <c r="C9" s="219">
        <v>4577</v>
      </c>
      <c r="D9" s="219">
        <v>4572</v>
      </c>
      <c r="E9" s="219">
        <v>4067</v>
      </c>
      <c r="F9" s="219">
        <v>4803</v>
      </c>
      <c r="G9" s="219">
        <v>4797</v>
      </c>
      <c r="H9" s="219">
        <v>5852</v>
      </c>
      <c r="I9" s="219">
        <v>5842</v>
      </c>
    </row>
    <row r="10" spans="1:9" ht="14.25">
      <c r="A10" s="269" t="str">
        <f>HLOOKUP(INDICE!$F$2,Nombres!$C$3:$D$636,234,FALSE)</f>
        <v>Resto</v>
      </c>
      <c r="B10" s="270">
        <v>3210</v>
      </c>
      <c r="C10" s="270">
        <v>3051</v>
      </c>
      <c r="D10" s="270">
        <v>3145</v>
      </c>
      <c r="E10" s="270">
        <v>4712</v>
      </c>
      <c r="F10" s="270">
        <v>4005</v>
      </c>
      <c r="G10" s="270">
        <v>4049</v>
      </c>
      <c r="H10" s="270">
        <v>4325</v>
      </c>
      <c r="I10" s="270">
        <v>4089</v>
      </c>
    </row>
    <row r="11" spans="1:9" ht="14.25">
      <c r="A11" s="267" t="str">
        <f>HLOOKUP(INDICE!$F$2,Nombres!$C$3:$D$636,235,FALSE)</f>
        <v>USA</v>
      </c>
      <c r="B11" s="219">
        <v>11894</v>
      </c>
      <c r="C11" s="219">
        <v>11697</v>
      </c>
      <c r="D11" s="219">
        <v>12227</v>
      </c>
      <c r="E11" s="219">
        <v>11995</v>
      </c>
      <c r="F11" s="219">
        <v>12398</v>
      </c>
      <c r="G11" s="219">
        <v>12327</v>
      </c>
      <c r="H11" s="219">
        <v>12724.1</v>
      </c>
      <c r="I11" s="219">
        <v>12882</v>
      </c>
    </row>
    <row r="12" spans="1:9" ht="14.25">
      <c r="A12" s="267" t="str">
        <f>HLOOKUP(INDICE!$F$2,Nombres!$C$3:$D$636,236,FALSE)</f>
        <v>Turquia</v>
      </c>
      <c r="B12" s="219">
        <v>8206</v>
      </c>
      <c r="C12" s="219">
        <v>8149</v>
      </c>
      <c r="D12" s="219">
        <v>8557</v>
      </c>
      <c r="E12" s="219">
        <v>7939</v>
      </c>
      <c r="F12" s="219">
        <v>7853</v>
      </c>
      <c r="G12" s="219">
        <v>7883</v>
      </c>
      <c r="H12" s="219">
        <v>7119</v>
      </c>
      <c r="I12" s="219">
        <v>7167</v>
      </c>
    </row>
    <row r="13" spans="1:9" ht="14.25">
      <c r="A13" s="267" t="str">
        <f>HLOOKUP(INDICE!$F$2,Nombres!$C$3:$D$636,237,FALSE)</f>
        <v>Mexico</v>
      </c>
      <c r="B13" s="219">
        <v>6430</v>
      </c>
      <c r="C13" s="219">
        <v>4970</v>
      </c>
      <c r="D13" s="219">
        <v>4912</v>
      </c>
      <c r="E13" s="219">
        <v>6251</v>
      </c>
      <c r="F13" s="219">
        <v>6576</v>
      </c>
      <c r="G13" s="219">
        <v>7140.8</v>
      </c>
      <c r="H13" s="219">
        <v>7945.9</v>
      </c>
      <c r="I13" s="219">
        <v>8988</v>
      </c>
    </row>
    <row r="14" spans="1:9" ht="14.25">
      <c r="A14" s="267" t="str">
        <f>HLOOKUP(INDICE!$F$2,Nombres!$C$3:$D$636,238,FALSE)</f>
        <v>Amércia del Sur</v>
      </c>
      <c r="B14" s="219">
        <v>2899</v>
      </c>
      <c r="C14" s="219">
        <v>3034</v>
      </c>
      <c r="D14" s="219">
        <v>3265</v>
      </c>
      <c r="E14" s="219">
        <v>2745.4</v>
      </c>
      <c r="F14" s="219">
        <v>3225</v>
      </c>
      <c r="G14" s="219">
        <v>3834</v>
      </c>
      <c r="H14" s="219">
        <v>3904</v>
      </c>
      <c r="I14" s="219">
        <v>3797</v>
      </c>
    </row>
    <row r="15" spans="1:9" ht="14.25">
      <c r="A15" s="302"/>
      <c r="B15" s="271">
        <f aca="true" t="shared" si="0" ref="B15:I15">+B6-B8-B9-B10-B11-B12-B13-B14</f>
        <v>0</v>
      </c>
      <c r="C15" s="271">
        <f t="shared" si="0"/>
        <v>0</v>
      </c>
      <c r="D15" s="271">
        <f t="shared" si="0"/>
        <v>0</v>
      </c>
      <c r="E15" s="271">
        <f t="shared" si="0"/>
        <v>0</v>
      </c>
      <c r="F15" s="271">
        <f t="shared" si="0"/>
        <v>0</v>
      </c>
      <c r="G15" s="271">
        <f t="shared" si="0"/>
        <v>0</v>
      </c>
      <c r="H15" s="271">
        <f t="shared" si="0"/>
        <v>0</v>
      </c>
      <c r="I15" s="271">
        <f t="shared" si="0"/>
        <v>0</v>
      </c>
    </row>
    <row r="16" spans="1:9" ht="14.25">
      <c r="A16" s="302"/>
      <c r="B16" s="271"/>
      <c r="C16" s="271"/>
      <c r="D16" s="271"/>
      <c r="E16" s="271"/>
      <c r="F16" s="271"/>
      <c r="G16" s="271"/>
      <c r="H16" s="271"/>
      <c r="I16" s="271"/>
    </row>
    <row r="17" spans="1:9" ht="14.25">
      <c r="A17" s="302"/>
      <c r="B17" s="271"/>
      <c r="C17" s="271"/>
      <c r="D17" s="271"/>
      <c r="E17" s="271"/>
      <c r="F17" s="271"/>
      <c r="G17" s="271"/>
      <c r="H17" s="271"/>
      <c r="I17" s="271"/>
    </row>
    <row r="18" spans="1:9" ht="15.75" customHeight="1">
      <c r="A18" s="216"/>
      <c r="B18" s="317" t="str">
        <f>HLOOKUP(INDICE!$F$2,Nombres!$C$3:$D$636,240,FALSE)</f>
        <v>Cartera COAP a Coste Amortizado</v>
      </c>
      <c r="C18" s="316"/>
      <c r="D18" s="316"/>
      <c r="E18" s="316"/>
      <c r="F18" s="316"/>
      <c r="G18" s="316"/>
      <c r="H18" s="316"/>
      <c r="I18" s="316"/>
    </row>
    <row r="19" spans="1:9" ht="14.25">
      <c r="A19" s="217"/>
      <c r="B19" s="123">
        <f aca="true" t="shared" si="1" ref="B19:I19">+B$5</f>
        <v>43555</v>
      </c>
      <c r="C19" s="123">
        <f t="shared" si="1"/>
        <v>43646</v>
      </c>
      <c r="D19" s="123">
        <f t="shared" si="1"/>
        <v>43738</v>
      </c>
      <c r="E19" s="123">
        <f t="shared" si="1"/>
        <v>43830</v>
      </c>
      <c r="F19" s="123">
        <f t="shared" si="1"/>
        <v>43921</v>
      </c>
      <c r="G19" s="123">
        <f t="shared" si="1"/>
        <v>44012</v>
      </c>
      <c r="H19" s="123">
        <f t="shared" si="1"/>
        <v>44104</v>
      </c>
      <c r="I19" s="123">
        <f t="shared" si="1"/>
        <v>44196</v>
      </c>
    </row>
    <row r="20" spans="1:9" ht="14.25">
      <c r="A20" s="266" t="str">
        <f>HLOOKUP(INDICE!$F$2,Nombres!$C$3:$D$636,230,FALSE)</f>
        <v>Grupo BBVA</v>
      </c>
      <c r="B20" s="221">
        <v>21015.82</v>
      </c>
      <c r="C20" s="221">
        <v>21479</v>
      </c>
      <c r="D20" s="221">
        <v>23362</v>
      </c>
      <c r="E20" s="221">
        <v>23176</v>
      </c>
      <c r="F20" s="221">
        <v>27697.7</v>
      </c>
      <c r="G20" s="221">
        <v>29002.8</v>
      </c>
      <c r="H20" s="221">
        <v>28884.319999999996</v>
      </c>
      <c r="I20" s="221">
        <v>29540</v>
      </c>
    </row>
    <row r="21" spans="1:9" ht="14.25">
      <c r="A21" s="267" t="str">
        <f>HLOOKUP(INDICE!$F$2,Nombres!$C$3:$D$636,231,FALSE)</f>
        <v>Balance Euro</v>
      </c>
      <c r="B21" s="219">
        <v>12432</v>
      </c>
      <c r="C21" s="219">
        <v>12599</v>
      </c>
      <c r="D21" s="219">
        <v>12737</v>
      </c>
      <c r="E21" s="219">
        <v>12485</v>
      </c>
      <c r="F21" s="219">
        <v>15456</v>
      </c>
      <c r="G21" s="219">
        <v>15175</v>
      </c>
      <c r="H21" s="219">
        <v>15063</v>
      </c>
      <c r="I21" s="219">
        <v>15011</v>
      </c>
    </row>
    <row r="22" spans="1:9" ht="14.25">
      <c r="A22" s="268" t="str">
        <f>HLOOKUP(INDICE!$F$2,Nombres!$C$3:$D$636,232,FALSE)</f>
        <v>España</v>
      </c>
      <c r="B22" s="219">
        <v>9149</v>
      </c>
      <c r="C22" s="219">
        <v>9368</v>
      </c>
      <c r="D22" s="219">
        <v>9524</v>
      </c>
      <c r="E22" s="219">
        <v>9346</v>
      </c>
      <c r="F22" s="219">
        <v>11607</v>
      </c>
      <c r="G22" s="219">
        <v>11345</v>
      </c>
      <c r="H22" s="219">
        <v>11270</v>
      </c>
      <c r="I22" s="219">
        <v>11236</v>
      </c>
    </row>
    <row r="23" spans="1:9" ht="14.25">
      <c r="A23" s="268" t="str">
        <f>HLOOKUP(INDICE!$F$2,Nombres!$C$3:$D$636,233,FALSE)</f>
        <v>Italia</v>
      </c>
      <c r="B23" s="219">
        <v>2985</v>
      </c>
      <c r="C23" s="219">
        <v>2981</v>
      </c>
      <c r="D23" s="219">
        <v>2977</v>
      </c>
      <c r="E23" s="219">
        <v>2973</v>
      </c>
      <c r="F23" s="219">
        <v>3710</v>
      </c>
      <c r="G23" s="219">
        <v>3705</v>
      </c>
      <c r="H23" s="219">
        <v>3697</v>
      </c>
      <c r="I23" s="219">
        <v>3686</v>
      </c>
    </row>
    <row r="24" spans="1:9" ht="14.25">
      <c r="A24" s="269" t="str">
        <f>HLOOKUP(INDICE!$F$2,Nombres!$C$3:$D$636,234,FALSE)</f>
        <v>Resto</v>
      </c>
      <c r="B24" s="219">
        <v>298</v>
      </c>
      <c r="C24" s="219">
        <v>250</v>
      </c>
      <c r="D24" s="219">
        <v>236</v>
      </c>
      <c r="E24" s="219">
        <v>166</v>
      </c>
      <c r="F24" s="219">
        <v>139</v>
      </c>
      <c r="G24" s="219">
        <v>125</v>
      </c>
      <c r="H24" s="219">
        <v>96</v>
      </c>
      <c r="I24" s="219">
        <v>89</v>
      </c>
    </row>
    <row r="25" spans="1:9" ht="14.25">
      <c r="A25" s="267" t="str">
        <f>HLOOKUP(INDICE!$F$2,Nombres!$C$3:$D$636,235,FALSE)</f>
        <v>USA</v>
      </c>
      <c r="B25" s="219">
        <v>3498</v>
      </c>
      <c r="C25" s="219">
        <v>3758</v>
      </c>
      <c r="D25" s="219">
        <v>5234</v>
      </c>
      <c r="E25" s="219">
        <v>5540</v>
      </c>
      <c r="F25" s="219">
        <v>6695</v>
      </c>
      <c r="G25" s="219">
        <v>7298</v>
      </c>
      <c r="H25" s="219">
        <v>7695.1</v>
      </c>
      <c r="I25" s="219">
        <v>8266</v>
      </c>
    </row>
    <row r="26" spans="1:9" ht="14.25">
      <c r="A26" s="267" t="str">
        <f>HLOOKUP(INDICE!$F$2,Nombres!$C$3:$D$636,236,FALSE)</f>
        <v>Turquia</v>
      </c>
      <c r="B26" s="219">
        <v>4180</v>
      </c>
      <c r="C26" s="219">
        <v>4236</v>
      </c>
      <c r="D26" s="219">
        <v>4533</v>
      </c>
      <c r="E26" s="219">
        <v>4287</v>
      </c>
      <c r="F26" s="219">
        <v>4485</v>
      </c>
      <c r="G26" s="219">
        <v>4192</v>
      </c>
      <c r="H26" s="219">
        <v>3786</v>
      </c>
      <c r="I26" s="219">
        <v>3790</v>
      </c>
    </row>
    <row r="27" spans="1:9" ht="14.25">
      <c r="A27" s="267" t="str">
        <f>HLOOKUP(INDICE!$F$2,Nombres!$C$3:$D$636,237,FALSE)</f>
        <v>Mexico</v>
      </c>
      <c r="B27" s="219">
        <v>784</v>
      </c>
      <c r="C27" s="219">
        <v>779</v>
      </c>
      <c r="D27" s="219">
        <v>792</v>
      </c>
      <c r="E27" s="219">
        <v>801</v>
      </c>
      <c r="F27" s="219">
        <v>1004.7</v>
      </c>
      <c r="G27" s="219">
        <v>2280.8</v>
      </c>
      <c r="H27" s="219">
        <v>2260.1</v>
      </c>
      <c r="I27" s="219">
        <v>2424</v>
      </c>
    </row>
    <row r="28" spans="1:9" ht="14.25">
      <c r="A28" s="267" t="str">
        <f>HLOOKUP(INDICE!$F$2,Nombres!$C$3:$D$636,238,FALSE)</f>
        <v>Amércia del Sur</v>
      </c>
      <c r="B28" s="219">
        <v>122</v>
      </c>
      <c r="C28" s="219">
        <v>107</v>
      </c>
      <c r="D28" s="219">
        <v>66</v>
      </c>
      <c r="E28" s="219">
        <v>63</v>
      </c>
      <c r="F28" s="219">
        <v>57</v>
      </c>
      <c r="G28" s="219">
        <v>57</v>
      </c>
      <c r="H28" s="219">
        <v>80.12</v>
      </c>
      <c r="I28" s="219">
        <v>49</v>
      </c>
    </row>
    <row r="29" spans="1:9" ht="14.25">
      <c r="A29" s="302"/>
      <c r="B29" s="271">
        <f aca="true" t="shared" si="2" ref="B29:I29">+B20-B22-B23-B24-B25-B26-B27-B28</f>
        <v>-0.18000000000029104</v>
      </c>
      <c r="C29" s="271">
        <f t="shared" si="2"/>
        <v>0</v>
      </c>
      <c r="D29" s="271">
        <f t="shared" si="2"/>
        <v>0</v>
      </c>
      <c r="E29" s="271">
        <f t="shared" si="2"/>
        <v>0</v>
      </c>
      <c r="F29" s="271">
        <f t="shared" si="2"/>
        <v>6.821210263296962E-13</v>
      </c>
      <c r="G29" s="271">
        <f t="shared" si="2"/>
        <v>-9.094947017729282E-13</v>
      </c>
      <c r="H29" s="271">
        <f t="shared" si="2"/>
        <v>-4.206412995699793E-12</v>
      </c>
      <c r="I29" s="271">
        <f t="shared" si="2"/>
        <v>0</v>
      </c>
    </row>
    <row r="30" spans="1:9" ht="14.25">
      <c r="A30" s="302"/>
      <c r="B30" s="212"/>
      <c r="C30" s="212"/>
      <c r="D30" s="212"/>
      <c r="E30" s="212"/>
      <c r="F30" s="224"/>
      <c r="G30" s="224"/>
      <c r="H30" s="224"/>
      <c r="I30" s="224"/>
    </row>
    <row r="31" spans="1:9" ht="14.25">
      <c r="A31" s="213"/>
      <c r="B31" s="224"/>
      <c r="C31" s="224"/>
      <c r="D31" s="224"/>
      <c r="E31" s="224"/>
      <c r="F31" s="224"/>
      <c r="G31" s="212"/>
      <c r="H31" s="212"/>
      <c r="I31" s="212"/>
    </row>
    <row r="32" spans="1:9" ht="15.75" customHeight="1">
      <c r="A32" s="216"/>
      <c r="B32" s="317" t="str">
        <f>HLOOKUP(INDICE!$F$2,Nombres!$C$3:$D$636,241,FALSE)</f>
        <v>Cartera COAP a Valor Razonable</v>
      </c>
      <c r="C32" s="316"/>
      <c r="D32" s="316"/>
      <c r="E32" s="316"/>
      <c r="F32" s="316"/>
      <c r="G32" s="316"/>
      <c r="H32" s="316"/>
      <c r="I32" s="316"/>
    </row>
    <row r="33" spans="1:9" ht="14.25">
      <c r="A33" s="217"/>
      <c r="B33" s="123">
        <f aca="true" t="shared" si="3" ref="B33:I33">+B$5</f>
        <v>43555</v>
      </c>
      <c r="C33" s="123">
        <f t="shared" si="3"/>
        <v>43646</v>
      </c>
      <c r="D33" s="123">
        <f t="shared" si="3"/>
        <v>43738</v>
      </c>
      <c r="E33" s="123">
        <f t="shared" si="3"/>
        <v>43830</v>
      </c>
      <c r="F33" s="123">
        <f t="shared" si="3"/>
        <v>43921</v>
      </c>
      <c r="G33" s="123">
        <f t="shared" si="3"/>
        <v>44012</v>
      </c>
      <c r="H33" s="123">
        <f t="shared" si="3"/>
        <v>44104</v>
      </c>
      <c r="I33" s="123">
        <f t="shared" si="3"/>
        <v>44196</v>
      </c>
    </row>
    <row r="34" spans="1:9" ht="14.25">
      <c r="A34" s="266" t="str">
        <f>HLOOKUP(INDICE!$F$2,Nombres!$C$3:$D$636,230,FALSE)</f>
        <v>Grupo BBVA</v>
      </c>
      <c r="B34" s="221">
        <v>31405.18</v>
      </c>
      <c r="C34" s="221">
        <v>29415</v>
      </c>
      <c r="D34" s="221">
        <v>28235</v>
      </c>
      <c r="E34" s="221">
        <v>27655</v>
      </c>
      <c r="F34" s="221">
        <v>26538</v>
      </c>
      <c r="G34" s="221">
        <v>26139</v>
      </c>
      <c r="H34" s="221">
        <v>28020.68</v>
      </c>
      <c r="I34" s="221">
        <v>27981</v>
      </c>
    </row>
    <row r="35" spans="1:9" ht="14.25">
      <c r="A35" s="218" t="str">
        <f>HLOOKUP(INDICE!$F$2,Nombres!$C$3:$D$636,231,FALSE)</f>
        <v>Balance Euro</v>
      </c>
      <c r="B35" s="219">
        <v>10560</v>
      </c>
      <c r="C35" s="219">
        <v>10445</v>
      </c>
      <c r="D35" s="219">
        <v>9900</v>
      </c>
      <c r="E35" s="219">
        <v>9416</v>
      </c>
      <c r="F35" s="219">
        <v>8728</v>
      </c>
      <c r="G35" s="219">
        <v>8782</v>
      </c>
      <c r="H35" s="219">
        <v>10149</v>
      </c>
      <c r="I35" s="219">
        <v>9675</v>
      </c>
    </row>
    <row r="36" spans="1:9" ht="14.25">
      <c r="A36" s="269" t="str">
        <f>HLOOKUP(INDICE!$F$2,Nombres!$C$3:$D$636,232,FALSE)</f>
        <v>España</v>
      </c>
      <c r="B36" s="219">
        <v>6052</v>
      </c>
      <c r="C36" s="219">
        <v>6048</v>
      </c>
      <c r="D36" s="219">
        <v>5396</v>
      </c>
      <c r="E36" s="219">
        <v>3776</v>
      </c>
      <c r="F36" s="219">
        <v>3769</v>
      </c>
      <c r="G36" s="219">
        <v>3766</v>
      </c>
      <c r="H36" s="219">
        <v>3765</v>
      </c>
      <c r="I36" s="219">
        <v>3519</v>
      </c>
    </row>
    <row r="37" spans="1:9" ht="14.25">
      <c r="A37" s="269" t="str">
        <f>HLOOKUP(INDICE!$F$2,Nombres!$C$3:$D$636,233,FALSE)</f>
        <v>Italia</v>
      </c>
      <c r="B37" s="219">
        <v>1596</v>
      </c>
      <c r="C37" s="219">
        <v>1596</v>
      </c>
      <c r="D37" s="219">
        <v>1595</v>
      </c>
      <c r="E37" s="219">
        <v>1094</v>
      </c>
      <c r="F37" s="219">
        <v>1093</v>
      </c>
      <c r="G37" s="219">
        <v>1092</v>
      </c>
      <c r="H37" s="219">
        <v>2155</v>
      </c>
      <c r="I37" s="219">
        <v>2156</v>
      </c>
    </row>
    <row r="38" spans="1:9" ht="14.25">
      <c r="A38" s="269" t="str">
        <f>HLOOKUP(INDICE!$F$2,Nombres!$C$3:$D$636,234,FALSE)</f>
        <v>Resto</v>
      </c>
      <c r="B38" s="219">
        <v>2912</v>
      </c>
      <c r="C38" s="219">
        <v>2801</v>
      </c>
      <c r="D38" s="219">
        <v>2909</v>
      </c>
      <c r="E38" s="219">
        <v>4546</v>
      </c>
      <c r="F38" s="219">
        <v>3866</v>
      </c>
      <c r="G38" s="219">
        <v>3924</v>
      </c>
      <c r="H38" s="219">
        <v>4229</v>
      </c>
      <c r="I38" s="219">
        <v>4000</v>
      </c>
    </row>
    <row r="39" spans="1:9" ht="14.25">
      <c r="A39" s="218" t="str">
        <f>HLOOKUP(INDICE!$F$2,Nombres!$C$3:$D$636,235,FALSE)</f>
        <v>USA</v>
      </c>
      <c r="B39" s="219">
        <v>8396</v>
      </c>
      <c r="C39" s="219">
        <v>7939</v>
      </c>
      <c r="D39" s="219">
        <v>6993</v>
      </c>
      <c r="E39" s="219">
        <v>6455</v>
      </c>
      <c r="F39" s="219">
        <v>5703</v>
      </c>
      <c r="G39" s="219">
        <v>5029</v>
      </c>
      <c r="H39" s="219">
        <v>5029</v>
      </c>
      <c r="I39" s="219">
        <v>4616</v>
      </c>
    </row>
    <row r="40" spans="1:9" ht="14.25">
      <c r="A40" s="218" t="str">
        <f>HLOOKUP(INDICE!$F$2,Nombres!$C$3:$D$636,236,FALSE)</f>
        <v>Turquia</v>
      </c>
      <c r="B40" s="219">
        <v>4026</v>
      </c>
      <c r="C40" s="219">
        <v>3913</v>
      </c>
      <c r="D40" s="219">
        <v>4024</v>
      </c>
      <c r="E40" s="219">
        <v>3652</v>
      </c>
      <c r="F40" s="219">
        <v>3368</v>
      </c>
      <c r="G40" s="219">
        <v>3691</v>
      </c>
      <c r="H40" s="219">
        <v>3333</v>
      </c>
      <c r="I40" s="219">
        <v>3377</v>
      </c>
    </row>
    <row r="41" spans="1:9" ht="14.25">
      <c r="A41" s="218" t="str">
        <f>HLOOKUP(INDICE!$F$2,Nombres!$C$3:$D$636,237,FALSE)</f>
        <v>Mexico</v>
      </c>
      <c r="B41" s="219">
        <v>5646</v>
      </c>
      <c r="C41" s="219">
        <v>4191</v>
      </c>
      <c r="D41" s="219">
        <v>4119</v>
      </c>
      <c r="E41" s="219">
        <v>5450</v>
      </c>
      <c r="F41" s="219">
        <v>5571</v>
      </c>
      <c r="G41" s="219">
        <v>4860</v>
      </c>
      <c r="H41" s="219">
        <v>5685.8</v>
      </c>
      <c r="I41" s="219">
        <v>6565</v>
      </c>
    </row>
    <row r="42" spans="1:9" ht="14.25">
      <c r="A42" s="218" t="str">
        <f>HLOOKUP(INDICE!$F$2,Nombres!$C$3:$D$636,238,FALSE)</f>
        <v>Amércia del Sur</v>
      </c>
      <c r="B42" s="219">
        <v>2777</v>
      </c>
      <c r="C42" s="219">
        <v>2927</v>
      </c>
      <c r="D42" s="219">
        <v>3199</v>
      </c>
      <c r="E42" s="219">
        <v>2682</v>
      </c>
      <c r="F42" s="219">
        <v>3168</v>
      </c>
      <c r="G42" s="219">
        <v>3777</v>
      </c>
      <c r="H42" s="219">
        <v>3823.88</v>
      </c>
      <c r="I42" s="219">
        <v>3748</v>
      </c>
    </row>
    <row r="43" spans="2:9" ht="14.25">
      <c r="B43" s="271">
        <f aca="true" t="shared" si="4" ref="B43:I43">+B34-B36-B37-B38-B39-B40-B41-B42</f>
        <v>0.18000000000029104</v>
      </c>
      <c r="C43" s="271">
        <f t="shared" si="4"/>
        <v>0</v>
      </c>
      <c r="D43" s="271">
        <f t="shared" si="4"/>
        <v>0</v>
      </c>
      <c r="E43" s="271">
        <f t="shared" si="4"/>
        <v>0</v>
      </c>
      <c r="F43" s="271">
        <f t="shared" si="4"/>
        <v>0</v>
      </c>
      <c r="G43" s="271">
        <f>+G34-G36-G37-G38-G39-G40-G41-G42</f>
        <v>0</v>
      </c>
      <c r="H43" s="271">
        <f t="shared" si="4"/>
        <v>0</v>
      </c>
      <c r="I43" s="271">
        <f t="shared" si="4"/>
        <v>0</v>
      </c>
    </row>
    <row r="1000" ht="14.25">
      <c r="A1000" s="212" t="s">
        <v>397</v>
      </c>
    </row>
  </sheetData>
  <sheetProtection/>
  <mergeCells count="3">
    <mergeCell ref="B4:I4"/>
    <mergeCell ref="B18:I18"/>
    <mergeCell ref="B32:I32"/>
  </mergeCells>
  <conditionalFormatting sqref="B15:I17">
    <cfRule type="cellIs" priority="3" dxfId="143" operator="notEqual">
      <formula>0</formula>
    </cfRule>
  </conditionalFormatting>
  <conditionalFormatting sqref="B29:I29">
    <cfRule type="cellIs" priority="2" dxfId="143" operator="notBetween">
      <formula>1</formula>
      <formula>-1</formula>
    </cfRule>
  </conditionalFormatting>
  <conditionalFormatting sqref="B43:I43">
    <cfRule type="cellIs" priority="1" dxfId="143" operator="notBetween">
      <formula>1</formula>
      <formula>-1</formula>
    </cfRule>
  </conditionalFormatting>
  <printOptions/>
  <pageMargins left="0.7" right="0.7" top="0.75" bottom="0.75" header="0.3" footer="0.3"/>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R1000"/>
  <sheetViews>
    <sheetView showGridLines="0" zoomScale="90" zoomScaleNormal="90" zoomScalePageLayoutView="0" workbookViewId="0" topLeftCell="A1">
      <selection activeCell="A44" sqref="A44"/>
    </sheetView>
  </sheetViews>
  <sheetFormatPr defaultColWidth="11.421875" defaultRowHeight="15"/>
  <cols>
    <col min="1" max="1" width="86.421875" style="31" customWidth="1"/>
    <col min="2" max="2" width="10.421875" style="31" customWidth="1"/>
    <col min="3" max="18" width="11.421875" style="31" customWidth="1"/>
  </cols>
  <sheetData>
    <row r="1" spans="1:9" ht="16.5">
      <c r="A1" s="29" t="str">
        <f>HLOOKUP(INDICE!$F$2,Nombres!$C$3:$D$636,104,FALSE)</f>
        <v>Grupo BBVA. Balances de situación consolidados</v>
      </c>
      <c r="B1" s="30"/>
      <c r="C1" s="30"/>
      <c r="D1" s="30"/>
      <c r="E1" s="30"/>
      <c r="F1" s="30"/>
      <c r="G1" s="30"/>
      <c r="H1" s="30"/>
      <c r="I1" s="30"/>
    </row>
    <row r="2" spans="1:9" ht="19.5">
      <c r="A2" s="32"/>
      <c r="B2" s="30"/>
      <c r="C2" s="30"/>
      <c r="D2" s="30"/>
      <c r="E2" s="30"/>
      <c r="F2" s="30"/>
      <c r="G2" s="30"/>
      <c r="H2" s="30"/>
      <c r="I2" s="30"/>
    </row>
    <row r="3" spans="1:9" ht="16.5">
      <c r="A3" s="33" t="str">
        <f>HLOOKUP(INDICE!$F$2,Nombres!$C$3:$D$636,51,FALSE)</f>
        <v>Balances</v>
      </c>
      <c r="B3" s="34"/>
      <c r="C3" s="34"/>
      <c r="D3" s="34"/>
      <c r="E3" s="34"/>
      <c r="F3" s="34"/>
      <c r="G3" s="34"/>
      <c r="H3" s="34"/>
      <c r="I3" s="34"/>
    </row>
    <row r="4" spans="1:9" ht="14.25">
      <c r="A4" s="35" t="str">
        <f>HLOOKUP(INDICE!$F$2,Nombres!$C$3:$D$636,32,FALSE)</f>
        <v>(Millones de euros)</v>
      </c>
      <c r="B4" s="30"/>
      <c r="C4" s="52"/>
      <c r="D4" s="52"/>
      <c r="E4" s="52"/>
      <c r="F4" s="30"/>
      <c r="G4" s="58"/>
      <c r="H4" s="58"/>
      <c r="I4" s="58"/>
    </row>
    <row r="5" spans="1:9" ht="14.25">
      <c r="A5" s="30"/>
      <c r="B5" s="53">
        <f>+España!B30</f>
        <v>43555</v>
      </c>
      <c r="C5" s="53">
        <f>+España!C30</f>
        <v>43646</v>
      </c>
      <c r="D5" s="53">
        <f>+España!D30</f>
        <v>43738</v>
      </c>
      <c r="E5" s="53">
        <f>+España!E30</f>
        <v>43830</v>
      </c>
      <c r="F5" s="53">
        <f>+España!F30</f>
        <v>43921</v>
      </c>
      <c r="G5" s="53">
        <f>+España!G30</f>
        <v>44012</v>
      </c>
      <c r="H5" s="53">
        <f>+España!H30</f>
        <v>44104</v>
      </c>
      <c r="I5" s="53">
        <f>+España!I30</f>
        <v>44196</v>
      </c>
    </row>
    <row r="6" spans="1:18" ht="14.25">
      <c r="A6" s="43" t="str">
        <f>HLOOKUP(INDICE!$F$2,Nombres!$C$3:$D$636,52,FALSE)</f>
        <v>Efectivo, saldos en efectivo en bancos centrales y otros depósitos a la vista</v>
      </c>
      <c r="B6" s="44">
        <v>50059.414</v>
      </c>
      <c r="C6" s="44">
        <v>44565.329</v>
      </c>
      <c r="D6" s="44">
        <v>41321.188</v>
      </c>
      <c r="E6" s="44">
        <v>44666.367</v>
      </c>
      <c r="F6" s="44">
        <v>49960.553</v>
      </c>
      <c r="G6" s="44">
        <v>66381.144</v>
      </c>
      <c r="H6" s="44">
        <v>72634.069</v>
      </c>
      <c r="I6" s="44">
        <v>77303.372</v>
      </c>
      <c r="J6" s="54"/>
      <c r="K6" s="54"/>
      <c r="O6" s="54"/>
      <c r="P6" s="54"/>
      <c r="Q6" s="54"/>
      <c r="R6" s="54"/>
    </row>
    <row r="7" spans="1:18" ht="14.25">
      <c r="A7" s="43" t="str">
        <f>HLOOKUP(INDICE!$F$2,Nombres!$C$3:$D$636,131,FALSE)</f>
        <v>Activos financieros mantenidos para negociar</v>
      </c>
      <c r="B7" s="44">
        <v>91528.764</v>
      </c>
      <c r="C7" s="44">
        <v>104324.247</v>
      </c>
      <c r="D7" s="44">
        <v>109946.747</v>
      </c>
      <c r="E7" s="44">
        <v>101734.962</v>
      </c>
      <c r="F7" s="44">
        <v>126266.258</v>
      </c>
      <c r="G7" s="44">
        <v>118392.894</v>
      </c>
      <c r="H7" s="44">
        <v>106348.416</v>
      </c>
      <c r="I7" s="44">
        <v>109078.138</v>
      </c>
      <c r="J7" s="54"/>
      <c r="K7" s="54"/>
      <c r="O7" s="54"/>
      <c r="P7" s="54"/>
      <c r="Q7" s="54"/>
      <c r="R7" s="54"/>
    </row>
    <row r="8" spans="1:18" ht="14.25">
      <c r="A8" s="43" t="str">
        <f>HLOOKUP(INDICE!$F$2,Nombres!$C$3:$D$636,132,FALSE)</f>
        <v>Activos financieros no destinados a negociación valorados obligatoriamente a valor razonable con cambios en resultados</v>
      </c>
      <c r="B8" s="44">
        <v>5534.6</v>
      </c>
      <c r="C8" s="44">
        <v>4918.365</v>
      </c>
      <c r="D8" s="44">
        <v>5209.409</v>
      </c>
      <c r="E8" s="44">
        <v>5557.146</v>
      </c>
      <c r="F8" s="44">
        <v>5100.257</v>
      </c>
      <c r="G8" s="44">
        <v>4998.077</v>
      </c>
      <c r="H8" s="44">
        <v>5147.257</v>
      </c>
      <c r="I8" s="44">
        <v>5210.652</v>
      </c>
      <c r="J8" s="54"/>
      <c r="K8" s="54"/>
      <c r="O8" s="54"/>
      <c r="P8" s="54"/>
      <c r="Q8" s="54"/>
      <c r="R8" s="54"/>
    </row>
    <row r="9" spans="1:18" ht="14.25">
      <c r="A9" s="43" t="str">
        <f>HLOOKUP(INDICE!$F$2,Nombres!$C$3:$D$636,133,FALSE)</f>
        <v>Activos financieros designados a valor razonable con cambios en resultados</v>
      </c>
      <c r="B9" s="44">
        <v>1310.735</v>
      </c>
      <c r="C9" s="44">
        <v>1403.443</v>
      </c>
      <c r="D9" s="44">
        <v>1399.754</v>
      </c>
      <c r="E9" s="44">
        <v>1214.003</v>
      </c>
      <c r="F9" s="44">
        <v>1174.787</v>
      </c>
      <c r="G9" s="44">
        <v>1097.759</v>
      </c>
      <c r="H9" s="44">
        <v>1117.342</v>
      </c>
      <c r="I9" s="44">
        <v>1116.604</v>
      </c>
      <c r="J9" s="54"/>
      <c r="K9" s="54"/>
      <c r="O9" s="54"/>
      <c r="P9" s="54"/>
      <c r="Q9" s="54"/>
      <c r="R9" s="54"/>
    </row>
    <row r="10" spans="1:18" ht="14.25">
      <c r="A10" s="43" t="str">
        <f>HLOOKUP(INDICE!$F$2,Nombres!$C$3:$D$636,134,FALSE)</f>
        <v>Activos financieros designados a valor razonable con cambios en otro resultado global acumulado</v>
      </c>
      <c r="B10" s="44">
        <v>60204.406</v>
      </c>
      <c r="C10" s="44">
        <v>63363.562</v>
      </c>
      <c r="D10" s="44">
        <v>63277.531</v>
      </c>
      <c r="E10" s="44">
        <v>61185.7</v>
      </c>
      <c r="F10" s="44">
        <v>61231.859</v>
      </c>
      <c r="G10" s="44">
        <v>70047.3</v>
      </c>
      <c r="H10" s="44">
        <v>72199.427</v>
      </c>
      <c r="I10" s="44">
        <v>74416.256</v>
      </c>
      <c r="J10" s="54"/>
      <c r="K10" s="54"/>
      <c r="O10" s="54"/>
      <c r="P10" s="54"/>
      <c r="Q10" s="54"/>
      <c r="R10" s="54"/>
    </row>
    <row r="11" spans="1:18" ht="14.25">
      <c r="A11" s="43" t="str">
        <f>HLOOKUP(INDICE!$F$2,Nombres!$C$3:$D$636,135,FALSE)</f>
        <v>Activos financieros a coste amortizado</v>
      </c>
      <c r="B11" s="44">
        <v>433008.152</v>
      </c>
      <c r="C11" s="44">
        <v>430929.827</v>
      </c>
      <c r="D11" s="44">
        <v>439064.17799999996</v>
      </c>
      <c r="E11" s="44">
        <v>440429.642</v>
      </c>
      <c r="F11" s="44">
        <v>444098.008</v>
      </c>
      <c r="G11" s="44">
        <v>451364.514</v>
      </c>
      <c r="H11" s="44">
        <v>428775.01200000005</v>
      </c>
      <c r="I11" s="44">
        <v>430260.13399999996</v>
      </c>
      <c r="J11" s="54"/>
      <c r="K11" s="54"/>
      <c r="O11" s="54"/>
      <c r="P11" s="54"/>
      <c r="Q11" s="54"/>
      <c r="R11" s="54"/>
    </row>
    <row r="12" spans="1:18" ht="14.25">
      <c r="A12" s="55" t="str">
        <f>HLOOKUP(INDICE!$F$2,Nombres!$C$3:$D$636,136,FALSE)</f>
        <v>. Préstamos y anticipos en bancos centrales  y entidades de crédito</v>
      </c>
      <c r="B12" s="56">
        <v>15787.366</v>
      </c>
      <c r="C12" s="56">
        <v>16421.04</v>
      </c>
      <c r="D12" s="56">
        <v>19667.179</v>
      </c>
      <c r="E12" s="56">
        <v>17924.292</v>
      </c>
      <c r="F12" s="56">
        <v>18861.334</v>
      </c>
      <c r="G12" s="56">
        <v>19621.266</v>
      </c>
      <c r="H12" s="56">
        <v>18795.889</v>
      </c>
      <c r="I12" s="56">
        <v>20820.898</v>
      </c>
      <c r="J12" s="54"/>
      <c r="K12" s="54"/>
      <c r="O12" s="54"/>
      <c r="P12" s="54"/>
      <c r="Q12" s="54"/>
      <c r="R12" s="54"/>
    </row>
    <row r="13" spans="1:18" ht="14.25">
      <c r="A13" s="55" t="str">
        <f>HLOOKUP(INDICE!$F$2,Nombres!$C$3:$D$636,137,FALSE)</f>
        <v>. Préstamos y anticipos a la clientela</v>
      </c>
      <c r="B13" s="56">
        <v>380799.483</v>
      </c>
      <c r="C13" s="56">
        <v>377155.065</v>
      </c>
      <c r="D13" s="56">
        <v>379969.046</v>
      </c>
      <c r="E13" s="56">
        <v>383564.964</v>
      </c>
      <c r="F13" s="56">
        <v>383802.461</v>
      </c>
      <c r="G13" s="56">
        <v>388289.536</v>
      </c>
      <c r="H13" s="56">
        <v>366606.297</v>
      </c>
      <c r="I13" s="56">
        <v>365005.592</v>
      </c>
      <c r="J13" s="54"/>
      <c r="K13" s="54"/>
      <c r="O13" s="54"/>
      <c r="P13" s="54"/>
      <c r="Q13" s="54"/>
      <c r="R13" s="54"/>
    </row>
    <row r="14" spans="1:18" ht="14.25">
      <c r="A14" s="55" t="str">
        <f>HLOOKUP(INDICE!$F$2,Nombres!$C$3:$D$636,138,FALSE)</f>
        <v>. Valores representativos de deuda</v>
      </c>
      <c r="B14" s="56">
        <v>36421.303</v>
      </c>
      <c r="C14" s="56">
        <v>37353.722</v>
      </c>
      <c r="D14" s="56">
        <v>39427.953</v>
      </c>
      <c r="E14" s="56">
        <v>38940.386</v>
      </c>
      <c r="F14" s="56">
        <v>41434.213</v>
      </c>
      <c r="G14" s="56">
        <v>43453.712</v>
      </c>
      <c r="H14" s="56">
        <v>43372.826</v>
      </c>
      <c r="I14" s="56">
        <v>44433.644</v>
      </c>
      <c r="J14" s="54"/>
      <c r="K14" s="54"/>
      <c r="O14" s="54"/>
      <c r="P14" s="54"/>
      <c r="Q14" s="54"/>
      <c r="R14" s="54"/>
    </row>
    <row r="15" spans="1:18" ht="15" customHeight="1" hidden="1">
      <c r="A15" s="43" t="str">
        <f>HLOOKUP(INDICE!$F$2,Nombres!$C$3:$D$636,139,FALSE)</f>
        <v>Inversiones mantenidas hasta el vencimiento</v>
      </c>
      <c r="B15" s="57"/>
      <c r="C15" s="57"/>
      <c r="D15" s="57"/>
      <c r="E15" s="57"/>
      <c r="F15" s="57"/>
      <c r="G15" s="57"/>
      <c r="H15" s="57"/>
      <c r="I15" s="57"/>
      <c r="J15" s="54"/>
      <c r="K15" s="54"/>
      <c r="O15" s="54"/>
      <c r="P15" s="54"/>
      <c r="Q15" s="54"/>
      <c r="R15" s="54"/>
    </row>
    <row r="16" spans="1:18" ht="14.25">
      <c r="A16" s="43" t="str">
        <f>HLOOKUP(INDICE!$F$2,Nombres!$C$3:$D$636,140,FALSE)</f>
        <v>Inversiones en negocios conjuntos y asociadas</v>
      </c>
      <c r="B16" s="44">
        <v>1587.294</v>
      </c>
      <c r="C16" s="44">
        <v>1637.59</v>
      </c>
      <c r="D16" s="44">
        <v>1550.09</v>
      </c>
      <c r="E16" s="44">
        <v>1488.289</v>
      </c>
      <c r="F16" s="44">
        <v>1439.71</v>
      </c>
      <c r="G16" s="44">
        <v>1366.361</v>
      </c>
      <c r="H16" s="44">
        <v>1240.675</v>
      </c>
      <c r="I16" s="44">
        <v>1436.545</v>
      </c>
      <c r="J16" s="54"/>
      <c r="K16" s="54"/>
      <c r="O16" s="54"/>
      <c r="P16" s="54"/>
      <c r="Q16" s="54"/>
      <c r="R16" s="54"/>
    </row>
    <row r="17" spans="1:18" ht="14.25">
      <c r="A17" s="43" t="str">
        <f>HLOOKUP(INDICE!$F$2,Nombres!$C$3:$D$636,56,FALSE)</f>
        <v>Activos tangibles</v>
      </c>
      <c r="B17" s="44">
        <v>10408.086</v>
      </c>
      <c r="C17" s="44">
        <v>10302.12</v>
      </c>
      <c r="D17" s="44">
        <v>10218.003</v>
      </c>
      <c r="E17" s="44">
        <v>10077.413</v>
      </c>
      <c r="F17" s="44">
        <v>9352.849</v>
      </c>
      <c r="G17" s="44">
        <v>9064.979</v>
      </c>
      <c r="H17" s="44">
        <v>8697.524</v>
      </c>
      <c r="I17" s="44">
        <v>8629.359</v>
      </c>
      <c r="J17" s="54"/>
      <c r="K17" s="54"/>
      <c r="O17" s="54"/>
      <c r="P17" s="54"/>
      <c r="Q17" s="54"/>
      <c r="R17" s="54"/>
    </row>
    <row r="18" spans="1:18" ht="14.25">
      <c r="A18" s="43" t="str">
        <f>HLOOKUP(INDICE!$F$2,Nombres!$C$3:$D$636,141,FALSE)</f>
        <v>Activos Intangibles</v>
      </c>
      <c r="B18" s="44">
        <v>8383.167</v>
      </c>
      <c r="C18" s="44">
        <v>8261.538</v>
      </c>
      <c r="D18" s="44">
        <v>8511.689</v>
      </c>
      <c r="E18" s="44">
        <v>6969.891</v>
      </c>
      <c r="F18" s="44">
        <v>4706.048</v>
      </c>
      <c r="G18" s="44">
        <v>4627.187</v>
      </c>
      <c r="H18" s="44">
        <v>4372.777</v>
      </c>
      <c r="I18" s="44">
        <v>4296.66</v>
      </c>
      <c r="J18" s="54"/>
      <c r="K18" s="54"/>
      <c r="O18" s="54"/>
      <c r="P18" s="54"/>
      <c r="Q18" s="54"/>
      <c r="R18" s="54"/>
    </row>
    <row r="19" spans="1:18" ht="14.25">
      <c r="A19" s="43" t="str">
        <f>HLOOKUP(INDICE!$F$2,Nombres!$C$3:$D$636,57,FALSE)</f>
        <v>Otros activos</v>
      </c>
      <c r="B19" s="58">
        <v>28338.245</v>
      </c>
      <c r="C19" s="58">
        <v>26875.551</v>
      </c>
      <c r="D19" s="58">
        <v>27590.787999999997</v>
      </c>
      <c r="E19" s="58">
        <v>24413.1</v>
      </c>
      <c r="F19" s="58">
        <v>26756.645</v>
      </c>
      <c r="G19" s="58">
        <v>25544.252</v>
      </c>
      <c r="H19" s="58">
        <v>25362.092</v>
      </c>
      <c r="I19" s="58">
        <v>24428.143</v>
      </c>
      <c r="J19" s="54"/>
      <c r="K19" s="54"/>
      <c r="O19" s="54"/>
      <c r="P19" s="54"/>
      <c r="Q19" s="54"/>
      <c r="R19" s="54"/>
    </row>
    <row r="20" spans="1:18" ht="14.25">
      <c r="A20" s="47" t="str">
        <f>HLOOKUP(INDICE!$F$2,Nombres!$C$3:$D$636,58,FALSE)</f>
        <v>Total activo / pasivo</v>
      </c>
      <c r="B20" s="47">
        <f aca="true" t="shared" si="0" ref="B20:I20">+SUM(B6:B11,B16:B19)</f>
        <v>690362.863</v>
      </c>
      <c r="C20" s="47">
        <f t="shared" si="0"/>
        <v>696581.5719999999</v>
      </c>
      <c r="D20" s="47">
        <f t="shared" si="0"/>
        <v>708089.3769999999</v>
      </c>
      <c r="E20" s="47">
        <f t="shared" si="0"/>
        <v>697736.513</v>
      </c>
      <c r="F20" s="47">
        <f t="shared" si="0"/>
        <v>730086.9739999999</v>
      </c>
      <c r="G20" s="47">
        <f t="shared" si="0"/>
        <v>752884.4670000002</v>
      </c>
      <c r="H20" s="47">
        <f t="shared" si="0"/>
        <v>725894.591</v>
      </c>
      <c r="I20" s="47">
        <f t="shared" si="0"/>
        <v>736175.8630000001</v>
      </c>
      <c r="J20" s="54"/>
      <c r="K20" s="54"/>
      <c r="O20" s="54"/>
      <c r="P20" s="54"/>
      <c r="Q20" s="54"/>
      <c r="R20" s="54"/>
    </row>
    <row r="21" spans="1:18" ht="14.25">
      <c r="A21" s="43" t="str">
        <f>HLOOKUP(INDICE!$F$2,Nombres!$C$3:$D$636,59,FALSE)</f>
        <v>Pasivos financieros mantenidos para negociar y designados a valor razonable con cambios en resultados</v>
      </c>
      <c r="B21" s="58">
        <v>79981.187</v>
      </c>
      <c r="C21" s="58">
        <v>90313.586</v>
      </c>
      <c r="D21" s="58">
        <v>91479.483</v>
      </c>
      <c r="E21" s="58">
        <v>88680.025</v>
      </c>
      <c r="F21" s="58">
        <v>112862.363</v>
      </c>
      <c r="G21" s="58">
        <v>107685.166</v>
      </c>
      <c r="H21" s="58">
        <v>93897.193</v>
      </c>
      <c r="I21" s="58">
        <v>86586.667</v>
      </c>
      <c r="O21" s="54"/>
      <c r="P21" s="54"/>
      <c r="Q21" s="54"/>
      <c r="R21" s="54"/>
    </row>
    <row r="22" spans="1:18" ht="14.25">
      <c r="A22" s="43" t="str">
        <f>HLOOKUP(INDICE!$F$2,Nombres!$C$3:$D$636,142,FALSE)</f>
        <v>Pasivos financieros designados a valor razonable con cambios en resultados</v>
      </c>
      <c r="B22" s="58">
        <v>7846.073</v>
      </c>
      <c r="C22" s="58">
        <v>8921.888</v>
      </c>
      <c r="D22" s="58">
        <v>9582.953</v>
      </c>
      <c r="E22" s="58">
        <v>10010.264</v>
      </c>
      <c r="F22" s="58">
        <v>8641.245</v>
      </c>
      <c r="G22" s="58">
        <v>9203.246</v>
      </c>
      <c r="H22" s="58">
        <v>9381.738</v>
      </c>
      <c r="I22" s="58">
        <v>10049.991</v>
      </c>
      <c r="J22" s="59"/>
      <c r="K22" s="59"/>
      <c r="L22" s="59"/>
      <c r="M22" s="59"/>
      <c r="N22" s="59"/>
      <c r="O22" s="54"/>
      <c r="P22" s="54"/>
      <c r="Q22" s="54"/>
      <c r="R22" s="54"/>
    </row>
    <row r="23" spans="1:18" ht="14.25">
      <c r="A23" s="43" t="str">
        <f>HLOOKUP(INDICE!$F$2,Nombres!$C$3:$D$636,143,FALSE)</f>
        <v>Pasivos financieros a coste amortizado</v>
      </c>
      <c r="B23" s="58">
        <v>520463.703</v>
      </c>
      <c r="C23" s="58">
        <v>513937.299</v>
      </c>
      <c r="D23" s="58">
        <v>519801.408</v>
      </c>
      <c r="E23" s="58">
        <v>518182.273</v>
      </c>
      <c r="F23" s="58">
        <v>534796.872</v>
      </c>
      <c r="G23" s="58">
        <v>561265.956</v>
      </c>
      <c r="H23" s="58">
        <v>549486.014</v>
      </c>
      <c r="I23" s="58">
        <v>565085.459</v>
      </c>
      <c r="J23" s="59"/>
      <c r="K23" s="59"/>
      <c r="L23" s="59"/>
      <c r="M23" s="59"/>
      <c r="N23" s="59"/>
      <c r="O23" s="54"/>
      <c r="P23" s="54"/>
      <c r="Q23" s="54"/>
      <c r="R23" s="54"/>
    </row>
    <row r="24" spans="1:18" ht="14.25">
      <c r="A24" s="55" t="str">
        <f>HLOOKUP(INDICE!$F$2,Nombres!$C$3:$D$636,60,FALSE)</f>
        <v>Depósitos de bancos centrales y entidades de crédito</v>
      </c>
      <c r="B24" s="60">
        <v>64427.4</v>
      </c>
      <c r="C24" s="60">
        <v>61457.22</v>
      </c>
      <c r="D24" s="60">
        <v>60558.724</v>
      </c>
      <c r="E24" s="60">
        <v>54722.221000000005</v>
      </c>
      <c r="F24" s="60">
        <v>69310.45300000001</v>
      </c>
      <c r="G24" s="60">
        <v>79044.416</v>
      </c>
      <c r="H24" s="60">
        <v>72747.458</v>
      </c>
      <c r="I24" s="60">
        <v>77512.936</v>
      </c>
      <c r="O24" s="54"/>
      <c r="P24" s="54"/>
      <c r="Q24" s="54"/>
      <c r="R24" s="54"/>
    </row>
    <row r="25" spans="1:18" ht="14.25">
      <c r="A25" s="55" t="str">
        <f>HLOOKUP(INDICE!$F$2,Nombres!$C$3:$D$636,61,FALSE)</f>
        <v>Depósitos de la clientela</v>
      </c>
      <c r="B25" s="60">
        <v>378527.14</v>
      </c>
      <c r="C25" s="60">
        <v>375103.744</v>
      </c>
      <c r="D25" s="60">
        <v>380842.883</v>
      </c>
      <c r="E25" s="60">
        <v>385685.8</v>
      </c>
      <c r="F25" s="60">
        <v>386558.568</v>
      </c>
      <c r="G25" s="60">
        <v>403656.505</v>
      </c>
      <c r="H25" s="60">
        <v>396530.5</v>
      </c>
      <c r="I25" s="60">
        <v>409121.51</v>
      </c>
      <c r="O25" s="54"/>
      <c r="P25" s="54"/>
      <c r="Q25" s="54"/>
      <c r="R25" s="54"/>
    </row>
    <row r="26" spans="1:18" ht="14.25">
      <c r="A26" s="55" t="str">
        <f>HLOOKUP(INDICE!$F$2,Nombres!$C$3:$D$636,62,FALSE)</f>
        <v>Valores representativos de deuda emitidos</v>
      </c>
      <c r="B26" s="60">
        <v>62364.987</v>
      </c>
      <c r="C26" s="60">
        <v>62684.511</v>
      </c>
      <c r="D26" s="60">
        <v>63366.429</v>
      </c>
      <c r="E26" s="60">
        <v>64003.714</v>
      </c>
      <c r="F26" s="60">
        <v>64978.65</v>
      </c>
      <c r="G26" s="60">
        <v>64461.172</v>
      </c>
      <c r="H26" s="60">
        <v>67063.711</v>
      </c>
      <c r="I26" s="60">
        <v>64591.247</v>
      </c>
      <c r="O26" s="54"/>
      <c r="P26" s="54"/>
      <c r="Q26" s="54"/>
      <c r="R26" s="54"/>
    </row>
    <row r="27" spans="1:18" ht="14.25">
      <c r="A27" s="55" t="str">
        <f>HLOOKUP(INDICE!$F$2,Nombres!$C$3:$D$636,144,FALSE)</f>
        <v>. Otros pasivos financieros</v>
      </c>
      <c r="B27" s="60">
        <v>15144.176</v>
      </c>
      <c r="C27" s="60">
        <v>14691.824</v>
      </c>
      <c r="D27" s="60">
        <v>15033.372</v>
      </c>
      <c r="E27" s="60">
        <v>13770.538</v>
      </c>
      <c r="F27" s="60">
        <v>13949.201</v>
      </c>
      <c r="G27" s="60">
        <v>14103.863</v>
      </c>
      <c r="H27" s="60">
        <v>13144.345</v>
      </c>
      <c r="I27" s="60">
        <v>13859.766</v>
      </c>
      <c r="O27" s="54"/>
      <c r="P27" s="54"/>
      <c r="Q27" s="54"/>
      <c r="R27" s="54"/>
    </row>
    <row r="28" spans="1:18" ht="14.25">
      <c r="A28" s="43" t="str">
        <f>HLOOKUP(INDICE!$F$2,Nombres!$C$3:$D$636,145,FALSE)</f>
        <v>Pasivos amparados por contratos de seguros o reaseguro</v>
      </c>
      <c r="B28" s="58">
        <v>10577.421</v>
      </c>
      <c r="C28" s="58">
        <v>10634.106</v>
      </c>
      <c r="D28" s="58">
        <v>10834.307</v>
      </c>
      <c r="E28" s="58">
        <v>10606.073</v>
      </c>
      <c r="F28" s="58">
        <v>9593.095</v>
      </c>
      <c r="G28" s="58">
        <v>9462.217</v>
      </c>
      <c r="H28" s="58">
        <v>9504.696</v>
      </c>
      <c r="I28" s="58">
        <v>9951.33</v>
      </c>
      <c r="O28" s="54"/>
      <c r="P28" s="54"/>
      <c r="Q28" s="54"/>
      <c r="R28" s="54"/>
    </row>
    <row r="29" spans="1:18" ht="14.25">
      <c r="A29" s="43" t="str">
        <f>HLOOKUP(INDICE!$F$2,Nombres!$C$3:$D$636,63,FALSE)</f>
        <v>Otros pasivos</v>
      </c>
      <c r="B29" s="58">
        <v>17947.443</v>
      </c>
      <c r="C29" s="58">
        <v>18084.854</v>
      </c>
      <c r="D29" s="58">
        <v>19362.374</v>
      </c>
      <c r="E29" s="58">
        <v>15332.952</v>
      </c>
      <c r="F29" s="58">
        <v>15019.154000000002</v>
      </c>
      <c r="G29" s="58">
        <v>15713.064999999999</v>
      </c>
      <c r="H29" s="58">
        <v>15103.427</v>
      </c>
      <c r="I29" s="58">
        <v>14482.586000000001</v>
      </c>
      <c r="O29" s="54"/>
      <c r="P29" s="54"/>
      <c r="Q29" s="54"/>
      <c r="R29" s="54"/>
    </row>
    <row r="30" spans="1:18" ht="14.25">
      <c r="A30" s="41" t="str">
        <f>HLOOKUP(INDICE!$F$2,Nombres!$C$3:$D$636,146,FALSE)</f>
        <v>Total pasivo</v>
      </c>
      <c r="B30" s="61">
        <f aca="true" t="shared" si="1" ref="B30:I30">+SUM(B21:B23,B28:B29)</f>
        <v>636815.8269999999</v>
      </c>
      <c r="C30" s="61">
        <f t="shared" si="1"/>
        <v>641891.7330000001</v>
      </c>
      <c r="D30" s="61">
        <f t="shared" si="1"/>
        <v>651060.525</v>
      </c>
      <c r="E30" s="61">
        <f t="shared" si="1"/>
        <v>642811.5869999999</v>
      </c>
      <c r="F30" s="61">
        <f t="shared" si="1"/>
        <v>680912.7289999999</v>
      </c>
      <c r="G30" s="61">
        <f t="shared" si="1"/>
        <v>703329.6499999999</v>
      </c>
      <c r="H30" s="61">
        <f t="shared" si="1"/>
        <v>677373.068</v>
      </c>
      <c r="I30" s="61">
        <f t="shared" si="1"/>
        <v>686156.033</v>
      </c>
      <c r="O30" s="54"/>
      <c r="P30" s="54"/>
      <c r="Q30" s="54"/>
      <c r="R30" s="54"/>
    </row>
    <row r="31" spans="1:18" ht="15" customHeight="1" hidden="1">
      <c r="A31" s="41"/>
      <c r="B31" s="61"/>
      <c r="C31" s="61"/>
      <c r="D31" s="61"/>
      <c r="E31" s="61"/>
      <c r="F31" s="61"/>
      <c r="G31" s="61"/>
      <c r="H31" s="61"/>
      <c r="I31" s="61"/>
      <c r="O31" s="54"/>
      <c r="P31" s="54"/>
      <c r="Q31" s="54"/>
      <c r="R31" s="54"/>
    </row>
    <row r="32" spans="1:18" ht="15" customHeight="1" hidden="1">
      <c r="A32" s="43" t="str">
        <f>HLOOKUP(INDICE!$F$2,Nombres!$C$3:$D$636,147,FALSE)</f>
        <v>Intereses minoritarios</v>
      </c>
      <c r="B32" s="58">
        <v>5717.824</v>
      </c>
      <c r="C32" s="58">
        <v>5838.968</v>
      </c>
      <c r="D32" s="58">
        <v>6299.18</v>
      </c>
      <c r="E32" s="58">
        <v>6201.005</v>
      </c>
      <c r="F32" s="58">
        <v>5988.998</v>
      </c>
      <c r="G32" s="58">
        <v>5835.816</v>
      </c>
      <c r="H32" s="58">
        <v>5404.432</v>
      </c>
      <c r="I32" s="58">
        <v>5471.443</v>
      </c>
      <c r="O32" s="54"/>
      <c r="P32" s="54"/>
      <c r="Q32" s="54"/>
      <c r="R32" s="54"/>
    </row>
    <row r="33" spans="1:18" ht="15" customHeight="1" hidden="1">
      <c r="A33" s="43" t="str">
        <f>HLOOKUP(INDICE!$F$2,Nombres!$C$3:$D$636,148,FALSE)</f>
        <v>Otro resultado global acumulado</v>
      </c>
      <c r="B33" s="58">
        <v>-9673.692</v>
      </c>
      <c r="C33" s="58">
        <v>-9866.685</v>
      </c>
      <c r="D33" s="58">
        <v>-9143.172</v>
      </c>
      <c r="E33" s="58">
        <v>-10226.001</v>
      </c>
      <c r="F33" s="58">
        <v>-12804.735</v>
      </c>
      <c r="G33" s="58">
        <v>-12822.452</v>
      </c>
      <c r="H33" s="58">
        <v>-14552.254</v>
      </c>
      <c r="I33" s="58">
        <v>-14355.727</v>
      </c>
      <c r="O33" s="54"/>
      <c r="P33" s="54"/>
      <c r="Q33" s="54"/>
      <c r="R33" s="54"/>
    </row>
    <row r="34" spans="1:18" ht="15" customHeight="1" hidden="1">
      <c r="A34" s="43" t="str">
        <f>HLOOKUP(INDICE!$F$2,Nombres!$C$3:$D$636,149,FALSE)</f>
        <v>Fondos propios</v>
      </c>
      <c r="B34" s="58">
        <v>57502.904</v>
      </c>
      <c r="C34" s="58">
        <v>58717.556</v>
      </c>
      <c r="D34" s="58">
        <v>59872.844</v>
      </c>
      <c r="E34" s="58">
        <v>58949.922</v>
      </c>
      <c r="F34" s="58">
        <v>55989.982</v>
      </c>
      <c r="G34" s="58">
        <v>56541.453</v>
      </c>
      <c r="H34" s="58">
        <v>57669.345</v>
      </c>
      <c r="I34" s="58">
        <v>58904.114</v>
      </c>
      <c r="O34" s="54"/>
      <c r="P34" s="54"/>
      <c r="Q34" s="54"/>
      <c r="R34" s="54"/>
    </row>
    <row r="35" spans="1:18" ht="14.25">
      <c r="A35" s="41" t="str">
        <f>HLOOKUP(INDICE!$F$2,Nombres!$C$3:$D$636,150,FALSE)</f>
        <v>Patrimonio neto</v>
      </c>
      <c r="B35" s="61">
        <f aca="true" t="shared" si="2" ref="B35:I35">+B32+B33+B34</f>
        <v>53547.036</v>
      </c>
      <c r="C35" s="61">
        <f t="shared" si="2"/>
        <v>54689.839</v>
      </c>
      <c r="D35" s="61">
        <f t="shared" si="2"/>
        <v>57028.852</v>
      </c>
      <c r="E35" s="61">
        <f t="shared" si="2"/>
        <v>54924.926</v>
      </c>
      <c r="F35" s="61">
        <f t="shared" si="2"/>
        <v>49174.245</v>
      </c>
      <c r="G35" s="61">
        <f t="shared" si="2"/>
        <v>49554.817</v>
      </c>
      <c r="H35" s="61">
        <f t="shared" si="2"/>
        <v>48521.523</v>
      </c>
      <c r="I35" s="61">
        <f t="shared" si="2"/>
        <v>50019.83</v>
      </c>
      <c r="O35" s="54"/>
      <c r="P35" s="54"/>
      <c r="Q35" s="54"/>
      <c r="R35" s="54"/>
    </row>
    <row r="36" spans="1:18" ht="14.25">
      <c r="A36" s="43"/>
      <c r="B36" s="58"/>
      <c r="C36" s="58"/>
      <c r="D36" s="58"/>
      <c r="E36" s="58"/>
      <c r="F36" s="58"/>
      <c r="G36" s="58"/>
      <c r="H36" s="58"/>
      <c r="I36" s="58"/>
      <c r="O36" s="54"/>
      <c r="P36" s="54"/>
      <c r="Q36" s="54"/>
      <c r="R36" s="54"/>
    </row>
    <row r="37" spans="1:18" ht="14.25">
      <c r="A37" s="47" t="str">
        <f>HLOOKUP(INDICE!$F$2,Nombres!$C$3:$D$636,151,FALSE)</f>
        <v>Total patrimonio neto y pasivo</v>
      </c>
      <c r="B37" s="47">
        <f>+B20</f>
        <v>690362.863</v>
      </c>
      <c r="C37" s="47">
        <f>+C20</f>
        <v>696581.5719999999</v>
      </c>
      <c r="D37" s="47">
        <f>+D20</f>
        <v>708089.3769999999</v>
      </c>
      <c r="E37" s="47">
        <f>+E20</f>
        <v>697736.513</v>
      </c>
      <c r="F37" s="47">
        <v>730086.974</v>
      </c>
      <c r="G37" s="47">
        <v>752884.467</v>
      </c>
      <c r="H37" s="47">
        <v>725894.591</v>
      </c>
      <c r="I37" s="47">
        <v>736175.863</v>
      </c>
      <c r="O37" s="54"/>
      <c r="P37" s="54"/>
      <c r="Q37" s="54"/>
      <c r="R37" s="54"/>
    </row>
    <row r="38" spans="1:9" ht="14.25">
      <c r="A38" s="43"/>
      <c r="B38" s="62">
        <f aca="true" t="shared" si="3" ref="B38:I38">+B37-B20</f>
        <v>0</v>
      </c>
      <c r="C38" s="62">
        <f t="shared" si="3"/>
        <v>0</v>
      </c>
      <c r="D38" s="62">
        <f t="shared" si="3"/>
        <v>0</v>
      </c>
      <c r="E38" s="62">
        <f t="shared" si="3"/>
        <v>0</v>
      </c>
      <c r="F38" s="62">
        <f t="shared" si="3"/>
        <v>0</v>
      </c>
      <c r="G38" s="62">
        <f t="shared" si="3"/>
        <v>0</v>
      </c>
      <c r="H38" s="62">
        <f t="shared" si="3"/>
        <v>0</v>
      </c>
      <c r="I38" s="62">
        <f t="shared" si="3"/>
        <v>0</v>
      </c>
    </row>
    <row r="39" spans="1:9" ht="14.25">
      <c r="A39" s="43"/>
      <c r="B39" s="62">
        <f aca="true" t="shared" si="4" ref="B39:I39">+B6+B7+B8+B9+B10+B11+B16+B17+B18+B19-B20</f>
        <v>0</v>
      </c>
      <c r="C39" s="62">
        <f t="shared" si="4"/>
        <v>0</v>
      </c>
      <c r="D39" s="62">
        <f t="shared" si="4"/>
        <v>0</v>
      </c>
      <c r="E39" s="62">
        <f t="shared" si="4"/>
        <v>0</v>
      </c>
      <c r="F39" s="62">
        <f t="shared" si="4"/>
        <v>0</v>
      </c>
      <c r="G39" s="62">
        <f t="shared" si="4"/>
        <v>0</v>
      </c>
      <c r="H39" s="62">
        <f t="shared" si="4"/>
        <v>0</v>
      </c>
      <c r="I39" s="62">
        <f t="shared" si="4"/>
        <v>0</v>
      </c>
    </row>
    <row r="40" spans="1:9" ht="66.75" customHeight="1">
      <c r="A40" s="307" t="str">
        <f>HLOOKUP(INDICE!$F$2,Nombres!$C$3:$D$636,265,FALSE)</f>
        <v>Nota general: cifras sin considerar la clasificación de BBVA Paraguay como Activos y Pasivos No corrientes en Venta a 31-12-2020 y 31-12-2019 y a 31-12-2020 BBVA USA y el resto de sociedades del Grupo en Estados Unidos incluidas en el acuerdo de venta suscrito con PNC.</v>
      </c>
      <c r="B40" s="307"/>
      <c r="C40" s="307"/>
      <c r="D40" s="307"/>
      <c r="E40" s="307"/>
      <c r="F40" s="307"/>
      <c r="G40" s="307"/>
      <c r="H40" s="307"/>
      <c r="I40" s="307"/>
    </row>
    <row r="41" spans="1:9" ht="14.25">
      <c r="A41" s="63"/>
      <c r="B41" s="58"/>
      <c r="C41" s="58"/>
      <c r="D41" s="58"/>
      <c r="E41" s="58"/>
      <c r="F41" s="58"/>
      <c r="G41" s="58"/>
      <c r="H41" s="58"/>
      <c r="I41" s="58"/>
    </row>
    <row r="42" spans="1:9" ht="14.25">
      <c r="A42" s="43"/>
      <c r="B42" s="58"/>
      <c r="C42" s="58"/>
      <c r="D42" s="58"/>
      <c r="E42" s="58"/>
      <c r="F42" s="58"/>
      <c r="G42" s="58"/>
      <c r="H42" s="58"/>
      <c r="I42" s="58"/>
    </row>
    <row r="43" spans="1:9" ht="14.25">
      <c r="A43" s="63"/>
      <c r="B43" s="298">
        <v>7.997732609510422E-08</v>
      </c>
      <c r="C43" s="298">
        <v>6.984919309616089E-08</v>
      </c>
      <c r="D43" s="298">
        <v>-5.005858838558197E-08</v>
      </c>
      <c r="E43" s="298">
        <v>2.0139850676059723E-08</v>
      </c>
      <c r="F43" s="298">
        <v>-0.0010000797919929028</v>
      </c>
      <c r="G43" s="298">
        <v>-1.300359144806862E-07</v>
      </c>
      <c r="H43" s="298">
        <v>8.975621312856674E-08</v>
      </c>
      <c r="I43" s="298">
        <v>-2.0139850676059723E-08</v>
      </c>
    </row>
    <row r="44" ht="14.25">
      <c r="B44" s="54"/>
    </row>
    <row r="46" ht="14.25">
      <c r="B46" s="54"/>
    </row>
    <row r="1000" ht="14.25">
      <c r="A1000" s="31" t="s">
        <v>397</v>
      </c>
    </row>
  </sheetData>
  <sheetProtection/>
  <mergeCells count="1">
    <mergeCell ref="A40:I40"/>
  </mergeCells>
  <conditionalFormatting sqref="F39:I39">
    <cfRule type="cellIs" priority="11" dxfId="143" operator="notBetween">
      <formula>0.5</formula>
      <formula>-0.5</formula>
    </cfRule>
  </conditionalFormatting>
  <conditionalFormatting sqref="I38">
    <cfRule type="cellIs" priority="10" dxfId="89" operator="notBetween">
      <formula>0.001</formula>
      <formula>-0.001</formula>
    </cfRule>
  </conditionalFormatting>
  <conditionalFormatting sqref="H38">
    <cfRule type="cellIs" priority="9" dxfId="89" operator="notBetween">
      <formula>0.001</formula>
      <formula>-0.001</formula>
    </cfRule>
  </conditionalFormatting>
  <conditionalFormatting sqref="G38">
    <cfRule type="cellIs" priority="8" dxfId="89" operator="notBetween">
      <formula>0.001</formula>
      <formula>-0.001</formula>
    </cfRule>
  </conditionalFormatting>
  <conditionalFormatting sqref="F38">
    <cfRule type="cellIs" priority="7" dxfId="89" operator="notBetween">
      <formula>0.001</formula>
      <formula>-0.001</formula>
    </cfRule>
  </conditionalFormatting>
  <conditionalFormatting sqref="B39:E39">
    <cfRule type="cellIs" priority="6" dxfId="143" operator="notBetween">
      <formula>0.5</formula>
      <formula>-0.5</formula>
    </cfRule>
  </conditionalFormatting>
  <conditionalFormatting sqref="E38">
    <cfRule type="cellIs" priority="5" dxfId="89" operator="notBetween">
      <formula>0.001</formula>
      <formula>-0.001</formula>
    </cfRule>
  </conditionalFormatting>
  <conditionalFormatting sqref="D38">
    <cfRule type="cellIs" priority="4" dxfId="89" operator="notBetween">
      <formula>0.001</formula>
      <formula>-0.001</formula>
    </cfRule>
  </conditionalFormatting>
  <conditionalFormatting sqref="C38">
    <cfRule type="cellIs" priority="3" dxfId="89" operator="notBetween">
      <formula>0.001</formula>
      <formula>-0.001</formula>
    </cfRule>
  </conditionalFormatting>
  <conditionalFormatting sqref="B38">
    <cfRule type="cellIs" priority="2" dxfId="89" operator="notBetween">
      <formula>0.001</formula>
      <formula>-0.001</formula>
    </cfRule>
  </conditionalFormatting>
  <conditionalFormatting sqref="B43:I43">
    <cfRule type="cellIs" priority="1" dxfId="143" operator="notBetween">
      <formula>0.1</formula>
      <formula>-0.1</formula>
    </cfRule>
  </conditionalFormatting>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K1000"/>
  <sheetViews>
    <sheetView showGridLines="0" zoomScalePageLayoutView="0" workbookViewId="0" topLeftCell="A34">
      <selection activeCell="A34" sqref="A1:J16384"/>
    </sheetView>
  </sheetViews>
  <sheetFormatPr defaultColWidth="11.421875" defaultRowHeight="15"/>
  <cols>
    <col min="1" max="1" width="62.00390625" style="31" customWidth="1"/>
    <col min="2" max="16384" width="11.421875" style="31" customWidth="1"/>
  </cols>
  <sheetData>
    <row r="1" spans="1:9" ht="16.5">
      <c r="A1" s="29" t="str">
        <f>HLOOKUP(INDICE!$F$2,Nombres!$C$3:$D$636,7,FALSE)</f>
        <v>España</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8">
        <v>2019</v>
      </c>
      <c r="C6" s="308"/>
      <c r="D6" s="308"/>
      <c r="E6" s="309"/>
      <c r="F6" s="308">
        <v>2020</v>
      </c>
      <c r="G6" s="308"/>
      <c r="H6" s="308"/>
      <c r="I6" s="308"/>
    </row>
    <row r="7" spans="1:9" ht="14.25">
      <c r="A7" s="38"/>
      <c r="B7" s="39" t="str">
        <f>HLOOKUP(INDICE!$F$2,Nombres!$C$3:$D$636,167,FALSE)</f>
        <v>1er Trim.</v>
      </c>
      <c r="C7" s="39" t="str">
        <f>HLOOKUP(INDICE!$F$2,Nombres!$C$3:$D$636,168,FALSE)</f>
        <v>2º Trim.</v>
      </c>
      <c r="D7" s="39" t="str">
        <f>HLOOKUP(INDICE!$F$2,Nombres!$C$3:$D$636,169,FALSE)</f>
        <v>3er Trim.</v>
      </c>
      <c r="E7" s="40" t="str">
        <f>HLOOKUP(INDICE!$F$2,Nombres!$C$3:$D$636,170,FALSE)</f>
        <v>4º Trim.</v>
      </c>
      <c r="F7" s="39" t="str">
        <f>HLOOKUP(INDICE!$F$2,Nombres!$C$3:$D$636,167,FALSE)</f>
        <v>1er Trim.</v>
      </c>
      <c r="G7" s="39" t="str">
        <f>HLOOKUP(INDICE!$F$2,Nombres!$C$3:$D$636,168,FALSE)</f>
        <v>2º Trim.</v>
      </c>
      <c r="H7" s="39" t="str">
        <f>HLOOKUP(INDICE!$F$2,Nombres!$C$3:$D$636,169,FALSE)</f>
        <v>3er Trim.</v>
      </c>
      <c r="I7" s="39" t="str">
        <f>HLOOKUP(INDICE!$F$2,Nombres!$C$3:$D$636,170,FALSE)</f>
        <v>4º Trim.</v>
      </c>
    </row>
    <row r="8" spans="1:9" ht="14.25">
      <c r="A8" s="41" t="str">
        <f>HLOOKUP(INDICE!$F$2,Nombres!$C$3:$D$636,33,FALSE)</f>
        <v>Margen de intereses</v>
      </c>
      <c r="B8" s="41">
        <v>858.98384412</v>
      </c>
      <c r="C8" s="41">
        <v>903.77776642</v>
      </c>
      <c r="D8" s="41">
        <v>897.9827422700001</v>
      </c>
      <c r="E8" s="42">
        <v>906.4222074099997</v>
      </c>
      <c r="F8" s="50">
        <v>873.27998978</v>
      </c>
      <c r="G8" s="50">
        <v>919.62753984</v>
      </c>
      <c r="H8" s="50">
        <v>882.0806291200001</v>
      </c>
      <c r="I8" s="50">
        <v>878.03892208</v>
      </c>
    </row>
    <row r="9" spans="1:9" ht="14.25">
      <c r="A9" s="43" t="str">
        <f>HLOOKUP(INDICE!$F$2,Nombres!$C$3:$D$636,34,FALSE)</f>
        <v>Comisiones netas</v>
      </c>
      <c r="B9" s="44">
        <v>413.3751026</v>
      </c>
      <c r="C9" s="44">
        <v>432.20180062</v>
      </c>
      <c r="D9" s="44">
        <v>441.7905057200001</v>
      </c>
      <c r="E9" s="45">
        <v>463.79162574999987</v>
      </c>
      <c r="F9" s="44">
        <v>468.96759842999995</v>
      </c>
      <c r="G9" s="44">
        <v>439.29343489</v>
      </c>
      <c r="H9" s="44">
        <v>440.73396505000005</v>
      </c>
      <c r="I9" s="44">
        <v>452.7029284899999</v>
      </c>
    </row>
    <row r="10" spans="1:9" ht="14.25">
      <c r="A10" s="43" t="str">
        <f>HLOOKUP(INDICE!$F$2,Nombres!$C$3:$D$636,35,FALSE)</f>
        <v>Resultados de operaciones financieras</v>
      </c>
      <c r="B10" s="44">
        <v>108.31173537000001</v>
      </c>
      <c r="C10" s="44">
        <v>-16.365977700000006</v>
      </c>
      <c r="D10" s="44">
        <v>29.512422309999984</v>
      </c>
      <c r="E10" s="45">
        <v>117.39237796000003</v>
      </c>
      <c r="F10" s="44">
        <v>60.64055225</v>
      </c>
      <c r="G10" s="44">
        <v>104.47637406999999</v>
      </c>
      <c r="H10" s="44">
        <v>51.46485044999999</v>
      </c>
      <c r="I10" s="44">
        <v>-42.81551208999997</v>
      </c>
    </row>
    <row r="11" spans="1:9" ht="14.25">
      <c r="A11" s="43" t="str">
        <f>HLOOKUP(INDICE!$F$2,Nombres!$C$3:$D$636,36,FALSE)</f>
        <v>Otros ingresos y cargas de explotación</v>
      </c>
      <c r="B11" s="44">
        <v>93.97126723</v>
      </c>
      <c r="C11" s="44">
        <v>-21.65178053999999</v>
      </c>
      <c r="D11" s="44">
        <v>105.07230622</v>
      </c>
      <c r="E11" s="45">
        <v>-79.04590240000002</v>
      </c>
      <c r="F11" s="44">
        <v>103.48548299000001</v>
      </c>
      <c r="G11" s="44">
        <v>-69.52901682999997</v>
      </c>
      <c r="H11" s="44">
        <v>107.36149430999998</v>
      </c>
      <c r="I11" s="44">
        <v>-115.96233969</v>
      </c>
    </row>
    <row r="12" spans="1:9" ht="14.25">
      <c r="A12" s="41" t="str">
        <f>HLOOKUP(INDICE!$F$2,Nombres!$C$3:$D$636,37,FALSE)</f>
        <v>Margen bruto</v>
      </c>
      <c r="B12" s="41">
        <f>+SUM(B8:B11)</f>
        <v>1474.6419493199999</v>
      </c>
      <c r="C12" s="41">
        <f aca="true" t="shared" si="0" ref="C12:I12">+SUM(C8:C11)</f>
        <v>1297.9618088</v>
      </c>
      <c r="D12" s="41">
        <f t="shared" si="0"/>
        <v>1474.3579765200002</v>
      </c>
      <c r="E12" s="42">
        <f t="shared" si="0"/>
        <v>1408.5603087199995</v>
      </c>
      <c r="F12" s="50">
        <f t="shared" si="0"/>
        <v>1506.37362345</v>
      </c>
      <c r="G12" s="50">
        <f t="shared" si="0"/>
        <v>1393.86833197</v>
      </c>
      <c r="H12" s="50">
        <f t="shared" si="0"/>
        <v>1481.6409389300002</v>
      </c>
      <c r="I12" s="50">
        <f t="shared" si="0"/>
        <v>1171.9639987900002</v>
      </c>
    </row>
    <row r="13" spans="1:9" ht="14.25">
      <c r="A13" s="43" t="str">
        <f>HLOOKUP(INDICE!$F$2,Nombres!$C$3:$D$636,38,FALSE)</f>
        <v>Gastos de explotación</v>
      </c>
      <c r="B13" s="44">
        <v>-814.00689748</v>
      </c>
      <c r="C13" s="44">
        <v>-814.07476103</v>
      </c>
      <c r="D13" s="44">
        <v>-812.9888792300003</v>
      </c>
      <c r="E13" s="45">
        <v>-812.2969182999998</v>
      </c>
      <c r="F13" s="44">
        <v>-777.8862642900001</v>
      </c>
      <c r="G13" s="44">
        <v>-750.85843373</v>
      </c>
      <c r="H13" s="44">
        <v>-748.04623264</v>
      </c>
      <c r="I13" s="44">
        <v>-762.36782138</v>
      </c>
    </row>
    <row r="14" spans="1:9" ht="14.25">
      <c r="A14" s="43" t="str">
        <f>HLOOKUP(INDICE!$F$2,Nombres!$C$3:$D$636,39,FALSE)</f>
        <v>  Gastos de administración</v>
      </c>
      <c r="B14" s="44">
        <v>-694.5265836499999</v>
      </c>
      <c r="C14" s="44">
        <v>-694.92913154</v>
      </c>
      <c r="D14" s="44">
        <v>-692.28435674</v>
      </c>
      <c r="E14" s="45">
        <v>-695.6300018099998</v>
      </c>
      <c r="F14" s="44">
        <v>-662.8259448</v>
      </c>
      <c r="G14" s="44">
        <v>-635.55408524</v>
      </c>
      <c r="H14" s="44">
        <v>-632.1665501499999</v>
      </c>
      <c r="I14" s="44">
        <v>-648.98660384</v>
      </c>
    </row>
    <row r="15" spans="1:9" ht="14.25">
      <c r="A15" s="46" t="str">
        <f>HLOOKUP(INDICE!$F$2,Nombres!$C$3:$D$636,40,FALSE)</f>
        <v>  Gastos de personal</v>
      </c>
      <c r="B15" s="44">
        <v>-472.39994122</v>
      </c>
      <c r="C15" s="44">
        <v>-469.97102887999995</v>
      </c>
      <c r="D15" s="44">
        <v>-471.189314</v>
      </c>
      <c r="E15" s="45">
        <v>-469.18469299999987</v>
      </c>
      <c r="F15" s="44">
        <v>-440.09057215000007</v>
      </c>
      <c r="G15" s="44">
        <v>-425.54149292</v>
      </c>
      <c r="H15" s="44">
        <v>-425.16207815000007</v>
      </c>
      <c r="I15" s="44">
        <v>-447.26262582000004</v>
      </c>
    </row>
    <row r="16" spans="1:9" ht="14.25">
      <c r="A16" s="46" t="str">
        <f>HLOOKUP(INDICE!$F$2,Nombres!$C$3:$D$636,41,FALSE)</f>
        <v>  Otros gastos de administración</v>
      </c>
      <c r="B16" s="44">
        <v>-222.12664243</v>
      </c>
      <c r="C16" s="44">
        <v>-224.95810265999998</v>
      </c>
      <c r="D16" s="44">
        <v>-221.09504274000005</v>
      </c>
      <c r="E16" s="45">
        <v>-226.44530880999991</v>
      </c>
      <c r="F16" s="44">
        <v>-222.73537265</v>
      </c>
      <c r="G16" s="44">
        <v>-210.01259232000004</v>
      </c>
      <c r="H16" s="44">
        <v>-207.00447199999994</v>
      </c>
      <c r="I16" s="44">
        <v>-201.72397801999998</v>
      </c>
    </row>
    <row r="17" spans="1:9" ht="14.25">
      <c r="A17" s="43" t="str">
        <f>HLOOKUP(INDICE!$F$2,Nombres!$C$3:$D$636,42,FALSE)</f>
        <v>  Amortización</v>
      </c>
      <c r="B17" s="44">
        <v>-119.48031383</v>
      </c>
      <c r="C17" s="44">
        <v>-119.14562949</v>
      </c>
      <c r="D17" s="44">
        <v>-120.70452248999999</v>
      </c>
      <c r="E17" s="45">
        <v>-116.66691649</v>
      </c>
      <c r="F17" s="44">
        <v>-115.06031949</v>
      </c>
      <c r="G17" s="44">
        <v>-115.30434849000001</v>
      </c>
      <c r="H17" s="44">
        <v>-115.87968249</v>
      </c>
      <c r="I17" s="44">
        <v>-113.38121753999998</v>
      </c>
    </row>
    <row r="18" spans="1:9" ht="14.25">
      <c r="A18" s="41" t="str">
        <f>HLOOKUP(INDICE!$F$2,Nombres!$C$3:$D$636,43,FALSE)</f>
        <v>Margen neto</v>
      </c>
      <c r="B18" s="41">
        <f>+B12+B13</f>
        <v>660.6350518399998</v>
      </c>
      <c r="C18" s="41">
        <f aca="true" t="shared" si="1" ref="C18:I18">+C12+C13</f>
        <v>483.88704777</v>
      </c>
      <c r="D18" s="41">
        <f t="shared" si="1"/>
        <v>661.3690972899999</v>
      </c>
      <c r="E18" s="42">
        <f t="shared" si="1"/>
        <v>596.2633904199997</v>
      </c>
      <c r="F18" s="50">
        <f t="shared" si="1"/>
        <v>728.4873591599999</v>
      </c>
      <c r="G18" s="50">
        <f t="shared" si="1"/>
        <v>643.0098982400001</v>
      </c>
      <c r="H18" s="50">
        <f t="shared" si="1"/>
        <v>733.5947062900002</v>
      </c>
      <c r="I18" s="50">
        <f t="shared" si="1"/>
        <v>409.5961774100002</v>
      </c>
    </row>
    <row r="19" spans="1:9" ht="14.25">
      <c r="A19" s="43" t="str">
        <f>HLOOKUP(INDICE!$F$2,Nombres!$C$3:$D$636,44,FALSE)</f>
        <v>Deterioro de activos financieros no valorados a valor razonable con cambios en resultados</v>
      </c>
      <c r="B19" s="44">
        <v>-55.28402033</v>
      </c>
      <c r="C19" s="44">
        <v>125.21200652</v>
      </c>
      <c r="D19" s="44">
        <v>-115.98229994999998</v>
      </c>
      <c r="E19" s="45">
        <v>-91.96219788000002</v>
      </c>
      <c r="F19" s="44">
        <v>-659.9339739100001</v>
      </c>
      <c r="G19" s="44">
        <v>-222.67384541999994</v>
      </c>
      <c r="H19" s="44">
        <v>-192.35347437000001</v>
      </c>
      <c r="I19" s="44">
        <v>-92.34482373000003</v>
      </c>
    </row>
    <row r="20" spans="1:9" ht="14.25">
      <c r="A20" s="43" t="str">
        <f>HLOOKUP(INDICE!$F$2,Nombres!$C$3:$D$636,45,FALSE)</f>
        <v>Provisiones o reversión de provisiones y otros resultados</v>
      </c>
      <c r="B20" s="44">
        <v>-123.053969</v>
      </c>
      <c r="C20" s="44">
        <v>-64.60008076999999</v>
      </c>
      <c r="D20" s="44">
        <v>-83.12279688</v>
      </c>
      <c r="E20" s="45">
        <v>-115.44842752999999</v>
      </c>
      <c r="F20" s="44">
        <v>-265.03520212</v>
      </c>
      <c r="G20" s="44">
        <v>-100.13330647</v>
      </c>
      <c r="H20" s="44">
        <v>-64.809307</v>
      </c>
      <c r="I20" s="44">
        <v>-107.97342595000003</v>
      </c>
    </row>
    <row r="21" spans="1:9" ht="14.25">
      <c r="A21" s="41" t="str">
        <f>HLOOKUP(INDICE!$F$2,Nombres!$C$3:$D$636,46,FALSE)</f>
        <v>Resultado antes de impuestos</v>
      </c>
      <c r="B21" s="41">
        <f>+B18+B19+B20</f>
        <v>482.2970625099999</v>
      </c>
      <c r="C21" s="41">
        <f aca="true" t="shared" si="2" ref="C21:I21">+C18+C19+C20</f>
        <v>544.49897352</v>
      </c>
      <c r="D21" s="41">
        <f t="shared" si="2"/>
        <v>462.2640004599999</v>
      </c>
      <c r="E21" s="42">
        <f t="shared" si="2"/>
        <v>388.8527650099997</v>
      </c>
      <c r="F21" s="50">
        <f t="shared" si="2"/>
        <v>-196.48181687000022</v>
      </c>
      <c r="G21" s="50">
        <f t="shared" si="2"/>
        <v>320.2027463500002</v>
      </c>
      <c r="H21" s="50">
        <f t="shared" si="2"/>
        <v>476.43192492000026</v>
      </c>
      <c r="I21" s="50">
        <f t="shared" si="2"/>
        <v>209.27792773000016</v>
      </c>
    </row>
    <row r="22" spans="1:9" ht="14.25">
      <c r="A22" s="43" t="str">
        <f>HLOOKUP(INDICE!$F$2,Nombres!$C$3:$D$636,47,FALSE)</f>
        <v>Impuesto sobre beneficios</v>
      </c>
      <c r="B22" s="44">
        <v>-136.79156144</v>
      </c>
      <c r="C22" s="44">
        <v>-154.82311407000003</v>
      </c>
      <c r="D22" s="44">
        <v>-131.26524554999997</v>
      </c>
      <c r="E22" s="45">
        <v>-66.17894122999999</v>
      </c>
      <c r="F22" s="44">
        <v>56.97972956000004</v>
      </c>
      <c r="G22" s="44">
        <v>-91.1514502</v>
      </c>
      <c r="H22" s="44">
        <v>-123.84852590000001</v>
      </c>
      <c r="I22" s="44">
        <v>-41.80898826999998</v>
      </c>
    </row>
    <row r="23" spans="1:9" ht="14.25">
      <c r="A23" s="41" t="str">
        <f>HLOOKUP(INDICE!$F$2,Nombres!$C$3:$D$636,48,FALSE)</f>
        <v>Resultado del ejercicio</v>
      </c>
      <c r="B23" s="41">
        <f>+B21+B22</f>
        <v>345.50550106999987</v>
      </c>
      <c r="C23" s="41">
        <f aca="true" t="shared" si="3" ref="C23:I23">+C21+C22</f>
        <v>389.67585945</v>
      </c>
      <c r="D23" s="41">
        <f t="shared" si="3"/>
        <v>330.99875490999995</v>
      </c>
      <c r="E23" s="42">
        <f t="shared" si="3"/>
        <v>322.6738237799997</v>
      </c>
      <c r="F23" s="50">
        <f t="shared" si="3"/>
        <v>-139.50208731000018</v>
      </c>
      <c r="G23" s="50">
        <f t="shared" si="3"/>
        <v>229.0512961500002</v>
      </c>
      <c r="H23" s="50">
        <f t="shared" si="3"/>
        <v>352.58339902000023</v>
      </c>
      <c r="I23" s="50">
        <f t="shared" si="3"/>
        <v>167.46893946000017</v>
      </c>
    </row>
    <row r="24" spans="1:9" ht="14.25">
      <c r="A24" s="43" t="str">
        <f>HLOOKUP(INDICE!$F$2,Nombres!$C$3:$D$636,49,FALSE)</f>
        <v>Minoritarios</v>
      </c>
      <c r="B24" s="44">
        <v>-0.8074134</v>
      </c>
      <c r="C24" s="44">
        <v>-0.5400536</v>
      </c>
      <c r="D24" s="44">
        <v>-0.51821124</v>
      </c>
      <c r="E24" s="45">
        <v>-0.68372019</v>
      </c>
      <c r="F24" s="44">
        <v>-1.19072057</v>
      </c>
      <c r="G24" s="44">
        <v>-0.77747563</v>
      </c>
      <c r="H24" s="44">
        <v>-0.5121923700000001</v>
      </c>
      <c r="I24" s="44">
        <v>-0.99890466</v>
      </c>
    </row>
    <row r="25" spans="1:9" ht="14.25">
      <c r="A25" s="47" t="str">
        <f>HLOOKUP(INDICE!$F$2,Nombres!$C$3:$D$636,50,FALSE)</f>
        <v>Resultado atribuido</v>
      </c>
      <c r="B25" s="47">
        <f>+B23+B24</f>
        <v>344.6980876699999</v>
      </c>
      <c r="C25" s="47">
        <f aca="true" t="shared" si="4" ref="C25:I25">+C23+C24</f>
        <v>389.13580585</v>
      </c>
      <c r="D25" s="47">
        <f t="shared" si="4"/>
        <v>330.4805436699999</v>
      </c>
      <c r="E25" s="47">
        <f t="shared" si="4"/>
        <v>321.9901035899997</v>
      </c>
      <c r="F25" s="51">
        <f t="shared" si="4"/>
        <v>-140.69280788000017</v>
      </c>
      <c r="G25" s="51">
        <f t="shared" si="4"/>
        <v>228.2738205200002</v>
      </c>
      <c r="H25" s="51">
        <f t="shared" si="4"/>
        <v>352.07120665000025</v>
      </c>
      <c r="I25" s="51">
        <f t="shared" si="4"/>
        <v>166.47003480000018</v>
      </c>
    </row>
    <row r="26" spans="1:9" ht="14.25">
      <c r="A26" s="63"/>
      <c r="B26" s="64">
        <v>0</v>
      </c>
      <c r="C26" s="64">
        <v>0</v>
      </c>
      <c r="D26" s="64">
        <v>0</v>
      </c>
      <c r="E26" s="64">
        <v>0</v>
      </c>
      <c r="F26" s="65">
        <v>0</v>
      </c>
      <c r="G26" s="65">
        <v>0</v>
      </c>
      <c r="H26" s="65">
        <v>0</v>
      </c>
      <c r="I26" s="65">
        <v>2.2737367544323206E-13</v>
      </c>
    </row>
    <row r="27" spans="1:9" ht="14.25">
      <c r="A27" s="41"/>
      <c r="B27" s="41"/>
      <c r="C27" s="41"/>
      <c r="D27" s="41"/>
      <c r="E27" s="41"/>
      <c r="F27" s="41"/>
      <c r="G27" s="41"/>
      <c r="H27" s="41"/>
      <c r="I27" s="41"/>
    </row>
    <row r="28" spans="1:9" ht="16.5">
      <c r="A28" s="33" t="str">
        <f>HLOOKUP(INDICE!$F$2,Nombres!$C$3:$D$636,51,FALSE)</f>
        <v>Balances</v>
      </c>
      <c r="B28" s="34"/>
      <c r="C28" s="34"/>
      <c r="D28" s="34"/>
      <c r="E28" s="34"/>
      <c r="F28" s="34"/>
      <c r="G28" s="34"/>
      <c r="H28" s="34"/>
      <c r="I28" s="34"/>
    </row>
    <row r="29" spans="1:9" ht="14.25">
      <c r="A29" s="35" t="str">
        <f>HLOOKUP(INDICE!$F$2,Nombres!$C$3:$D$636,32,FALSE)</f>
        <v>(Millones de euros)</v>
      </c>
      <c r="B29" s="30"/>
      <c r="C29" s="52"/>
      <c r="D29" s="52"/>
      <c r="E29" s="52"/>
      <c r="F29" s="30"/>
      <c r="G29" s="58"/>
      <c r="H29" s="58"/>
      <c r="I29" s="58"/>
    </row>
    <row r="30" spans="1:9" ht="14.25">
      <c r="A30" s="30"/>
      <c r="B30" s="53">
        <v>43555</v>
      </c>
      <c r="C30" s="53">
        <v>43646</v>
      </c>
      <c r="D30" s="53">
        <v>43738</v>
      </c>
      <c r="E30" s="53">
        <v>43830</v>
      </c>
      <c r="F30" s="53">
        <v>43921</v>
      </c>
      <c r="G30" s="53">
        <v>44012</v>
      </c>
      <c r="H30" s="53">
        <v>44104</v>
      </c>
      <c r="I30" s="53">
        <v>44196</v>
      </c>
    </row>
    <row r="31" spans="1:11" ht="14.25">
      <c r="A31" s="43" t="str">
        <f>HLOOKUP(INDICE!$F$2,Nombres!$C$3:$D$636,52,FALSE)</f>
        <v>Efectivo, saldos en efectivo en bancos centrales y otros depósitos a la vista</v>
      </c>
      <c r="B31" s="44">
        <v>18874.790988999997</v>
      </c>
      <c r="C31" s="44">
        <v>12156.758994</v>
      </c>
      <c r="D31" s="44">
        <v>12718.766377</v>
      </c>
      <c r="E31" s="45">
        <v>15902.506018</v>
      </c>
      <c r="F31" s="44">
        <v>20056.73257</v>
      </c>
      <c r="G31" s="44">
        <v>32199.27056</v>
      </c>
      <c r="H31" s="44">
        <v>35205.609909000006</v>
      </c>
      <c r="I31" s="44">
        <v>38359.553048999995</v>
      </c>
      <c r="K31" s="54"/>
    </row>
    <row r="32" spans="1:11" ht="14.25">
      <c r="A32" s="43" t="str">
        <f>HLOOKUP(INDICE!$F$2,Nombres!$C$3:$D$636,53,FALSE)</f>
        <v>Activos financieros a valor razonable</v>
      </c>
      <c r="B32" s="58">
        <v>112897.61914217</v>
      </c>
      <c r="C32" s="58">
        <v>126353.09231697001</v>
      </c>
      <c r="D32" s="58">
        <v>131455.57473773998</v>
      </c>
      <c r="E32" s="66">
        <v>121890.40669624001</v>
      </c>
      <c r="F32" s="44">
        <v>154647.30160697002</v>
      </c>
      <c r="G32" s="44">
        <v>146203.74026076996</v>
      </c>
      <c r="H32" s="44">
        <v>137383.86937515</v>
      </c>
      <c r="I32" s="44">
        <v>137968.88566706</v>
      </c>
      <c r="K32" s="54"/>
    </row>
    <row r="33" spans="1:11" ht="14.25">
      <c r="A33" s="43" t="str">
        <f>HLOOKUP(INDICE!$F$2,Nombres!$C$3:$D$636,54,FALSE)</f>
        <v>Activos financieros a coste amortizado</v>
      </c>
      <c r="B33" s="44">
        <v>199101.48940109002</v>
      </c>
      <c r="C33" s="44">
        <v>199998.02983965003</v>
      </c>
      <c r="D33" s="44">
        <v>196370.44540307997</v>
      </c>
      <c r="E33" s="45">
        <v>195259.67947709</v>
      </c>
      <c r="F33" s="44">
        <v>198605.51139484</v>
      </c>
      <c r="G33" s="44">
        <v>203500.2349826</v>
      </c>
      <c r="H33" s="44">
        <v>195980.84863515</v>
      </c>
      <c r="I33" s="44">
        <v>198173.47336224996</v>
      </c>
      <c r="K33" s="54"/>
    </row>
    <row r="34" spans="1:11" ht="14.25">
      <c r="A34" s="43" t="str">
        <f>HLOOKUP(INDICE!$F$2,Nombres!$C$3:$D$636,55,FALSE)</f>
        <v>    de los que préstamos y anticipos a la clientela</v>
      </c>
      <c r="B34" s="44">
        <v>170881.52398408996</v>
      </c>
      <c r="C34" s="44">
        <v>171070.34958165002</v>
      </c>
      <c r="D34" s="44">
        <v>166207.09338007998</v>
      </c>
      <c r="E34" s="45">
        <v>167331.99304409</v>
      </c>
      <c r="F34" s="44">
        <v>168341.93295584002</v>
      </c>
      <c r="G34" s="44">
        <v>172026.2070956</v>
      </c>
      <c r="H34" s="44">
        <v>166567.91811515</v>
      </c>
      <c r="I34" s="44">
        <v>167997.72822425002</v>
      </c>
      <c r="K34" s="54"/>
    </row>
    <row r="35" spans="1:11" ht="14.25">
      <c r="A35" s="43" t="str">
        <f>HLOOKUP(INDICE!$F$2,Nombres!$C$3:$D$636,121,FALSE)</f>
        <v>Posiciones inter-áreas activo</v>
      </c>
      <c r="B35" s="44">
        <v>13189.799840969965</v>
      </c>
      <c r="C35" s="44">
        <v>18807.411113419977</v>
      </c>
      <c r="D35" s="44">
        <v>19154.727996779897</v>
      </c>
      <c r="E35" s="45">
        <v>21636.822974279872</v>
      </c>
      <c r="F35" s="44">
        <v>28466.61214949994</v>
      </c>
      <c r="G35" s="44">
        <v>26357.46512958</v>
      </c>
      <c r="H35" s="44">
        <v>23705.106356079923</v>
      </c>
      <c r="I35" s="44">
        <v>21940.201879510132</v>
      </c>
      <c r="K35" s="54"/>
    </row>
    <row r="36" spans="1:11" ht="14.25">
      <c r="A36" s="43" t="str">
        <f>HLOOKUP(INDICE!$F$2,Nombres!$C$3:$D$636,56,FALSE)</f>
        <v>Activos tangibles</v>
      </c>
      <c r="B36" s="58">
        <v>3529.992386</v>
      </c>
      <c r="C36" s="58">
        <v>3483.7767670000003</v>
      </c>
      <c r="D36" s="58">
        <v>3405.283307</v>
      </c>
      <c r="E36" s="66">
        <v>3301.641948</v>
      </c>
      <c r="F36" s="44">
        <v>3219.124845</v>
      </c>
      <c r="G36" s="44">
        <v>3149.0445779999995</v>
      </c>
      <c r="H36" s="44">
        <v>3055.447739</v>
      </c>
      <c r="I36" s="44">
        <v>2901.766363</v>
      </c>
      <c r="K36" s="54"/>
    </row>
    <row r="37" spans="1:11" ht="14.25">
      <c r="A37" s="43" t="str">
        <f>HLOOKUP(INDICE!$F$2,Nombres!$C$3:$D$636,57,FALSE)</f>
        <v>Otros activos</v>
      </c>
      <c r="B37" s="58">
        <f aca="true" t="shared" si="5" ref="B37:I37">+B38-B36-B33-B32-B31-B35</f>
        <v>8128.584665270002</v>
      </c>
      <c r="C37" s="58">
        <f t="shared" si="5"/>
        <v>7142.265792430047</v>
      </c>
      <c r="D37" s="58">
        <f t="shared" si="5"/>
        <v>8129.23761443016</v>
      </c>
      <c r="E37" s="66">
        <f t="shared" si="5"/>
        <v>6435.9242566299945</v>
      </c>
      <c r="F37" s="44">
        <f t="shared" si="5"/>
        <v>7361.73270541001</v>
      </c>
      <c r="G37" s="44">
        <f t="shared" si="5"/>
        <v>7125.983596060018</v>
      </c>
      <c r="H37" s="44">
        <f t="shared" si="5"/>
        <v>7076.032322460014</v>
      </c>
      <c r="I37" s="44">
        <f t="shared" si="5"/>
        <v>6534.584475149939</v>
      </c>
      <c r="K37" s="54"/>
    </row>
    <row r="38" spans="1:11" ht="14.25">
      <c r="A38" s="47" t="str">
        <f>HLOOKUP(INDICE!$F$2,Nombres!$C$3:$D$636,58,FALSE)</f>
        <v>Total activo / pasivo</v>
      </c>
      <c r="B38" s="47">
        <v>355722.2764245</v>
      </c>
      <c r="C38" s="47">
        <v>367941.33482347004</v>
      </c>
      <c r="D38" s="47">
        <v>371234.03543603</v>
      </c>
      <c r="E38" s="47">
        <v>364426.98137023987</v>
      </c>
      <c r="F38" s="51">
        <v>412357.01527171995</v>
      </c>
      <c r="G38" s="51">
        <v>418535.73910700995</v>
      </c>
      <c r="H38" s="51">
        <v>402406.91433684</v>
      </c>
      <c r="I38" s="51">
        <v>405878.46479597</v>
      </c>
      <c r="K38" s="54"/>
    </row>
    <row r="39" spans="1:11" ht="14.25">
      <c r="A39" s="43" t="str">
        <f>HLOOKUP(INDICE!$F$2,Nombres!$C$3:$D$636,59,FALSE)</f>
        <v>Pasivos financieros mantenidos para negociar y designados a valor razonable con cambios en resultados</v>
      </c>
      <c r="B39" s="58">
        <v>69445.63823399998</v>
      </c>
      <c r="C39" s="58">
        <v>79442.598936</v>
      </c>
      <c r="D39" s="58">
        <v>79907.58399599999</v>
      </c>
      <c r="E39" s="66">
        <v>77731.02351999999</v>
      </c>
      <c r="F39" s="44">
        <v>109020.000487</v>
      </c>
      <c r="G39" s="44">
        <v>96490.68054721999</v>
      </c>
      <c r="H39" s="44">
        <v>84175.98843299998</v>
      </c>
      <c r="I39" s="44">
        <v>73920.89025000001</v>
      </c>
      <c r="K39" s="54"/>
    </row>
    <row r="40" spans="1:11" ht="14.25">
      <c r="A40" s="43" t="str">
        <f>HLOOKUP(INDICE!$F$2,Nombres!$C$3:$D$636,60,FALSE)</f>
        <v>Depósitos de bancos centrales y entidades de crédito</v>
      </c>
      <c r="B40" s="58">
        <v>46696.43463844</v>
      </c>
      <c r="C40" s="58">
        <v>47279.68376749</v>
      </c>
      <c r="D40" s="58">
        <v>46720.28543611</v>
      </c>
      <c r="E40" s="66">
        <v>41092.15459711</v>
      </c>
      <c r="F40" s="44">
        <v>55279.53084162</v>
      </c>
      <c r="G40" s="44">
        <v>60532.569948000004</v>
      </c>
      <c r="H40" s="44">
        <v>54427.276649</v>
      </c>
      <c r="I40" s="44">
        <v>58783.359699</v>
      </c>
      <c r="K40" s="54"/>
    </row>
    <row r="41" spans="1:11" ht="15.75" customHeight="1">
      <c r="A41" s="43" t="str">
        <f>HLOOKUP(INDICE!$F$2,Nombres!$C$3:$D$636,61,FALSE)</f>
        <v>Depósitos de la clientela</v>
      </c>
      <c r="B41" s="58">
        <v>181723.235861</v>
      </c>
      <c r="C41" s="58">
        <v>180434.10624599998</v>
      </c>
      <c r="D41" s="58">
        <v>180652.79432699998</v>
      </c>
      <c r="E41" s="66">
        <v>182369.874805</v>
      </c>
      <c r="F41" s="44">
        <v>186327.38904399998</v>
      </c>
      <c r="G41" s="44">
        <v>195675.714628</v>
      </c>
      <c r="H41" s="44">
        <v>195682.23994099995</v>
      </c>
      <c r="I41" s="44">
        <v>206427.720641</v>
      </c>
      <c r="K41" s="54"/>
    </row>
    <row r="42" spans="1:11" ht="14.25">
      <c r="A42" s="43" t="str">
        <f>HLOOKUP(INDICE!$F$2,Nombres!$C$3:$D$636,62,FALSE)</f>
        <v>Valores representativos de deuda emitidos</v>
      </c>
      <c r="B42" s="44">
        <v>31488.86108284</v>
      </c>
      <c r="C42" s="44">
        <v>32858.79652636</v>
      </c>
      <c r="D42" s="44">
        <v>33560.39670371</v>
      </c>
      <c r="E42" s="45">
        <v>35520.400046229995</v>
      </c>
      <c r="F42" s="44">
        <v>37360.00525619</v>
      </c>
      <c r="G42" s="44">
        <v>38980.88913716</v>
      </c>
      <c r="H42" s="44">
        <v>41432.50029395001</v>
      </c>
      <c r="I42" s="44">
        <v>39325.639191899994</v>
      </c>
      <c r="K42" s="54"/>
    </row>
    <row r="43" spans="1:11" ht="14.25">
      <c r="A43" s="43" t="str">
        <f>HLOOKUP(INDICE!$F$2,Nombres!$C$3:$D$636,122,FALSE)</f>
        <v>Posiciones inter-áreas pasivo</v>
      </c>
      <c r="B43" s="44">
        <v>0</v>
      </c>
      <c r="C43" s="44">
        <v>0</v>
      </c>
      <c r="D43" s="44">
        <v>0</v>
      </c>
      <c r="E43" s="45">
        <v>0</v>
      </c>
      <c r="F43" s="44">
        <v>0</v>
      </c>
      <c r="G43" s="44">
        <v>0</v>
      </c>
      <c r="H43" s="44">
        <v>0</v>
      </c>
      <c r="I43" s="44">
        <v>0</v>
      </c>
      <c r="K43" s="54"/>
    </row>
    <row r="44" spans="1:11" ht="14.25">
      <c r="A44" s="43" t="str">
        <f>HLOOKUP(INDICE!$F$2,Nombres!$C$3:$D$636,63,FALSE)</f>
        <v>Otros pasivos</v>
      </c>
      <c r="B44" s="44">
        <f>+B38-B39-B40-B41-B42-B45-B43</f>
        <v>17759.96345821998</v>
      </c>
      <c r="C44" s="44">
        <f aca="true" t="shared" si="6" ref="C44:I44">+C38-C39-C40-C41-C42-C45-C43</f>
        <v>19098.575757620092</v>
      </c>
      <c r="D44" s="44">
        <f t="shared" si="6"/>
        <v>21508.27095861004</v>
      </c>
      <c r="E44" s="45">
        <f t="shared" si="6"/>
        <v>18484.35296602989</v>
      </c>
      <c r="F44" s="44">
        <f t="shared" si="6"/>
        <v>14686.633422909988</v>
      </c>
      <c r="G44" s="44">
        <f t="shared" si="6"/>
        <v>17009.01584362996</v>
      </c>
      <c r="H44" s="44">
        <f t="shared" si="6"/>
        <v>16425.45676517002</v>
      </c>
      <c r="I44" s="44">
        <f t="shared" si="6"/>
        <v>16964.32192337</v>
      </c>
      <c r="K44" s="54"/>
    </row>
    <row r="45" spans="1:11" ht="14.25">
      <c r="A45" s="43" t="str">
        <f>HLOOKUP(INDICE!$F$2,Nombres!$C$3:$D$636,64,FALSE)</f>
        <v>Dotación de capital económico</v>
      </c>
      <c r="B45" s="44">
        <v>8608.143149999998</v>
      </c>
      <c r="C45" s="44">
        <v>8827.573589999998</v>
      </c>
      <c r="D45" s="44">
        <v>8884.7040146</v>
      </c>
      <c r="E45" s="45">
        <v>9229.17543587</v>
      </c>
      <c r="F45" s="44">
        <v>9683.45622</v>
      </c>
      <c r="G45" s="44">
        <v>9846.869003</v>
      </c>
      <c r="H45" s="44">
        <v>10263.452254720001</v>
      </c>
      <c r="I45" s="44">
        <v>10456.5330907</v>
      </c>
      <c r="K45" s="54"/>
    </row>
    <row r="46" spans="1:9" ht="14.25">
      <c r="A46" s="63"/>
      <c r="B46" s="58"/>
      <c r="C46" s="58"/>
      <c r="D46" s="58"/>
      <c r="E46" s="58"/>
      <c r="F46" s="58"/>
      <c r="G46" s="58"/>
      <c r="H46" s="58"/>
      <c r="I46" s="58"/>
    </row>
    <row r="47" spans="1:9" ht="14.25">
      <c r="A47" s="43"/>
      <c r="B47" s="58"/>
      <c r="C47" s="58"/>
      <c r="D47" s="58"/>
      <c r="E47" s="58"/>
      <c r="F47" s="58"/>
      <c r="G47" s="58"/>
      <c r="H47" s="58"/>
      <c r="I47" s="58"/>
    </row>
    <row r="48" spans="1:9" ht="16.5">
      <c r="A48" s="67" t="str">
        <f>HLOOKUP(INDICE!$F$2,Nombres!$C$3:$D$636,65,FALSE)</f>
        <v>Indicadores relevantes y de gestión</v>
      </c>
      <c r="B48" s="68"/>
      <c r="C48" s="68"/>
      <c r="D48" s="68"/>
      <c r="E48" s="68"/>
      <c r="F48" s="68"/>
      <c r="G48" s="68"/>
      <c r="H48" s="68"/>
      <c r="I48" s="68"/>
    </row>
    <row r="49" spans="1:9" ht="14.25">
      <c r="A49" s="35" t="str">
        <f>HLOOKUP(INDICE!$F$2,Nombres!$C$3:$D$636,32,FALSE)</f>
        <v>(Millones de euros)</v>
      </c>
      <c r="B49" s="30"/>
      <c r="C49" s="30"/>
      <c r="D49" s="30"/>
      <c r="E49" s="30"/>
      <c r="F49" s="30"/>
      <c r="G49" s="58"/>
      <c r="H49" s="58"/>
      <c r="I49" s="58"/>
    </row>
    <row r="50" spans="1:9" ht="14.25">
      <c r="A50" s="30"/>
      <c r="B50" s="53">
        <f aca="true" t="shared" si="7" ref="B50:I50">+B$30</f>
        <v>43555</v>
      </c>
      <c r="C50" s="53">
        <f t="shared" si="7"/>
        <v>43646</v>
      </c>
      <c r="D50" s="53">
        <f t="shared" si="7"/>
        <v>43738</v>
      </c>
      <c r="E50" s="69">
        <f t="shared" si="7"/>
        <v>43830</v>
      </c>
      <c r="F50" s="53">
        <f t="shared" si="7"/>
        <v>43921</v>
      </c>
      <c r="G50" s="53">
        <f t="shared" si="7"/>
        <v>44012</v>
      </c>
      <c r="H50" s="53">
        <f t="shared" si="7"/>
        <v>44104</v>
      </c>
      <c r="I50" s="53">
        <f t="shared" si="7"/>
        <v>44196</v>
      </c>
    </row>
    <row r="51" spans="1:9" ht="14.25">
      <c r="A51" s="43" t="str">
        <f>HLOOKUP(INDICE!$F$2,Nombres!$C$3:$D$636,66,FALSE)</f>
        <v>Préstamos y anticipos a la clientela bruto (*)</v>
      </c>
      <c r="B51" s="44">
        <v>176137.01011244</v>
      </c>
      <c r="C51" s="44">
        <v>176200.44220949</v>
      </c>
      <c r="D51" s="44">
        <v>171255.48820711</v>
      </c>
      <c r="E51" s="45">
        <v>172332.70557510998</v>
      </c>
      <c r="F51" s="44">
        <v>173752.79226562002</v>
      </c>
      <c r="G51" s="44">
        <v>176580.61895356997</v>
      </c>
      <c r="H51" s="44">
        <v>172081.42890499998</v>
      </c>
      <c r="I51" s="44">
        <v>173403.71629300003</v>
      </c>
    </row>
    <row r="52" spans="1:9" ht="14.25">
      <c r="A52" s="43" t="str">
        <f>HLOOKUP(INDICE!$F$2,Nombres!$C$3:$D$636,67,FALSE)</f>
        <v>Depósitos de clientes en gestión (**)</v>
      </c>
      <c r="B52" s="44">
        <v>181283.00907</v>
      </c>
      <c r="C52" s="44">
        <v>180434.10696499998</v>
      </c>
      <c r="D52" s="44">
        <v>180652.794327</v>
      </c>
      <c r="E52" s="45">
        <v>182369.87480500003</v>
      </c>
      <c r="F52" s="44">
        <v>186327.38868300003</v>
      </c>
      <c r="G52" s="44">
        <v>195675.71426699997</v>
      </c>
      <c r="H52" s="44">
        <v>195682.23958</v>
      </c>
      <c r="I52" s="44">
        <v>205808.50891099998</v>
      </c>
    </row>
    <row r="53" spans="1:9" ht="14.25">
      <c r="A53" s="43" t="str">
        <f>HLOOKUP(INDICE!$F$2,Nombres!$C$3:$D$636,68,FALSE)</f>
        <v>Fondos de inversión</v>
      </c>
      <c r="B53" s="44">
        <v>40417.414025009995</v>
      </c>
      <c r="C53" s="44">
        <v>40351.9092077</v>
      </c>
      <c r="D53" s="44">
        <v>40518.80246024</v>
      </c>
      <c r="E53" s="45">
        <v>41389.65811588</v>
      </c>
      <c r="F53" s="44">
        <v>35963.94521486</v>
      </c>
      <c r="G53" s="44">
        <v>37635.00173682</v>
      </c>
      <c r="H53" s="44">
        <v>37421.75498915</v>
      </c>
      <c r="I53" s="44">
        <v>38434.09314594</v>
      </c>
    </row>
    <row r="54" spans="1:9" ht="14.25">
      <c r="A54" s="43" t="str">
        <f>HLOOKUP(INDICE!$F$2,Nombres!$C$3:$D$636,69,FALSE)</f>
        <v>Fondos de pensiones</v>
      </c>
      <c r="B54" s="44">
        <v>23770.32487831</v>
      </c>
      <c r="C54" s="44">
        <v>23983.14042331</v>
      </c>
      <c r="D54" s="44">
        <v>24209.64256112</v>
      </c>
      <c r="E54" s="45">
        <v>24678.489658830003</v>
      </c>
      <c r="F54" s="44">
        <v>22564.26787486</v>
      </c>
      <c r="G54" s="44">
        <v>23338.87407048</v>
      </c>
      <c r="H54" s="44">
        <v>23469.23278831</v>
      </c>
      <c r="I54" s="44">
        <v>24272.90178402</v>
      </c>
    </row>
    <row r="55" spans="1:9" ht="14.25">
      <c r="A55" s="43" t="str">
        <f>HLOOKUP(INDICE!$F$2,Nombres!$C$3:$D$636,70,FALSE)</f>
        <v>Otros recursos fuera de balance</v>
      </c>
      <c r="B55" s="44">
        <v>0</v>
      </c>
      <c r="C55" s="44">
        <v>0</v>
      </c>
      <c r="D55" s="44">
        <v>0</v>
      </c>
      <c r="E55" s="45">
        <v>0</v>
      </c>
      <c r="F55" s="44">
        <v>0</v>
      </c>
      <c r="G55" s="44">
        <v>0</v>
      </c>
      <c r="H55" s="44">
        <v>0</v>
      </c>
      <c r="I55" s="44">
        <v>0</v>
      </c>
    </row>
    <row r="56" spans="1:9" ht="14.25">
      <c r="A56" s="63" t="str">
        <f>HLOOKUP(INDICE!$F$2,Nombres!$C$3:$D$636,71,FALSE)</f>
        <v>(*) No incluye las adquisiciones temporales de activos.</v>
      </c>
      <c r="B56" s="58"/>
      <c r="C56" s="58"/>
      <c r="D56" s="58"/>
      <c r="E56" s="58"/>
      <c r="F56" s="58"/>
      <c r="G56" s="58"/>
      <c r="H56" s="58"/>
      <c r="I56" s="58"/>
    </row>
    <row r="57" spans="1:9" ht="14.25">
      <c r="A57" s="63" t="str">
        <f>HLOOKUP(INDICE!$F$2,Nombres!$C$3:$D$636,72,FALSE)</f>
        <v>(**) No incluye las cesiones temporales de activos.</v>
      </c>
      <c r="B57" s="30"/>
      <c r="C57" s="30"/>
      <c r="D57" s="30"/>
      <c r="E57" s="30"/>
      <c r="F57" s="30"/>
      <c r="G57" s="30"/>
      <c r="H57" s="30"/>
      <c r="I57" s="30"/>
    </row>
    <row r="58" spans="1:9" ht="14.25">
      <c r="A58" s="63"/>
      <c r="B58" s="30"/>
      <c r="C58" s="30"/>
      <c r="D58" s="30"/>
      <c r="E58" s="30"/>
      <c r="F58" s="30"/>
      <c r="G58" s="30"/>
      <c r="H58" s="30"/>
      <c r="I58" s="30"/>
    </row>
    <row r="61" spans="2:9" ht="14.25">
      <c r="B61" s="54"/>
      <c r="C61" s="54"/>
      <c r="D61" s="54"/>
      <c r="E61" s="54"/>
      <c r="F61" s="54"/>
      <c r="G61" s="54"/>
      <c r="H61" s="54"/>
      <c r="I61" s="54"/>
    </row>
    <row r="1000" ht="14.25">
      <c r="A1000" s="31" t="s">
        <v>397</v>
      </c>
    </row>
  </sheetData>
  <sheetProtection/>
  <mergeCells count="2">
    <mergeCell ref="B6:E6"/>
    <mergeCell ref="F6:I6"/>
  </mergeCells>
  <conditionalFormatting sqref="B26:I26">
    <cfRule type="cellIs" priority="1" dxfId="16" operator="notBetween">
      <formula>-0.4</formula>
      <formula>0.4</formula>
    </cfRule>
  </conditionalFormatting>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O1000"/>
  <sheetViews>
    <sheetView showGridLines="0" zoomScalePageLayoutView="0" workbookViewId="0" topLeftCell="A1">
      <selection activeCell="O22" sqref="O22"/>
    </sheetView>
  </sheetViews>
  <sheetFormatPr defaultColWidth="11.421875" defaultRowHeight="15"/>
  <cols>
    <col min="1" max="1" width="62.00390625" style="31" customWidth="1"/>
    <col min="2" max="16384" width="11.421875" style="31" customWidth="1"/>
  </cols>
  <sheetData>
    <row r="1" spans="1:9" ht="16.5">
      <c r="A1" s="29" t="str">
        <f>HLOOKUP(INDICE!$F$2,Nombres!$C$3:$D$636,10,FALSE)</f>
        <v>EEUU</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8">
        <f>+España!B6</f>
        <v>2019</v>
      </c>
      <c r="C6" s="308"/>
      <c r="D6" s="308"/>
      <c r="E6" s="309"/>
      <c r="F6" s="308">
        <f>+España!F6</f>
        <v>2020</v>
      </c>
      <c r="G6" s="308"/>
      <c r="H6" s="308"/>
      <c r="I6" s="308"/>
    </row>
    <row r="7" spans="1:9" ht="14.2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4.25">
      <c r="A8" s="41" t="str">
        <f>HLOOKUP(INDICE!$F$2,Nombres!$C$3:$D$636,33,FALSE)</f>
        <v>Margen de intereses</v>
      </c>
      <c r="B8" s="41">
        <v>615.19875887</v>
      </c>
      <c r="C8" s="41">
        <v>602.2779862799999</v>
      </c>
      <c r="D8" s="41">
        <v>595.2909648099999</v>
      </c>
      <c r="E8" s="42">
        <v>582.0685217800001</v>
      </c>
      <c r="F8" s="50">
        <v>549.07889953</v>
      </c>
      <c r="G8" s="50">
        <v>584.0905061599999</v>
      </c>
      <c r="H8" s="50">
        <v>574.9877970300001</v>
      </c>
      <c r="I8" s="50">
        <v>575.62596238</v>
      </c>
    </row>
    <row r="9" spans="1:9" ht="14.25">
      <c r="A9" s="43" t="str">
        <f>HLOOKUP(INDICE!$F$2,Nombres!$C$3:$D$636,34,FALSE)</f>
        <v>Comisiones netas</v>
      </c>
      <c r="B9" s="44">
        <v>150.79594061999998</v>
      </c>
      <c r="C9" s="44">
        <v>168.71948865</v>
      </c>
      <c r="D9" s="44">
        <v>169.25378861</v>
      </c>
      <c r="E9" s="45">
        <v>155.38474498</v>
      </c>
      <c r="F9" s="44">
        <v>176.28834373</v>
      </c>
      <c r="G9" s="44">
        <v>159.78942901</v>
      </c>
      <c r="H9" s="44">
        <v>166.84353133</v>
      </c>
      <c r="I9" s="44">
        <v>161.75738199999998</v>
      </c>
    </row>
    <row r="10" spans="1:9" ht="14.25">
      <c r="A10" s="43" t="str">
        <f>HLOOKUP(INDICE!$F$2,Nombres!$C$3:$D$636,35,FALSE)</f>
        <v>Resultados de operaciones financieras</v>
      </c>
      <c r="B10" s="44">
        <v>40.609470869999996</v>
      </c>
      <c r="C10" s="44">
        <v>38.54972442</v>
      </c>
      <c r="D10" s="44">
        <v>59.364840130000005</v>
      </c>
      <c r="E10" s="45">
        <v>34.03696678</v>
      </c>
      <c r="F10" s="44">
        <v>92.7608957</v>
      </c>
      <c r="G10" s="44">
        <v>55.50497137999999</v>
      </c>
      <c r="H10" s="44">
        <v>27.634587749999998</v>
      </c>
      <c r="I10" s="44">
        <v>43.90554674999999</v>
      </c>
    </row>
    <row r="11" spans="1:9" ht="14.25">
      <c r="A11" s="43" t="str">
        <f>HLOOKUP(INDICE!$F$2,Nombres!$C$3:$D$636,36,FALSE)</f>
        <v>Otros ingresos y cargas de explotación</v>
      </c>
      <c r="B11" s="44">
        <v>-2.7278229999999986</v>
      </c>
      <c r="C11" s="44">
        <v>1.3273819999999992</v>
      </c>
      <c r="D11" s="44">
        <v>3.5764659999999977</v>
      </c>
      <c r="E11" s="45">
        <v>9.632556000000003</v>
      </c>
      <c r="F11" s="44">
        <v>-4.128806000000001</v>
      </c>
      <c r="G11" s="44">
        <v>-6.0989</v>
      </c>
      <c r="H11" s="44">
        <v>-2.5962339999999995</v>
      </c>
      <c r="I11" s="44">
        <v>-3.8121779999999994</v>
      </c>
    </row>
    <row r="12" spans="1:9" ht="14.25">
      <c r="A12" s="41" t="str">
        <f>HLOOKUP(INDICE!$F$2,Nombres!$C$3:$D$636,37,FALSE)</f>
        <v>Margen bruto</v>
      </c>
      <c r="B12" s="41">
        <f>+SUM(B8:B11)</f>
        <v>803.8763473600001</v>
      </c>
      <c r="C12" s="41">
        <f aca="true" t="shared" si="0" ref="C12:I12">+SUM(C8:C11)</f>
        <v>810.8745813499999</v>
      </c>
      <c r="D12" s="41">
        <f t="shared" si="0"/>
        <v>827.4860595499999</v>
      </c>
      <c r="E12" s="42">
        <f t="shared" si="0"/>
        <v>781.1227895400002</v>
      </c>
      <c r="F12" s="50">
        <f t="shared" si="0"/>
        <v>813.9993329599998</v>
      </c>
      <c r="G12" s="50">
        <f t="shared" si="0"/>
        <v>793.28600655</v>
      </c>
      <c r="H12" s="50">
        <f t="shared" si="0"/>
        <v>766.8696821100002</v>
      </c>
      <c r="I12" s="50">
        <f t="shared" si="0"/>
        <v>777.47671313</v>
      </c>
    </row>
    <row r="13" spans="1:9" ht="14.25">
      <c r="A13" s="43" t="str">
        <f>HLOOKUP(INDICE!$F$2,Nombres!$C$3:$D$636,38,FALSE)</f>
        <v>Gastos de explotación</v>
      </c>
      <c r="B13" s="44">
        <v>-472.80969740999996</v>
      </c>
      <c r="C13" s="44">
        <v>-486.60016636</v>
      </c>
      <c r="D13" s="44">
        <v>-494.25534423</v>
      </c>
      <c r="E13" s="45">
        <v>-512.74892454</v>
      </c>
      <c r="F13" s="44">
        <v>-498.82967701999996</v>
      </c>
      <c r="G13" s="44">
        <v>-460.2056035500001</v>
      </c>
      <c r="H13" s="44">
        <v>-454.64283926</v>
      </c>
      <c r="I13" s="44">
        <v>-456.55351858999995</v>
      </c>
    </row>
    <row r="14" spans="1:9" ht="14.25">
      <c r="A14" s="43" t="str">
        <f>HLOOKUP(INDICE!$F$2,Nombres!$C$3:$D$636,39,FALSE)</f>
        <v>  Gastos de administración</v>
      </c>
      <c r="B14" s="44">
        <v>-417.4225304099999</v>
      </c>
      <c r="C14" s="44">
        <v>-431.81317736</v>
      </c>
      <c r="D14" s="44">
        <v>-439.51497823</v>
      </c>
      <c r="E14" s="45">
        <v>-458.57823854000003</v>
      </c>
      <c r="F14" s="44">
        <v>-446.27172702000007</v>
      </c>
      <c r="G14" s="44">
        <v>-406.58259554999995</v>
      </c>
      <c r="H14" s="44">
        <v>-402.84287126000004</v>
      </c>
      <c r="I14" s="44">
        <v>-405.82184058999997</v>
      </c>
    </row>
    <row r="15" spans="1:9" ht="14.25">
      <c r="A15" s="46" t="str">
        <f>HLOOKUP(INDICE!$F$2,Nombres!$C$3:$D$636,40,FALSE)</f>
        <v>  Gastos de personal</v>
      </c>
      <c r="B15" s="44">
        <v>-277.72449278</v>
      </c>
      <c r="C15" s="44">
        <v>-276.52617104</v>
      </c>
      <c r="D15" s="44">
        <v>-285.24251699999996</v>
      </c>
      <c r="E15" s="45">
        <v>-286.63811080000005</v>
      </c>
      <c r="F15" s="44">
        <v>-299.29249114000004</v>
      </c>
      <c r="G15" s="44">
        <v>-258.51078859</v>
      </c>
      <c r="H15" s="44">
        <v>-262.85643126</v>
      </c>
      <c r="I15" s="44">
        <v>-264.04064166999996</v>
      </c>
    </row>
    <row r="16" spans="1:9" ht="14.25">
      <c r="A16" s="46" t="str">
        <f>HLOOKUP(INDICE!$F$2,Nombres!$C$3:$D$636,41,FALSE)</f>
        <v>  Otros gastos de administración</v>
      </c>
      <c r="B16" s="44">
        <v>-139.69803762999996</v>
      </c>
      <c r="C16" s="44">
        <v>-155.28700632</v>
      </c>
      <c r="D16" s="44">
        <v>-154.27246122999995</v>
      </c>
      <c r="E16" s="45">
        <v>-171.94012773999998</v>
      </c>
      <c r="F16" s="44">
        <v>-146.97923587999998</v>
      </c>
      <c r="G16" s="44">
        <v>-148.07180696</v>
      </c>
      <c r="H16" s="44">
        <v>-139.98643999999996</v>
      </c>
      <c r="I16" s="44">
        <v>-141.78119892</v>
      </c>
    </row>
    <row r="17" spans="1:9" ht="14.25">
      <c r="A17" s="43" t="str">
        <f>HLOOKUP(INDICE!$F$2,Nombres!$C$3:$D$636,42,FALSE)</f>
        <v>  Amortización</v>
      </c>
      <c r="B17" s="44">
        <v>-55.387167000000005</v>
      </c>
      <c r="C17" s="44">
        <v>-54.786989000000005</v>
      </c>
      <c r="D17" s="44">
        <v>-54.740365999999995</v>
      </c>
      <c r="E17" s="45">
        <v>-54.170686</v>
      </c>
      <c r="F17" s="44">
        <v>-52.557950000000005</v>
      </c>
      <c r="G17" s="44">
        <v>-53.623008</v>
      </c>
      <c r="H17" s="44">
        <v>-51.79996799999999</v>
      </c>
      <c r="I17" s="44">
        <v>-50.731678</v>
      </c>
    </row>
    <row r="18" spans="1:9" ht="14.25">
      <c r="A18" s="41" t="str">
        <f>HLOOKUP(INDICE!$F$2,Nombres!$C$3:$D$636,43,FALSE)</f>
        <v>Margen neto</v>
      </c>
      <c r="B18" s="41">
        <f>+B12+B13</f>
        <v>331.0666499500001</v>
      </c>
      <c r="C18" s="41">
        <f aca="true" t="shared" si="1" ref="C18:I18">+C12+C13</f>
        <v>324.27441498999985</v>
      </c>
      <c r="D18" s="41">
        <f t="shared" si="1"/>
        <v>333.23071531999994</v>
      </c>
      <c r="E18" s="42">
        <f t="shared" si="1"/>
        <v>268.37386500000025</v>
      </c>
      <c r="F18" s="50">
        <f t="shared" si="1"/>
        <v>315.16965593999987</v>
      </c>
      <c r="G18" s="50">
        <f t="shared" si="1"/>
        <v>333.08040299999993</v>
      </c>
      <c r="H18" s="50">
        <f t="shared" si="1"/>
        <v>312.2268428500002</v>
      </c>
      <c r="I18" s="50">
        <f t="shared" si="1"/>
        <v>320.92319454000005</v>
      </c>
    </row>
    <row r="19" spans="1:9" ht="14.25">
      <c r="A19" s="43" t="str">
        <f>HLOOKUP(INDICE!$F$2,Nombres!$C$3:$D$636,44,FALSE)</f>
        <v>Deterioro de activos financieros no valorados a valor razonable con cambios en resultados</v>
      </c>
      <c r="B19" s="44">
        <v>-161.50649299999998</v>
      </c>
      <c r="C19" s="44">
        <v>-124.77477999999999</v>
      </c>
      <c r="D19" s="44">
        <v>-119.42335299999999</v>
      </c>
      <c r="E19" s="45">
        <v>-144.408506</v>
      </c>
      <c r="F19" s="44">
        <v>-426.26203799999996</v>
      </c>
      <c r="G19" s="44">
        <v>-187.74226799999997</v>
      </c>
      <c r="H19" s="44">
        <v>-233.619076</v>
      </c>
      <c r="I19" s="44">
        <v>71.95934699999998</v>
      </c>
    </row>
    <row r="20" spans="1:9" ht="14.25">
      <c r="A20" s="43" t="str">
        <f>HLOOKUP(INDICE!$F$2,Nombres!$C$3:$D$636,45,FALSE)</f>
        <v>Provisiones o reversión de provisiones y otros resultados</v>
      </c>
      <c r="B20" s="44">
        <v>-9.781884000000002</v>
      </c>
      <c r="C20" s="44">
        <v>4.021742999999999</v>
      </c>
      <c r="D20" s="44">
        <v>10.582921</v>
      </c>
      <c r="E20" s="45">
        <v>-7.113386999999999</v>
      </c>
      <c r="F20" s="44">
        <v>-0.8416020000000116</v>
      </c>
      <c r="G20" s="44">
        <v>-18.28311799999996</v>
      </c>
      <c r="H20" s="44">
        <v>23.702972000000006</v>
      </c>
      <c r="I20" s="44">
        <v>-8.49081700000009</v>
      </c>
    </row>
    <row r="21" spans="1:9" ht="14.25">
      <c r="A21" s="41" t="str">
        <f>HLOOKUP(INDICE!$F$2,Nombres!$C$3:$D$636,46,FALSE)</f>
        <v>Resultado antes de impuestos</v>
      </c>
      <c r="B21" s="41">
        <f>+B18+B19+B20</f>
        <v>159.77827295000014</v>
      </c>
      <c r="C21" s="41">
        <f aca="true" t="shared" si="2" ref="C21:I21">+C18+C19+C20</f>
        <v>203.52137798999985</v>
      </c>
      <c r="D21" s="41">
        <f t="shared" si="2"/>
        <v>224.39028331999995</v>
      </c>
      <c r="E21" s="42">
        <f t="shared" si="2"/>
        <v>116.85197200000026</v>
      </c>
      <c r="F21" s="50">
        <f t="shared" si="2"/>
        <v>-111.9339840600001</v>
      </c>
      <c r="G21" s="50">
        <f t="shared" si="2"/>
        <v>127.055017</v>
      </c>
      <c r="H21" s="50">
        <f t="shared" si="2"/>
        <v>102.31073885000019</v>
      </c>
      <c r="I21" s="50">
        <f t="shared" si="2"/>
        <v>384.3917245399999</v>
      </c>
    </row>
    <row r="22" spans="1:9" ht="14.25">
      <c r="A22" s="43" t="str">
        <f>HLOOKUP(INDICE!$F$2,Nombres!$C$3:$D$636,47,FALSE)</f>
        <v>Impuesto sobre beneficios</v>
      </c>
      <c r="B22" s="44">
        <v>-32.33115324</v>
      </c>
      <c r="C22" s="44">
        <v>-34.26862718</v>
      </c>
      <c r="D22" s="44">
        <v>-43.28089159</v>
      </c>
      <c r="E22" s="45">
        <v>-5.095553159999987</v>
      </c>
      <c r="F22" s="44">
        <v>11.64252986</v>
      </c>
      <c r="G22" s="44">
        <v>-1.1099199299999958</v>
      </c>
      <c r="H22" s="44">
        <v>-13.03586509</v>
      </c>
      <c r="I22" s="44">
        <v>-70.13896834999997</v>
      </c>
    </row>
    <row r="23" spans="1:9" ht="14.25">
      <c r="A23" s="41" t="str">
        <f>HLOOKUP(INDICE!$F$2,Nombres!$C$3:$D$636,48,FALSE)</f>
        <v>Resultado del ejercicio</v>
      </c>
      <c r="B23" s="41">
        <f>+B21+B22</f>
        <v>127.44711971000015</v>
      </c>
      <c r="C23" s="41">
        <f aca="true" t="shared" si="3" ref="C23:I23">+C21+C22</f>
        <v>169.25275080999984</v>
      </c>
      <c r="D23" s="41">
        <f t="shared" si="3"/>
        <v>181.10939172999994</v>
      </c>
      <c r="E23" s="42">
        <f t="shared" si="3"/>
        <v>111.75641884000026</v>
      </c>
      <c r="F23" s="50">
        <f t="shared" si="3"/>
        <v>-100.2914542000001</v>
      </c>
      <c r="G23" s="50">
        <f t="shared" si="3"/>
        <v>125.94509707000002</v>
      </c>
      <c r="H23" s="50">
        <f t="shared" si="3"/>
        <v>89.27487376000019</v>
      </c>
      <c r="I23" s="50">
        <f t="shared" si="3"/>
        <v>314.25275618999996</v>
      </c>
    </row>
    <row r="24" spans="1:9" ht="14.25">
      <c r="A24" s="43" t="str">
        <f>HLOOKUP(INDICE!$F$2,Nombres!$C$3:$D$636,49,FALSE)</f>
        <v>Minoritarios</v>
      </c>
      <c r="B24" s="44">
        <v>0</v>
      </c>
      <c r="C24" s="44">
        <v>0</v>
      </c>
      <c r="D24" s="44">
        <v>0</v>
      </c>
      <c r="E24" s="45">
        <v>0</v>
      </c>
      <c r="F24" s="44">
        <v>0</v>
      </c>
      <c r="G24" s="44">
        <v>0</v>
      </c>
      <c r="H24" s="44">
        <v>0</v>
      </c>
      <c r="I24" s="44">
        <v>0</v>
      </c>
    </row>
    <row r="25" spans="1:9" ht="14.25">
      <c r="A25" s="47" t="str">
        <f>HLOOKUP(INDICE!$F$2,Nombres!$C$3:$D$636,50,FALSE)</f>
        <v>Resultado atribuido</v>
      </c>
      <c r="B25" s="47">
        <f>+B23+B24</f>
        <v>127.44711971000015</v>
      </c>
      <c r="C25" s="47">
        <f aca="true" t="shared" si="4" ref="C25:I25">+C23+C24</f>
        <v>169.25275080999984</v>
      </c>
      <c r="D25" s="47">
        <f t="shared" si="4"/>
        <v>181.10939172999994</v>
      </c>
      <c r="E25" s="47">
        <f t="shared" si="4"/>
        <v>111.75641884000026</v>
      </c>
      <c r="F25" s="51">
        <f t="shared" si="4"/>
        <v>-100.2914542000001</v>
      </c>
      <c r="G25" s="51">
        <f t="shared" si="4"/>
        <v>125.94509707000002</v>
      </c>
      <c r="H25" s="51">
        <f t="shared" si="4"/>
        <v>89.27487376000019</v>
      </c>
      <c r="I25" s="51">
        <f t="shared" si="4"/>
        <v>314.25275618999996</v>
      </c>
    </row>
    <row r="26" spans="1:9" ht="14.25">
      <c r="A26" s="63"/>
      <c r="B26" s="64">
        <v>0</v>
      </c>
      <c r="C26" s="64">
        <v>0</v>
      </c>
      <c r="D26" s="64">
        <v>0</v>
      </c>
      <c r="E26" s="64">
        <v>2.8421709430404007E-13</v>
      </c>
      <c r="F26" s="64">
        <v>-1.2789769243681803E-13</v>
      </c>
      <c r="G26" s="64">
        <v>0</v>
      </c>
      <c r="H26" s="64">
        <v>1.7053025658242404E-13</v>
      </c>
      <c r="I26" s="64">
        <v>0</v>
      </c>
    </row>
    <row r="27" spans="1:9" ht="14.25">
      <c r="A27" s="41"/>
      <c r="B27" s="41"/>
      <c r="C27" s="41"/>
      <c r="D27" s="41"/>
      <c r="E27" s="41"/>
      <c r="F27" s="50"/>
      <c r="G27" s="50"/>
      <c r="H27" s="50"/>
      <c r="I27" s="50"/>
    </row>
    <row r="28" spans="1:9" ht="16.5">
      <c r="A28" s="33" t="str">
        <f>HLOOKUP(INDICE!$F$2,Nombres!$C$3:$D$636,51,FALSE)</f>
        <v>Balances</v>
      </c>
      <c r="B28" s="34"/>
      <c r="C28" s="34"/>
      <c r="D28" s="34"/>
      <c r="E28" s="34"/>
      <c r="F28" s="70"/>
      <c r="G28" s="70"/>
      <c r="H28" s="70"/>
      <c r="I28" s="70"/>
    </row>
    <row r="29" spans="1:9" ht="14.25">
      <c r="A29" s="35" t="str">
        <f>HLOOKUP(INDICE!$F$2,Nombres!$C$3:$D$636,32,FALSE)</f>
        <v>(Millones de euros)</v>
      </c>
      <c r="B29" s="30"/>
      <c r="C29" s="52"/>
      <c r="D29" s="52"/>
      <c r="E29" s="52"/>
      <c r="F29" s="71"/>
      <c r="G29" s="44"/>
      <c r="H29" s="44"/>
      <c r="I29" s="44"/>
    </row>
    <row r="30" spans="1:9" ht="14.25">
      <c r="A30" s="30"/>
      <c r="B30" s="53">
        <f>+España!B30</f>
        <v>43555</v>
      </c>
      <c r="C30" s="53">
        <f>+España!C30</f>
        <v>43646</v>
      </c>
      <c r="D30" s="53">
        <f>+España!D30</f>
        <v>43738</v>
      </c>
      <c r="E30" s="69">
        <f>+España!E30</f>
        <v>43830</v>
      </c>
      <c r="F30" s="53">
        <f>+España!F30</f>
        <v>43921</v>
      </c>
      <c r="G30" s="53">
        <f>+España!G30</f>
        <v>44012</v>
      </c>
      <c r="H30" s="53">
        <f>+España!H30</f>
        <v>44104</v>
      </c>
      <c r="I30" s="53">
        <f>+España!I30</f>
        <v>44196</v>
      </c>
    </row>
    <row r="31" spans="1:9" ht="14.25">
      <c r="A31" s="43" t="str">
        <f>HLOOKUP(INDICE!$F$2,Nombres!$C$3:$D$636,52,FALSE)</f>
        <v>Efectivo, saldos en efectivo en bancos centrales y otros depósitos a la vista</v>
      </c>
      <c r="B31" s="44">
        <v>6549.723644000001</v>
      </c>
      <c r="C31" s="44">
        <v>7503.8547499999995</v>
      </c>
      <c r="D31" s="44">
        <v>7665.812250000001</v>
      </c>
      <c r="E31" s="45">
        <v>8293.366074</v>
      </c>
      <c r="F31" s="44">
        <v>10668.038576</v>
      </c>
      <c r="G31" s="44">
        <v>13907.997122</v>
      </c>
      <c r="H31" s="44">
        <v>17205.127135</v>
      </c>
      <c r="I31" s="44">
        <v>17259.648597</v>
      </c>
    </row>
    <row r="32" spans="1:9" ht="14.25">
      <c r="A32" s="43" t="str">
        <f>HLOOKUP(INDICE!$F$2,Nombres!$C$3:$D$636,53,FALSE)</f>
        <v>Activos financieros a valor razonable</v>
      </c>
      <c r="B32" s="58">
        <v>9329.626928</v>
      </c>
      <c r="C32" s="58">
        <v>10282.643888999999</v>
      </c>
      <c r="D32" s="58">
        <v>8345.792112</v>
      </c>
      <c r="E32" s="66">
        <v>7659.274197000001</v>
      </c>
      <c r="F32" s="44">
        <v>7673.732314000001</v>
      </c>
      <c r="G32" s="44">
        <v>6954.871927</v>
      </c>
      <c r="H32" s="44">
        <v>6653.717393999999</v>
      </c>
      <c r="I32" s="44">
        <v>6792.386611</v>
      </c>
    </row>
    <row r="33" spans="1:9" ht="14.25">
      <c r="A33" s="43" t="str">
        <f>HLOOKUP(INDICE!$F$2,Nombres!$C$3:$D$636,54,FALSE)</f>
        <v>Activos financieros a coste amortizado</v>
      </c>
      <c r="B33" s="44">
        <v>65628.63080497</v>
      </c>
      <c r="C33" s="44">
        <v>64839.43889596</v>
      </c>
      <c r="D33" s="44">
        <v>69342.73706502</v>
      </c>
      <c r="E33" s="45">
        <v>69509.68163198</v>
      </c>
      <c r="F33" s="44">
        <v>77134.29630401</v>
      </c>
      <c r="G33" s="44">
        <v>76799.782121</v>
      </c>
      <c r="H33" s="44">
        <v>70434.74976</v>
      </c>
      <c r="I33" s="44">
        <v>66933.48024</v>
      </c>
    </row>
    <row r="34" spans="1:9" ht="14.25">
      <c r="A34" s="43" t="str">
        <f>HLOOKUP(INDICE!$F$2,Nombres!$C$3:$D$636,55,FALSE)</f>
        <v>    de los que préstamos y anticipos a la clientela</v>
      </c>
      <c r="B34" s="44">
        <v>61403.018568969994</v>
      </c>
      <c r="C34" s="44">
        <v>60130.06432996</v>
      </c>
      <c r="D34" s="44">
        <v>63209.64668001999</v>
      </c>
      <c r="E34" s="45">
        <v>63161.73001998</v>
      </c>
      <c r="F34" s="44">
        <v>69619.01790301001</v>
      </c>
      <c r="G34" s="44">
        <v>68667.791389</v>
      </c>
      <c r="H34" s="44">
        <v>61987.264227</v>
      </c>
      <c r="I34" s="44">
        <v>57982.546796</v>
      </c>
    </row>
    <row r="35" spans="1:9" ht="14.25">
      <c r="A35" s="43" t="str">
        <f>HLOOKUP(INDICE!$F$2,Nombres!$C$3:$D$636,121,FALSE)</f>
        <v>Posiciones inter-áreas activo</v>
      </c>
      <c r="B35" s="44">
        <v>0</v>
      </c>
      <c r="C35" s="44">
        <v>0</v>
      </c>
      <c r="D35" s="44">
        <v>0</v>
      </c>
      <c r="E35" s="45">
        <v>0</v>
      </c>
      <c r="F35" s="44">
        <v>0</v>
      </c>
      <c r="G35" s="44">
        <v>0</v>
      </c>
      <c r="H35" s="44">
        <v>0</v>
      </c>
      <c r="I35" s="44">
        <v>0</v>
      </c>
    </row>
    <row r="36" spans="1:9" ht="14.25">
      <c r="A36" s="43" t="str">
        <f>HLOOKUP(INDICE!$F$2,Nombres!$C$3:$D$636,56,FALSE)</f>
        <v>Activos tangibles</v>
      </c>
      <c r="B36" s="58">
        <v>952.3401060000001</v>
      </c>
      <c r="C36" s="58">
        <v>925.152639</v>
      </c>
      <c r="D36" s="58">
        <v>951.4617489999999</v>
      </c>
      <c r="E36" s="66">
        <v>914.09118</v>
      </c>
      <c r="F36" s="44">
        <v>933.4258909999999</v>
      </c>
      <c r="G36" s="44">
        <v>906.931483</v>
      </c>
      <c r="H36" s="44">
        <v>857.1987750000001</v>
      </c>
      <c r="I36" s="44">
        <v>809.6690919999999</v>
      </c>
    </row>
    <row r="37" spans="1:9" ht="14.25">
      <c r="A37" s="43" t="str">
        <f>HLOOKUP(INDICE!$F$2,Nombres!$C$3:$D$636,57,FALSE)</f>
        <v>Otros activos</v>
      </c>
      <c r="B37" s="58">
        <f>+B38-B36-B33-B32-B31-B35</f>
        <v>2699.633473999983</v>
      </c>
      <c r="C37" s="58">
        <f aca="true" t="shared" si="5" ref="C37:I37">+C38-C36-C33-C32-C31-C35</f>
        <v>2677.520636999986</v>
      </c>
      <c r="D37" s="58">
        <f t="shared" si="5"/>
        <v>2424.5560969999915</v>
      </c>
      <c r="E37" s="66">
        <f t="shared" si="5"/>
        <v>2152.5926629999994</v>
      </c>
      <c r="F37" s="44">
        <f t="shared" si="5"/>
        <v>2667.8089050000253</v>
      </c>
      <c r="G37" s="44">
        <f t="shared" si="5"/>
        <v>2547.937592000002</v>
      </c>
      <c r="H37" s="44">
        <f t="shared" si="5"/>
        <v>2581.0813719999824</v>
      </c>
      <c r="I37" s="44">
        <f t="shared" si="5"/>
        <v>2157.7771590000048</v>
      </c>
    </row>
    <row r="38" spans="1:9" ht="14.25">
      <c r="A38" s="47" t="str">
        <f>HLOOKUP(INDICE!$F$2,Nombres!$C$3:$D$636,58,FALSE)</f>
        <v>Total activo / pasivo</v>
      </c>
      <c r="B38" s="47">
        <v>85159.95495696999</v>
      </c>
      <c r="C38" s="47">
        <v>86228.61081095999</v>
      </c>
      <c r="D38" s="47">
        <v>88730.35927301999</v>
      </c>
      <c r="E38" s="72">
        <v>88529.00574598</v>
      </c>
      <c r="F38" s="47">
        <v>99077.30199001003</v>
      </c>
      <c r="G38" s="51">
        <v>101117.52024499999</v>
      </c>
      <c r="H38" s="51">
        <v>97731.87443599998</v>
      </c>
      <c r="I38" s="51">
        <v>93952.961699</v>
      </c>
    </row>
    <row r="39" spans="1:9" ht="14.25">
      <c r="A39" s="43" t="str">
        <f>HLOOKUP(INDICE!$F$2,Nombres!$C$3:$D$636,59,FALSE)</f>
        <v>Pasivos financieros mantenidos para negociar y designados a valor razonable con cambios en resultados</v>
      </c>
      <c r="B39" s="58">
        <v>304.623727</v>
      </c>
      <c r="C39" s="58">
        <v>1475.1058730000002</v>
      </c>
      <c r="D39" s="58">
        <v>248.74800000000002</v>
      </c>
      <c r="E39" s="66">
        <v>281.721384</v>
      </c>
      <c r="F39" s="44">
        <v>633.4881950000001</v>
      </c>
      <c r="G39" s="44">
        <v>458.725444</v>
      </c>
      <c r="H39" s="44">
        <v>336.46099999999996</v>
      </c>
      <c r="I39" s="44">
        <v>951.7975749999999</v>
      </c>
    </row>
    <row r="40" spans="1:9" ht="14.25">
      <c r="A40" s="43" t="str">
        <f>HLOOKUP(INDICE!$F$2,Nombres!$C$3:$D$636,60,FALSE)</f>
        <v>Depósitos de bancos centrales y entidades de crédito</v>
      </c>
      <c r="B40" s="58">
        <v>4709.8826080300005</v>
      </c>
      <c r="C40" s="58">
        <v>4568.34772701</v>
      </c>
      <c r="D40" s="58">
        <v>4049.3655269899996</v>
      </c>
      <c r="E40" s="66">
        <v>4081.3740209600005</v>
      </c>
      <c r="F40" s="44">
        <v>4405.35680901</v>
      </c>
      <c r="G40" s="44">
        <v>6228.706826000001</v>
      </c>
      <c r="H40" s="44">
        <v>5914.308754</v>
      </c>
      <c r="I40" s="44">
        <v>5569.632025</v>
      </c>
    </row>
    <row r="41" spans="1:9" ht="15.75" customHeight="1">
      <c r="A41" s="43" t="str">
        <f>HLOOKUP(INDICE!$F$2,Nombres!$C$3:$D$636,61,FALSE)</f>
        <v>Depósitos de la clientela</v>
      </c>
      <c r="B41" s="58">
        <v>65165.462724</v>
      </c>
      <c r="C41" s="58">
        <v>63122.07449100001</v>
      </c>
      <c r="D41" s="58">
        <v>67375.940978</v>
      </c>
      <c r="E41" s="66">
        <v>67525.351449</v>
      </c>
      <c r="F41" s="44">
        <v>70916.872079</v>
      </c>
      <c r="G41" s="44">
        <v>75648.777443</v>
      </c>
      <c r="H41" s="44">
        <v>73296.779043</v>
      </c>
      <c r="I41" s="44">
        <v>69923.22308600001</v>
      </c>
    </row>
    <row r="42" spans="1:9" ht="14.25">
      <c r="A42" s="43" t="str">
        <f>HLOOKUP(INDICE!$F$2,Nombres!$C$3:$D$636,62,FALSE)</f>
        <v>Valores representativos de deuda emitidos</v>
      </c>
      <c r="B42" s="44">
        <v>3364.0390938399996</v>
      </c>
      <c r="C42" s="44">
        <v>3382.2038005699997</v>
      </c>
      <c r="D42" s="44">
        <v>3710.3406013599997</v>
      </c>
      <c r="E42" s="45">
        <v>3550.51214168</v>
      </c>
      <c r="F42" s="44">
        <v>3458.36378674</v>
      </c>
      <c r="G42" s="44">
        <v>3176.73724867</v>
      </c>
      <c r="H42" s="44">
        <v>3095.7653054400002</v>
      </c>
      <c r="I42" s="44">
        <v>2879.25279954</v>
      </c>
    </row>
    <row r="43" spans="1:9" ht="14.25">
      <c r="A43" s="43" t="str">
        <f>HLOOKUP(INDICE!$F$2,Nombres!$C$3:$D$636,122,FALSE)</f>
        <v>Posiciones inter-áreas pasivo</v>
      </c>
      <c r="B43" s="44">
        <v>1736.5467517099896</v>
      </c>
      <c r="C43" s="44">
        <v>3757.2192421899963</v>
      </c>
      <c r="D43" s="44">
        <v>3023.799849379997</v>
      </c>
      <c r="E43" s="45">
        <v>3415.9935403199925</v>
      </c>
      <c r="F43" s="44">
        <v>9397.566216880019</v>
      </c>
      <c r="G43" s="44">
        <v>4985.342443249989</v>
      </c>
      <c r="H43" s="44">
        <v>4908.970243429998</v>
      </c>
      <c r="I43" s="44">
        <v>4868.628774099983</v>
      </c>
    </row>
    <row r="44" spans="1:9" ht="14.25">
      <c r="A44" s="43" t="str">
        <f>HLOOKUP(INDICE!$F$2,Nombres!$C$3:$D$636,63,FALSE)</f>
        <v>Otros pasivos</v>
      </c>
      <c r="B44" s="44">
        <f>+B38-B39-B40-B41-B42-B45-B43</f>
        <v>6197.811412389996</v>
      </c>
      <c r="C44" s="44">
        <f aca="true" t="shared" si="6" ref="C44:I44">+C38-C39-C40-C41-C42-C45-C43</f>
        <v>6231.890487189994</v>
      </c>
      <c r="D44" s="44">
        <f t="shared" si="6"/>
        <v>6654.258421639981</v>
      </c>
      <c r="E44" s="45">
        <f t="shared" si="6"/>
        <v>5830.790013920005</v>
      </c>
      <c r="F44" s="44">
        <f t="shared" si="6"/>
        <v>6396.901473380021</v>
      </c>
      <c r="G44" s="44">
        <f t="shared" si="6"/>
        <v>6703.100070080014</v>
      </c>
      <c r="H44" s="44">
        <f t="shared" si="6"/>
        <v>6535.387064149989</v>
      </c>
      <c r="I44" s="44">
        <f t="shared" si="6"/>
        <v>6124.383807570008</v>
      </c>
    </row>
    <row r="45" spans="1:9" ht="14.25">
      <c r="A45" s="43" t="str">
        <f>HLOOKUP(INDICE!$F$2,Nombres!$C$3:$D$636,64,FALSE)</f>
        <v>Dotación de capital económico</v>
      </c>
      <c r="B45" s="44">
        <v>3681.588640000002</v>
      </c>
      <c r="C45" s="44">
        <v>3691.7691900000004</v>
      </c>
      <c r="D45" s="44">
        <v>3667.9058956500007</v>
      </c>
      <c r="E45" s="45">
        <v>3843.2631960999993</v>
      </c>
      <c r="F45" s="44">
        <v>3868.7534299999998</v>
      </c>
      <c r="G45" s="44">
        <v>3916.1307700000007</v>
      </c>
      <c r="H45" s="44">
        <v>3644.2030259800003</v>
      </c>
      <c r="I45" s="44">
        <v>3636.0436317900003</v>
      </c>
    </row>
    <row r="46" spans="1:9" ht="14.25">
      <c r="A46" s="63"/>
      <c r="B46" s="58"/>
      <c r="C46" s="58"/>
      <c r="D46" s="58"/>
      <c r="E46" s="58"/>
      <c r="F46" s="44"/>
      <c r="G46" s="44"/>
      <c r="H46" s="44"/>
      <c r="I46" s="44"/>
    </row>
    <row r="47" spans="1:9" ht="14.25">
      <c r="A47" s="43"/>
      <c r="B47" s="58"/>
      <c r="C47" s="58"/>
      <c r="D47" s="58"/>
      <c r="E47" s="58"/>
      <c r="F47" s="44"/>
      <c r="G47" s="44"/>
      <c r="H47" s="44"/>
      <c r="I47" s="44"/>
    </row>
    <row r="48" spans="1:9" ht="16.5">
      <c r="A48" s="67" t="str">
        <f>HLOOKUP(INDICE!$F$2,Nombres!$C$3:$D$636,65,FALSE)</f>
        <v>Indicadores relevantes y de gestión</v>
      </c>
      <c r="B48" s="68"/>
      <c r="C48" s="68"/>
      <c r="D48" s="68"/>
      <c r="E48" s="68"/>
      <c r="F48" s="73"/>
      <c r="G48" s="73"/>
      <c r="H48" s="73"/>
      <c r="I48" s="73"/>
    </row>
    <row r="49" spans="1:9" ht="14.25">
      <c r="A49" s="35" t="str">
        <f>HLOOKUP(INDICE!$F$2,Nombres!$C$3:$D$636,32,FALSE)</f>
        <v>(Millones de euros)</v>
      </c>
      <c r="B49" s="30"/>
      <c r="C49" s="30"/>
      <c r="D49" s="30"/>
      <c r="E49" s="30"/>
      <c r="F49" s="71"/>
      <c r="G49" s="44"/>
      <c r="H49" s="44"/>
      <c r="I49" s="44"/>
    </row>
    <row r="50" spans="1:9" ht="14.25">
      <c r="A50" s="30"/>
      <c r="B50" s="53">
        <f aca="true" t="shared" si="7" ref="B50:I50">+B$30</f>
        <v>43555</v>
      </c>
      <c r="C50" s="53">
        <f t="shared" si="7"/>
        <v>43646</v>
      </c>
      <c r="D50" s="53">
        <f t="shared" si="7"/>
        <v>43738</v>
      </c>
      <c r="E50" s="69">
        <f t="shared" si="7"/>
        <v>43830</v>
      </c>
      <c r="F50" s="53">
        <f t="shared" si="7"/>
        <v>43921</v>
      </c>
      <c r="G50" s="53">
        <f t="shared" si="7"/>
        <v>44012</v>
      </c>
      <c r="H50" s="53">
        <f t="shared" si="7"/>
        <v>44104</v>
      </c>
      <c r="I50" s="53">
        <f t="shared" si="7"/>
        <v>44196</v>
      </c>
    </row>
    <row r="51" spans="1:9" ht="14.25">
      <c r="A51" s="43" t="str">
        <f>HLOOKUP(INDICE!$F$2,Nombres!$C$3:$D$636,66,FALSE)</f>
        <v>Préstamos y anticipos a la clientela bruto (*)</v>
      </c>
      <c r="B51" s="44">
        <v>62485.677391050005</v>
      </c>
      <c r="C51" s="44">
        <v>61153.191272970005</v>
      </c>
      <c r="D51" s="44">
        <v>64086.72153825001</v>
      </c>
      <c r="E51" s="45">
        <v>63917.22094894</v>
      </c>
      <c r="F51" s="44">
        <v>70804.84171227</v>
      </c>
      <c r="G51" s="44">
        <v>69978.30510797999</v>
      </c>
      <c r="H51" s="44">
        <v>63706.13992960999</v>
      </c>
      <c r="I51" s="44">
        <v>59082.42894280001</v>
      </c>
    </row>
    <row r="52" spans="1:9" ht="14.25">
      <c r="A52" s="43" t="str">
        <f>HLOOKUP(INDICE!$F$2,Nombres!$C$3:$D$636,67,FALSE)</f>
        <v>Depósitos de clientes en gestión (**)</v>
      </c>
      <c r="B52" s="44">
        <v>65163.15654674001</v>
      </c>
      <c r="C52" s="44">
        <v>63119.75090709001</v>
      </c>
      <c r="D52" s="44">
        <v>67373.56720801</v>
      </c>
      <c r="E52" s="45">
        <v>67528.37898667001</v>
      </c>
      <c r="F52" s="44">
        <v>70914.4874813</v>
      </c>
      <c r="G52" s="44">
        <v>75651.49263804001</v>
      </c>
      <c r="H52" s="44">
        <v>73299.91263127</v>
      </c>
      <c r="I52" s="44">
        <v>69925.56797208</v>
      </c>
    </row>
    <row r="53" spans="1:9" ht="14.25">
      <c r="A53" s="43" t="str">
        <f>HLOOKUP(INDICE!$F$2,Nombres!$C$3:$D$636,68,FALSE)</f>
        <v>Fondos de inversión</v>
      </c>
      <c r="B53" s="44">
        <v>0</v>
      </c>
      <c r="C53" s="44">
        <v>0</v>
      </c>
      <c r="D53" s="44">
        <v>0</v>
      </c>
      <c r="E53" s="45">
        <v>0</v>
      </c>
      <c r="F53" s="44">
        <v>0</v>
      </c>
      <c r="G53" s="44">
        <v>0</v>
      </c>
      <c r="H53" s="44">
        <v>0</v>
      </c>
      <c r="I53" s="44">
        <v>0</v>
      </c>
    </row>
    <row r="54" spans="1:9" ht="14.25">
      <c r="A54" s="43" t="str">
        <f>HLOOKUP(INDICE!$F$2,Nombres!$C$3:$D$636,69,FALSE)</f>
        <v>Fondos de pensiones</v>
      </c>
      <c r="B54" s="44">
        <v>0</v>
      </c>
      <c r="C54" s="44">
        <v>0</v>
      </c>
      <c r="D54" s="44">
        <v>0</v>
      </c>
      <c r="E54" s="45">
        <v>0</v>
      </c>
      <c r="F54" s="44">
        <v>0</v>
      </c>
      <c r="G54" s="44">
        <v>0</v>
      </c>
      <c r="H54" s="44">
        <v>0</v>
      </c>
      <c r="I54" s="44">
        <v>0</v>
      </c>
    </row>
    <row r="55" spans="1:9" ht="14.25">
      <c r="A55" s="43" t="str">
        <f>HLOOKUP(INDICE!$F$2,Nombres!$C$3:$D$636,70,FALSE)</f>
        <v>Otros recursos fuera de balance</v>
      </c>
      <c r="B55" s="44">
        <v>0</v>
      </c>
      <c r="C55" s="44">
        <v>0</v>
      </c>
      <c r="D55" s="44">
        <v>0</v>
      </c>
      <c r="E55" s="45">
        <v>0</v>
      </c>
      <c r="F55" s="44">
        <v>0</v>
      </c>
      <c r="G55" s="44">
        <v>0</v>
      </c>
      <c r="H55" s="44">
        <v>0</v>
      </c>
      <c r="I55" s="44">
        <v>0</v>
      </c>
    </row>
    <row r="56" spans="1:9" ht="14.25">
      <c r="A56" s="63" t="str">
        <f>HLOOKUP(INDICE!$F$2,Nombres!$C$3:$D$636,71,FALSE)</f>
        <v>(*) No incluye las adquisiciones temporales de activos.</v>
      </c>
      <c r="B56" s="58"/>
      <c r="C56" s="58"/>
      <c r="D56" s="58"/>
      <c r="E56" s="58"/>
      <c r="F56" s="58"/>
      <c r="G56" s="58"/>
      <c r="H56" s="58"/>
      <c r="I56" s="58"/>
    </row>
    <row r="57" spans="1:9" ht="14.25">
      <c r="A57" s="63" t="str">
        <f>HLOOKUP(INDICE!$F$2,Nombres!$C$3:$D$636,72,FALSE)</f>
        <v>(**) No incluye las cesiones temporales de activos.</v>
      </c>
      <c r="B57" s="30"/>
      <c r="C57" s="30"/>
      <c r="D57" s="30"/>
      <c r="E57" s="30"/>
      <c r="F57" s="30"/>
      <c r="G57" s="30"/>
      <c r="H57" s="30"/>
      <c r="I57" s="30"/>
    </row>
    <row r="58" spans="1:9" ht="14.25">
      <c r="A58" s="63"/>
      <c r="B58" s="30"/>
      <c r="C58" s="30"/>
      <c r="D58" s="30"/>
      <c r="E58" s="30"/>
      <c r="F58" s="30"/>
      <c r="G58" s="30"/>
      <c r="H58" s="30"/>
      <c r="I58" s="30"/>
    </row>
    <row r="59" spans="1:9" ht="16.5">
      <c r="A59" s="33" t="str">
        <f>HLOOKUP(INDICE!$F$2,Nombres!$C$3:$D$636,31,FALSE)</f>
        <v>Cuenta de resultados  </v>
      </c>
      <c r="B59" s="34"/>
      <c r="C59" s="34"/>
      <c r="D59" s="34"/>
      <c r="E59" s="34"/>
      <c r="F59" s="34"/>
      <c r="G59" s="34"/>
      <c r="H59" s="34"/>
      <c r="I59" s="34"/>
    </row>
    <row r="60" spans="1:9" ht="14.25">
      <c r="A60" s="35" t="str">
        <f>HLOOKUP(INDICE!$F$2,Nombres!$C$3:$D$636,73,FALSE)</f>
        <v>(Millones de euros constantes)</v>
      </c>
      <c r="B60" s="30"/>
      <c r="C60" s="36"/>
      <c r="D60" s="36"/>
      <c r="E60" s="36"/>
      <c r="F60" s="30"/>
      <c r="G60" s="30"/>
      <c r="H60" s="30"/>
      <c r="I60" s="30"/>
    </row>
    <row r="61" spans="1:9" ht="14.25">
      <c r="A61" s="37"/>
      <c r="B61" s="30"/>
      <c r="C61" s="36"/>
      <c r="D61" s="36"/>
      <c r="E61" s="36"/>
      <c r="F61" s="30"/>
      <c r="G61" s="30"/>
      <c r="H61" s="30"/>
      <c r="I61" s="30"/>
    </row>
    <row r="62" spans="1:9" ht="14.25">
      <c r="A62" s="38"/>
      <c r="B62" s="308">
        <f>+B$6</f>
        <v>2019</v>
      </c>
      <c r="C62" s="308"/>
      <c r="D62" s="308"/>
      <c r="E62" s="309"/>
      <c r="F62" s="308">
        <f>+F$6</f>
        <v>2020</v>
      </c>
      <c r="G62" s="308"/>
      <c r="H62" s="308"/>
      <c r="I62" s="308"/>
    </row>
    <row r="63" spans="1:9" ht="14.2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4.25">
      <c r="A64" s="41" t="str">
        <f>HLOOKUP(INDICE!$F$2,Nombres!$C$3:$D$636,33,FALSE)</f>
        <v>Margen de intereses</v>
      </c>
      <c r="B64" s="41">
        <v>610.9155129173466</v>
      </c>
      <c r="C64" s="41">
        <v>592.017562296812</v>
      </c>
      <c r="D64" s="41">
        <v>576.6710922531124</v>
      </c>
      <c r="E64" s="42">
        <v>564.7268062765929</v>
      </c>
      <c r="F64" s="50">
        <v>529.0887081186654</v>
      </c>
      <c r="G64" s="50">
        <v>562.2145117002469</v>
      </c>
      <c r="H64" s="50">
        <v>589.3170962911611</v>
      </c>
      <c r="I64" s="50">
        <v>603.1628489899265</v>
      </c>
    </row>
    <row r="65" spans="1:9" ht="14.25">
      <c r="A65" s="43" t="str">
        <f>HLOOKUP(INDICE!$F$2,Nombres!$C$3:$D$636,34,FALSE)</f>
        <v>Comisiones netas</v>
      </c>
      <c r="B65" s="44">
        <v>149.55693473811453</v>
      </c>
      <c r="C65" s="44">
        <v>165.8755770229176</v>
      </c>
      <c r="D65" s="44">
        <v>163.7934669176139</v>
      </c>
      <c r="E65" s="45">
        <v>150.79359573769094</v>
      </c>
      <c r="F65" s="44">
        <v>169.73701076977534</v>
      </c>
      <c r="G65" s="44">
        <v>153.58370406190963</v>
      </c>
      <c r="H65" s="44">
        <v>171.13870667217222</v>
      </c>
      <c r="I65" s="44">
        <v>170.2192645661428</v>
      </c>
    </row>
    <row r="66" spans="1:9" ht="14.25">
      <c r="A66" s="43" t="str">
        <f>HLOOKUP(INDICE!$F$2,Nombres!$C$3:$D$636,35,FALSE)</f>
        <v>Resultados de operaciones financieras</v>
      </c>
      <c r="B66" s="44">
        <v>39.75244914201956</v>
      </c>
      <c r="C66" s="44">
        <v>37.33315553063734</v>
      </c>
      <c r="D66" s="44">
        <v>56.641756322512975</v>
      </c>
      <c r="E66" s="45">
        <v>33.00221010959041</v>
      </c>
      <c r="F66" s="44">
        <v>88.76424830636793</v>
      </c>
      <c r="G66" s="44">
        <v>53.13029322200629</v>
      </c>
      <c r="H66" s="44">
        <v>30.5829656907408</v>
      </c>
      <c r="I66" s="44">
        <v>47.32849436088497</v>
      </c>
    </row>
    <row r="67" spans="1:9" ht="14.25">
      <c r="A67" s="43" t="str">
        <f>HLOOKUP(INDICE!$F$2,Nombres!$C$3:$D$636,36,FALSE)</f>
        <v>Otros ingresos y cargas de explotación</v>
      </c>
      <c r="B67" s="44">
        <v>-2.8762001687159735</v>
      </c>
      <c r="C67" s="44">
        <v>1.234897244327417</v>
      </c>
      <c r="D67" s="44">
        <v>3.1605685725995007</v>
      </c>
      <c r="E67" s="45">
        <v>9.284053108424041</v>
      </c>
      <c r="F67" s="44">
        <v>-4.185773382963624</v>
      </c>
      <c r="G67" s="44">
        <v>-5.964033788631662</v>
      </c>
      <c r="H67" s="44">
        <v>-2.7192598142569113</v>
      </c>
      <c r="I67" s="44">
        <v>-3.7670510141478015</v>
      </c>
    </row>
    <row r="68" spans="1:9" ht="14.25">
      <c r="A68" s="41" t="str">
        <f>HLOOKUP(INDICE!$F$2,Nombres!$C$3:$D$636,37,FALSE)</f>
        <v>Margen bruto</v>
      </c>
      <c r="B68" s="41">
        <f>+SUM(B64:B67)</f>
        <v>797.3486966287647</v>
      </c>
      <c r="C68" s="41">
        <f aca="true" t="shared" si="9" ref="C68:I68">+SUM(C64:C67)</f>
        <v>796.4611920946943</v>
      </c>
      <c r="D68" s="41">
        <f t="shared" si="9"/>
        <v>800.2668840658387</v>
      </c>
      <c r="E68" s="42">
        <f t="shared" si="9"/>
        <v>757.8066652322983</v>
      </c>
      <c r="F68" s="50">
        <f t="shared" si="9"/>
        <v>783.4041938118451</v>
      </c>
      <c r="G68" s="50">
        <f t="shared" si="9"/>
        <v>762.9644751955311</v>
      </c>
      <c r="H68" s="50">
        <f t="shared" si="9"/>
        <v>788.3195088398172</v>
      </c>
      <c r="I68" s="50">
        <f t="shared" si="9"/>
        <v>816.9435569028064</v>
      </c>
    </row>
    <row r="69" spans="1:9" ht="14.25">
      <c r="A69" s="43" t="str">
        <f>HLOOKUP(INDICE!$F$2,Nombres!$C$3:$D$636,38,FALSE)</f>
        <v>Gastos de explotación</v>
      </c>
      <c r="B69" s="44">
        <v>-469.2829472773824</v>
      </c>
      <c r="C69" s="44">
        <v>-478.330345975627</v>
      </c>
      <c r="D69" s="44">
        <v>-478.5235952896171</v>
      </c>
      <c r="E69" s="45">
        <v>-497.9698005018199</v>
      </c>
      <c r="F69" s="44">
        <v>-480.65468498731764</v>
      </c>
      <c r="G69" s="44">
        <v>-443.4312221487811</v>
      </c>
      <c r="H69" s="44">
        <v>-467.1545587696123</v>
      </c>
      <c r="I69" s="44">
        <v>-478.9911725142891</v>
      </c>
    </row>
    <row r="70" spans="1:9" ht="14.25">
      <c r="A70" s="43" t="str">
        <f>HLOOKUP(INDICE!$F$2,Nombres!$C$3:$D$636,39,FALSE)</f>
        <v>  Gastos de administración</v>
      </c>
      <c r="B70" s="44">
        <v>-414.2693496556202</v>
      </c>
      <c r="C70" s="44">
        <v>-424.45212266701446</v>
      </c>
      <c r="D70" s="44">
        <v>-425.4256924061449</v>
      </c>
      <c r="E70" s="45">
        <v>-445.4020319451752</v>
      </c>
      <c r="F70" s="44">
        <v>-429.9354369872059</v>
      </c>
      <c r="G70" s="44">
        <v>-391.73971425662035</v>
      </c>
      <c r="H70" s="44">
        <v>-414.00189343161105</v>
      </c>
      <c r="I70" s="44">
        <v>-425.84198974456285</v>
      </c>
    </row>
    <row r="71" spans="1:9" ht="14.25">
      <c r="A71" s="46" t="str">
        <f>HLOOKUP(INDICE!$F$2,Nombres!$C$3:$D$636,40,FALSE)</f>
        <v>  Gastos de personal</v>
      </c>
      <c r="B71" s="44">
        <v>-275.5986009333142</v>
      </c>
      <c r="C71" s="44">
        <v>-271.7651707244685</v>
      </c>
      <c r="D71" s="44">
        <v>-276.10062390284253</v>
      </c>
      <c r="E71" s="45">
        <v>-278.33492036714654</v>
      </c>
      <c r="F71" s="44">
        <v>-288.38672217929576</v>
      </c>
      <c r="G71" s="44">
        <v>-249.11521760823913</v>
      </c>
      <c r="H71" s="44">
        <v>-270.17125315787314</v>
      </c>
      <c r="I71" s="44">
        <v>-277.0271597145919</v>
      </c>
    </row>
    <row r="72" spans="1:9" ht="14.25">
      <c r="A72" s="46" t="str">
        <f>HLOOKUP(INDICE!$F$2,Nombres!$C$3:$D$636,41,FALSE)</f>
        <v>  Otros gastos de administración</v>
      </c>
      <c r="B72" s="44">
        <v>-138.67074872230603</v>
      </c>
      <c r="C72" s="44">
        <v>-152.68695194254602</v>
      </c>
      <c r="D72" s="44">
        <v>-149.3250685033024</v>
      </c>
      <c r="E72" s="45">
        <v>-167.06711157802863</v>
      </c>
      <c r="F72" s="44">
        <v>-141.54871480791016</v>
      </c>
      <c r="G72" s="44">
        <v>-142.62449664838113</v>
      </c>
      <c r="H72" s="44">
        <v>-143.83064027373786</v>
      </c>
      <c r="I72" s="44">
        <v>-148.81483002997086</v>
      </c>
    </row>
    <row r="73" spans="1:9" ht="14.25">
      <c r="A73" s="43" t="str">
        <f>HLOOKUP(INDICE!$F$2,Nombres!$C$3:$D$636,42,FALSE)</f>
        <v>  Amortización</v>
      </c>
      <c r="B73" s="44">
        <v>-55.01359762176214</v>
      </c>
      <c r="C73" s="44">
        <v>-53.878223308612476</v>
      </c>
      <c r="D73" s="44">
        <v>-53.09790288347216</v>
      </c>
      <c r="E73" s="45">
        <v>-52.567768556644666</v>
      </c>
      <c r="F73" s="44">
        <v>-50.71924800011172</v>
      </c>
      <c r="G73" s="44">
        <v>-51.69150789216077</v>
      </c>
      <c r="H73" s="44">
        <v>-53.15266533800123</v>
      </c>
      <c r="I73" s="44">
        <v>-53.14918276972629</v>
      </c>
    </row>
    <row r="74" spans="1:9" ht="14.25">
      <c r="A74" s="41" t="str">
        <f>HLOOKUP(INDICE!$F$2,Nombres!$C$3:$D$636,43,FALSE)</f>
        <v>Margen neto</v>
      </c>
      <c r="B74" s="41">
        <f>+B68+B69</f>
        <v>328.06574935138235</v>
      </c>
      <c r="C74" s="41">
        <f aca="true" t="shared" si="10" ref="C74:I74">+C68+C69</f>
        <v>318.1308461190673</v>
      </c>
      <c r="D74" s="41">
        <f t="shared" si="10"/>
        <v>321.74328877622156</v>
      </c>
      <c r="E74" s="42">
        <f t="shared" si="10"/>
        <v>259.8368647304784</v>
      </c>
      <c r="F74" s="50">
        <f t="shared" si="10"/>
        <v>302.7495088245274</v>
      </c>
      <c r="G74" s="50">
        <f t="shared" si="10"/>
        <v>319.53325304675</v>
      </c>
      <c r="H74" s="50">
        <f t="shared" si="10"/>
        <v>321.1649500702049</v>
      </c>
      <c r="I74" s="50">
        <f t="shared" si="10"/>
        <v>337.9523843885174</v>
      </c>
    </row>
    <row r="75" spans="1:9" ht="14.25">
      <c r="A75" s="43" t="str">
        <f>HLOOKUP(INDICE!$F$2,Nombres!$C$3:$D$636,44,FALSE)</f>
        <v>Deterioro de activos financieros no valorados a valor razonable con cambios en resultados</v>
      </c>
      <c r="B75" s="44">
        <v>-160.91037518583454</v>
      </c>
      <c r="C75" s="44">
        <v>-122.40664179595001</v>
      </c>
      <c r="D75" s="44">
        <v>-115.91881845435398</v>
      </c>
      <c r="E75" s="45">
        <v>-138.20633515881323</v>
      </c>
      <c r="F75" s="44">
        <v>-410.53799265743163</v>
      </c>
      <c r="G75" s="44">
        <v>-179.8819192836581</v>
      </c>
      <c r="H75" s="44">
        <v>-242.89051137492768</v>
      </c>
      <c r="I75" s="44">
        <v>57.64638831601734</v>
      </c>
    </row>
    <row r="76" spans="1:9" ht="14.25">
      <c r="A76" s="43" t="str">
        <f>HLOOKUP(INDICE!$F$2,Nombres!$C$3:$D$636,45,FALSE)</f>
        <v>Provisiones o reversión de provisiones y otros resultados</v>
      </c>
      <c r="B76" s="44">
        <v>-9.690586901837044</v>
      </c>
      <c r="C76" s="44">
        <v>3.7695001372337447</v>
      </c>
      <c r="D76" s="44">
        <v>9.987030170999411</v>
      </c>
      <c r="E76" s="45">
        <v>-6.33459864847578</v>
      </c>
      <c r="F76" s="44">
        <v>-1.6551146955370055</v>
      </c>
      <c r="G76" s="44">
        <v>-16.88551108336181</v>
      </c>
      <c r="H76" s="44">
        <v>23.14061613371421</v>
      </c>
      <c r="I76" s="44">
        <v>-8.512555354815584</v>
      </c>
    </row>
    <row r="77" spans="1:9" ht="14.25">
      <c r="A77" s="41" t="str">
        <f>HLOOKUP(INDICE!$F$2,Nombres!$C$3:$D$636,46,FALSE)</f>
        <v>Resultado antes de impuestos</v>
      </c>
      <c r="B77" s="41">
        <f>+B74+B75+B76</f>
        <v>157.46478726371078</v>
      </c>
      <c r="C77" s="41">
        <f aca="true" t="shared" si="11" ref="C77:I77">+C74+C75+C76</f>
        <v>199.49370446035104</v>
      </c>
      <c r="D77" s="41">
        <f t="shared" si="11"/>
        <v>215.811500492867</v>
      </c>
      <c r="E77" s="42">
        <f t="shared" si="11"/>
        <v>115.29593092318939</v>
      </c>
      <c r="F77" s="50">
        <f t="shared" si="11"/>
        <v>-109.44359852844121</v>
      </c>
      <c r="G77" s="50">
        <f t="shared" si="11"/>
        <v>122.7658226797301</v>
      </c>
      <c r="H77" s="50">
        <f t="shared" si="11"/>
        <v>101.41505482899143</v>
      </c>
      <c r="I77" s="50">
        <f t="shared" si="11"/>
        <v>387.08621734971916</v>
      </c>
    </row>
    <row r="78" spans="1:9" ht="14.25">
      <c r="A78" s="43" t="str">
        <f>HLOOKUP(INDICE!$F$2,Nombres!$C$3:$D$636,47,FALSE)</f>
        <v>Impuesto sobre beneficios</v>
      </c>
      <c r="B78" s="44">
        <v>-31.820651400080237</v>
      </c>
      <c r="C78" s="44">
        <v>-33.43057542568481</v>
      </c>
      <c r="D78" s="44">
        <v>-41.32187402774194</v>
      </c>
      <c r="E78" s="45">
        <v>-5.7921103288112</v>
      </c>
      <c r="F78" s="44">
        <v>11.541117281285253</v>
      </c>
      <c r="G78" s="44">
        <v>-1.0535419517166744</v>
      </c>
      <c r="H78" s="44">
        <v>-12.737879986682646</v>
      </c>
      <c r="I78" s="44">
        <v>-70.39191885288592</v>
      </c>
    </row>
    <row r="79" spans="1:9" ht="14.25">
      <c r="A79" s="41" t="str">
        <f>HLOOKUP(INDICE!$F$2,Nombres!$C$3:$D$636,48,FALSE)</f>
        <v>Resultado del ejercicio</v>
      </c>
      <c r="B79" s="41">
        <f>+B77+B78</f>
        <v>125.64413586363054</v>
      </c>
      <c r="C79" s="41">
        <f aca="true" t="shared" si="12" ref="C79:I79">+C77+C78</f>
        <v>166.06312903466625</v>
      </c>
      <c r="D79" s="41">
        <f t="shared" si="12"/>
        <v>174.48962646512507</v>
      </c>
      <c r="E79" s="42">
        <f t="shared" si="12"/>
        <v>109.50382059437818</v>
      </c>
      <c r="F79" s="50">
        <f t="shared" si="12"/>
        <v>-97.90248124715596</v>
      </c>
      <c r="G79" s="50">
        <f t="shared" si="12"/>
        <v>121.71228072801344</v>
      </c>
      <c r="H79" s="50">
        <f t="shared" si="12"/>
        <v>88.67717484230879</v>
      </c>
      <c r="I79" s="50">
        <f t="shared" si="12"/>
        <v>316.69429849683326</v>
      </c>
    </row>
    <row r="80" spans="1:9" ht="14.25">
      <c r="A80" s="43" t="str">
        <f>HLOOKUP(INDICE!$F$2,Nombres!$C$3:$D$636,49,FALSE)</f>
        <v>Minoritarios</v>
      </c>
      <c r="B80" s="44">
        <v>0</v>
      </c>
      <c r="C80" s="44">
        <v>0</v>
      </c>
      <c r="D80" s="44">
        <v>0</v>
      </c>
      <c r="E80" s="45">
        <v>0</v>
      </c>
      <c r="F80" s="44">
        <v>0</v>
      </c>
      <c r="G80" s="44">
        <v>0</v>
      </c>
      <c r="H80" s="44">
        <v>0</v>
      </c>
      <c r="I80" s="44">
        <v>0</v>
      </c>
    </row>
    <row r="81" spans="1:9" ht="14.25">
      <c r="A81" s="47" t="str">
        <f>HLOOKUP(INDICE!$F$2,Nombres!$C$3:$D$636,50,FALSE)</f>
        <v>Resultado atribuido</v>
      </c>
      <c r="B81" s="47">
        <f>+B79+B80</f>
        <v>125.64413586363054</v>
      </c>
      <c r="C81" s="47">
        <f aca="true" t="shared" si="13" ref="C81:I81">+C79+C80</f>
        <v>166.06312903466625</v>
      </c>
      <c r="D81" s="47">
        <f t="shared" si="13"/>
        <v>174.48962646512507</v>
      </c>
      <c r="E81" s="47">
        <f t="shared" si="13"/>
        <v>109.50382059437818</v>
      </c>
      <c r="F81" s="51">
        <f t="shared" si="13"/>
        <v>-97.90248124715596</v>
      </c>
      <c r="G81" s="51">
        <f t="shared" si="13"/>
        <v>121.71228072801344</v>
      </c>
      <c r="H81" s="51">
        <f t="shared" si="13"/>
        <v>88.67717484230879</v>
      </c>
      <c r="I81" s="51">
        <f t="shared" si="13"/>
        <v>316.69429849683326</v>
      </c>
    </row>
    <row r="82" spans="1:9" ht="14.25">
      <c r="A82" s="63"/>
      <c r="B82" s="64">
        <v>0</v>
      </c>
      <c r="C82" s="64">
        <v>0</v>
      </c>
      <c r="D82" s="64">
        <v>0</v>
      </c>
      <c r="E82" s="64">
        <v>-1.4210854715202004E-13</v>
      </c>
      <c r="F82" s="64">
        <v>0</v>
      </c>
      <c r="G82" s="64">
        <v>-3.979039320256561E-13</v>
      </c>
      <c r="H82" s="64">
        <v>-1.7053025658242404E-13</v>
      </c>
      <c r="I82" s="64">
        <v>0</v>
      </c>
    </row>
    <row r="83" spans="1:9" ht="14.25">
      <c r="A83" s="41"/>
      <c r="B83" s="41"/>
      <c r="C83" s="41"/>
      <c r="D83" s="41"/>
      <c r="E83" s="41"/>
      <c r="F83" s="50"/>
      <c r="G83" s="50"/>
      <c r="H83" s="50"/>
      <c r="I83" s="50"/>
    </row>
    <row r="84" spans="1:9" ht="16.5">
      <c r="A84" s="33" t="str">
        <f>HLOOKUP(INDICE!$F$2,Nombres!$C$3:$D$636,51,FALSE)</f>
        <v>Balances</v>
      </c>
      <c r="B84" s="34"/>
      <c r="C84" s="34"/>
      <c r="D84" s="34"/>
      <c r="E84" s="34"/>
      <c r="F84" s="70"/>
      <c r="G84" s="70"/>
      <c r="H84" s="70"/>
      <c r="I84" s="70"/>
    </row>
    <row r="85" spans="1:9" ht="14.25">
      <c r="A85" s="35" t="str">
        <f>HLOOKUP(INDICE!$F$2,Nombres!$C$3:$D$636,73,FALSE)</f>
        <v>(Millones de euros constantes)</v>
      </c>
      <c r="B85" s="30"/>
      <c r="C85" s="52"/>
      <c r="D85" s="52"/>
      <c r="E85" s="52"/>
      <c r="F85" s="71"/>
      <c r="G85" s="44"/>
      <c r="H85" s="44"/>
      <c r="I85" s="44"/>
    </row>
    <row r="86" spans="1:9" ht="14.25">
      <c r="A86" s="30"/>
      <c r="B86" s="53">
        <f aca="true" t="shared" si="14" ref="B86:I86">+B$30</f>
        <v>43555</v>
      </c>
      <c r="C86" s="53">
        <f t="shared" si="14"/>
        <v>43646</v>
      </c>
      <c r="D86" s="53">
        <f t="shared" si="14"/>
        <v>43738</v>
      </c>
      <c r="E86" s="69">
        <f t="shared" si="14"/>
        <v>43830</v>
      </c>
      <c r="F86" s="53">
        <f t="shared" si="14"/>
        <v>43921</v>
      </c>
      <c r="G86" s="53">
        <f t="shared" si="14"/>
        <v>44012</v>
      </c>
      <c r="H86" s="53">
        <f t="shared" si="14"/>
        <v>44104</v>
      </c>
      <c r="I86" s="53">
        <f t="shared" si="14"/>
        <v>44196</v>
      </c>
    </row>
    <row r="87" spans="1:9" ht="14.25">
      <c r="A87" s="43" t="str">
        <f>HLOOKUP(INDICE!$F$2,Nombres!$C$3:$D$636,52,FALSE)</f>
        <v>Efectivo, saldos en efectivo en bancos centrales y otros depósitos a la vista</v>
      </c>
      <c r="B87" s="44">
        <v>5996.752109882468</v>
      </c>
      <c r="C87" s="44">
        <v>6958.9982116423</v>
      </c>
      <c r="D87" s="44">
        <v>6802.4634985170305</v>
      </c>
      <c r="E87" s="45">
        <v>7592.508717741579</v>
      </c>
      <c r="F87" s="44">
        <v>9524.817100380165</v>
      </c>
      <c r="G87" s="44">
        <v>12691.854923986739</v>
      </c>
      <c r="H87" s="44">
        <v>16415.746760389276</v>
      </c>
      <c r="I87" s="44">
        <v>17259.648597</v>
      </c>
    </row>
    <row r="88" spans="1:9" ht="14.25">
      <c r="A88" s="43" t="str">
        <f>HLOOKUP(INDICE!$F$2,Nombres!$C$3:$D$636,53,FALSE)</f>
        <v>Activos financieros a valor razonable</v>
      </c>
      <c r="B88" s="58">
        <v>8541.957341383713</v>
      </c>
      <c r="C88" s="58">
        <v>9536.018862106255</v>
      </c>
      <c r="D88" s="58">
        <v>7405.861813024622</v>
      </c>
      <c r="E88" s="66">
        <v>7012.002797586338</v>
      </c>
      <c r="F88" s="44">
        <v>6851.390370162368</v>
      </c>
      <c r="G88" s="44">
        <v>6346.724459179256</v>
      </c>
      <c r="H88" s="44">
        <v>6348.441304621681</v>
      </c>
      <c r="I88" s="44">
        <v>6792.386611</v>
      </c>
    </row>
    <row r="89" spans="1:9" ht="14.25">
      <c r="A89" s="43" t="str">
        <f>HLOOKUP(INDICE!$F$2,Nombres!$C$3:$D$636,54,FALSE)</f>
        <v>Activos financieros a coste amortizado</v>
      </c>
      <c r="B89" s="44">
        <v>60087.82227154398</v>
      </c>
      <c r="C89" s="44">
        <v>60131.43302392357</v>
      </c>
      <c r="D89" s="44">
        <v>61533.132092044456</v>
      </c>
      <c r="E89" s="45">
        <v>63635.5442469583</v>
      </c>
      <c r="F89" s="44">
        <v>68868.33593900429</v>
      </c>
      <c r="G89" s="44">
        <v>70084.26046707106</v>
      </c>
      <c r="H89" s="44">
        <v>67203.16601668339</v>
      </c>
      <c r="I89" s="44">
        <v>66933.48024</v>
      </c>
    </row>
    <row r="90" spans="1:9" ht="14.25">
      <c r="A90" s="43" t="str">
        <f>HLOOKUP(INDICE!$F$2,Nombres!$C$3:$D$636,55,FALSE)</f>
        <v>    de los que préstamos y anticipos a la clientela</v>
      </c>
      <c r="B90" s="44">
        <v>56218.96451981406</v>
      </c>
      <c r="C90" s="44">
        <v>55764.00717752805</v>
      </c>
      <c r="D90" s="44">
        <v>56090.770328349</v>
      </c>
      <c r="E90" s="45">
        <v>57824.04653615415</v>
      </c>
      <c r="F90" s="44">
        <v>62158.419048658536</v>
      </c>
      <c r="G90" s="44">
        <v>62663.3467504232</v>
      </c>
      <c r="H90" s="44">
        <v>59143.25560836778</v>
      </c>
      <c r="I90" s="44">
        <v>57982.546796</v>
      </c>
    </row>
    <row r="91" spans="1:9" ht="14.25">
      <c r="A91" s="43" t="str">
        <f>HLOOKUP(INDICE!$F$2,Nombres!$C$3:$D$636,121,FALSE)</f>
        <v>Posiciones inter-áreas activo</v>
      </c>
      <c r="B91" s="44">
        <v>0</v>
      </c>
      <c r="C91" s="44">
        <v>0</v>
      </c>
      <c r="D91" s="44">
        <v>0</v>
      </c>
      <c r="E91" s="45">
        <v>0</v>
      </c>
      <c r="F91" s="44">
        <v>0</v>
      </c>
      <c r="G91" s="44">
        <v>0</v>
      </c>
      <c r="H91" s="44">
        <v>0</v>
      </c>
      <c r="I91" s="44">
        <v>0</v>
      </c>
    </row>
    <row r="92" spans="1:9" ht="14.25">
      <c r="A92" s="43" t="str">
        <f>HLOOKUP(INDICE!$F$2,Nombres!$C$3:$D$636,56,FALSE)</f>
        <v>Activos tangibles</v>
      </c>
      <c r="B92" s="58">
        <v>871.9371763437404</v>
      </c>
      <c r="C92" s="58">
        <v>857.9771030745436</v>
      </c>
      <c r="D92" s="58">
        <v>844.305026881877</v>
      </c>
      <c r="E92" s="66">
        <v>836.8429888460615</v>
      </c>
      <c r="F92" s="44">
        <v>833.3969572003534</v>
      </c>
      <c r="G92" s="44">
        <v>827.627638060432</v>
      </c>
      <c r="H92" s="44">
        <v>817.8700397447487</v>
      </c>
      <c r="I92" s="44">
        <v>809.6690919999999</v>
      </c>
    </row>
    <row r="93" spans="1:9" ht="14.25">
      <c r="A93" s="43" t="str">
        <f>HLOOKUP(INDICE!$F$2,Nombres!$C$3:$D$636,57,FALSE)</f>
        <v>Otros activos</v>
      </c>
      <c r="B93" s="58">
        <f>+B94-B92-B89-B88-B87-B91</f>
        <v>2471.712336435613</v>
      </c>
      <c r="C93" s="58">
        <f aca="true" t="shared" si="15" ref="C93:I93">+C94-C92-C89-C88-C87-C91</f>
        <v>2483.105276593784</v>
      </c>
      <c r="D93" s="58">
        <f t="shared" si="15"/>
        <v>2151.4946899396527</v>
      </c>
      <c r="E93" s="66">
        <f t="shared" si="15"/>
        <v>1970.6809531550334</v>
      </c>
      <c r="F93" s="44">
        <f t="shared" si="15"/>
        <v>2381.9178847043513</v>
      </c>
      <c r="G93" s="44">
        <f t="shared" si="15"/>
        <v>2325.140995455269</v>
      </c>
      <c r="H93" s="44">
        <f t="shared" si="15"/>
        <v>2462.659987238174</v>
      </c>
      <c r="I93" s="44">
        <f t="shared" si="15"/>
        <v>2157.7771590000048</v>
      </c>
    </row>
    <row r="94" spans="1:9" ht="14.25">
      <c r="A94" s="47" t="str">
        <f>HLOOKUP(INDICE!$F$2,Nombres!$C$3:$D$636,58,FALSE)</f>
        <v>Total activo / pasivo</v>
      </c>
      <c r="B94" s="47">
        <v>77970.18123558951</v>
      </c>
      <c r="C94" s="47">
        <v>79967.53247734046</v>
      </c>
      <c r="D94" s="47">
        <v>78737.25712040764</v>
      </c>
      <c r="E94" s="72">
        <v>81047.57970428732</v>
      </c>
      <c r="F94" s="47">
        <v>88459.85825145153</v>
      </c>
      <c r="G94" s="51">
        <v>92275.60848375275</v>
      </c>
      <c r="H94" s="51">
        <v>93247.88410867727</v>
      </c>
      <c r="I94" s="51">
        <v>93952.961699</v>
      </c>
    </row>
    <row r="95" spans="1:9" ht="14.25">
      <c r="A95" s="43" t="str">
        <f>HLOOKUP(INDICE!$F$2,Nombres!$C$3:$D$636,59,FALSE)</f>
        <v>Pasivos financieros mantenidos para negociar y designados a valor razonable con cambios en resultados</v>
      </c>
      <c r="B95" s="58">
        <v>278.90535187403566</v>
      </c>
      <c r="C95" s="58">
        <v>1367.9981121956089</v>
      </c>
      <c r="D95" s="58">
        <v>220.73318979722134</v>
      </c>
      <c r="E95" s="66">
        <v>257.91361974240795</v>
      </c>
      <c r="F95" s="44">
        <v>565.6015536163698</v>
      </c>
      <c r="G95" s="44">
        <v>418.61360295940113</v>
      </c>
      <c r="H95" s="44">
        <v>321.02399054706757</v>
      </c>
      <c r="I95" s="44">
        <v>951.7975749999999</v>
      </c>
    </row>
    <row r="96" spans="1:9" ht="14.25">
      <c r="A96" s="43" t="str">
        <f>HLOOKUP(INDICE!$F$2,Nombres!$C$3:$D$636,60,FALSE)</f>
        <v>Depósitos de bancos centrales y entidades de crédito</v>
      </c>
      <c r="B96" s="58">
        <v>4312.242775750714</v>
      </c>
      <c r="C96" s="58">
        <v>4236.638997099824</v>
      </c>
      <c r="D96" s="58">
        <v>3593.3127881527043</v>
      </c>
      <c r="E96" s="66">
        <v>3736.464489569667</v>
      </c>
      <c r="F96" s="44">
        <v>3933.2645423811073</v>
      </c>
      <c r="G96" s="44">
        <v>5684.056640663858</v>
      </c>
      <c r="H96" s="44">
        <v>5642.957125897312</v>
      </c>
      <c r="I96" s="44">
        <v>5569.632025</v>
      </c>
    </row>
    <row r="97" spans="1:9" ht="14.25">
      <c r="A97" s="43" t="str">
        <f>HLOOKUP(INDICE!$F$2,Nombres!$C$3:$D$636,61,FALSE)</f>
        <v>Depósitos de la clientela</v>
      </c>
      <c r="B97" s="58">
        <v>59663.75794184795</v>
      </c>
      <c r="C97" s="58">
        <v>58538.76682488037</v>
      </c>
      <c r="D97" s="58">
        <v>59787.84298833861</v>
      </c>
      <c r="E97" s="66">
        <v>61818.906216185</v>
      </c>
      <c r="F97" s="44">
        <v>63317.190978587605</v>
      </c>
      <c r="G97" s="44">
        <v>69033.90186677352</v>
      </c>
      <c r="H97" s="44">
        <v>69933.8838754879</v>
      </c>
      <c r="I97" s="44">
        <v>69923.22308600001</v>
      </c>
    </row>
    <row r="98" spans="1:9" ht="14.25">
      <c r="A98" s="43" t="str">
        <f>HLOOKUP(INDICE!$F$2,Nombres!$C$3:$D$636,62,FALSE)</f>
        <v>Valores representativos de deuda emitidos</v>
      </c>
      <c r="B98" s="44">
        <v>3080.0243842642535</v>
      </c>
      <c r="C98" s="44">
        <v>3136.6212411795973</v>
      </c>
      <c r="D98" s="44">
        <v>3292.469954220067</v>
      </c>
      <c r="E98" s="45">
        <v>3250.4647868692064</v>
      </c>
      <c r="F98" s="44">
        <v>3087.754351524633</v>
      </c>
      <c r="G98" s="44">
        <v>2898.9571926188687</v>
      </c>
      <c r="H98" s="44">
        <v>2953.729948343226</v>
      </c>
      <c r="I98" s="44">
        <v>2879.25279954</v>
      </c>
    </row>
    <row r="99" spans="1:9" ht="14.25">
      <c r="A99" s="43" t="str">
        <f>HLOOKUP(INDICE!$F$2,Nombres!$C$3:$D$636,122,FALSE)</f>
        <v>Posiciones inter-áreas pasivo</v>
      </c>
      <c r="B99" s="44">
        <v>1589.9358451201406</v>
      </c>
      <c r="C99" s="44">
        <v>3484.4067293744592</v>
      </c>
      <c r="D99" s="44">
        <v>2683.249658537985</v>
      </c>
      <c r="E99" s="45">
        <v>3127.3141090369318</v>
      </c>
      <c r="F99" s="44">
        <v>8390.492663371624</v>
      </c>
      <c r="G99" s="44">
        <v>4549.414447033167</v>
      </c>
      <c r="H99" s="44">
        <v>4683.744080362114</v>
      </c>
      <c r="I99" s="44">
        <v>4868.628774099983</v>
      </c>
    </row>
    <row r="100" spans="1:9" ht="14.25">
      <c r="A100" s="43" t="str">
        <f>HLOOKUP(INDICE!$F$2,Nombres!$C$3:$D$636,63,FALSE)</f>
        <v>Otros pasivos</v>
      </c>
      <c r="B100" s="44">
        <f>+B94-B95-B96-B97-B98-B101-B99</f>
        <v>5674.550665652988</v>
      </c>
      <c r="C100" s="44">
        <f aca="true" t="shared" si="16" ref="C100:I100">+C94-C95-C96-C97-C98-C101-C99</f>
        <v>5779.391552789</v>
      </c>
      <c r="D100" s="44">
        <f t="shared" si="16"/>
        <v>5904.834158037935</v>
      </c>
      <c r="E100" s="45">
        <f t="shared" si="16"/>
        <v>5338.040503336424</v>
      </c>
      <c r="F100" s="44">
        <f t="shared" si="16"/>
        <v>5711.388847071685</v>
      </c>
      <c r="G100" s="44">
        <f t="shared" si="16"/>
        <v>6116.968020927137</v>
      </c>
      <c r="H100" s="44">
        <f t="shared" si="16"/>
        <v>6235.540033178027</v>
      </c>
      <c r="I100" s="44">
        <f t="shared" si="16"/>
        <v>6124.383807570008</v>
      </c>
    </row>
    <row r="101" spans="1:9" ht="14.25">
      <c r="A101" s="43" t="str">
        <f>HLOOKUP(INDICE!$F$2,Nombres!$C$3:$D$636,64,FALSE)</f>
        <v>Dotación de capital económico</v>
      </c>
      <c r="B101" s="44">
        <v>3370.7642710794253</v>
      </c>
      <c r="C101" s="44">
        <v>3423.7090198215974</v>
      </c>
      <c r="D101" s="44">
        <v>3254.814383323117</v>
      </c>
      <c r="E101" s="45">
        <v>3518.4759795476753</v>
      </c>
      <c r="F101" s="44">
        <v>3454.1653148985024</v>
      </c>
      <c r="G101" s="44">
        <v>3573.696712776791</v>
      </c>
      <c r="H101" s="44">
        <v>3477.0050548616296</v>
      </c>
      <c r="I101" s="44">
        <v>3636.0436317900003</v>
      </c>
    </row>
    <row r="102" spans="1:9" ht="14.25">
      <c r="A102" s="63"/>
      <c r="B102" s="58"/>
      <c r="C102" s="58"/>
      <c r="D102" s="58"/>
      <c r="E102" s="58"/>
      <c r="F102" s="44"/>
      <c r="G102" s="44"/>
      <c r="H102" s="44"/>
      <c r="I102" s="44"/>
    </row>
    <row r="103" spans="1:9" ht="14.25">
      <c r="A103" s="43"/>
      <c r="B103" s="58"/>
      <c r="C103" s="58"/>
      <c r="D103" s="58"/>
      <c r="E103" s="58"/>
      <c r="F103" s="44"/>
      <c r="G103" s="44"/>
      <c r="H103" s="44"/>
      <c r="I103" s="44"/>
    </row>
    <row r="104" spans="1:9" ht="16.5">
      <c r="A104" s="67" t="str">
        <f>HLOOKUP(INDICE!$F$2,Nombres!$C$3:$D$636,65,FALSE)</f>
        <v>Indicadores relevantes y de gestión</v>
      </c>
      <c r="B104" s="68"/>
      <c r="C104" s="68"/>
      <c r="D104" s="68"/>
      <c r="E104" s="68"/>
      <c r="F104" s="73"/>
      <c r="G104" s="73"/>
      <c r="H104" s="73"/>
      <c r="I104" s="73"/>
    </row>
    <row r="105" spans="1:9" ht="14.25">
      <c r="A105" s="35" t="str">
        <f>HLOOKUP(INDICE!$F$2,Nombres!$C$3:$D$636,73,FALSE)</f>
        <v>(Millones de euros constantes)</v>
      </c>
      <c r="B105" s="30"/>
      <c r="C105" s="30"/>
      <c r="D105" s="30"/>
      <c r="E105" s="30"/>
      <c r="F105" s="71"/>
      <c r="G105" s="71"/>
      <c r="H105" s="71"/>
      <c r="I105" s="71"/>
    </row>
    <row r="106" spans="1:9" ht="14.25">
      <c r="A106" s="30"/>
      <c r="B106" s="53">
        <f aca="true" t="shared" si="17" ref="B106:I106">+B$30</f>
        <v>43555</v>
      </c>
      <c r="C106" s="53">
        <f t="shared" si="17"/>
        <v>43646</v>
      </c>
      <c r="D106" s="53">
        <f t="shared" si="17"/>
        <v>43738</v>
      </c>
      <c r="E106" s="69">
        <f t="shared" si="17"/>
        <v>43830</v>
      </c>
      <c r="F106" s="53">
        <f t="shared" si="17"/>
        <v>43921</v>
      </c>
      <c r="G106" s="53">
        <f t="shared" si="17"/>
        <v>44012</v>
      </c>
      <c r="H106" s="53">
        <f t="shared" si="17"/>
        <v>44104</v>
      </c>
      <c r="I106" s="53">
        <f t="shared" si="17"/>
        <v>44196</v>
      </c>
    </row>
    <row r="107" spans="1:9" ht="14.25">
      <c r="A107" s="43" t="str">
        <f>HLOOKUP(INDICE!$F$2,Nombres!$C$3:$D$636,66,FALSE)</f>
        <v>Préstamos y anticipos a la clientela bruto (*)</v>
      </c>
      <c r="B107" s="44">
        <v>57210.2180334701</v>
      </c>
      <c r="C107" s="44">
        <v>56712.844648920975</v>
      </c>
      <c r="D107" s="44">
        <v>56869.0661584584</v>
      </c>
      <c r="E107" s="45">
        <v>58515.6922941156</v>
      </c>
      <c r="F107" s="44">
        <v>63217.166147857024</v>
      </c>
      <c r="G107" s="44">
        <v>63859.26661230455</v>
      </c>
      <c r="H107" s="44">
        <v>60783.26838044613</v>
      </c>
      <c r="I107" s="44">
        <v>59082.42894280001</v>
      </c>
    </row>
    <row r="108" spans="1:9" ht="14.25">
      <c r="A108" s="43" t="str">
        <f>HLOOKUP(INDICE!$F$2,Nombres!$C$3:$D$636,67,FALSE)</f>
        <v>Depósitos de clientes en gestión (**)</v>
      </c>
      <c r="B108" s="44">
        <v>59661.64646751692</v>
      </c>
      <c r="C108" s="44">
        <v>58536.61195690745</v>
      </c>
      <c r="D108" s="44">
        <v>59785.736560058845</v>
      </c>
      <c r="E108" s="45">
        <v>61821.67790212624</v>
      </c>
      <c r="F108" s="44">
        <v>63315.06192208029</v>
      </c>
      <c r="G108" s="44">
        <v>69036.37963990186</v>
      </c>
      <c r="H108" s="44">
        <v>69936.8736930631</v>
      </c>
      <c r="I108" s="44">
        <v>69925.56797208</v>
      </c>
    </row>
    <row r="109" spans="1:9" ht="14.25">
      <c r="A109" s="43" t="str">
        <f>HLOOKUP(INDICE!$F$2,Nombres!$C$3:$D$636,68,FALSE)</f>
        <v>Fondos de inversión</v>
      </c>
      <c r="B109" s="44">
        <v>0</v>
      </c>
      <c r="C109" s="44">
        <v>0</v>
      </c>
      <c r="D109" s="44">
        <v>0</v>
      </c>
      <c r="E109" s="45">
        <v>0</v>
      </c>
      <c r="F109" s="44">
        <v>0</v>
      </c>
      <c r="G109" s="44">
        <v>0</v>
      </c>
      <c r="H109" s="44">
        <v>0</v>
      </c>
      <c r="I109" s="44">
        <v>0</v>
      </c>
    </row>
    <row r="110" spans="1:9" ht="14.25">
      <c r="A110" s="43" t="str">
        <f>HLOOKUP(INDICE!$F$2,Nombres!$C$3:$D$636,69,FALSE)</f>
        <v>Fondos de pensiones</v>
      </c>
      <c r="B110" s="44">
        <v>0</v>
      </c>
      <c r="C110" s="44">
        <v>0</v>
      </c>
      <c r="D110" s="44">
        <v>0</v>
      </c>
      <c r="E110" s="45">
        <v>0</v>
      </c>
      <c r="F110" s="44">
        <v>0</v>
      </c>
      <c r="G110" s="44">
        <v>0</v>
      </c>
      <c r="H110" s="44">
        <v>0</v>
      </c>
      <c r="I110" s="44">
        <v>0</v>
      </c>
    </row>
    <row r="111" spans="1:9" ht="14.25">
      <c r="A111" s="43" t="str">
        <f>HLOOKUP(INDICE!$F$2,Nombres!$C$3:$D$636,70,FALSE)</f>
        <v>Otros recursos fuera de balance</v>
      </c>
      <c r="B111" s="44">
        <v>0</v>
      </c>
      <c r="C111" s="44">
        <v>0</v>
      </c>
      <c r="D111" s="44">
        <v>0</v>
      </c>
      <c r="E111" s="45">
        <v>0</v>
      </c>
      <c r="F111" s="44">
        <v>0</v>
      </c>
      <c r="G111" s="44">
        <v>0</v>
      </c>
      <c r="H111" s="44">
        <v>0</v>
      </c>
      <c r="I111" s="44">
        <v>0</v>
      </c>
    </row>
    <row r="112" spans="1:9" ht="14.25">
      <c r="A112" s="63" t="str">
        <f>HLOOKUP(INDICE!$F$2,Nombres!$C$3:$D$636,71,FALSE)</f>
        <v>(*) No incluye las adquisiciones temporales de activos.</v>
      </c>
      <c r="B112" s="58"/>
      <c r="C112" s="58"/>
      <c r="D112" s="58"/>
      <c r="E112" s="58"/>
      <c r="F112" s="58"/>
      <c r="G112" s="58"/>
      <c r="H112" s="58"/>
      <c r="I112" s="58"/>
    </row>
    <row r="113" spans="1:9" ht="14.25">
      <c r="A113" s="63" t="str">
        <f>HLOOKUP(INDICE!$F$2,Nombres!$C$3:$D$636,72,FALSE)</f>
        <v>(**) No incluye las cesiones temporales de activos.</v>
      </c>
      <c r="B113" s="30"/>
      <c r="C113" s="30"/>
      <c r="D113" s="30"/>
      <c r="E113" s="30"/>
      <c r="F113" s="30"/>
      <c r="G113" s="30"/>
      <c r="H113" s="30"/>
      <c r="I113" s="30"/>
    </row>
    <row r="114" spans="1:9" ht="14.25">
      <c r="A114" s="63"/>
      <c r="B114" s="58"/>
      <c r="C114" s="44"/>
      <c r="D114" s="44"/>
      <c r="E114" s="44"/>
      <c r="F114" s="44"/>
      <c r="G114" s="30"/>
      <c r="H114" s="30"/>
      <c r="I114" s="30"/>
    </row>
    <row r="115" spans="1:9" ht="16.5">
      <c r="A115" s="33" t="str">
        <f>HLOOKUP(INDICE!$F$2,Nombres!$C$3:$D$636,31,FALSE)</f>
        <v>Cuenta de resultados  </v>
      </c>
      <c r="B115" s="34"/>
      <c r="C115" s="34"/>
      <c r="D115" s="34"/>
      <c r="E115" s="34"/>
      <c r="F115" s="34"/>
      <c r="G115" s="34"/>
      <c r="H115" s="34"/>
      <c r="I115" s="34"/>
    </row>
    <row r="116" spans="1:9" ht="14.25">
      <c r="A116" s="35" t="str">
        <f>HLOOKUP(INDICE!$F$2,Nombres!$C$3:$D$636,76,FALSE)</f>
        <v>(Millones de dolares)</v>
      </c>
      <c r="B116" s="30"/>
      <c r="C116" s="36"/>
      <c r="D116" s="36"/>
      <c r="E116" s="36"/>
      <c r="F116" s="30"/>
      <c r="G116" s="30"/>
      <c r="H116" s="30"/>
      <c r="I116" s="30"/>
    </row>
    <row r="117" spans="1:9" ht="14.25">
      <c r="A117" s="37"/>
      <c r="B117" s="30"/>
      <c r="C117" s="36"/>
      <c r="D117" s="36"/>
      <c r="E117" s="36"/>
      <c r="F117" s="30"/>
      <c r="G117" s="30"/>
      <c r="H117" s="30"/>
      <c r="I117" s="30"/>
    </row>
    <row r="118" spans="1:9" ht="14.25">
      <c r="A118" s="38"/>
      <c r="B118" s="308">
        <f>+B$6</f>
        <v>2019</v>
      </c>
      <c r="C118" s="308"/>
      <c r="D118" s="308"/>
      <c r="E118" s="309"/>
      <c r="F118" s="308">
        <f>+F$6</f>
        <v>2020</v>
      </c>
      <c r="G118" s="308"/>
      <c r="H118" s="308"/>
      <c r="I118" s="308"/>
    </row>
    <row r="119" spans="1:9" ht="14.25">
      <c r="A119" s="38"/>
      <c r="B119" s="39" t="str">
        <f>+B$7</f>
        <v>1er Trim.</v>
      </c>
      <c r="C119" s="39" t="str">
        <f aca="true" t="shared" si="18" ref="C119:I119">+C$7</f>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4.25">
      <c r="A120" s="41" t="str">
        <f>HLOOKUP(INDICE!$F$2,Nombres!$C$3:$D$636,33,FALSE)</f>
        <v>Margen de intereses</v>
      </c>
      <c r="B120" s="41">
        <v>698.5621088006118</v>
      </c>
      <c r="C120" s="41">
        <v>677.1062460525991</v>
      </c>
      <c r="D120" s="41">
        <v>659.6411270985092</v>
      </c>
      <c r="E120" s="42">
        <v>645.816630116511</v>
      </c>
      <c r="F120" s="50">
        <v>605.3329139998694</v>
      </c>
      <c r="G120" s="50">
        <v>643.9669717047535</v>
      </c>
      <c r="H120" s="50">
        <v>674.6142953231642</v>
      </c>
      <c r="I120" s="50">
        <v>690.2640270425547</v>
      </c>
    </row>
    <row r="121" spans="1:9" ht="14.25">
      <c r="A121" s="43" t="str">
        <f>HLOOKUP(INDICE!$F$2,Nombres!$C$3:$D$636,34,FALSE)</f>
        <v>Comisiones netas</v>
      </c>
      <c r="B121" s="44">
        <v>171.20044075355435</v>
      </c>
      <c r="C121" s="44">
        <v>189.86627922985116</v>
      </c>
      <c r="D121" s="44">
        <v>187.4896040982094</v>
      </c>
      <c r="E121" s="45">
        <v>172.6362201972252</v>
      </c>
      <c r="F121" s="44">
        <v>194.33646505839184</v>
      </c>
      <c r="G121" s="44">
        <v>176.30023201610248</v>
      </c>
      <c r="H121" s="44">
        <v>196.33828461141212</v>
      </c>
      <c r="I121" s="44">
        <v>194.94671624057108</v>
      </c>
    </row>
    <row r="122" spans="1:9" ht="14.25">
      <c r="A122" s="43" t="str">
        <f>HLOOKUP(INDICE!$F$2,Nombres!$C$3:$D$636,35,FALSE)</f>
        <v>Resultados de operaciones financieras</v>
      </c>
      <c r="B122" s="44">
        <v>46.02330335551526</v>
      </c>
      <c r="C122" s="44">
        <v>43.57133863375543</v>
      </c>
      <c r="D122" s="44">
        <v>65.12288404768587</v>
      </c>
      <c r="E122" s="45">
        <v>38.60549285227297</v>
      </c>
      <c r="F122" s="44">
        <v>102.20440772707458</v>
      </c>
      <c r="G122" s="44">
        <v>61.56258581655184</v>
      </c>
      <c r="H122" s="44">
        <v>35.22939658421047</v>
      </c>
      <c r="I122" s="44">
        <v>54.697944901310876</v>
      </c>
    </row>
    <row r="123" spans="1:9" ht="14.25">
      <c r="A123" s="43" t="str">
        <f>HLOOKUP(INDICE!$F$2,Nombres!$C$3:$D$636,36,FALSE)</f>
        <v>Otros ingresos y cargas de explotación</v>
      </c>
      <c r="B123" s="44">
        <v>-3.123401333500685</v>
      </c>
      <c r="C123" s="44">
        <v>1.5752450475023894</v>
      </c>
      <c r="D123" s="44">
        <v>3.769836052500933</v>
      </c>
      <c r="E123" s="45">
        <v>11.044526365902257</v>
      </c>
      <c r="F123" s="44">
        <v>-4.57188085360257</v>
      </c>
      <c r="G123" s="44">
        <v>-6.601116263204909</v>
      </c>
      <c r="H123" s="44">
        <v>-2.8942071151829722</v>
      </c>
      <c r="I123" s="44">
        <v>-4.113148274812104</v>
      </c>
    </row>
    <row r="124" spans="1:9" ht="14.25">
      <c r="A124" s="41" t="str">
        <f>HLOOKUP(INDICE!$F$2,Nombres!$C$3:$D$636,37,FALSE)</f>
        <v>Margen bruto</v>
      </c>
      <c r="B124" s="41">
        <f>+SUM(B120:B123)</f>
        <v>912.6624515761806</v>
      </c>
      <c r="C124" s="41">
        <f aca="true" t="shared" si="19" ref="C124:I124">+SUM(C120:C123)</f>
        <v>912.1191089637081</v>
      </c>
      <c r="D124" s="41">
        <f t="shared" si="19"/>
        <v>916.0234512969054</v>
      </c>
      <c r="E124" s="42">
        <f t="shared" si="19"/>
        <v>868.1028695319114</v>
      </c>
      <c r="F124" s="50">
        <f t="shared" si="19"/>
        <v>897.3019059317332</v>
      </c>
      <c r="G124" s="50">
        <f t="shared" si="19"/>
        <v>875.2286732742031</v>
      </c>
      <c r="H124" s="50">
        <f t="shared" si="19"/>
        <v>903.2877694036038</v>
      </c>
      <c r="I124" s="50">
        <f t="shared" si="19"/>
        <v>935.7955399096245</v>
      </c>
    </row>
    <row r="125" spans="1:9" ht="14.25">
      <c r="A125" s="43" t="str">
        <f>HLOOKUP(INDICE!$F$2,Nombres!$C$3:$D$636,38,FALSE)</f>
        <v>Gastos de explotación</v>
      </c>
      <c r="B125" s="44">
        <v>-536.8420195427047</v>
      </c>
      <c r="C125" s="44">
        <v>-547.272430011991</v>
      </c>
      <c r="D125" s="44">
        <v>-547.6724111350449</v>
      </c>
      <c r="E125" s="45">
        <v>-569.752478016005</v>
      </c>
      <c r="F125" s="44">
        <v>-549.9342017307362</v>
      </c>
      <c r="G125" s="44">
        <v>-507.22006812243956</v>
      </c>
      <c r="H125" s="44">
        <v>-534.5590189690029</v>
      </c>
      <c r="I125" s="44">
        <v>-548.3319231462287</v>
      </c>
    </row>
    <row r="126" spans="1:9" ht="14.25">
      <c r="A126" s="43" t="str">
        <f>HLOOKUP(INDICE!$F$2,Nombres!$C$3:$D$636,39,FALSE)</f>
        <v>  Gastos de administración</v>
      </c>
      <c r="B126" s="44">
        <v>-473.9476699232031</v>
      </c>
      <c r="C126" s="44">
        <v>-485.68174718951394</v>
      </c>
      <c r="D126" s="44">
        <v>-486.96432609931776</v>
      </c>
      <c r="E126" s="45">
        <v>-509.6755517613995</v>
      </c>
      <c r="F126" s="44">
        <v>-491.98436579070903</v>
      </c>
      <c r="G126" s="44">
        <v>-448.1596052640185</v>
      </c>
      <c r="H126" s="44">
        <v>-473.8271200867116</v>
      </c>
      <c r="I126" s="44">
        <v>-487.60772705260536</v>
      </c>
    </row>
    <row r="127" spans="1:9" ht="14.25">
      <c r="A127" s="46" t="str">
        <f>HLOOKUP(INDICE!$F$2,Nombres!$C$3:$D$636,40,FALSE)</f>
        <v>  Gastos de personal</v>
      </c>
      <c r="B127" s="44">
        <v>-315.32813011452413</v>
      </c>
      <c r="C127" s="44">
        <v>-310.9738946897887</v>
      </c>
      <c r="D127" s="44">
        <v>-316.0095142617598</v>
      </c>
      <c r="E127" s="45">
        <v>-318.4781588000112</v>
      </c>
      <c r="F127" s="44">
        <v>-329.9545677668658</v>
      </c>
      <c r="G127" s="44">
        <v>-284.90861577852615</v>
      </c>
      <c r="H127" s="44">
        <v>-309.0903258558549</v>
      </c>
      <c r="I127" s="44">
        <v>-317.0256402169752</v>
      </c>
    </row>
    <row r="128" spans="1:9" ht="14.25">
      <c r="A128" s="46" t="str">
        <f>HLOOKUP(INDICE!$F$2,Nombres!$C$3:$D$636,41,FALSE)</f>
        <v>  Otros gastos de administración</v>
      </c>
      <c r="B128" s="44">
        <v>-158.619539808679</v>
      </c>
      <c r="C128" s="44">
        <v>-174.70785249972528</v>
      </c>
      <c r="D128" s="44">
        <v>-170.95481183755788</v>
      </c>
      <c r="E128" s="45">
        <v>-191.19739296138823</v>
      </c>
      <c r="F128" s="44">
        <v>-162.02979802384317</v>
      </c>
      <c r="G128" s="44">
        <v>-163.25098948549248</v>
      </c>
      <c r="H128" s="44">
        <v>-164.73679423085667</v>
      </c>
      <c r="I128" s="44">
        <v>-170.5820868356302</v>
      </c>
    </row>
    <row r="129" spans="1:9" ht="14.25">
      <c r="A129" s="43" t="str">
        <f>HLOOKUP(INDICE!$F$2,Nombres!$C$3:$D$636,42,FALSE)</f>
        <v>  Amortización</v>
      </c>
      <c r="B129" s="44">
        <v>-62.894349619501526</v>
      </c>
      <c r="C129" s="44">
        <v>-61.59068282247713</v>
      </c>
      <c r="D129" s="44">
        <v>-60.70808503572707</v>
      </c>
      <c r="E129" s="45">
        <v>-60.07692625460568</v>
      </c>
      <c r="F129" s="44">
        <v>-57.94983594002709</v>
      </c>
      <c r="G129" s="44">
        <v>-59.06046285842098</v>
      </c>
      <c r="H129" s="44">
        <v>-60.73189888229127</v>
      </c>
      <c r="I129" s="44">
        <v>-60.72419609362335</v>
      </c>
    </row>
    <row r="130" spans="1:9" ht="14.25">
      <c r="A130" s="41" t="str">
        <f>HLOOKUP(INDICE!$F$2,Nombres!$C$3:$D$636,43,FALSE)</f>
        <v>Margen neto</v>
      </c>
      <c r="B130" s="41">
        <f>+B124+B125</f>
        <v>375.82043203347587</v>
      </c>
      <c r="C130" s="41">
        <f aca="true" t="shared" si="20" ref="C130:I130">+C124+C125</f>
        <v>364.8466789517171</v>
      </c>
      <c r="D130" s="41">
        <f t="shared" si="20"/>
        <v>368.3510401618605</v>
      </c>
      <c r="E130" s="42">
        <f t="shared" si="20"/>
        <v>298.3503915159064</v>
      </c>
      <c r="F130" s="50">
        <f t="shared" si="20"/>
        <v>347.3677042009971</v>
      </c>
      <c r="G130" s="50">
        <f t="shared" si="20"/>
        <v>368.0086051517635</v>
      </c>
      <c r="H130" s="50">
        <f t="shared" si="20"/>
        <v>368.7287504346009</v>
      </c>
      <c r="I130" s="50">
        <f t="shared" si="20"/>
        <v>387.46361676339575</v>
      </c>
    </row>
    <row r="131" spans="1:9" ht="14.25">
      <c r="A131" s="43" t="str">
        <f>HLOOKUP(INDICE!$F$2,Nombres!$C$3:$D$636,44,FALSE)</f>
        <v>Deterioro de activos financieros no valorados a valor razonable con cambios en resultados</v>
      </c>
      <c r="B131" s="44">
        <v>-183.47354177250625</v>
      </c>
      <c r="C131" s="44">
        <v>-139.94482350143622</v>
      </c>
      <c r="D131" s="44">
        <v>-132.4342393612211</v>
      </c>
      <c r="E131" s="45">
        <v>-160.08863055591434</v>
      </c>
      <c r="F131" s="44">
        <v>-469.913395733018</v>
      </c>
      <c r="G131" s="44">
        <v>-207.32426643404222</v>
      </c>
      <c r="H131" s="44">
        <v>-278.4184645182401</v>
      </c>
      <c r="I131" s="44">
        <v>66.03723066196147</v>
      </c>
    </row>
    <row r="132" spans="1:9" ht="14.25">
      <c r="A132" s="43" t="str">
        <f>HLOOKUP(INDICE!$F$2,Nombres!$C$3:$D$636,45,FALSE)</f>
        <v>Provisiones o reversión de provisiones y otros resultados</v>
      </c>
      <c r="B132" s="44">
        <v>-11.103797012000177</v>
      </c>
      <c r="C132" s="44">
        <v>4.625766374002563</v>
      </c>
      <c r="D132" s="44">
        <v>11.652846045999073</v>
      </c>
      <c r="E132" s="45">
        <v>-7.737650053802638</v>
      </c>
      <c r="F132" s="44">
        <v>-1.0095678512022768</v>
      </c>
      <c r="G132" s="44">
        <v>-20.033102090807198</v>
      </c>
      <c r="H132" s="44">
        <v>26.056364263606095</v>
      </c>
      <c r="I132" s="44">
        <v>-9.959008757763844</v>
      </c>
    </row>
    <row r="133" spans="1:9" ht="14.25">
      <c r="A133" s="41" t="str">
        <f>HLOOKUP(INDICE!$F$2,Nombres!$C$3:$D$636,46,FALSE)</f>
        <v>Resultado antes de impuestos</v>
      </c>
      <c r="B133" s="41">
        <f>+B130+B131+B132</f>
        <v>181.24309324896944</v>
      </c>
      <c r="C133" s="41">
        <f aca="true" t="shared" si="21" ref="C133:I133">+C130+C131+C132</f>
        <v>229.52762182428341</v>
      </c>
      <c r="D133" s="41">
        <f t="shared" si="21"/>
        <v>247.56964684663848</v>
      </c>
      <c r="E133" s="42">
        <f t="shared" si="21"/>
        <v>130.5241109061894</v>
      </c>
      <c r="F133" s="50">
        <f t="shared" si="21"/>
        <v>-123.55525938322317</v>
      </c>
      <c r="G133" s="50">
        <f t="shared" si="21"/>
        <v>140.65123662691408</v>
      </c>
      <c r="H133" s="50">
        <f t="shared" si="21"/>
        <v>116.36665017996688</v>
      </c>
      <c r="I133" s="50">
        <f t="shared" si="21"/>
        <v>443.54183866759337</v>
      </c>
    </row>
    <row r="134" spans="1:9" ht="14.25">
      <c r="A134" s="43" t="str">
        <f>HLOOKUP(INDICE!$F$2,Nombres!$C$3:$D$636,47,FALSE)</f>
        <v>Impuesto sobre beneficios</v>
      </c>
      <c r="B134" s="44">
        <v>-36.6679956061966</v>
      </c>
      <c r="C134" s="44">
        <v>-38.658883323489185</v>
      </c>
      <c r="D134" s="44">
        <v>-47.57738497072388</v>
      </c>
      <c r="E134" s="45">
        <v>-5.8280775444640245</v>
      </c>
      <c r="F134" s="44">
        <v>12.866550158519871</v>
      </c>
      <c r="G134" s="44">
        <v>-1.37253541020742</v>
      </c>
      <c r="H134" s="44">
        <v>-14.631282502906778</v>
      </c>
      <c r="I134" s="44">
        <v>-80.40851175120609</v>
      </c>
    </row>
    <row r="135" spans="1:9" ht="14.25">
      <c r="A135" s="41" t="str">
        <f>HLOOKUP(INDICE!$F$2,Nombres!$C$3:$D$636,48,FALSE)</f>
        <v>Resultado del ejercicio</v>
      </c>
      <c r="B135" s="41">
        <f>+B133+B134</f>
        <v>144.57509764277285</v>
      </c>
      <c r="C135" s="41">
        <f aca="true" t="shared" si="22" ref="C135:I135">+C133+C134</f>
        <v>190.86873850079422</v>
      </c>
      <c r="D135" s="41">
        <f t="shared" si="22"/>
        <v>199.9922618759146</v>
      </c>
      <c r="E135" s="42">
        <f t="shared" si="22"/>
        <v>124.69603336172538</v>
      </c>
      <c r="F135" s="50">
        <f t="shared" si="22"/>
        <v>-110.6887092247033</v>
      </c>
      <c r="G135" s="50">
        <f t="shared" si="22"/>
        <v>139.27870121670665</v>
      </c>
      <c r="H135" s="50">
        <f t="shared" si="22"/>
        <v>101.73536767706011</v>
      </c>
      <c r="I135" s="50">
        <f t="shared" si="22"/>
        <v>363.13332691638726</v>
      </c>
    </row>
    <row r="136" spans="1:9" ht="14.25">
      <c r="A136" s="43" t="str">
        <f>HLOOKUP(INDICE!$F$2,Nombres!$C$3:$D$636,49,FALSE)</f>
        <v>Minoritarios</v>
      </c>
      <c r="B136" s="44">
        <v>0</v>
      </c>
      <c r="C136" s="44">
        <v>0</v>
      </c>
      <c r="D136" s="44">
        <v>0</v>
      </c>
      <c r="E136" s="45">
        <v>0</v>
      </c>
      <c r="F136" s="44">
        <v>0</v>
      </c>
      <c r="G136" s="44">
        <v>0</v>
      </c>
      <c r="H136" s="44">
        <v>0</v>
      </c>
      <c r="I136" s="44">
        <v>0</v>
      </c>
    </row>
    <row r="137" spans="1:9" ht="14.25">
      <c r="A137" s="47" t="str">
        <f>HLOOKUP(INDICE!$F$2,Nombres!$C$3:$D$636,50,FALSE)</f>
        <v>Resultado atribuido</v>
      </c>
      <c r="B137" s="47">
        <f>+B135+B136</f>
        <v>144.57509764277285</v>
      </c>
      <c r="C137" s="47">
        <f aca="true" t="shared" si="23" ref="C137:I137">+C135+C136</f>
        <v>190.86873850079422</v>
      </c>
      <c r="D137" s="47">
        <f t="shared" si="23"/>
        <v>199.9922618759146</v>
      </c>
      <c r="E137" s="72">
        <f t="shared" si="23"/>
        <v>124.69603336172538</v>
      </c>
      <c r="F137" s="51">
        <f t="shared" si="23"/>
        <v>-110.6887092247033</v>
      </c>
      <c r="G137" s="51">
        <f t="shared" si="23"/>
        <v>139.27870121670665</v>
      </c>
      <c r="H137" s="51">
        <f t="shared" si="23"/>
        <v>101.73536767706011</v>
      </c>
      <c r="I137" s="51">
        <f t="shared" si="23"/>
        <v>363.13332691638726</v>
      </c>
    </row>
    <row r="138" spans="1:9" ht="14.25">
      <c r="A138" s="63"/>
      <c r="B138" s="64">
        <v>0</v>
      </c>
      <c r="C138" s="64">
        <v>0</v>
      </c>
      <c r="D138" s="64">
        <v>0</v>
      </c>
      <c r="E138" s="64">
        <v>1.5631940186722204E-13</v>
      </c>
      <c r="F138" s="64">
        <v>-1.1368683772161603E-13</v>
      </c>
      <c r="G138" s="64">
        <v>7.673861546209082E-13</v>
      </c>
      <c r="H138" s="64">
        <v>0</v>
      </c>
      <c r="I138" s="64">
        <v>0</v>
      </c>
    </row>
    <row r="139" spans="1:9" ht="14.25">
      <c r="A139" s="41"/>
      <c r="B139" s="41"/>
      <c r="C139" s="41"/>
      <c r="D139" s="41"/>
      <c r="E139" s="41"/>
      <c r="F139" s="50"/>
      <c r="G139" s="50"/>
      <c r="H139" s="50"/>
      <c r="I139" s="50"/>
    </row>
    <row r="140" spans="1:9" ht="16.5">
      <c r="A140" s="33" t="str">
        <f>HLOOKUP(INDICE!$F$2,Nombres!$C$3:$D$636,51,FALSE)</f>
        <v>Balances</v>
      </c>
      <c r="B140" s="34"/>
      <c r="C140" s="34"/>
      <c r="D140" s="34"/>
      <c r="E140" s="34"/>
      <c r="F140" s="70"/>
      <c r="G140" s="70"/>
      <c r="H140" s="70"/>
      <c r="I140" s="70"/>
    </row>
    <row r="141" spans="1:9" ht="14.25">
      <c r="A141" s="35" t="str">
        <f>HLOOKUP(INDICE!$F$2,Nombres!$C$3:$D$636,76,FALSE)</f>
        <v>(Millones de dolares)</v>
      </c>
      <c r="B141" s="30"/>
      <c r="C141" s="52"/>
      <c r="D141" s="52"/>
      <c r="E141" s="52"/>
      <c r="F141" s="71"/>
      <c r="G141" s="44"/>
      <c r="H141" s="44"/>
      <c r="I141" s="44"/>
    </row>
    <row r="142" spans="1:9" ht="14.25">
      <c r="A142" s="30"/>
      <c r="B142" s="53">
        <f aca="true" t="shared" si="24" ref="B142:I142">+B$30</f>
        <v>43555</v>
      </c>
      <c r="C142" s="53">
        <f t="shared" si="24"/>
        <v>43646</v>
      </c>
      <c r="D142" s="53">
        <f t="shared" si="24"/>
        <v>43738</v>
      </c>
      <c r="E142" s="69">
        <f t="shared" si="24"/>
        <v>43830</v>
      </c>
      <c r="F142" s="53">
        <f t="shared" si="24"/>
        <v>43921</v>
      </c>
      <c r="G142" s="53">
        <f t="shared" si="24"/>
        <v>44012</v>
      </c>
      <c r="H142" s="53">
        <f t="shared" si="24"/>
        <v>44104</v>
      </c>
      <c r="I142" s="53">
        <f t="shared" si="24"/>
        <v>44196</v>
      </c>
    </row>
    <row r="143" spans="1:9" ht="14.25">
      <c r="A143" s="43" t="str">
        <f>HLOOKUP(INDICE!$F$2,Nombres!$C$3:$D$636,52,FALSE)</f>
        <v>Efectivo, saldos en efectivo en bancos centrales y otros depósitos a la vista</v>
      </c>
      <c r="B143" s="44">
        <v>7358.614514032319</v>
      </c>
      <c r="C143" s="44">
        <v>8539.386705501092</v>
      </c>
      <c r="D143" s="44">
        <v>8347.30295902519</v>
      </c>
      <c r="E143" s="45">
        <v>9316.767447535047</v>
      </c>
      <c r="F143" s="44">
        <v>11687.90306386942</v>
      </c>
      <c r="G143" s="44">
        <v>15574.175177214693</v>
      </c>
      <c r="H143" s="44">
        <v>20143.762849661478</v>
      </c>
      <c r="I143" s="44">
        <v>21179.31479336587</v>
      </c>
    </row>
    <row r="144" spans="1:9" ht="14.25">
      <c r="A144" s="43" t="str">
        <f>HLOOKUP(INDICE!$F$2,Nombres!$C$3:$D$636,53,FALSE)</f>
        <v>Activos financieros a valor razonable</v>
      </c>
      <c r="B144" s="58">
        <v>10481.835853605606</v>
      </c>
      <c r="C144" s="58">
        <v>11701.648745683497</v>
      </c>
      <c r="D144" s="58">
        <v>9087.733030757008</v>
      </c>
      <c r="E144" s="66">
        <v>8604.428632912985</v>
      </c>
      <c r="F144" s="44">
        <v>8407.341123221147</v>
      </c>
      <c r="G144" s="44">
        <v>7788.065583854148</v>
      </c>
      <c r="H144" s="44">
        <v>7790.172324896546</v>
      </c>
      <c r="I144" s="44">
        <v>8334.937610353052</v>
      </c>
    </row>
    <row r="145" spans="1:9" ht="14.25">
      <c r="A145" s="43" t="str">
        <f>HLOOKUP(INDICE!$F$2,Nombres!$C$3:$D$636,54,FALSE)</f>
        <v>Activos financieros a coste amortizado</v>
      </c>
      <c r="B145" s="44">
        <v>73733.76670936697</v>
      </c>
      <c r="C145" s="44">
        <v>73787.28146361193</v>
      </c>
      <c r="D145" s="44">
        <v>75507.306390102</v>
      </c>
      <c r="E145" s="45">
        <v>78087.17634539522</v>
      </c>
      <c r="F145" s="44">
        <v>84508.33503070098</v>
      </c>
      <c r="G145" s="44">
        <v>86000.3960190908</v>
      </c>
      <c r="H145" s="44">
        <v>82465.00501902225</v>
      </c>
      <c r="I145" s="44">
        <v>82134.07360245424</v>
      </c>
    </row>
    <row r="146" spans="1:9" ht="14.25">
      <c r="A146" s="43" t="str">
        <f>HLOOKUP(INDICE!$F$2,Nombres!$C$3:$D$636,55,FALSE)</f>
        <v>    de los que préstamos y anticipos a la clientela</v>
      </c>
      <c r="B146" s="44">
        <v>68986.29136222204</v>
      </c>
      <c r="C146" s="44">
        <v>68428.01320750325</v>
      </c>
      <c r="D146" s="44">
        <v>68828.98426987536</v>
      </c>
      <c r="E146" s="45">
        <v>70955.88750447177</v>
      </c>
      <c r="F146" s="44">
        <v>76274.59601456267</v>
      </c>
      <c r="G146" s="44">
        <v>76894.19279739771</v>
      </c>
      <c r="H146" s="44">
        <v>72574.68895698414</v>
      </c>
      <c r="I146" s="44">
        <v>71150.3831733285</v>
      </c>
    </row>
    <row r="147" spans="1:9" ht="14.25">
      <c r="A147" s="43" t="str">
        <f>HLOOKUP(INDICE!$F$2,Nombres!$C$3:$D$636,121,FALSE)</f>
        <v>Posiciones inter-áreas activo</v>
      </c>
      <c r="B147" s="44">
        <v>0</v>
      </c>
      <c r="C147" s="44">
        <v>0</v>
      </c>
      <c r="D147" s="44">
        <v>0</v>
      </c>
      <c r="E147" s="45">
        <v>0</v>
      </c>
      <c r="F147" s="44">
        <v>0</v>
      </c>
      <c r="G147" s="44">
        <v>0</v>
      </c>
      <c r="H147" s="44">
        <v>0</v>
      </c>
      <c r="I147" s="44">
        <v>0</v>
      </c>
    </row>
    <row r="148" spans="1:9" ht="14.25">
      <c r="A148" s="43" t="str">
        <f>HLOOKUP(INDICE!$F$2,Nombres!$C$3:$D$636,56,FALSE)</f>
        <v>Activos tangibles</v>
      </c>
      <c r="B148" s="58">
        <v>1069.9541090907555</v>
      </c>
      <c r="C148" s="58">
        <v>1052.8237031821348</v>
      </c>
      <c r="D148" s="58">
        <v>1036.0466984861237</v>
      </c>
      <c r="E148" s="66">
        <v>1026.89003161238</v>
      </c>
      <c r="F148" s="44">
        <v>1022.6614061799341</v>
      </c>
      <c r="G148" s="44">
        <v>1015.5818746633408</v>
      </c>
      <c r="H148" s="44">
        <v>1003.6083257701733</v>
      </c>
      <c r="I148" s="44">
        <v>993.5449427925981</v>
      </c>
    </row>
    <row r="149" spans="1:9" ht="14.25">
      <c r="A149" s="43" t="str">
        <f>HLOOKUP(INDICE!$F$2,Nombres!$C$3:$D$636,57,FALSE)</f>
        <v>Otros activos</v>
      </c>
      <c r="B149" s="58">
        <f>+B150-B148-B145-B144-B143-B147</f>
        <v>3033.0382080383133</v>
      </c>
      <c r="C149" s="58">
        <f aca="true" t="shared" si="25" ref="C149:I149">+C150-C148-C145-C144-C143-C147</f>
        <v>3047.018484906357</v>
      </c>
      <c r="D149" s="58">
        <f t="shared" si="25"/>
        <v>2640.0991340233813</v>
      </c>
      <c r="E149" s="66">
        <f t="shared" si="25"/>
        <v>2418.2225976150967</v>
      </c>
      <c r="F149" s="44">
        <f t="shared" si="25"/>
        <v>2922.8514363189825</v>
      </c>
      <c r="G149" s="44">
        <f t="shared" si="25"/>
        <v>2853.180515521435</v>
      </c>
      <c r="H149" s="44">
        <f t="shared" si="25"/>
        <v>3021.9300703381123</v>
      </c>
      <c r="I149" s="44">
        <f t="shared" si="25"/>
        <v>2647.808351807289</v>
      </c>
    </row>
    <row r="150" spans="1:9" ht="14.25">
      <c r="A150" s="47" t="str">
        <f>HLOOKUP(INDICE!$F$2,Nombres!$C$3:$D$636,58,FALSE)</f>
        <v>Total activo / pasivo</v>
      </c>
      <c r="B150" s="47">
        <v>95677.20939413397</v>
      </c>
      <c r="C150" s="47">
        <v>98128.15910288501</v>
      </c>
      <c r="D150" s="47">
        <v>96618.48821239371</v>
      </c>
      <c r="E150" s="72">
        <v>99453.48505507072</v>
      </c>
      <c r="F150" s="47">
        <v>108549.09206029047</v>
      </c>
      <c r="G150" s="51">
        <v>113231.39917034442</v>
      </c>
      <c r="H150" s="51">
        <v>114424.47858968856</v>
      </c>
      <c r="I150" s="51">
        <v>115289.67930077304</v>
      </c>
    </row>
    <row r="151" spans="1:9" ht="14.25">
      <c r="A151" s="43" t="str">
        <f>HLOOKUP(INDICE!$F$2,Nombres!$C$3:$D$636,59,FALSE)</f>
        <v>Pasivos financieros mantenidos para negociar y designados a valor razonable con cambios en resultados</v>
      </c>
      <c r="B151" s="58">
        <v>342.2447572844217</v>
      </c>
      <c r="C151" s="58">
        <v>1678.6704834742147</v>
      </c>
      <c r="D151" s="58">
        <v>270.8616972000062</v>
      </c>
      <c r="E151" s="66">
        <v>316.4858027857171</v>
      </c>
      <c r="F151" s="44">
        <v>694.0496664422269</v>
      </c>
      <c r="G151" s="44">
        <v>513.6807521911701</v>
      </c>
      <c r="H151" s="44">
        <v>393.92853880006805</v>
      </c>
      <c r="I151" s="44">
        <v>1167.9508042817924</v>
      </c>
    </row>
    <row r="152" spans="1:9" ht="14.25">
      <c r="A152" s="43" t="str">
        <f>HLOOKUP(INDICE!$F$2,Nombres!$C$3:$D$636,60,FALSE)</f>
        <v>Depósitos de bancos centrales y entidades de crédito</v>
      </c>
      <c r="B152" s="58">
        <v>5291.553110120496</v>
      </c>
      <c r="C152" s="58">
        <v>5198.779713338045</v>
      </c>
      <c r="D152" s="58">
        <v>4409.354122339512</v>
      </c>
      <c r="E152" s="66">
        <v>4585.015575148161</v>
      </c>
      <c r="F152" s="44">
        <v>4826.508919952933</v>
      </c>
      <c r="G152" s="44">
        <v>6974.905903754394</v>
      </c>
      <c r="H152" s="44">
        <v>6924.472689184396</v>
      </c>
      <c r="I152" s="44">
        <v>6834.49545787336</v>
      </c>
    </row>
    <row r="153" spans="1:9" ht="14.25">
      <c r="A153" s="43" t="str">
        <f>HLOOKUP(INDICE!$F$2,Nombres!$C$3:$D$636,61,FALSE)</f>
        <v>Depósitos de la clientela</v>
      </c>
      <c r="B153" s="58">
        <v>73213.39737039726</v>
      </c>
      <c r="C153" s="58">
        <v>71832.9207707672</v>
      </c>
      <c r="D153" s="58">
        <v>73365.66213094587</v>
      </c>
      <c r="E153" s="66">
        <v>75857.97981783465</v>
      </c>
      <c r="F153" s="44">
        <v>77696.52504977779</v>
      </c>
      <c r="G153" s="44">
        <v>84711.50098066646</v>
      </c>
      <c r="H153" s="44">
        <v>85815.86890355923</v>
      </c>
      <c r="I153" s="44">
        <v>85802.78704877861</v>
      </c>
    </row>
    <row r="154" spans="1:9" ht="14.25">
      <c r="A154" s="43" t="str">
        <f>HLOOKUP(INDICE!$F$2,Nombres!$C$3:$D$636,62,FALSE)</f>
        <v>Valores representativos de deuda emitidos</v>
      </c>
      <c r="B154" s="44">
        <v>3779.497921928377</v>
      </c>
      <c r="C154" s="44">
        <v>3848.947925049153</v>
      </c>
      <c r="D154" s="44">
        <v>4040.189880820996</v>
      </c>
      <c r="E154" s="45">
        <v>3988.645339964788</v>
      </c>
      <c r="F154" s="44">
        <v>3788.9833647535816</v>
      </c>
      <c r="G154" s="44">
        <v>3557.3103710604596</v>
      </c>
      <c r="H154" s="44">
        <v>3624.522019609778</v>
      </c>
      <c r="I154" s="44">
        <v>3533.131110313394</v>
      </c>
    </row>
    <row r="155" spans="1:9" ht="14.25">
      <c r="A155" s="43" t="str">
        <f>HLOOKUP(INDICE!$F$2,Nombres!$C$3:$D$636,122,FALSE)</f>
        <v>Posiciones inter-áreas pasivo</v>
      </c>
      <c r="B155" s="44">
        <v>1951.0102755457629</v>
      </c>
      <c r="C155" s="44">
        <v>4275.7154976127495</v>
      </c>
      <c r="D155" s="44">
        <v>3292.6156559899828</v>
      </c>
      <c r="E155" s="45">
        <v>3837.5271431969013</v>
      </c>
      <c r="F155" s="44">
        <v>10295.973547217116</v>
      </c>
      <c r="G155" s="44">
        <v>5582.586467951041</v>
      </c>
      <c r="H155" s="44">
        <v>5747.422361008823</v>
      </c>
      <c r="I155" s="44">
        <v>5974.294368694493</v>
      </c>
    </row>
    <row r="156" spans="1:9" ht="14.25">
      <c r="A156" s="43" t="str">
        <f>HLOOKUP(INDICE!$F$2,Nombres!$C$3:$D$636,63,FALSE)</f>
        <v>Otros pasivos</v>
      </c>
      <c r="B156" s="44">
        <f>+B150-B151-B152-B153-B154-B157-B155</f>
        <v>6963.241121818592</v>
      </c>
      <c r="C156" s="44">
        <f aca="true" t="shared" si="26" ref="C156:I156">+C150-C151-C152-C153-C154-C157-C155</f>
        <v>7091.891374423103</v>
      </c>
      <c r="D156" s="44">
        <f t="shared" si="26"/>
        <v>7245.821995323971</v>
      </c>
      <c r="E156" s="45">
        <f t="shared" si="26"/>
        <v>6550.309501640164</v>
      </c>
      <c r="F156" s="44">
        <f t="shared" si="26"/>
        <v>7008.445254237438</v>
      </c>
      <c r="G156" s="44">
        <f t="shared" si="26"/>
        <v>7506.131458475149</v>
      </c>
      <c r="H156" s="44">
        <f t="shared" si="26"/>
        <v>7651.631174708149</v>
      </c>
      <c r="I156" s="44">
        <f t="shared" si="26"/>
        <v>7515.2313702645915</v>
      </c>
    </row>
    <row r="157" spans="1:9" ht="14.25">
      <c r="A157" s="43" t="str">
        <f>HLOOKUP(INDICE!$F$2,Nombres!$C$3:$D$636,64,FALSE)</f>
        <v>Dotación de capital económico</v>
      </c>
      <c r="B157" s="44">
        <v>4136.264837039055</v>
      </c>
      <c r="C157" s="44">
        <v>4201.233338220537</v>
      </c>
      <c r="D157" s="44">
        <v>3993.9827297733764</v>
      </c>
      <c r="E157" s="45">
        <v>4317.521874500338</v>
      </c>
      <c r="F157" s="44">
        <v>4238.606257909386</v>
      </c>
      <c r="G157" s="44">
        <v>4385.2832362457475</v>
      </c>
      <c r="H157" s="44">
        <v>4266.632902818122</v>
      </c>
      <c r="I157" s="44">
        <v>4461.789140566806</v>
      </c>
    </row>
    <row r="158" spans="1:9" ht="14.25">
      <c r="A158" s="63"/>
      <c r="B158" s="58"/>
      <c r="C158" s="58"/>
      <c r="D158" s="58"/>
      <c r="E158" s="58"/>
      <c r="F158" s="44"/>
      <c r="G158" s="44"/>
      <c r="H158" s="44"/>
      <c r="I158" s="44"/>
    </row>
    <row r="159" spans="1:9" ht="14.25">
      <c r="A159" s="43"/>
      <c r="B159" s="58"/>
      <c r="C159" s="58"/>
      <c r="D159" s="58"/>
      <c r="E159" s="58"/>
      <c r="F159" s="44"/>
      <c r="G159" s="44"/>
      <c r="H159" s="44"/>
      <c r="I159" s="44"/>
    </row>
    <row r="160" spans="1:9" ht="16.5">
      <c r="A160" s="67" t="str">
        <f>HLOOKUP(INDICE!$F$2,Nombres!$C$3:$D$636,65,FALSE)</f>
        <v>Indicadores relevantes y de gestión</v>
      </c>
      <c r="B160" s="68"/>
      <c r="C160" s="68"/>
      <c r="D160" s="68"/>
      <c r="E160" s="68"/>
      <c r="F160" s="73"/>
      <c r="G160" s="73"/>
      <c r="H160" s="73"/>
      <c r="I160" s="73"/>
    </row>
    <row r="161" spans="1:9" ht="14.25">
      <c r="A161" s="35" t="str">
        <f>HLOOKUP(INDICE!$F$2,Nombres!$C$3:$D$636,76,FALSE)</f>
        <v>(Millones de dolares)</v>
      </c>
      <c r="B161" s="30"/>
      <c r="C161" s="30"/>
      <c r="D161" s="30"/>
      <c r="E161" s="30"/>
      <c r="F161" s="71"/>
      <c r="G161" s="44"/>
      <c r="H161" s="44"/>
      <c r="I161" s="44"/>
    </row>
    <row r="162" spans="1:9" ht="15.75" customHeight="1">
      <c r="A162" s="30"/>
      <c r="B162" s="53">
        <f aca="true" t="shared" si="27" ref="B162:I162">+B$30</f>
        <v>43555</v>
      </c>
      <c r="C162" s="53">
        <f t="shared" si="27"/>
        <v>43646</v>
      </c>
      <c r="D162" s="53">
        <f t="shared" si="27"/>
        <v>43738</v>
      </c>
      <c r="E162" s="69">
        <f t="shared" si="27"/>
        <v>43830</v>
      </c>
      <c r="F162" s="53">
        <f t="shared" si="27"/>
        <v>43921</v>
      </c>
      <c r="G162" s="53">
        <f t="shared" si="27"/>
        <v>44012</v>
      </c>
      <c r="H162" s="53">
        <f t="shared" si="27"/>
        <v>44104</v>
      </c>
      <c r="I162" s="53">
        <f t="shared" si="27"/>
        <v>44196</v>
      </c>
    </row>
    <row r="163" spans="1:9" ht="15.75" customHeight="1">
      <c r="A163" s="43" t="str">
        <f>HLOOKUP(INDICE!$F$2,Nombres!$C$3:$D$636,66,FALSE)</f>
        <v>Préstamos y anticipos a la clientela bruto (*)</v>
      </c>
      <c r="B163" s="44">
        <v>70202.65854882865</v>
      </c>
      <c r="C163" s="44">
        <v>69592.33166864877</v>
      </c>
      <c r="D163" s="44">
        <v>69784.03108300202</v>
      </c>
      <c r="E163" s="45">
        <v>71804.60601406576</v>
      </c>
      <c r="F163" s="44">
        <v>77573.78457998838</v>
      </c>
      <c r="G163" s="44">
        <v>78361.70605991143</v>
      </c>
      <c r="H163" s="44">
        <v>74587.14862960025</v>
      </c>
      <c r="I163" s="44">
        <v>72500.04855566597</v>
      </c>
    </row>
    <row r="164" spans="1:9" ht="15.75" customHeight="1">
      <c r="A164" s="43" t="str">
        <f>HLOOKUP(INDICE!$F$2,Nombres!$C$3:$D$636,67,FALSE)</f>
        <v>Depósitos de clientes en gestión (**)</v>
      </c>
      <c r="B164" s="44">
        <v>73210.80638024566</v>
      </c>
      <c r="C164" s="44">
        <v>71830.27653227761</v>
      </c>
      <c r="D164" s="44">
        <v>73363.07733280379</v>
      </c>
      <c r="E164" s="45">
        <v>75861.38095365315</v>
      </c>
      <c r="F164" s="44">
        <v>77693.91248453765</v>
      </c>
      <c r="G164" s="44">
        <v>84714.54145607226</v>
      </c>
      <c r="H164" s="44">
        <v>85819.53770870573</v>
      </c>
      <c r="I164" s="44">
        <v>85805.66445848742</v>
      </c>
    </row>
    <row r="165" spans="1:9" ht="15.75" customHeight="1">
      <c r="A165" s="43" t="str">
        <f>HLOOKUP(INDICE!$F$2,Nombres!$C$3:$D$636,68,FALSE)</f>
        <v>Fondos de inversión</v>
      </c>
      <c r="B165" s="44">
        <v>0</v>
      </c>
      <c r="C165" s="44">
        <v>0</v>
      </c>
      <c r="D165" s="44">
        <v>0</v>
      </c>
      <c r="E165" s="45">
        <v>0</v>
      </c>
      <c r="F165" s="44">
        <v>0</v>
      </c>
      <c r="G165" s="44">
        <v>0</v>
      </c>
      <c r="H165" s="44">
        <v>0</v>
      </c>
      <c r="I165" s="44">
        <v>0</v>
      </c>
    </row>
    <row r="166" spans="1:9" ht="15.75" customHeight="1">
      <c r="A166" s="43" t="str">
        <f>HLOOKUP(INDICE!$F$2,Nombres!$C$3:$D$636,69,FALSE)</f>
        <v>Fondos de pensiones</v>
      </c>
      <c r="B166" s="44">
        <v>0</v>
      </c>
      <c r="C166" s="44">
        <v>0</v>
      </c>
      <c r="D166" s="44">
        <v>0</v>
      </c>
      <c r="E166" s="45">
        <v>0</v>
      </c>
      <c r="F166" s="44">
        <v>0</v>
      </c>
      <c r="G166" s="44">
        <v>0</v>
      </c>
      <c r="H166" s="44">
        <v>0</v>
      </c>
      <c r="I166" s="44">
        <v>0</v>
      </c>
    </row>
    <row r="167" spans="1:9" ht="14.25">
      <c r="A167" s="43" t="str">
        <f>HLOOKUP(INDICE!$F$2,Nombres!$C$3:$D$636,70,FALSE)</f>
        <v>Otros recursos fuera de balance</v>
      </c>
      <c r="B167" s="44">
        <v>0</v>
      </c>
      <c r="C167" s="44">
        <v>0</v>
      </c>
      <c r="D167" s="44">
        <v>0</v>
      </c>
      <c r="E167" s="45">
        <v>0</v>
      </c>
      <c r="F167" s="44">
        <v>0</v>
      </c>
      <c r="G167" s="44">
        <v>0</v>
      </c>
      <c r="H167" s="44">
        <v>0</v>
      </c>
      <c r="I167" s="44">
        <v>0</v>
      </c>
    </row>
    <row r="168" spans="1:9" ht="14.25">
      <c r="A168" s="63" t="str">
        <f>HLOOKUP(INDICE!$F$2,Nombres!$C$3:$D$636,71,FALSE)</f>
        <v>(*) No incluye las adquisiciones temporales de activos.</v>
      </c>
      <c r="B168" s="58"/>
      <c r="C168" s="58"/>
      <c r="D168" s="58"/>
      <c r="E168" s="58"/>
      <c r="F168" s="58"/>
      <c r="G168" s="58"/>
      <c r="H168" s="58"/>
      <c r="I168" s="58"/>
    </row>
    <row r="169" spans="1:9" ht="14.25">
      <c r="A169" s="74" t="str">
        <f>HLOOKUP(INDICE!$F$2,Nombres!$C$3:$D$636,72,FALSE)</f>
        <v>(**) No incluye las cesiones temporales de activos.</v>
      </c>
      <c r="B169" s="30"/>
      <c r="C169" s="30"/>
      <c r="D169" s="30"/>
      <c r="E169" s="30"/>
      <c r="F169" s="30"/>
      <c r="G169" s="30"/>
      <c r="H169" s="30"/>
      <c r="I169" s="30"/>
    </row>
    <row r="170" spans="1:9" ht="14.25">
      <c r="A170" s="30"/>
      <c r="B170" s="30"/>
      <c r="C170" s="30"/>
      <c r="D170" s="30"/>
      <c r="E170" s="30"/>
      <c r="F170" s="30"/>
      <c r="G170" s="30"/>
      <c r="H170" s="30"/>
      <c r="I170" s="30"/>
    </row>
    <row r="171" spans="1:9" ht="14.25">
      <c r="A171" s="30"/>
      <c r="B171" s="30"/>
      <c r="C171" s="30"/>
      <c r="D171" s="30"/>
      <c r="E171" s="30"/>
      <c r="F171" s="30"/>
      <c r="G171" s="30"/>
      <c r="H171" s="30"/>
      <c r="I171" s="30"/>
    </row>
    <row r="172" spans="1:9" ht="14.25">
      <c r="A172" s="75"/>
      <c r="B172" s="76"/>
      <c r="C172" s="77"/>
      <c r="D172" s="77"/>
      <c r="E172" s="77"/>
      <c r="F172" s="76"/>
      <c r="G172" s="76"/>
      <c r="H172" s="76"/>
      <c r="I172" s="76"/>
    </row>
    <row r="173" spans="1:15" ht="14.25">
      <c r="A173" s="75"/>
      <c r="B173" s="76"/>
      <c r="C173" s="77"/>
      <c r="D173" s="77"/>
      <c r="E173" s="77"/>
      <c r="F173" s="76"/>
      <c r="G173" s="76"/>
      <c r="H173" s="76"/>
      <c r="I173" s="76"/>
      <c r="J173" s="76"/>
      <c r="K173" s="76"/>
      <c r="L173" s="76"/>
      <c r="M173" s="76"/>
      <c r="N173" s="76"/>
      <c r="O173" s="76"/>
    </row>
    <row r="174" spans="1:15" ht="14.25">
      <c r="A174" s="76"/>
      <c r="B174" s="76"/>
      <c r="C174" s="76"/>
      <c r="D174" s="76"/>
      <c r="E174" s="76"/>
      <c r="F174" s="76"/>
      <c r="G174" s="76"/>
      <c r="H174" s="76"/>
      <c r="I174" s="76"/>
      <c r="J174" s="76"/>
      <c r="K174" s="76"/>
      <c r="L174" s="76"/>
      <c r="M174" s="76"/>
      <c r="N174" s="76"/>
      <c r="O174" s="76"/>
    </row>
    <row r="175" spans="1:15" ht="14.25">
      <c r="A175" s="76"/>
      <c r="B175" s="76"/>
      <c r="C175" s="76"/>
      <c r="D175" s="76"/>
      <c r="E175" s="76"/>
      <c r="F175" s="76"/>
      <c r="G175" s="76"/>
      <c r="H175" s="76"/>
      <c r="I175" s="76"/>
      <c r="J175" s="76"/>
      <c r="K175" s="76"/>
      <c r="L175" s="76"/>
      <c r="M175" s="76"/>
      <c r="N175" s="76"/>
      <c r="O175" s="76"/>
    </row>
    <row r="176" spans="1:15" ht="14.25">
      <c r="A176" s="76"/>
      <c r="B176" s="76"/>
      <c r="C176" s="76"/>
      <c r="D176" s="76"/>
      <c r="E176" s="76"/>
      <c r="F176" s="76"/>
      <c r="G176" s="76"/>
      <c r="H176" s="76"/>
      <c r="I176" s="76"/>
      <c r="J176" s="76"/>
      <c r="K176" s="76"/>
      <c r="L176" s="76"/>
      <c r="M176" s="76"/>
      <c r="N176" s="76"/>
      <c r="O176" s="76"/>
    </row>
    <row r="177" spans="1:15" ht="14.25">
      <c r="A177" s="76"/>
      <c r="B177" s="76"/>
      <c r="C177" s="76"/>
      <c r="D177" s="76"/>
      <c r="E177" s="76"/>
      <c r="F177" s="76"/>
      <c r="G177" s="76"/>
      <c r="H177" s="76"/>
      <c r="I177" s="76"/>
      <c r="J177" s="76"/>
      <c r="K177" s="76"/>
      <c r="L177" s="76"/>
      <c r="M177" s="76"/>
      <c r="N177" s="76"/>
      <c r="O177" s="76"/>
    </row>
    <row r="178" spans="1:15" ht="14.25">
      <c r="A178" s="76"/>
      <c r="B178" s="76"/>
      <c r="C178" s="76"/>
      <c r="D178" s="76"/>
      <c r="E178" s="76"/>
      <c r="F178" s="76"/>
      <c r="G178" s="76"/>
      <c r="H178" s="76"/>
      <c r="I178" s="76"/>
      <c r="J178" s="76"/>
      <c r="K178" s="76"/>
      <c r="L178" s="76"/>
      <c r="M178" s="76"/>
      <c r="N178" s="76"/>
      <c r="O178" s="76"/>
    </row>
    <row r="179" spans="1:15" ht="14.25">
      <c r="A179" s="76"/>
      <c r="B179" s="76"/>
      <c r="C179" s="76"/>
      <c r="D179" s="76"/>
      <c r="E179" s="76"/>
      <c r="F179" s="76"/>
      <c r="G179" s="76"/>
      <c r="H179" s="76"/>
      <c r="I179" s="76"/>
      <c r="J179" s="76"/>
      <c r="K179" s="76"/>
      <c r="L179" s="76"/>
      <c r="M179" s="76"/>
      <c r="N179" s="76"/>
      <c r="O179" s="76"/>
    </row>
    <row r="180" spans="1:15" ht="14.25">
      <c r="A180" s="76"/>
      <c r="B180" s="76"/>
      <c r="C180" s="76"/>
      <c r="D180" s="76"/>
      <c r="E180" s="76"/>
      <c r="F180" s="76"/>
      <c r="G180" s="76"/>
      <c r="H180" s="76"/>
      <c r="I180" s="76"/>
      <c r="J180" s="76"/>
      <c r="K180" s="76"/>
      <c r="L180" s="76"/>
      <c r="M180" s="76"/>
      <c r="N180" s="76"/>
      <c r="O180" s="76"/>
    </row>
    <row r="1000" ht="14.25">
      <c r="A1000" s="31" t="s">
        <v>397</v>
      </c>
    </row>
  </sheetData>
  <sheetProtection/>
  <mergeCells count="6">
    <mergeCell ref="B6:E6"/>
    <mergeCell ref="B62:E62"/>
    <mergeCell ref="B118:E118"/>
    <mergeCell ref="F6:I6"/>
    <mergeCell ref="F62:I62"/>
    <mergeCell ref="F118:I118"/>
  </mergeCells>
  <conditionalFormatting sqref="B26:I26">
    <cfRule type="cellIs" priority="3" dxfId="143" operator="notBetween">
      <formula>0.5</formula>
      <formula>-0.5</formula>
    </cfRule>
  </conditionalFormatting>
  <conditionalFormatting sqref="B82:I82">
    <cfRule type="cellIs" priority="2" dxfId="143" operator="notBetween">
      <formula>0.5</formula>
      <formula>-0.5</formula>
    </cfRule>
  </conditionalFormatting>
  <conditionalFormatting sqref="B138:I138">
    <cfRule type="cellIs" priority="1" dxfId="143" operator="notBetween">
      <formula>0.5</formula>
      <formula>-0.5</formula>
    </cfRule>
  </conditionalFormatting>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O1000"/>
  <sheetViews>
    <sheetView showGridLines="0" zoomScalePageLayoutView="0" workbookViewId="0" topLeftCell="A1">
      <selection activeCell="N32" sqref="N32"/>
    </sheetView>
  </sheetViews>
  <sheetFormatPr defaultColWidth="11.421875" defaultRowHeight="15"/>
  <cols>
    <col min="1" max="1" width="62.00390625" style="31" customWidth="1"/>
    <col min="2" max="16384" width="11.421875" style="31" customWidth="1"/>
  </cols>
  <sheetData>
    <row r="1" spans="1:9" ht="16.5">
      <c r="A1" s="29" t="str">
        <f>HLOOKUP(INDICE!$F$2,Nombres!$C$3:$D$636,11,FALSE)</f>
        <v>México</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8">
        <f>+España!B6</f>
        <v>2019</v>
      </c>
      <c r="C6" s="308"/>
      <c r="D6" s="308"/>
      <c r="E6" s="309"/>
      <c r="F6" s="308">
        <f>+España!F6</f>
        <v>2020</v>
      </c>
      <c r="G6" s="308"/>
      <c r="H6" s="308"/>
      <c r="I6" s="308"/>
    </row>
    <row r="7" spans="1:9" ht="14.2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4.25">
      <c r="A8" s="41" t="str">
        <f>HLOOKUP(INDICE!$F$2,Nombres!$C$3:$D$636,33,FALSE)</f>
        <v>Margen de intereses</v>
      </c>
      <c r="B8" s="41">
        <v>1499.8589109600002</v>
      </c>
      <c r="C8" s="41">
        <v>1542.5496169999994</v>
      </c>
      <c r="D8" s="41">
        <v>1556.40210019</v>
      </c>
      <c r="E8" s="42">
        <v>1610.1685485800008</v>
      </c>
      <c r="F8" s="50">
        <v>1545.28894412</v>
      </c>
      <c r="G8" s="50">
        <v>1171.94993004</v>
      </c>
      <c r="H8" s="50">
        <v>1318.7762244899998</v>
      </c>
      <c r="I8" s="50">
        <v>1378.5760557300002</v>
      </c>
    </row>
    <row r="9" spans="1:9" ht="14.25">
      <c r="A9" s="43" t="str">
        <f>HLOOKUP(INDICE!$F$2,Nombres!$C$3:$D$636,34,FALSE)</f>
        <v>Comisiones netas</v>
      </c>
      <c r="B9" s="44">
        <v>300.32462795</v>
      </c>
      <c r="C9" s="44">
        <v>320.83698025</v>
      </c>
      <c r="D9" s="44">
        <v>330.6000709499999</v>
      </c>
      <c r="E9" s="45">
        <v>346.4980729100002</v>
      </c>
      <c r="F9" s="44">
        <v>296.23659268</v>
      </c>
      <c r="G9" s="44">
        <v>216.44282047000002</v>
      </c>
      <c r="H9" s="44">
        <v>253.26914294999995</v>
      </c>
      <c r="I9" s="44">
        <v>299.39143274</v>
      </c>
    </row>
    <row r="10" spans="1:9" ht="14.25">
      <c r="A10" s="43" t="str">
        <f>HLOOKUP(INDICE!$F$2,Nombres!$C$3:$D$636,35,FALSE)</f>
        <v>Resultados de operaciones financieras</v>
      </c>
      <c r="B10" s="44">
        <v>62.501816569999995</v>
      </c>
      <c r="C10" s="44">
        <v>72.89898387</v>
      </c>
      <c r="D10" s="44">
        <v>105.77084269</v>
      </c>
      <c r="E10" s="45">
        <v>68.72210509000001</v>
      </c>
      <c r="F10" s="44">
        <v>78.18988806000002</v>
      </c>
      <c r="G10" s="44">
        <v>153.29599518999999</v>
      </c>
      <c r="H10" s="44">
        <v>98.62387912999999</v>
      </c>
      <c r="I10" s="44">
        <v>92.67655686</v>
      </c>
    </row>
    <row r="11" spans="1:9" ht="14.25">
      <c r="A11" s="43" t="str">
        <f>HLOOKUP(INDICE!$F$2,Nombres!$C$3:$D$636,36,FALSE)</f>
        <v>Otros ingresos y cargas de explotación</v>
      </c>
      <c r="B11" s="44">
        <v>39.735</v>
      </c>
      <c r="C11" s="44">
        <v>61.94200002</v>
      </c>
      <c r="D11" s="44">
        <v>18.91599996999996</v>
      </c>
      <c r="E11" s="45">
        <v>91.36699999999996</v>
      </c>
      <c r="F11" s="44">
        <v>70.92599999000001</v>
      </c>
      <c r="G11" s="44">
        <v>17.461000000000055</v>
      </c>
      <c r="H11" s="44">
        <v>10.516999999999976</v>
      </c>
      <c r="I11" s="44">
        <v>15.095999999999993</v>
      </c>
    </row>
    <row r="12" spans="1:9" ht="14.25">
      <c r="A12" s="41" t="str">
        <f>HLOOKUP(INDICE!$F$2,Nombres!$C$3:$D$636,37,FALSE)</f>
        <v>Margen bruto</v>
      </c>
      <c r="B12" s="41">
        <f>+SUM(B8:B11)</f>
        <v>1902.4203554800001</v>
      </c>
      <c r="C12" s="41">
        <f aca="true" t="shared" si="0" ref="C12:I12">+SUM(C8:C11)</f>
        <v>1998.2275811399993</v>
      </c>
      <c r="D12" s="41">
        <f t="shared" si="0"/>
        <v>2011.6890137999999</v>
      </c>
      <c r="E12" s="42">
        <f t="shared" si="0"/>
        <v>2116.755726580001</v>
      </c>
      <c r="F12" s="50">
        <f t="shared" si="0"/>
        <v>1990.64142485</v>
      </c>
      <c r="G12" s="50">
        <f t="shared" si="0"/>
        <v>1559.1497457</v>
      </c>
      <c r="H12" s="50">
        <f t="shared" si="0"/>
        <v>1681.1862465699996</v>
      </c>
      <c r="I12" s="50">
        <f t="shared" si="0"/>
        <v>1785.7400453300002</v>
      </c>
    </row>
    <row r="13" spans="1:9" ht="14.25">
      <c r="A13" s="43" t="str">
        <f>HLOOKUP(INDICE!$F$2,Nombres!$C$3:$D$636,38,FALSE)</f>
        <v>Gastos de explotación</v>
      </c>
      <c r="B13" s="44">
        <v>-634.29740855</v>
      </c>
      <c r="C13" s="44">
        <v>-655.69643576</v>
      </c>
      <c r="D13" s="44">
        <v>-668.0871105900001</v>
      </c>
      <c r="E13" s="45">
        <v>-686.89676105</v>
      </c>
      <c r="F13" s="44">
        <v>-660.3052687699999</v>
      </c>
      <c r="G13" s="44">
        <v>-540.04662101</v>
      </c>
      <c r="H13" s="44">
        <v>-541.78760534</v>
      </c>
      <c r="I13" s="44">
        <v>-597.77478422</v>
      </c>
    </row>
    <row r="14" spans="1:9" ht="14.25">
      <c r="A14" s="43" t="str">
        <f>HLOOKUP(INDICE!$F$2,Nombres!$C$3:$D$636,39,FALSE)</f>
        <v>  Gastos de administración</v>
      </c>
      <c r="B14" s="44">
        <v>-550.2542819</v>
      </c>
      <c r="C14" s="44">
        <v>-567.64142173</v>
      </c>
      <c r="D14" s="44">
        <v>-580.3107506000001</v>
      </c>
      <c r="E14" s="45">
        <v>-601.07429407</v>
      </c>
      <c r="F14" s="44">
        <v>-574.7882087400001</v>
      </c>
      <c r="G14" s="44">
        <v>-466.93441107999996</v>
      </c>
      <c r="H14" s="44">
        <v>-467.44738233000004</v>
      </c>
      <c r="I14" s="44">
        <v>-519.28302722</v>
      </c>
    </row>
    <row r="15" spans="1:9" ht="14.25">
      <c r="A15" s="46" t="str">
        <f>HLOOKUP(INDICE!$F$2,Nombres!$C$3:$D$636,40,FALSE)</f>
        <v>  Gastos de personal</v>
      </c>
      <c r="B15" s="44">
        <v>-269.04368953</v>
      </c>
      <c r="C15" s="44">
        <v>-278.79847452</v>
      </c>
      <c r="D15" s="44">
        <v>-284.20660511999995</v>
      </c>
      <c r="E15" s="45">
        <v>-292.44917091</v>
      </c>
      <c r="F15" s="44">
        <v>-285.90626268</v>
      </c>
      <c r="G15" s="44">
        <v>-204.42398845000002</v>
      </c>
      <c r="H15" s="44">
        <v>-225.90540457999998</v>
      </c>
      <c r="I15" s="44">
        <v>-251.04398615000002</v>
      </c>
    </row>
    <row r="16" spans="1:9" ht="14.25">
      <c r="A16" s="46" t="str">
        <f>HLOOKUP(INDICE!$F$2,Nombres!$C$3:$D$636,41,FALSE)</f>
        <v>  Otros gastos de administración</v>
      </c>
      <c r="B16" s="44">
        <v>-281.21059237</v>
      </c>
      <c r="C16" s="44">
        <v>-288.84294721000003</v>
      </c>
      <c r="D16" s="44">
        <v>-296.10414548</v>
      </c>
      <c r="E16" s="45">
        <v>-308.62512316</v>
      </c>
      <c r="F16" s="44">
        <v>-288.88194606</v>
      </c>
      <c r="G16" s="44">
        <v>-262.51042263</v>
      </c>
      <c r="H16" s="44">
        <v>-241.54197775</v>
      </c>
      <c r="I16" s="44">
        <v>-268.23904107</v>
      </c>
    </row>
    <row r="17" spans="1:9" ht="14.25">
      <c r="A17" s="43" t="str">
        <f>HLOOKUP(INDICE!$F$2,Nombres!$C$3:$D$636,42,FALSE)</f>
        <v>  Amortización</v>
      </c>
      <c r="B17" s="44">
        <v>-84.04312665</v>
      </c>
      <c r="C17" s="44">
        <v>-88.05501403000001</v>
      </c>
      <c r="D17" s="44">
        <v>-87.77635999</v>
      </c>
      <c r="E17" s="45">
        <v>-85.82246698</v>
      </c>
      <c r="F17" s="44">
        <v>-85.51706003</v>
      </c>
      <c r="G17" s="44">
        <v>-73.11220993</v>
      </c>
      <c r="H17" s="44">
        <v>-74.34022301000002</v>
      </c>
      <c r="I17" s="44">
        <v>-78.49175699999998</v>
      </c>
    </row>
    <row r="18" spans="1:9" ht="14.25">
      <c r="A18" s="41" t="str">
        <f>HLOOKUP(INDICE!$F$2,Nombres!$C$3:$D$636,43,FALSE)</f>
        <v>Margen neto</v>
      </c>
      <c r="B18" s="41">
        <f>+B12+B13</f>
        <v>1268.1229469300001</v>
      </c>
      <c r="C18" s="41">
        <f aca="true" t="shared" si="1" ref="C18:I18">+C12+C13</f>
        <v>1342.5311453799993</v>
      </c>
      <c r="D18" s="41">
        <f t="shared" si="1"/>
        <v>1343.6019032099998</v>
      </c>
      <c r="E18" s="42">
        <f t="shared" si="1"/>
        <v>1429.8589655300011</v>
      </c>
      <c r="F18" s="50">
        <f t="shared" si="1"/>
        <v>1330.3361560800001</v>
      </c>
      <c r="G18" s="50">
        <f t="shared" si="1"/>
        <v>1019.1031246900001</v>
      </c>
      <c r="H18" s="50">
        <f t="shared" si="1"/>
        <v>1139.3986412299996</v>
      </c>
      <c r="I18" s="50">
        <f t="shared" si="1"/>
        <v>1187.96526111</v>
      </c>
    </row>
    <row r="19" spans="1:9" ht="14.25">
      <c r="A19" s="43" t="str">
        <f>HLOOKUP(INDICE!$F$2,Nombres!$C$3:$D$636,44,FALSE)</f>
        <v>Deterioro de activos financieros no valorados a valor razonable con cambios en resultados</v>
      </c>
      <c r="B19" s="44">
        <v>-394.57000006000004</v>
      </c>
      <c r="C19" s="44">
        <v>-423.17699991</v>
      </c>
      <c r="D19" s="44">
        <v>-420.34600002</v>
      </c>
      <c r="E19" s="45">
        <v>-459.58600003000004</v>
      </c>
      <c r="F19" s="44">
        <v>-773.1019999800001</v>
      </c>
      <c r="G19" s="44">
        <v>-621.3509999899999</v>
      </c>
      <c r="H19" s="44">
        <v>-354.77100005000005</v>
      </c>
      <c r="I19" s="44">
        <v>-423.13399995000003</v>
      </c>
    </row>
    <row r="20" spans="1:9" ht="14.25">
      <c r="A20" s="43" t="str">
        <f>HLOOKUP(INDICE!$F$2,Nombres!$C$3:$D$636,45,FALSE)</f>
        <v>Provisiones o reversión de provisiones y otros resultados</v>
      </c>
      <c r="B20" s="44">
        <v>3.700000010000002</v>
      </c>
      <c r="C20" s="44">
        <v>-13.232</v>
      </c>
      <c r="D20" s="44">
        <v>-4.615999969999999</v>
      </c>
      <c r="E20" s="45">
        <v>18.781999980000002</v>
      </c>
      <c r="F20" s="44">
        <v>-12.61499997</v>
      </c>
      <c r="G20" s="44">
        <v>-51.25200002</v>
      </c>
      <c r="H20" s="44">
        <v>15.984000009999997</v>
      </c>
      <c r="I20" s="44">
        <v>15.26099998000001</v>
      </c>
    </row>
    <row r="21" spans="1:9" ht="14.25">
      <c r="A21" s="41" t="str">
        <f>HLOOKUP(INDICE!$F$2,Nombres!$C$3:$D$636,46,FALSE)</f>
        <v>Resultado antes de impuestos</v>
      </c>
      <c r="B21" s="41">
        <f>+B18+B19+B20</f>
        <v>877.2529468800002</v>
      </c>
      <c r="C21" s="41">
        <f aca="true" t="shared" si="2" ref="C21:I21">+C18+C19+C20</f>
        <v>906.1221454699994</v>
      </c>
      <c r="D21" s="41">
        <f t="shared" si="2"/>
        <v>918.6399032199998</v>
      </c>
      <c r="E21" s="42">
        <f t="shared" si="2"/>
        <v>989.0549654800011</v>
      </c>
      <c r="F21" s="50">
        <f t="shared" si="2"/>
        <v>544.6191561300001</v>
      </c>
      <c r="G21" s="50">
        <f t="shared" si="2"/>
        <v>346.5001246800002</v>
      </c>
      <c r="H21" s="50">
        <f t="shared" si="2"/>
        <v>800.6116411899995</v>
      </c>
      <c r="I21" s="50">
        <f t="shared" si="2"/>
        <v>780.09226114</v>
      </c>
    </row>
    <row r="22" spans="1:9" ht="14.25">
      <c r="A22" s="43" t="str">
        <f>HLOOKUP(INDICE!$F$2,Nombres!$C$3:$D$636,47,FALSE)</f>
        <v>Impuesto sobre beneficios</v>
      </c>
      <c r="B22" s="44">
        <v>-250.01219603999996</v>
      </c>
      <c r="C22" s="44">
        <v>-246.48346131000005</v>
      </c>
      <c r="D22" s="44">
        <v>-240.26518161999996</v>
      </c>
      <c r="E22" s="45">
        <v>-255.00452185999973</v>
      </c>
      <c r="F22" s="44">
        <v>-172.25655221</v>
      </c>
      <c r="G22" s="44">
        <v>-64.32323134000004</v>
      </c>
      <c r="H22" s="44">
        <v>-250.7849592</v>
      </c>
      <c r="I22" s="44">
        <v>-225.4538984</v>
      </c>
    </row>
    <row r="23" spans="1:9" ht="14.25">
      <c r="A23" s="41" t="str">
        <f>HLOOKUP(INDICE!$F$2,Nombres!$C$3:$D$636,48,FALSE)</f>
        <v>Resultado del ejercicio</v>
      </c>
      <c r="B23" s="41">
        <f>+B21+B22</f>
        <v>627.2407508400003</v>
      </c>
      <c r="C23" s="41">
        <f aca="true" t="shared" si="3" ref="C23:I23">+C21+C22</f>
        <v>659.6386841599993</v>
      </c>
      <c r="D23" s="41">
        <f t="shared" si="3"/>
        <v>678.3747215999999</v>
      </c>
      <c r="E23" s="42">
        <f t="shared" si="3"/>
        <v>734.0504436200014</v>
      </c>
      <c r="F23" s="50">
        <f t="shared" si="3"/>
        <v>372.3626039200001</v>
      </c>
      <c r="G23" s="50">
        <f t="shared" si="3"/>
        <v>282.1768933400002</v>
      </c>
      <c r="H23" s="50">
        <f t="shared" si="3"/>
        <v>549.8266819899995</v>
      </c>
      <c r="I23" s="50">
        <f t="shared" si="3"/>
        <v>554.63836274</v>
      </c>
    </row>
    <row r="24" spans="1:9" ht="14.25">
      <c r="A24" s="43" t="str">
        <f>HLOOKUP(INDICE!$F$2,Nombres!$C$3:$D$636,49,FALSE)</f>
        <v>Minoritarios</v>
      </c>
      <c r="B24" s="44">
        <v>-0.11299999999999999</v>
      </c>
      <c r="C24" s="44">
        <v>-0.128</v>
      </c>
      <c r="D24" s="44">
        <v>-0.11899999999999997</v>
      </c>
      <c r="E24" s="45">
        <v>-0.13399999999999998</v>
      </c>
      <c r="F24" s="44">
        <v>-0.06799999999999999</v>
      </c>
      <c r="G24" s="44">
        <v>-0.05400000000000001</v>
      </c>
      <c r="H24" s="44">
        <v>-0.11200000000000002</v>
      </c>
      <c r="I24" s="44">
        <v>-0.09899999999999999</v>
      </c>
    </row>
    <row r="25" spans="1:9" ht="14.25">
      <c r="A25" s="47" t="str">
        <f>HLOOKUP(INDICE!$F$2,Nombres!$C$3:$D$636,50,FALSE)</f>
        <v>Resultado atribuido</v>
      </c>
      <c r="B25" s="47">
        <f>+B23+B24</f>
        <v>627.1277508400002</v>
      </c>
      <c r="C25" s="47">
        <f aca="true" t="shared" si="4" ref="C25:I25">+C23+C24</f>
        <v>659.5106841599993</v>
      </c>
      <c r="D25" s="47">
        <f t="shared" si="4"/>
        <v>678.2557215999999</v>
      </c>
      <c r="E25" s="47">
        <f t="shared" si="4"/>
        <v>733.9164436200014</v>
      </c>
      <c r="F25" s="51">
        <f t="shared" si="4"/>
        <v>372.2946039200001</v>
      </c>
      <c r="G25" s="51">
        <f t="shared" si="4"/>
        <v>282.12289334000025</v>
      </c>
      <c r="H25" s="51">
        <f t="shared" si="4"/>
        <v>549.7146819899996</v>
      </c>
      <c r="I25" s="51">
        <f t="shared" si="4"/>
        <v>554.53936274</v>
      </c>
    </row>
    <row r="26" spans="1:9" ht="14.25">
      <c r="A26" s="63"/>
      <c r="B26" s="64">
        <v>0</v>
      </c>
      <c r="C26" s="64">
        <v>0</v>
      </c>
      <c r="D26" s="64">
        <v>0</v>
      </c>
      <c r="E26" s="64">
        <v>0</v>
      </c>
      <c r="F26" s="64">
        <v>0</v>
      </c>
      <c r="G26" s="64">
        <v>0</v>
      </c>
      <c r="H26" s="64">
        <v>0</v>
      </c>
      <c r="I26" s="64">
        <v>0</v>
      </c>
    </row>
    <row r="27" spans="1:9" ht="14.25">
      <c r="A27" s="41"/>
      <c r="B27" s="41"/>
      <c r="C27" s="41"/>
      <c r="D27" s="41"/>
      <c r="E27" s="41"/>
      <c r="F27" s="41"/>
      <c r="G27" s="41"/>
      <c r="H27" s="41"/>
      <c r="I27" s="41"/>
    </row>
    <row r="28" spans="1:9" ht="16.5">
      <c r="A28" s="33" t="str">
        <f>HLOOKUP(INDICE!$F$2,Nombres!$C$3:$D$636,51,FALSE)</f>
        <v>Balances</v>
      </c>
      <c r="B28" s="34"/>
      <c r="C28" s="34"/>
      <c r="D28" s="34"/>
      <c r="E28" s="34"/>
      <c r="F28" s="34"/>
      <c r="G28" s="34"/>
      <c r="H28" s="34"/>
      <c r="I28" s="34"/>
    </row>
    <row r="29" spans="1:9" ht="14.25">
      <c r="A29" s="35" t="str">
        <f>HLOOKUP(INDICE!$F$2,Nombres!$C$3:$D$636,32,FALSE)</f>
        <v>(Millones de euros)</v>
      </c>
      <c r="B29" s="30"/>
      <c r="C29" s="52"/>
      <c r="D29" s="52"/>
      <c r="E29" s="52"/>
      <c r="F29" s="30"/>
      <c r="G29" s="58"/>
      <c r="H29" s="58"/>
      <c r="I29" s="58"/>
    </row>
    <row r="30" spans="1:9" ht="14.25">
      <c r="A30" s="30"/>
      <c r="B30" s="53">
        <f>+España!B30</f>
        <v>43555</v>
      </c>
      <c r="C30" s="53">
        <f>+España!C30</f>
        <v>43646</v>
      </c>
      <c r="D30" s="53">
        <f>+España!D30</f>
        <v>43738</v>
      </c>
      <c r="E30" s="69">
        <f>+España!E30</f>
        <v>43830</v>
      </c>
      <c r="F30" s="78">
        <f>+España!F30</f>
        <v>43921</v>
      </c>
      <c r="G30" s="78">
        <f>+España!G30</f>
        <v>44012</v>
      </c>
      <c r="H30" s="78">
        <f>+España!H30</f>
        <v>44104</v>
      </c>
      <c r="I30" s="78">
        <f>+España!I30</f>
        <v>44196</v>
      </c>
    </row>
    <row r="31" spans="1:9" ht="14.25">
      <c r="A31" s="43" t="str">
        <f>HLOOKUP(INDICE!$F$2,Nombres!$C$3:$D$636,52,FALSE)</f>
        <v>Efectivo, saldos en efectivo en bancos centrales y otros depósitos a la vista</v>
      </c>
      <c r="B31" s="44">
        <v>8678.05499999</v>
      </c>
      <c r="C31" s="44">
        <v>10051.26</v>
      </c>
      <c r="D31" s="44">
        <v>6831.139999999999</v>
      </c>
      <c r="E31" s="45">
        <v>6489.00600001</v>
      </c>
      <c r="F31" s="44">
        <v>5848.49299998</v>
      </c>
      <c r="G31" s="44">
        <v>6562.35800001</v>
      </c>
      <c r="H31" s="44">
        <v>7988.985</v>
      </c>
      <c r="I31" s="44">
        <v>9159.493999999999</v>
      </c>
    </row>
    <row r="32" spans="1:9" ht="14.25">
      <c r="A32" s="43" t="str">
        <f>HLOOKUP(INDICE!$F$2,Nombres!$C$3:$D$636,53,FALSE)</f>
        <v>Activos financieros a valor razonable</v>
      </c>
      <c r="B32" s="58">
        <v>26193.015</v>
      </c>
      <c r="C32" s="58">
        <v>28405.32299999</v>
      </c>
      <c r="D32" s="58">
        <v>30669.01300002</v>
      </c>
      <c r="E32" s="66">
        <v>31401.84400001</v>
      </c>
      <c r="F32" s="44">
        <v>34750.406</v>
      </c>
      <c r="G32" s="44">
        <v>33941.22699999</v>
      </c>
      <c r="H32" s="44">
        <v>31937.569</v>
      </c>
      <c r="I32" s="44">
        <v>36360.08799999</v>
      </c>
    </row>
    <row r="33" spans="1:9" ht="14.25">
      <c r="A33" s="43" t="str">
        <f>HLOOKUP(INDICE!$F$2,Nombres!$C$3:$D$636,54,FALSE)</f>
        <v>Activos financieros a coste amortizado</v>
      </c>
      <c r="B33" s="44">
        <v>60754.00099997999</v>
      </c>
      <c r="C33" s="44">
        <v>61510.06199996</v>
      </c>
      <c r="D33" s="44">
        <v>64579.61600003</v>
      </c>
      <c r="E33" s="45">
        <v>66180.48099996</v>
      </c>
      <c r="F33" s="44">
        <v>58838.916000020006</v>
      </c>
      <c r="G33" s="44">
        <v>58417.72700002</v>
      </c>
      <c r="H33" s="44">
        <v>56832.28199996</v>
      </c>
      <c r="I33" s="44">
        <v>59813.75799994001</v>
      </c>
    </row>
    <row r="34" spans="1:9" ht="14.25">
      <c r="A34" s="43" t="str">
        <f>HLOOKUP(INDICE!$F$2,Nombres!$C$3:$D$636,55,FALSE)</f>
        <v>    de los que préstamos y anticipos a la clientela</v>
      </c>
      <c r="B34" s="44">
        <v>53479.97299997001</v>
      </c>
      <c r="C34" s="44">
        <v>54431.90699995</v>
      </c>
      <c r="D34" s="44">
        <v>56510.212000019994</v>
      </c>
      <c r="E34" s="45">
        <v>58080.634999960006</v>
      </c>
      <c r="F34" s="44">
        <v>50484.05000001</v>
      </c>
      <c r="G34" s="44">
        <v>49439.64500000002</v>
      </c>
      <c r="H34" s="44">
        <v>47788.48999996</v>
      </c>
      <c r="I34" s="44">
        <v>50002.42099997</v>
      </c>
    </row>
    <row r="35" spans="1:9" ht="14.25">
      <c r="A35" s="43" t="str">
        <f>HLOOKUP(INDICE!$F$2,Nombres!$C$3:$D$636,56,FALSE)</f>
        <v>Activos tangibles</v>
      </c>
      <c r="B35" s="44">
        <v>2029.44700001</v>
      </c>
      <c r="C35" s="44">
        <v>2020.4779999999998</v>
      </c>
      <c r="D35" s="44">
        <v>1996.953</v>
      </c>
      <c r="E35" s="45">
        <v>2022.07499999</v>
      </c>
      <c r="F35" s="44">
        <v>1597.7509999899999</v>
      </c>
      <c r="G35" s="44">
        <v>1582.3429999999998</v>
      </c>
      <c r="H35" s="44">
        <v>1537.6999999799998</v>
      </c>
      <c r="I35" s="44">
        <v>1646.9840000099998</v>
      </c>
    </row>
    <row r="36" spans="1:9" ht="14.25">
      <c r="A36" s="43" t="str">
        <f>HLOOKUP(INDICE!$F$2,Nombres!$C$3:$D$636,57,FALSE)</f>
        <v>Otros activos</v>
      </c>
      <c r="B36" s="58">
        <f>+B37-B35-B33-B32-B31</f>
        <v>4083.0521499400093</v>
      </c>
      <c r="C36" s="58">
        <f aca="true" t="shared" si="5" ref="C36:I36">+C37-C35-C33-C32-C31</f>
        <v>3379.0760001300096</v>
      </c>
      <c r="D36" s="58">
        <f t="shared" si="5"/>
        <v>3054.4253709399636</v>
      </c>
      <c r="E36" s="66">
        <f t="shared" si="5"/>
        <v>2985.4020304999995</v>
      </c>
      <c r="F36" s="44">
        <f t="shared" si="5"/>
        <v>3165.6240000299813</v>
      </c>
      <c r="G36" s="44">
        <f t="shared" si="5"/>
        <v>3167.240000000017</v>
      </c>
      <c r="H36" s="44">
        <f t="shared" si="5"/>
        <v>3119.2128158699825</v>
      </c>
      <c r="I36" s="44">
        <f t="shared" si="5"/>
        <v>3243.8070000099906</v>
      </c>
    </row>
    <row r="37" spans="1:9" ht="14.25">
      <c r="A37" s="47" t="str">
        <f>HLOOKUP(INDICE!$F$2,Nombres!$C$3:$D$636,58,FALSE)</f>
        <v>Total activo / pasivo</v>
      </c>
      <c r="B37" s="47">
        <v>101737.57014992</v>
      </c>
      <c r="C37" s="47">
        <v>105366.19900008001</v>
      </c>
      <c r="D37" s="47">
        <v>107131.14737098996</v>
      </c>
      <c r="E37" s="72">
        <v>109078.80803047</v>
      </c>
      <c r="F37" s="47">
        <v>104201.19000002</v>
      </c>
      <c r="G37" s="51">
        <v>103670.89500002001</v>
      </c>
      <c r="H37" s="51">
        <v>101415.74881580999</v>
      </c>
      <c r="I37" s="51">
        <v>110224.13099995</v>
      </c>
    </row>
    <row r="38" spans="1:9" ht="14.25">
      <c r="A38" s="43" t="str">
        <f>HLOOKUP(INDICE!$F$2,Nombres!$C$3:$D$636,59,FALSE)</f>
        <v>Pasivos financieros mantenidos para negociar y designados a valor razonable con cambios en resultados</v>
      </c>
      <c r="B38" s="58">
        <v>17747.20699999</v>
      </c>
      <c r="C38" s="58">
        <v>20681.508000010002</v>
      </c>
      <c r="D38" s="58">
        <v>22830.747</v>
      </c>
      <c r="E38" s="66">
        <v>21784.341999990003</v>
      </c>
      <c r="F38" s="44">
        <v>25597.628</v>
      </c>
      <c r="G38" s="44">
        <v>24494.13500001</v>
      </c>
      <c r="H38" s="44">
        <v>21571.643000009997</v>
      </c>
      <c r="I38" s="44">
        <v>23801.29199999</v>
      </c>
    </row>
    <row r="39" spans="1:9" ht="14.25">
      <c r="A39" s="43" t="str">
        <f>HLOOKUP(INDICE!$F$2,Nombres!$C$3:$D$636,60,FALSE)</f>
        <v>Depósitos de bancos centrales y entidades de crédito</v>
      </c>
      <c r="B39" s="58">
        <v>3533.15799999</v>
      </c>
      <c r="C39" s="58">
        <v>1867.83400002</v>
      </c>
      <c r="D39" s="58">
        <v>2104.525</v>
      </c>
      <c r="E39" s="66">
        <v>2117.36300001</v>
      </c>
      <c r="F39" s="44">
        <v>3269.7840000200003</v>
      </c>
      <c r="G39" s="44">
        <v>3096.09100002</v>
      </c>
      <c r="H39" s="44">
        <v>3459.73300002</v>
      </c>
      <c r="I39" s="44">
        <v>5121.761000009999</v>
      </c>
    </row>
    <row r="40" spans="1:9" ht="15.75" customHeight="1">
      <c r="A40" s="43" t="str">
        <f>HLOOKUP(INDICE!$F$2,Nombres!$C$3:$D$636,61,FALSE)</f>
        <v>Depósitos de la clientela</v>
      </c>
      <c r="B40" s="58">
        <v>50904.01799998</v>
      </c>
      <c r="C40" s="58">
        <v>52960.118000020004</v>
      </c>
      <c r="D40" s="58">
        <v>52826.089000010004</v>
      </c>
      <c r="E40" s="66">
        <v>55933.81500003</v>
      </c>
      <c r="F40" s="44">
        <v>49072.28500001</v>
      </c>
      <c r="G40" s="44">
        <v>50398.485</v>
      </c>
      <c r="H40" s="44">
        <v>50769.67100001</v>
      </c>
      <c r="I40" s="44">
        <v>54051.79900004</v>
      </c>
    </row>
    <row r="41" spans="1:9" ht="14.25">
      <c r="A41" s="43" t="str">
        <f>HLOOKUP(INDICE!$F$2,Nombres!$C$3:$D$636,62,FALSE)</f>
        <v>Valores representativos de deuda emitidos</v>
      </c>
      <c r="B41" s="44">
        <v>9070.749871060001</v>
      </c>
      <c r="C41" s="44">
        <v>9511.637</v>
      </c>
      <c r="D41" s="44">
        <v>9342.978</v>
      </c>
      <c r="E41" s="45">
        <v>8839.961</v>
      </c>
      <c r="F41" s="44">
        <v>8879.23002133</v>
      </c>
      <c r="G41" s="44">
        <v>7799.133000000001</v>
      </c>
      <c r="H41" s="44">
        <v>7469.49099999</v>
      </c>
      <c r="I41" s="44">
        <v>7387.150000019999</v>
      </c>
    </row>
    <row r="42" spans="1:9" ht="14.25">
      <c r="A42" s="43" t="str">
        <f>HLOOKUP(INDICE!$F$2,Nombres!$C$3:$D$636,63,FALSE)</f>
        <v>Otros pasivos</v>
      </c>
      <c r="B42" s="58">
        <f>+B37-B38-B39-B40-B41-B43</f>
        <v>16544.514238899996</v>
      </c>
      <c r="C42" s="58">
        <f aca="true" t="shared" si="6" ref="C42:I42">+C37-C38-C39-C40-C41-C43</f>
        <v>16286.697994840011</v>
      </c>
      <c r="D42" s="58">
        <f t="shared" si="6"/>
        <v>15590.56447592996</v>
      </c>
      <c r="E42" s="66">
        <f t="shared" si="6"/>
        <v>15514.413612049997</v>
      </c>
      <c r="F42" s="44">
        <f t="shared" si="6"/>
        <v>11831.242198670003</v>
      </c>
      <c r="G42" s="44">
        <f t="shared" si="6"/>
        <v>12535.259219990025</v>
      </c>
      <c r="H42" s="44">
        <f t="shared" si="6"/>
        <v>13085.937861569993</v>
      </c>
      <c r="I42" s="44">
        <f t="shared" si="6"/>
        <v>14526.209448529993</v>
      </c>
    </row>
    <row r="43" spans="1:9" ht="14.25">
      <c r="A43" s="43" t="str">
        <f>HLOOKUP(INDICE!$F$2,Nombres!$C$3:$D$636,64,FALSE)</f>
        <v>Dotación de capital económico</v>
      </c>
      <c r="B43" s="44">
        <v>3937.9230399999997</v>
      </c>
      <c r="C43" s="44">
        <v>4058.40400519</v>
      </c>
      <c r="D43" s="44">
        <v>4436.243895049998</v>
      </c>
      <c r="E43" s="45">
        <v>4888.91341839</v>
      </c>
      <c r="F43" s="44">
        <v>5551.020779990001</v>
      </c>
      <c r="G43" s="44">
        <v>5347.7917800000005</v>
      </c>
      <c r="H43" s="44">
        <v>5059.27295421</v>
      </c>
      <c r="I43" s="44">
        <v>5335.919551359999</v>
      </c>
    </row>
    <row r="44" spans="1:9" ht="14.25">
      <c r="A44" s="63"/>
      <c r="B44" s="58"/>
      <c r="C44" s="58"/>
      <c r="D44" s="58"/>
      <c r="E44" s="58"/>
      <c r="F44" s="79"/>
      <c r="G44" s="79"/>
      <c r="H44" s="79"/>
      <c r="I44" s="79"/>
    </row>
    <row r="45" spans="1:9" ht="14.25">
      <c r="A45" s="43"/>
      <c r="B45" s="58"/>
      <c r="C45" s="58"/>
      <c r="D45" s="58"/>
      <c r="E45" s="58"/>
      <c r="F45" s="79"/>
      <c r="G45" s="79"/>
      <c r="H45" s="79"/>
      <c r="I45" s="79"/>
    </row>
    <row r="46" spans="1:9" ht="16.5">
      <c r="A46" s="67" t="str">
        <f>HLOOKUP(INDICE!$F$2,Nombres!$C$3:$D$636,65,FALSE)</f>
        <v>Indicadores relevantes y de gestión</v>
      </c>
      <c r="B46" s="68"/>
      <c r="C46" s="68"/>
      <c r="D46" s="68"/>
      <c r="E46" s="68"/>
      <c r="F46" s="80"/>
      <c r="G46" s="80"/>
      <c r="H46" s="80"/>
      <c r="I46" s="80"/>
    </row>
    <row r="47" spans="1:9" ht="14.25">
      <c r="A47" s="35" t="str">
        <f>HLOOKUP(INDICE!$F$2,Nombres!$C$3:$D$636,32,FALSE)</f>
        <v>(Millones de euros)</v>
      </c>
      <c r="B47" s="30"/>
      <c r="C47" s="30"/>
      <c r="D47" s="30"/>
      <c r="E47" s="30"/>
      <c r="F47" s="81"/>
      <c r="G47" s="79"/>
      <c r="H47" s="79"/>
      <c r="I47" s="79"/>
    </row>
    <row r="48" spans="1:9" ht="14.25">
      <c r="A48" s="30"/>
      <c r="B48" s="53">
        <f aca="true" t="shared" si="7" ref="B48:I48">+B$30</f>
        <v>43555</v>
      </c>
      <c r="C48" s="53">
        <f t="shared" si="7"/>
        <v>43646</v>
      </c>
      <c r="D48" s="53">
        <f t="shared" si="7"/>
        <v>43738</v>
      </c>
      <c r="E48" s="69">
        <f t="shared" si="7"/>
        <v>43830</v>
      </c>
      <c r="F48" s="78">
        <f t="shared" si="7"/>
        <v>43921</v>
      </c>
      <c r="G48" s="78">
        <f t="shared" si="7"/>
        <v>44012</v>
      </c>
      <c r="H48" s="78">
        <f t="shared" si="7"/>
        <v>44104</v>
      </c>
      <c r="I48" s="78">
        <f t="shared" si="7"/>
        <v>44196</v>
      </c>
    </row>
    <row r="49" spans="1:9" ht="14.25">
      <c r="A49" s="43" t="str">
        <f>HLOOKUP(INDICE!$F$2,Nombres!$C$3:$D$636,66,FALSE)</f>
        <v>Préstamos y anticipos a la clientela bruto (*)</v>
      </c>
      <c r="B49" s="44">
        <v>55355.10392041999</v>
      </c>
      <c r="C49" s="44">
        <v>56334.9399579</v>
      </c>
      <c r="D49" s="44">
        <v>58501.76987571001</v>
      </c>
      <c r="E49" s="45">
        <v>60095.21197796</v>
      </c>
      <c r="F49" s="44">
        <v>52422.30330213001</v>
      </c>
      <c r="G49" s="44">
        <v>51411.49488526</v>
      </c>
      <c r="H49" s="44">
        <v>49803.25699865</v>
      </c>
      <c r="I49" s="44">
        <v>52213.20047512</v>
      </c>
    </row>
    <row r="50" spans="1:9" ht="14.25">
      <c r="A50" s="43" t="str">
        <f>HLOOKUP(INDICE!$F$2,Nombres!$C$3:$D$636,67,FALSE)</f>
        <v>Depósitos de clientes en gestión (**)</v>
      </c>
      <c r="B50" s="44">
        <v>50829.421889699996</v>
      </c>
      <c r="C50" s="44">
        <v>52679.014800429984</v>
      </c>
      <c r="D50" s="44">
        <v>52389.60477442001</v>
      </c>
      <c r="E50" s="45">
        <v>55330.8809559</v>
      </c>
      <c r="F50" s="44">
        <v>48936.708390880005</v>
      </c>
      <c r="G50" s="44">
        <v>50131.289695130006</v>
      </c>
      <c r="H50" s="44">
        <v>50431.99854927</v>
      </c>
      <c r="I50" s="44">
        <v>53774.65489324</v>
      </c>
    </row>
    <row r="51" spans="1:9" ht="14.25">
      <c r="A51" s="43" t="str">
        <f>HLOOKUP(INDICE!$F$2,Nombres!$C$3:$D$636,68,FALSE)</f>
        <v>Fondos de inversión</v>
      </c>
      <c r="B51" s="44">
        <v>19552.95962264</v>
      </c>
      <c r="C51" s="44">
        <v>20292.23132221</v>
      </c>
      <c r="D51" s="44">
        <v>21256.078480950004</v>
      </c>
      <c r="E51" s="45">
        <v>21929.47901322</v>
      </c>
      <c r="F51" s="44">
        <v>18539.349153289997</v>
      </c>
      <c r="G51" s="44">
        <v>19359.339192389998</v>
      </c>
      <c r="H51" s="44">
        <v>19592.429874099995</v>
      </c>
      <c r="I51" s="44">
        <v>20660.16778547</v>
      </c>
    </row>
    <row r="52" spans="1:9" ht="14.25">
      <c r="A52" s="43" t="str">
        <f>HLOOKUP(INDICE!$F$2,Nombres!$C$3:$D$636,69,FALSE)</f>
        <v>Fondos de pensiones</v>
      </c>
      <c r="B52" s="44">
        <v>0</v>
      </c>
      <c r="C52" s="44">
        <v>0</v>
      </c>
      <c r="D52" s="44">
        <v>0</v>
      </c>
      <c r="E52" s="45">
        <v>0</v>
      </c>
      <c r="F52" s="44">
        <v>0</v>
      </c>
      <c r="G52" s="44">
        <v>0</v>
      </c>
      <c r="H52" s="44">
        <v>0</v>
      </c>
      <c r="I52" s="44">
        <v>0</v>
      </c>
    </row>
    <row r="53" spans="1:9" ht="14.25">
      <c r="A53" s="43" t="str">
        <f>HLOOKUP(INDICE!$F$2,Nombres!$C$3:$D$636,70,FALSE)</f>
        <v>Otros recursos fuera de balance</v>
      </c>
      <c r="B53" s="44">
        <v>3190.65869424</v>
      </c>
      <c r="C53" s="44">
        <v>3126.70753434</v>
      </c>
      <c r="D53" s="44">
        <v>2898.59580942</v>
      </c>
      <c r="E53" s="45">
        <v>2534.22569093</v>
      </c>
      <c r="F53" s="44">
        <v>2078.08252384</v>
      </c>
      <c r="G53" s="44">
        <v>1912.0187057399999</v>
      </c>
      <c r="H53" s="44">
        <v>1735.1617847599998</v>
      </c>
      <c r="I53" s="44">
        <v>1863.4363527599999</v>
      </c>
    </row>
    <row r="54" spans="1:9" ht="14.25">
      <c r="A54" s="63" t="str">
        <f>HLOOKUP(INDICE!$F$2,Nombres!$C$3:$D$636,71,FALSE)</f>
        <v>(*) No incluye las adquisiciones temporales de activos.</v>
      </c>
      <c r="B54" s="58"/>
      <c r="C54" s="58"/>
      <c r="D54" s="58"/>
      <c r="E54" s="58"/>
      <c r="F54" s="58"/>
      <c r="G54" s="58"/>
      <c r="H54" s="58"/>
      <c r="I54" s="58"/>
    </row>
    <row r="55" spans="1:9" ht="14.25">
      <c r="A55" s="63" t="str">
        <f>HLOOKUP(INDICE!$F$2,Nombres!$C$3:$D$636,72,FALSE)</f>
        <v>(**) No incluye las cesiones temporales de activos.</v>
      </c>
      <c r="B55" s="30"/>
      <c r="C55" s="30"/>
      <c r="D55" s="30"/>
      <c r="E55" s="30"/>
      <c r="F55" s="30"/>
      <c r="G55" s="30"/>
      <c r="H55" s="30"/>
      <c r="I55" s="30"/>
    </row>
    <row r="56" spans="1:9" ht="14.25">
      <c r="A56" s="63"/>
      <c r="B56" s="30"/>
      <c r="C56" s="30"/>
      <c r="D56" s="30"/>
      <c r="E56" s="30"/>
      <c r="F56" s="30"/>
      <c r="G56" s="30"/>
      <c r="H56" s="30"/>
      <c r="I56" s="30"/>
    </row>
    <row r="57" spans="1:9" ht="16.5">
      <c r="A57" s="33" t="str">
        <f>HLOOKUP(INDICE!$F$2,Nombres!$C$3:$D$636,31,FALSE)</f>
        <v>Cuenta de resultados  </v>
      </c>
      <c r="B57" s="34"/>
      <c r="C57" s="34"/>
      <c r="D57" s="34"/>
      <c r="E57" s="34"/>
      <c r="F57" s="34"/>
      <c r="G57" s="34"/>
      <c r="H57" s="34"/>
      <c r="I57" s="34"/>
    </row>
    <row r="58" spans="1:9" ht="14.25">
      <c r="A58" s="35" t="str">
        <f>HLOOKUP(INDICE!$F$2,Nombres!$C$3:$D$636,73,FALSE)</f>
        <v>(Millones de euros constantes)</v>
      </c>
      <c r="B58" s="30"/>
      <c r="C58" s="36"/>
      <c r="D58" s="36"/>
      <c r="E58" s="36"/>
      <c r="F58" s="30"/>
      <c r="G58" s="30"/>
      <c r="H58" s="30"/>
      <c r="I58" s="30"/>
    </row>
    <row r="59" spans="1:9" ht="14.25">
      <c r="A59" s="37"/>
      <c r="B59" s="30"/>
      <c r="C59" s="36"/>
      <c r="D59" s="36"/>
      <c r="E59" s="36"/>
      <c r="F59" s="30"/>
      <c r="G59" s="30"/>
      <c r="H59" s="30"/>
      <c r="I59" s="30"/>
    </row>
    <row r="60" spans="1:9" ht="14.25">
      <c r="A60" s="38"/>
      <c r="B60" s="308">
        <f>+B$6</f>
        <v>2019</v>
      </c>
      <c r="C60" s="308"/>
      <c r="D60" s="308"/>
      <c r="E60" s="309"/>
      <c r="F60" s="308">
        <f>+F$6</f>
        <v>2020</v>
      </c>
      <c r="G60" s="308"/>
      <c r="H60" s="308"/>
      <c r="I60" s="308"/>
    </row>
    <row r="61" spans="1:9" ht="14.25">
      <c r="A61" s="38"/>
      <c r="B61" s="39" t="str">
        <f>+B$7</f>
        <v>1er Trim.</v>
      </c>
      <c r="C61" s="39" t="str">
        <f aca="true" t="shared" si="8" ref="C61:I61">+C$7</f>
        <v>2º Trim.</v>
      </c>
      <c r="D61" s="39" t="str">
        <f t="shared" si="8"/>
        <v>3er Trim.</v>
      </c>
      <c r="E61" s="40" t="str">
        <f t="shared" si="8"/>
        <v>4º Trim.</v>
      </c>
      <c r="F61" s="39" t="str">
        <f t="shared" si="8"/>
        <v>1er Trim.</v>
      </c>
      <c r="G61" s="39" t="str">
        <f t="shared" si="8"/>
        <v>2º Trim.</v>
      </c>
      <c r="H61" s="39" t="str">
        <f t="shared" si="8"/>
        <v>3er Trim.</v>
      </c>
      <c r="I61" s="39" t="str">
        <f t="shared" si="8"/>
        <v>4º Trim.</v>
      </c>
    </row>
    <row r="62" spans="1:9" ht="14.25">
      <c r="A62" s="41" t="str">
        <f>HLOOKUP(INDICE!$F$2,Nombres!$C$3:$D$636,33,FALSE)</f>
        <v>Margen de intereses</v>
      </c>
      <c r="B62" s="41">
        <v>1333.2808447513482</v>
      </c>
      <c r="C62" s="41">
        <v>1352.0275372331487</v>
      </c>
      <c r="D62" s="41">
        <v>1370.0821747528944</v>
      </c>
      <c r="E62" s="42">
        <v>1400.068203214354</v>
      </c>
      <c r="F62" s="50">
        <v>1391.6847491770284</v>
      </c>
      <c r="G62" s="50">
        <v>1253.0230272170772</v>
      </c>
      <c r="H62" s="50">
        <v>1392.5233859803443</v>
      </c>
      <c r="I62" s="50">
        <v>1377.35999200555</v>
      </c>
    </row>
    <row r="63" spans="1:9" ht="14.25">
      <c r="A63" s="43" t="str">
        <f>HLOOKUP(INDICE!$F$2,Nombres!$C$3:$D$636,34,FALSE)</f>
        <v>Comisiones netas</v>
      </c>
      <c r="B63" s="44">
        <v>266.96982677958647</v>
      </c>
      <c r="C63" s="44">
        <v>281.2834593051941</v>
      </c>
      <c r="D63" s="44">
        <v>291.04314031365357</v>
      </c>
      <c r="E63" s="45">
        <v>301.40679316021306</v>
      </c>
      <c r="F63" s="44">
        <v>266.7902011139404</v>
      </c>
      <c r="G63" s="44">
        <v>232.20429055515405</v>
      </c>
      <c r="H63" s="44">
        <v>267.18484707940945</v>
      </c>
      <c r="I63" s="44">
        <v>299.16065009149617</v>
      </c>
    </row>
    <row r="64" spans="1:9" ht="14.25">
      <c r="A64" s="43" t="str">
        <f>HLOOKUP(INDICE!$F$2,Nombres!$C$3:$D$636,35,FALSE)</f>
        <v>Resultados de operaciones financieras</v>
      </c>
      <c r="B64" s="44">
        <v>55.560209154343475</v>
      </c>
      <c r="C64" s="44">
        <v>63.94803604267451</v>
      </c>
      <c r="D64" s="44">
        <v>93.16526610511805</v>
      </c>
      <c r="E64" s="45">
        <v>59.61159632347079</v>
      </c>
      <c r="F64" s="44">
        <v>70.41768801039898</v>
      </c>
      <c r="G64" s="44">
        <v>154.88915614624176</v>
      </c>
      <c r="H64" s="44">
        <v>104.9023813069467</v>
      </c>
      <c r="I64" s="44">
        <v>92.57709377641258</v>
      </c>
    </row>
    <row r="65" spans="1:9" ht="14.25">
      <c r="A65" s="43" t="str">
        <f>HLOOKUP(INDICE!$F$2,Nombres!$C$3:$D$636,36,FALSE)</f>
        <v>Otros ingresos y cargas de explotación</v>
      </c>
      <c r="B65" s="44">
        <v>35.321931935775076</v>
      </c>
      <c r="C65" s="44">
        <v>54.42081559452426</v>
      </c>
      <c r="D65" s="44">
        <v>16.600338304659882</v>
      </c>
      <c r="E65" s="45">
        <v>79.89349280240235</v>
      </c>
      <c r="F65" s="44">
        <v>63.87584204352399</v>
      </c>
      <c r="G65" s="44">
        <v>22.151848944064298</v>
      </c>
      <c r="H65" s="44">
        <v>12.906109080868095</v>
      </c>
      <c r="I65" s="44">
        <v>15.066199921543639</v>
      </c>
    </row>
    <row r="66" spans="1:9" ht="14.25">
      <c r="A66" s="41" t="str">
        <f>HLOOKUP(INDICE!$F$2,Nombres!$C$3:$D$636,37,FALSE)</f>
        <v>Margen bruto</v>
      </c>
      <c r="B66" s="41">
        <f>+SUM(B62:B65)</f>
        <v>1691.1328126210533</v>
      </c>
      <c r="C66" s="41">
        <f aca="true" t="shared" si="9" ref="C66:I66">+SUM(C62:C65)</f>
        <v>1751.6798481755416</v>
      </c>
      <c r="D66" s="41">
        <f t="shared" si="9"/>
        <v>1770.8909194763257</v>
      </c>
      <c r="E66" s="42">
        <f t="shared" si="9"/>
        <v>1840.9800855004403</v>
      </c>
      <c r="F66" s="50">
        <f t="shared" si="9"/>
        <v>1792.7684803448917</v>
      </c>
      <c r="G66" s="50">
        <f t="shared" si="9"/>
        <v>1662.2683228625374</v>
      </c>
      <c r="H66" s="50">
        <f t="shared" si="9"/>
        <v>1777.5167234475684</v>
      </c>
      <c r="I66" s="50">
        <f t="shared" si="9"/>
        <v>1784.1639357950023</v>
      </c>
    </row>
    <row r="67" spans="1:9" ht="14.25">
      <c r="A67" s="43" t="str">
        <f>HLOOKUP(INDICE!$F$2,Nombres!$C$3:$D$636,38,FALSE)</f>
        <v>Gastos de explotación</v>
      </c>
      <c r="B67" s="44">
        <v>-563.8507585715769</v>
      </c>
      <c r="C67" s="44">
        <v>-574.7311415905143</v>
      </c>
      <c r="D67" s="44">
        <v>-588.121731690477</v>
      </c>
      <c r="E67" s="45">
        <v>-597.280140622574</v>
      </c>
      <c r="F67" s="44">
        <v>-594.6698679525965</v>
      </c>
      <c r="G67" s="44">
        <v>-573.6410992942222</v>
      </c>
      <c r="H67" s="44">
        <v>-574.3534398448078</v>
      </c>
      <c r="I67" s="44">
        <v>-597.2498722483733</v>
      </c>
    </row>
    <row r="68" spans="1:9" ht="14.25">
      <c r="A68" s="43" t="str">
        <f>HLOOKUP(INDICE!$F$2,Nombres!$C$3:$D$636,39,FALSE)</f>
        <v>  Gastos de administración</v>
      </c>
      <c r="B68" s="44">
        <v>-489.1416708856319</v>
      </c>
      <c r="C68" s="44">
        <v>-497.5419633319368</v>
      </c>
      <c r="D68" s="44">
        <v>-510.85365851615626</v>
      </c>
      <c r="E68" s="45">
        <v>-522.7032239219978</v>
      </c>
      <c r="F68" s="44">
        <v>-517.6533405962956</v>
      </c>
      <c r="G68" s="44">
        <v>-496.26263848201927</v>
      </c>
      <c r="H68" s="44">
        <v>-495.7087406207489</v>
      </c>
      <c r="I68" s="44">
        <v>-518.8283096709363</v>
      </c>
    </row>
    <row r="69" spans="1:9" ht="14.25">
      <c r="A69" s="46" t="str">
        <f>HLOOKUP(INDICE!$F$2,Nombres!$C$3:$D$636,40,FALSE)</f>
        <v>  Gastos de personal</v>
      </c>
      <c r="B69" s="44">
        <v>-239.1630272890011</v>
      </c>
      <c r="C69" s="44">
        <v>-244.3766228297198</v>
      </c>
      <c r="D69" s="44">
        <v>-250.18978430993437</v>
      </c>
      <c r="E69" s="45">
        <v>-254.29967037951786</v>
      </c>
      <c r="F69" s="44">
        <v>-257.4867224540623</v>
      </c>
      <c r="G69" s="44">
        <v>-219.75517206493498</v>
      </c>
      <c r="H69" s="44">
        <v>-239.20956519018938</v>
      </c>
      <c r="I69" s="44">
        <v>-250.8281821508133</v>
      </c>
    </row>
    <row r="70" spans="1:9" ht="14.25">
      <c r="A70" s="46" t="str">
        <f>HLOOKUP(INDICE!$F$2,Nombres!$C$3:$D$636,41,FALSE)</f>
        <v>  Otros gastos de administración</v>
      </c>
      <c r="B70" s="44">
        <v>-249.97864359663083</v>
      </c>
      <c r="C70" s="44">
        <v>-253.16534050221702</v>
      </c>
      <c r="D70" s="44">
        <v>-260.66387420622186</v>
      </c>
      <c r="E70" s="45">
        <v>-268.4035535424801</v>
      </c>
      <c r="F70" s="44">
        <v>-260.16661814223335</v>
      </c>
      <c r="G70" s="44">
        <v>-276.5074664170843</v>
      </c>
      <c r="H70" s="44">
        <v>-256.49917543055955</v>
      </c>
      <c r="I70" s="44">
        <v>-268.0001275201229</v>
      </c>
    </row>
    <row r="71" spans="1:9" ht="14.25">
      <c r="A71" s="43" t="str">
        <f>HLOOKUP(INDICE!$F$2,Nombres!$C$3:$D$636,42,FALSE)</f>
        <v>  Amortización</v>
      </c>
      <c r="B71" s="44">
        <v>-74.70908768594497</v>
      </c>
      <c r="C71" s="44">
        <v>-77.1891782585775</v>
      </c>
      <c r="D71" s="44">
        <v>-77.26807317432069</v>
      </c>
      <c r="E71" s="45">
        <v>-74.57691670057615</v>
      </c>
      <c r="F71" s="44">
        <v>-77.01652735630098</v>
      </c>
      <c r="G71" s="44">
        <v>-77.37846081220287</v>
      </c>
      <c r="H71" s="44">
        <v>-78.64469922405893</v>
      </c>
      <c r="I71" s="44">
        <v>-78.42156257743721</v>
      </c>
    </row>
    <row r="72" spans="1:9" ht="14.25">
      <c r="A72" s="41" t="str">
        <f>HLOOKUP(INDICE!$F$2,Nombres!$C$3:$D$636,43,FALSE)</f>
        <v>Margen neto</v>
      </c>
      <c r="B72" s="41">
        <f>+B66+B67</f>
        <v>1127.2820540494763</v>
      </c>
      <c r="C72" s="41">
        <f aca="true" t="shared" si="10" ref="C72:I72">+C66+C67</f>
        <v>1176.9487065850271</v>
      </c>
      <c r="D72" s="41">
        <f t="shared" si="10"/>
        <v>1182.7691877858488</v>
      </c>
      <c r="E72" s="42">
        <f t="shared" si="10"/>
        <v>1243.6999448778663</v>
      </c>
      <c r="F72" s="50">
        <f t="shared" si="10"/>
        <v>1198.0986123922953</v>
      </c>
      <c r="G72" s="50">
        <f t="shared" si="10"/>
        <v>1088.6272235683152</v>
      </c>
      <c r="H72" s="50">
        <f t="shared" si="10"/>
        <v>1203.1632836027607</v>
      </c>
      <c r="I72" s="50">
        <f t="shared" si="10"/>
        <v>1186.914063546629</v>
      </c>
    </row>
    <row r="73" spans="1:9" ht="14.25">
      <c r="A73" s="43" t="str">
        <f>HLOOKUP(INDICE!$F$2,Nombres!$C$3:$D$636,44,FALSE)</f>
        <v>Deterioro de activos financieros no valorados a valor razonable con cambios en resultados</v>
      </c>
      <c r="B73" s="44">
        <v>-350.74807313497126</v>
      </c>
      <c r="C73" s="44">
        <v>-371.0165594518685</v>
      </c>
      <c r="D73" s="44">
        <v>-370.02867366241776</v>
      </c>
      <c r="E73" s="45">
        <v>-399.85572471478594</v>
      </c>
      <c r="F73" s="44">
        <v>-696.2544235007965</v>
      </c>
      <c r="G73" s="44">
        <v>-660.9765243954653</v>
      </c>
      <c r="H73" s="44">
        <v>-392.52009867841355</v>
      </c>
      <c r="I73" s="44">
        <v>-422.6069533953244</v>
      </c>
    </row>
    <row r="74" spans="1:9" ht="14.25">
      <c r="A74" s="43" t="str">
        <f>HLOOKUP(INDICE!$F$2,Nombres!$C$3:$D$636,45,FALSE)</f>
        <v>Provisiones o reversión de provisiones y otros resultados</v>
      </c>
      <c r="B74" s="44">
        <v>3.289068793647594</v>
      </c>
      <c r="C74" s="44">
        <v>-11.702258289729517</v>
      </c>
      <c r="D74" s="44">
        <v>-4.063007084681815</v>
      </c>
      <c r="E74" s="45">
        <v>16.54781532567307</v>
      </c>
      <c r="F74" s="44">
        <v>-11.361048777266308</v>
      </c>
      <c r="G74" s="44">
        <v>-50.80115313099673</v>
      </c>
      <c r="H74" s="44">
        <v>14.264774633550244</v>
      </c>
      <c r="I74" s="44">
        <v>15.275427274712797</v>
      </c>
    </row>
    <row r="75" spans="1:9" ht="14.25">
      <c r="A75" s="41" t="str">
        <f>HLOOKUP(INDICE!$F$2,Nombres!$C$3:$D$636,46,FALSE)</f>
        <v>Resultado antes de impuestos</v>
      </c>
      <c r="B75" s="41">
        <f>+B72+B73+B74</f>
        <v>779.8230497081527</v>
      </c>
      <c r="C75" s="41">
        <f aca="true" t="shared" si="11" ref="C75:I75">+C72+C73+C74</f>
        <v>794.2298888434291</v>
      </c>
      <c r="D75" s="41">
        <f t="shared" si="11"/>
        <v>808.6775070387492</v>
      </c>
      <c r="E75" s="42">
        <f t="shared" si="11"/>
        <v>860.3920354887534</v>
      </c>
      <c r="F75" s="50">
        <f t="shared" si="11"/>
        <v>490.48314011423247</v>
      </c>
      <c r="G75" s="50">
        <f t="shared" si="11"/>
        <v>376.8495460418532</v>
      </c>
      <c r="H75" s="50">
        <f t="shared" si="11"/>
        <v>824.9079595578974</v>
      </c>
      <c r="I75" s="50">
        <f t="shared" si="11"/>
        <v>779.5825374260174</v>
      </c>
    </row>
    <row r="76" spans="1:9" ht="14.25">
      <c r="A76" s="43" t="str">
        <f>HLOOKUP(INDICE!$F$2,Nombres!$C$3:$D$636,47,FALSE)</f>
        <v>Impuesto sobre beneficios</v>
      </c>
      <c r="B76" s="44">
        <v>-222.2452188659502</v>
      </c>
      <c r="C76" s="44">
        <v>-215.97467765623918</v>
      </c>
      <c r="D76" s="44">
        <v>-211.48133941124226</v>
      </c>
      <c r="E76" s="45">
        <v>-221.70368773490975</v>
      </c>
      <c r="F76" s="44">
        <v>-155.13397514986522</v>
      </c>
      <c r="G76" s="44">
        <v>-75.13079812507982</v>
      </c>
      <c r="H76" s="44">
        <v>-257.246813966403</v>
      </c>
      <c r="I76" s="44">
        <v>-225.30705390865194</v>
      </c>
    </row>
    <row r="77" spans="1:9" ht="14.25">
      <c r="A77" s="41" t="str">
        <f>HLOOKUP(INDICE!$F$2,Nombres!$C$3:$D$636,48,FALSE)</f>
        <v>Resultado del ejercicio</v>
      </c>
      <c r="B77" s="41">
        <f>+B75+B76</f>
        <v>557.5778308422025</v>
      </c>
      <c r="C77" s="41">
        <f aca="true" t="shared" si="12" ref="C77:I77">+C75+C76</f>
        <v>578.2552111871898</v>
      </c>
      <c r="D77" s="41">
        <f t="shared" si="12"/>
        <v>597.196167627507</v>
      </c>
      <c r="E77" s="42">
        <f t="shared" si="12"/>
        <v>638.6883477538437</v>
      </c>
      <c r="F77" s="50">
        <f t="shared" si="12"/>
        <v>335.3491649643672</v>
      </c>
      <c r="G77" s="50">
        <f t="shared" si="12"/>
        <v>301.7187479167734</v>
      </c>
      <c r="H77" s="50">
        <f t="shared" si="12"/>
        <v>567.6611455914943</v>
      </c>
      <c r="I77" s="50">
        <f t="shared" si="12"/>
        <v>554.2754835173655</v>
      </c>
    </row>
    <row r="78" spans="1:9" ht="14.25">
      <c r="A78" s="43" t="str">
        <f>HLOOKUP(INDICE!$F$2,Nombres!$C$3:$D$636,49,FALSE)</f>
        <v>Minoritarios</v>
      </c>
      <c r="B78" s="44">
        <v>-0.10044993856153472</v>
      </c>
      <c r="C78" s="44">
        <v>-0.11226288882861135</v>
      </c>
      <c r="D78" s="44">
        <v>-0.10474764630036613</v>
      </c>
      <c r="E78" s="45">
        <v>-0.11658778943081785</v>
      </c>
      <c r="F78" s="44">
        <v>-0.06124069113684738</v>
      </c>
      <c r="G78" s="44">
        <v>-0.057502770024558766</v>
      </c>
      <c r="H78" s="44">
        <v>-0.11532704375608452</v>
      </c>
      <c r="I78" s="44">
        <v>-0.09892949508250932</v>
      </c>
    </row>
    <row r="79" spans="1:9" ht="14.25">
      <c r="A79" s="47" t="str">
        <f>HLOOKUP(INDICE!$F$2,Nombres!$C$3:$D$636,50,FALSE)</f>
        <v>Resultado atribuido</v>
      </c>
      <c r="B79" s="47">
        <f>+B77+B78</f>
        <v>557.477380903641</v>
      </c>
      <c r="C79" s="47">
        <f aca="true" t="shared" si="13" ref="C79:I79">+C77+C78</f>
        <v>578.1429482983613</v>
      </c>
      <c r="D79" s="47">
        <f t="shared" si="13"/>
        <v>597.0914199812066</v>
      </c>
      <c r="E79" s="47">
        <f t="shared" si="13"/>
        <v>638.5717599644129</v>
      </c>
      <c r="F79" s="51">
        <f t="shared" si="13"/>
        <v>335.2879242732304</v>
      </c>
      <c r="G79" s="51">
        <f t="shared" si="13"/>
        <v>301.66124514674885</v>
      </c>
      <c r="H79" s="51">
        <f t="shared" si="13"/>
        <v>567.5458185477382</v>
      </c>
      <c r="I79" s="51">
        <f t="shared" si="13"/>
        <v>554.176554022283</v>
      </c>
    </row>
    <row r="80" spans="1:9" ht="14.25">
      <c r="A80" s="63"/>
      <c r="B80" s="64">
        <v>0</v>
      </c>
      <c r="C80" s="64">
        <v>0</v>
      </c>
      <c r="D80" s="64">
        <v>0</v>
      </c>
      <c r="E80" s="64">
        <v>0</v>
      </c>
      <c r="F80" s="64">
        <v>0</v>
      </c>
      <c r="G80" s="64">
        <v>0</v>
      </c>
      <c r="H80" s="64">
        <v>0</v>
      </c>
      <c r="I80" s="64">
        <v>0</v>
      </c>
    </row>
    <row r="81" spans="1:9" ht="14.25">
      <c r="A81" s="41"/>
      <c r="B81" s="41"/>
      <c r="C81" s="41"/>
      <c r="D81" s="41"/>
      <c r="E81" s="41"/>
      <c r="F81" s="50"/>
      <c r="G81" s="50"/>
      <c r="H81" s="50"/>
      <c r="I81" s="50"/>
    </row>
    <row r="82" spans="1:9" ht="16.5">
      <c r="A82" s="33" t="str">
        <f>HLOOKUP(INDICE!$F$2,Nombres!$C$3:$D$636,51,FALSE)</f>
        <v>Balances</v>
      </c>
      <c r="B82" s="34"/>
      <c r="C82" s="34"/>
      <c r="D82" s="34"/>
      <c r="E82" s="34"/>
      <c r="F82" s="70"/>
      <c r="G82" s="70"/>
      <c r="H82" s="70"/>
      <c r="I82" s="70"/>
    </row>
    <row r="83" spans="1:9" ht="14.25">
      <c r="A83" s="35" t="str">
        <f>HLOOKUP(INDICE!$F$2,Nombres!$C$3:$D$636,73,FALSE)</f>
        <v>(Millones de euros constantes)</v>
      </c>
      <c r="B83" s="30"/>
      <c r="C83" s="52"/>
      <c r="D83" s="52"/>
      <c r="E83" s="52"/>
      <c r="F83" s="71"/>
      <c r="G83" s="44"/>
      <c r="H83" s="44"/>
      <c r="I83" s="44"/>
    </row>
    <row r="84" spans="1:9" ht="14.25">
      <c r="A84" s="30"/>
      <c r="B84" s="53">
        <f aca="true" t="shared" si="14" ref="B84:I84">+B$30</f>
        <v>43555</v>
      </c>
      <c r="C84" s="53">
        <f t="shared" si="14"/>
        <v>43646</v>
      </c>
      <c r="D84" s="53">
        <f t="shared" si="14"/>
        <v>43738</v>
      </c>
      <c r="E84" s="69">
        <f t="shared" si="14"/>
        <v>43830</v>
      </c>
      <c r="F84" s="53">
        <f t="shared" si="14"/>
        <v>43921</v>
      </c>
      <c r="G84" s="53">
        <f t="shared" si="14"/>
        <v>44012</v>
      </c>
      <c r="H84" s="53">
        <f t="shared" si="14"/>
        <v>44104</v>
      </c>
      <c r="I84" s="53">
        <f t="shared" si="14"/>
        <v>44196</v>
      </c>
    </row>
    <row r="85" spans="1:9" ht="14.25">
      <c r="A85" s="43" t="str">
        <f>HLOOKUP(INDICE!$F$2,Nombres!$C$3:$D$636,52,FALSE)</f>
        <v>Efectivo, saldos en efectivo en bancos centrales y otros depósitos a la vista</v>
      </c>
      <c r="B85" s="44">
        <v>7709.522075809181</v>
      </c>
      <c r="C85" s="44">
        <v>8982.613791062851</v>
      </c>
      <c r="D85" s="44">
        <v>6001.924209833303</v>
      </c>
      <c r="E85" s="45">
        <v>5639.662726037555</v>
      </c>
      <c r="F85" s="44">
        <v>6270.36250639936</v>
      </c>
      <c r="G85" s="44">
        <v>6973.849239232724</v>
      </c>
      <c r="H85" s="44">
        <v>8567.741416529896</v>
      </c>
      <c r="I85" s="44">
        <v>9159.493999999999</v>
      </c>
    </row>
    <row r="86" spans="1:9" ht="14.25">
      <c r="A86" s="43" t="str">
        <f>HLOOKUP(INDICE!$F$2,Nombres!$C$3:$D$636,53,FALSE)</f>
        <v>Activos financieros a valor razonable</v>
      </c>
      <c r="B86" s="58">
        <v>23269.687432809977</v>
      </c>
      <c r="C86" s="58">
        <v>25385.27966835053</v>
      </c>
      <c r="D86" s="58">
        <v>26946.174667260864</v>
      </c>
      <c r="E86" s="66">
        <v>27291.669808200135</v>
      </c>
      <c r="F86" s="44">
        <v>37257.05799174258</v>
      </c>
      <c r="G86" s="44">
        <v>36069.50429893413</v>
      </c>
      <c r="H86" s="44">
        <v>34251.26379190614</v>
      </c>
      <c r="I86" s="44">
        <v>36360.08799999</v>
      </c>
    </row>
    <row r="87" spans="1:9" ht="14.25">
      <c r="A87" s="43" t="str">
        <f>HLOOKUP(INDICE!$F$2,Nombres!$C$3:$D$636,54,FALSE)</f>
        <v>Activos financieros a coste amortizado</v>
      </c>
      <c r="B87" s="44">
        <v>53973.42053070863</v>
      </c>
      <c r="C87" s="44">
        <v>54970.33518284988</v>
      </c>
      <c r="D87" s="44">
        <v>56740.450456632156</v>
      </c>
      <c r="E87" s="45">
        <v>57518.14559674253</v>
      </c>
      <c r="F87" s="44">
        <v>63083.14514610318</v>
      </c>
      <c r="G87" s="44">
        <v>62080.79793820661</v>
      </c>
      <c r="H87" s="44">
        <v>60949.456819228464</v>
      </c>
      <c r="I87" s="44">
        <v>59813.75799994001</v>
      </c>
    </row>
    <row r="88" spans="1:9" ht="14.25">
      <c r="A88" s="43" t="str">
        <f>HLOOKUP(INDICE!$F$2,Nombres!$C$3:$D$636,55,FALSE)</f>
        <v>    de los que préstamos y anticipos a la clientela</v>
      </c>
      <c r="B88" s="44">
        <v>47511.226012905296</v>
      </c>
      <c r="C88" s="44">
        <v>48644.72697866749</v>
      </c>
      <c r="D88" s="44">
        <v>49650.5721600981</v>
      </c>
      <c r="E88" s="45">
        <v>50478.48504275722</v>
      </c>
      <c r="F88" s="44">
        <v>54125.6173671296</v>
      </c>
      <c r="G88" s="44">
        <v>52539.74724796493</v>
      </c>
      <c r="H88" s="44">
        <v>51250.493649203505</v>
      </c>
      <c r="I88" s="44">
        <v>50002.42099997</v>
      </c>
    </row>
    <row r="89" spans="1:9" ht="14.25">
      <c r="A89" s="43" t="str">
        <f>HLOOKUP(INDICE!$F$2,Nombres!$C$3:$D$636,56,FALSE)</f>
        <v>Activos tangibles</v>
      </c>
      <c r="B89" s="44">
        <v>1802.9462187413935</v>
      </c>
      <c r="C89" s="44">
        <v>1805.6615337121004</v>
      </c>
      <c r="D89" s="44">
        <v>1754.547638695627</v>
      </c>
      <c r="E89" s="45">
        <v>1757.4064512620914</v>
      </c>
      <c r="F89" s="44">
        <v>1713.0016168154157</v>
      </c>
      <c r="G89" s="44">
        <v>1681.563475619345</v>
      </c>
      <c r="H89" s="44">
        <v>1649.097598258936</v>
      </c>
      <c r="I89" s="44">
        <v>1646.9840000099998</v>
      </c>
    </row>
    <row r="90" spans="1:9" ht="14.25">
      <c r="A90" s="43" t="str">
        <f>HLOOKUP(INDICE!$F$2,Nombres!$C$3:$D$636,57,FALSE)</f>
        <v>Otros activos</v>
      </c>
      <c r="B90" s="58">
        <f>+B91-B89-B87-B86-B85</f>
        <v>3627.3543653132992</v>
      </c>
      <c r="C90" s="58">
        <f aca="true" t="shared" si="15" ref="C90:I90">+C91-C89-C87-C86-C85</f>
        <v>3019.8139019204846</v>
      </c>
      <c r="D90" s="58">
        <f t="shared" si="15"/>
        <v>2683.6559609338965</v>
      </c>
      <c r="E90" s="66">
        <f t="shared" si="15"/>
        <v>2594.6440107501276</v>
      </c>
      <c r="F90" s="44">
        <f t="shared" si="15"/>
        <v>3393.9700430887096</v>
      </c>
      <c r="G90" s="44">
        <f t="shared" si="15"/>
        <v>3365.8410992563804</v>
      </c>
      <c r="H90" s="44">
        <f t="shared" si="15"/>
        <v>3345.182001155381</v>
      </c>
      <c r="I90" s="44">
        <f t="shared" si="15"/>
        <v>3243.8070000099906</v>
      </c>
    </row>
    <row r="91" spans="1:9" ht="14.25">
      <c r="A91" s="47" t="str">
        <f>HLOOKUP(INDICE!$F$2,Nombres!$C$3:$D$636,58,FALSE)</f>
        <v>Total activo / pasivo</v>
      </c>
      <c r="B91" s="47">
        <v>90382.93062338248</v>
      </c>
      <c r="C91" s="47">
        <v>94163.70407789585</v>
      </c>
      <c r="D91" s="47">
        <v>94126.75293335585</v>
      </c>
      <c r="E91" s="47">
        <v>94801.52859299244</v>
      </c>
      <c r="F91" s="51">
        <v>111717.53730414924</v>
      </c>
      <c r="G91" s="51">
        <v>110171.5560512492</v>
      </c>
      <c r="H91" s="51">
        <v>108762.74162707881</v>
      </c>
      <c r="I91" s="51">
        <v>110224.13099995</v>
      </c>
    </row>
    <row r="92" spans="1:9" ht="14.25">
      <c r="A92" s="43" t="str">
        <f>HLOOKUP(INDICE!$F$2,Nombres!$C$3:$D$636,59,FALSE)</f>
        <v>Pasivos financieros mantenidos para negociar y designados a valor razonable con cambios en resultados</v>
      </c>
      <c r="B92" s="58">
        <v>15766.491932873878</v>
      </c>
      <c r="C92" s="58">
        <v>18482.657794233408</v>
      </c>
      <c r="D92" s="58">
        <v>20059.377080235372</v>
      </c>
      <c r="E92" s="66">
        <v>18932.99861156064</v>
      </c>
      <c r="F92" s="44">
        <v>27444.06240453863</v>
      </c>
      <c r="G92" s="44">
        <v>26030.034438112507</v>
      </c>
      <c r="H92" s="44">
        <v>23134.385551328847</v>
      </c>
      <c r="I92" s="44">
        <v>23801.29199999</v>
      </c>
    </row>
    <row r="93" spans="1:9" ht="14.25">
      <c r="A93" s="43" t="str">
        <f>HLOOKUP(INDICE!$F$2,Nombres!$C$3:$D$636,60,FALSE)</f>
        <v>Depósitos de bancos centrales y entidades de crédito</v>
      </c>
      <c r="B93" s="58">
        <v>3138.8323303178086</v>
      </c>
      <c r="C93" s="58">
        <v>1669.2465867956598</v>
      </c>
      <c r="D93" s="58">
        <v>1849.0617302089304</v>
      </c>
      <c r="E93" s="66">
        <v>1840.2222449214948</v>
      </c>
      <c r="F93" s="44">
        <v>3505.6434192227043</v>
      </c>
      <c r="G93" s="44">
        <v>3290.2307166192186</v>
      </c>
      <c r="H93" s="44">
        <v>3710.370931276824</v>
      </c>
      <c r="I93" s="44">
        <v>5121.761000009999</v>
      </c>
    </row>
    <row r="94" spans="1:9" ht="14.25">
      <c r="A94" s="43" t="str">
        <f>HLOOKUP(INDICE!$F$2,Nombres!$C$3:$D$636,61,FALSE)</f>
        <v>Depósitos de la clientela</v>
      </c>
      <c r="B94" s="58">
        <v>45222.76599061495</v>
      </c>
      <c r="C94" s="58">
        <v>47329.418035479684</v>
      </c>
      <c r="D94" s="58">
        <v>46413.65606325867</v>
      </c>
      <c r="E94" s="66">
        <v>48612.66141228154</v>
      </c>
      <c r="F94" s="44">
        <v>52612.01748355666</v>
      </c>
      <c r="G94" s="44">
        <v>53558.711102807305</v>
      </c>
      <c r="H94" s="44">
        <v>54447.64421642831</v>
      </c>
      <c r="I94" s="44">
        <v>54051.79900004</v>
      </c>
    </row>
    <row r="95" spans="1:9" ht="14.25">
      <c r="A95" s="43" t="str">
        <f>HLOOKUP(INDICE!$F$2,Nombres!$C$3:$D$636,62,FALSE)</f>
        <v>Valores representativos de deuda emitidos</v>
      </c>
      <c r="B95" s="44">
        <v>8058.389394301021</v>
      </c>
      <c r="C95" s="44">
        <v>8500.363306867366</v>
      </c>
      <c r="D95" s="44">
        <v>8208.856186542793</v>
      </c>
      <c r="E95" s="45">
        <v>7682.902212025823</v>
      </c>
      <c r="F95" s="44">
        <v>9519.715764665123</v>
      </c>
      <c r="G95" s="44">
        <v>8288.175948133576</v>
      </c>
      <c r="H95" s="44">
        <v>8010.613037953086</v>
      </c>
      <c r="I95" s="44">
        <v>7387.150000019999</v>
      </c>
    </row>
    <row r="96" spans="1:9" ht="14.25">
      <c r="A96" s="43" t="str">
        <f>HLOOKUP(INDICE!$F$2,Nombres!$C$3:$D$636,63,FALSE)</f>
        <v>Otros pasivos</v>
      </c>
      <c r="B96" s="58">
        <f>+B91-B92-B93-B94-B95-B97</f>
        <v>14698.028274594482</v>
      </c>
      <c r="C96" s="58">
        <f aca="true" t="shared" si="16" ref="C96:I96">+C91-C92-C93-C94-C95-C97</f>
        <v>14555.102347300288</v>
      </c>
      <c r="D96" s="58">
        <f t="shared" si="16"/>
        <v>13698.063042632915</v>
      </c>
      <c r="E96" s="66">
        <f t="shared" si="16"/>
        <v>13483.738520826328</v>
      </c>
      <c r="F96" s="44">
        <f t="shared" si="16"/>
        <v>12684.665517582729</v>
      </c>
      <c r="G96" s="44">
        <f t="shared" si="16"/>
        <v>13321.279938518917</v>
      </c>
      <c r="H96" s="44">
        <f t="shared" si="16"/>
        <v>14033.939454224794</v>
      </c>
      <c r="I96" s="44">
        <f t="shared" si="16"/>
        <v>14526.209448529993</v>
      </c>
    </row>
    <row r="97" spans="1:9" ht="14.25">
      <c r="A97" s="43" t="str">
        <f>HLOOKUP(INDICE!$F$2,Nombres!$C$3:$D$636,64,FALSE)</f>
        <v>Dotación de capital económico</v>
      </c>
      <c r="B97" s="44">
        <v>3498.4227006803458</v>
      </c>
      <c r="C97" s="44">
        <v>3626.916007219434</v>
      </c>
      <c r="D97" s="44">
        <v>3897.7388304771666</v>
      </c>
      <c r="E97" s="45">
        <v>4249.005591376621</v>
      </c>
      <c r="F97" s="44">
        <v>5951.432714583408</v>
      </c>
      <c r="G97" s="44">
        <v>5683.123907057674</v>
      </c>
      <c r="H97" s="44">
        <v>5425.788435866957</v>
      </c>
      <c r="I97" s="44">
        <v>5335.919551359999</v>
      </c>
    </row>
    <row r="98" spans="1:9" ht="14.25">
      <c r="A98" s="63"/>
      <c r="B98" s="58"/>
      <c r="C98" s="58"/>
      <c r="D98" s="58"/>
      <c r="E98" s="58"/>
      <c r="F98" s="44"/>
      <c r="G98" s="44"/>
      <c r="H98" s="44"/>
      <c r="I98" s="44"/>
    </row>
    <row r="99" spans="1:9" ht="14.25">
      <c r="A99" s="43"/>
      <c r="B99" s="58"/>
      <c r="C99" s="58"/>
      <c r="D99" s="58"/>
      <c r="E99" s="58"/>
      <c r="F99" s="44"/>
      <c r="G99" s="44"/>
      <c r="H99" s="44"/>
      <c r="I99" s="44"/>
    </row>
    <row r="100" spans="1:9" ht="16.5">
      <c r="A100" s="67" t="str">
        <f>HLOOKUP(INDICE!$F$2,Nombres!$C$3:$D$636,65,FALSE)</f>
        <v>Indicadores relevantes y de gestión</v>
      </c>
      <c r="B100" s="68"/>
      <c r="C100" s="68"/>
      <c r="D100" s="68"/>
      <c r="E100" s="68"/>
      <c r="F100" s="73"/>
      <c r="G100" s="73"/>
      <c r="H100" s="73"/>
      <c r="I100" s="73"/>
    </row>
    <row r="101" spans="1:9" ht="14.25">
      <c r="A101" s="35" t="str">
        <f>HLOOKUP(INDICE!$F$2,Nombres!$C$3:$D$636,73,FALSE)</f>
        <v>(Millones de euros constantes)</v>
      </c>
      <c r="B101" s="30"/>
      <c r="C101" s="30"/>
      <c r="D101" s="30"/>
      <c r="E101" s="30"/>
      <c r="F101" s="71"/>
      <c r="G101" s="71"/>
      <c r="H101" s="71"/>
      <c r="I101" s="71"/>
    </row>
    <row r="102" spans="1:9" ht="14.25">
      <c r="A102" s="30"/>
      <c r="B102" s="53">
        <f aca="true" t="shared" si="17" ref="B102:I102">+B$30</f>
        <v>43555</v>
      </c>
      <c r="C102" s="53">
        <f t="shared" si="17"/>
        <v>43646</v>
      </c>
      <c r="D102" s="53">
        <f t="shared" si="17"/>
        <v>43738</v>
      </c>
      <c r="E102" s="69">
        <f t="shared" si="17"/>
        <v>43830</v>
      </c>
      <c r="F102" s="53">
        <f t="shared" si="17"/>
        <v>43921</v>
      </c>
      <c r="G102" s="53">
        <f t="shared" si="17"/>
        <v>44012</v>
      </c>
      <c r="H102" s="53">
        <f t="shared" si="17"/>
        <v>44104</v>
      </c>
      <c r="I102" s="53">
        <f t="shared" si="17"/>
        <v>44196</v>
      </c>
    </row>
    <row r="103" spans="1:9" ht="14.25">
      <c r="A103" s="43" t="str">
        <f>HLOOKUP(INDICE!$F$2,Nombres!$C$3:$D$636,66,FALSE)</f>
        <v>Préstamos y anticipos a la clientela bruto (*)</v>
      </c>
      <c r="B103" s="44">
        <v>49177.07892882463</v>
      </c>
      <c r="C103" s="44">
        <v>50345.43018333325</v>
      </c>
      <c r="D103" s="44">
        <v>51400.37957575463</v>
      </c>
      <c r="E103" s="45">
        <v>52229.37488498306</v>
      </c>
      <c r="F103" s="44">
        <v>56203.68274799943</v>
      </c>
      <c r="G103" s="44">
        <v>54635.24155385019</v>
      </c>
      <c r="H103" s="44">
        <v>53411.219030379456</v>
      </c>
      <c r="I103" s="44">
        <v>52213.20047512</v>
      </c>
    </row>
    <row r="104" spans="1:9" ht="14.25">
      <c r="A104" s="43" t="str">
        <f>HLOOKUP(INDICE!$F$2,Nombres!$C$3:$D$636,67,FALSE)</f>
        <v>Depósitos de clientes en gestión (**)</v>
      </c>
      <c r="B104" s="44">
        <v>45156.4953390722</v>
      </c>
      <c r="C104" s="44">
        <v>47078.20162307478</v>
      </c>
      <c r="D104" s="44">
        <v>46030.15561665985</v>
      </c>
      <c r="E104" s="45">
        <v>48088.64515232834</v>
      </c>
      <c r="F104" s="44">
        <v>52466.6613231515</v>
      </c>
      <c r="G104" s="44">
        <v>53274.76137412877</v>
      </c>
      <c r="H104" s="44">
        <v>54085.50932176694</v>
      </c>
      <c r="I104" s="44">
        <v>53774.65489324</v>
      </c>
    </row>
    <row r="105" spans="1:9" ht="14.25">
      <c r="A105" s="43" t="str">
        <f>HLOOKUP(INDICE!$F$2,Nombres!$C$3:$D$636,68,FALSE)</f>
        <v>Fondos de inversión</v>
      </c>
      <c r="B105" s="44">
        <v>17370.709664587557</v>
      </c>
      <c r="C105" s="44">
        <v>18134.768867417726</v>
      </c>
      <c r="D105" s="44">
        <v>18675.85381662951</v>
      </c>
      <c r="E105" s="45">
        <v>19059.13870199674</v>
      </c>
      <c r="F105" s="44">
        <v>19876.648535654207</v>
      </c>
      <c r="G105" s="44">
        <v>20573.26236982066</v>
      </c>
      <c r="H105" s="44">
        <v>21011.789718316435</v>
      </c>
      <c r="I105" s="44">
        <v>20660.16778547</v>
      </c>
    </row>
    <row r="106" spans="1:9" ht="14.25">
      <c r="A106" s="43" t="str">
        <f>HLOOKUP(INDICE!$F$2,Nombres!$C$3:$D$636,69,FALSE)</f>
        <v>Fondos de pensiones</v>
      </c>
      <c r="B106" s="44">
        <v>0</v>
      </c>
      <c r="C106" s="44">
        <v>0</v>
      </c>
      <c r="D106" s="44">
        <v>0</v>
      </c>
      <c r="E106" s="45">
        <v>0</v>
      </c>
      <c r="F106" s="44">
        <v>0</v>
      </c>
      <c r="G106" s="44">
        <v>0</v>
      </c>
      <c r="H106" s="44">
        <v>0</v>
      </c>
      <c r="I106" s="44">
        <v>0</v>
      </c>
    </row>
    <row r="107" spans="1:9" ht="14.25">
      <c r="A107" s="43" t="str">
        <f>HLOOKUP(INDICE!$F$2,Nombres!$C$3:$D$636,70,FALSE)</f>
        <v>Otros recursos fuera de balance</v>
      </c>
      <c r="B107" s="44">
        <v>2834.558393516073</v>
      </c>
      <c r="C107" s="44">
        <v>2794.2771571507064</v>
      </c>
      <c r="D107" s="44">
        <v>2546.7421781839134</v>
      </c>
      <c r="E107" s="45">
        <v>2202.5219530514637</v>
      </c>
      <c r="F107" s="44">
        <v>2227.9809076859033</v>
      </c>
      <c r="G107" s="44">
        <v>2031.9114251924873</v>
      </c>
      <c r="H107" s="44">
        <v>1860.8643635791261</v>
      </c>
      <c r="I107" s="44">
        <v>1863.4363527599999</v>
      </c>
    </row>
    <row r="108" spans="1:9" ht="14.25">
      <c r="A108" s="63" t="str">
        <f>HLOOKUP(INDICE!$F$2,Nombres!$C$3:$D$636,71,FALSE)</f>
        <v>(*) No incluye las adquisiciones temporales de activos.</v>
      </c>
      <c r="B108" s="58"/>
      <c r="C108" s="58"/>
      <c r="D108" s="58"/>
      <c r="E108" s="58"/>
      <c r="F108" s="58"/>
      <c r="G108" s="58"/>
      <c r="H108" s="58"/>
      <c r="I108" s="58"/>
    </row>
    <row r="109" spans="1:9" ht="14.25">
      <c r="A109" s="63" t="str">
        <f>HLOOKUP(INDICE!$F$2,Nombres!$C$3:$D$636,72,FALSE)</f>
        <v>(**) No incluye las cesiones temporales de activos.</v>
      </c>
      <c r="B109" s="30"/>
      <c r="C109" s="30"/>
      <c r="D109" s="30"/>
      <c r="E109" s="30"/>
      <c r="F109" s="30"/>
      <c r="G109" s="30"/>
      <c r="H109" s="30"/>
      <c r="I109" s="30"/>
    </row>
    <row r="110" spans="1:9" ht="14.25">
      <c r="A110" s="63"/>
      <c r="B110" s="58"/>
      <c r="C110" s="44"/>
      <c r="D110" s="44"/>
      <c r="E110" s="44"/>
      <c r="F110" s="44"/>
      <c r="G110" s="30"/>
      <c r="H110" s="30"/>
      <c r="I110" s="30"/>
    </row>
    <row r="111" spans="1:9" ht="16.5">
      <c r="A111" s="33" t="str">
        <f>HLOOKUP(INDICE!$F$2,Nombres!$C$3:$D$636,31,FALSE)</f>
        <v>Cuenta de resultados  </v>
      </c>
      <c r="B111" s="34"/>
      <c r="C111" s="34"/>
      <c r="D111" s="34"/>
      <c r="E111" s="34"/>
      <c r="F111" s="34"/>
      <c r="G111" s="34"/>
      <c r="H111" s="34"/>
      <c r="I111" s="34"/>
    </row>
    <row r="112" spans="1:9" ht="14.25">
      <c r="A112" s="35" t="str">
        <f>HLOOKUP(INDICE!$F$2,Nombres!$C$3:$D$636,74,FALSE)</f>
        <v>(Millones de pesos mexicanos)</v>
      </c>
      <c r="B112" s="30"/>
      <c r="C112" s="36"/>
      <c r="D112" s="36"/>
      <c r="E112" s="36"/>
      <c r="F112" s="30"/>
      <c r="G112" s="30"/>
      <c r="H112" s="30"/>
      <c r="I112" s="30"/>
    </row>
    <row r="113" spans="1:9" ht="14.25">
      <c r="A113" s="37"/>
      <c r="B113" s="30"/>
      <c r="C113" s="36"/>
      <c r="D113" s="36"/>
      <c r="E113" s="36"/>
      <c r="F113" s="30"/>
      <c r="G113" s="30"/>
      <c r="H113" s="30"/>
      <c r="I113" s="30"/>
    </row>
    <row r="114" spans="1:9" ht="14.25">
      <c r="A114" s="38"/>
      <c r="B114" s="308">
        <f>+B$6</f>
        <v>2019</v>
      </c>
      <c r="C114" s="308"/>
      <c r="D114" s="308"/>
      <c r="E114" s="309"/>
      <c r="F114" s="308">
        <f>+F$6</f>
        <v>2020</v>
      </c>
      <c r="G114" s="308"/>
      <c r="H114" s="308"/>
      <c r="I114" s="308"/>
    </row>
    <row r="115" spans="1:9" ht="14.25">
      <c r="A115" s="38"/>
      <c r="B115" s="39" t="str">
        <f>+B$7</f>
        <v>1er Trim.</v>
      </c>
      <c r="C115" s="39" t="str">
        <f aca="true" t="shared" si="18" ref="C115:I115">+C$7</f>
        <v>2º Trim.</v>
      </c>
      <c r="D115" s="39" t="str">
        <f t="shared" si="18"/>
        <v>3er Trim.</v>
      </c>
      <c r="E115" s="40" t="str">
        <f t="shared" si="18"/>
        <v>4º Trim.</v>
      </c>
      <c r="F115" s="39" t="str">
        <f t="shared" si="18"/>
        <v>1er Trim.</v>
      </c>
      <c r="G115" s="39" t="str">
        <f t="shared" si="18"/>
        <v>2º Trim.</v>
      </c>
      <c r="H115" s="39" t="str">
        <f t="shared" si="18"/>
        <v>3er Trim.</v>
      </c>
      <c r="I115" s="39" t="str">
        <f t="shared" si="18"/>
        <v>4º Trim.</v>
      </c>
    </row>
    <row r="116" spans="1:9" ht="14.25">
      <c r="A116" s="41" t="str">
        <f>HLOOKUP(INDICE!$F$2,Nombres!$C$3:$D$636,33,FALSE)</f>
        <v>Margen de intereses</v>
      </c>
      <c r="B116" s="41">
        <v>32705.536449009945</v>
      </c>
      <c r="C116" s="41">
        <v>33165.39502769991</v>
      </c>
      <c r="D116" s="41">
        <v>33608.27741650812</v>
      </c>
      <c r="E116" s="42">
        <v>34343.83823302177</v>
      </c>
      <c r="F116" s="50">
        <v>34138.19111623784</v>
      </c>
      <c r="G116" s="50">
        <v>30736.802714464604</v>
      </c>
      <c r="H116" s="50">
        <v>34158.7629759824</v>
      </c>
      <c r="I116" s="50">
        <v>33786.80313249885</v>
      </c>
    </row>
    <row r="117" spans="1:9" ht="14.25">
      <c r="A117" s="43" t="str">
        <f>HLOOKUP(INDICE!$F$2,Nombres!$C$3:$D$636,34,FALSE)</f>
        <v>Comisiones netas</v>
      </c>
      <c r="B117" s="44">
        <v>6548.801353366783</v>
      </c>
      <c r="C117" s="44">
        <v>6899.916448229862</v>
      </c>
      <c r="D117" s="44">
        <v>7139.322575010605</v>
      </c>
      <c r="E117" s="45">
        <v>7393.544202248677</v>
      </c>
      <c r="F117" s="44">
        <v>6544.3951145926385</v>
      </c>
      <c r="G117" s="44">
        <v>5695.99864744506</v>
      </c>
      <c r="H117" s="44">
        <v>6554.075826693854</v>
      </c>
      <c r="I117" s="44">
        <v>7338.446047727966</v>
      </c>
    </row>
    <row r="118" spans="1:9" ht="14.25">
      <c r="A118" s="43" t="str">
        <f>HLOOKUP(INDICE!$F$2,Nombres!$C$3:$D$636,35,FALSE)</f>
        <v>Resultados de operaciones financieras</v>
      </c>
      <c r="B118" s="44">
        <v>1362.8984866657133</v>
      </c>
      <c r="C118" s="44">
        <v>1568.6528700007989</v>
      </c>
      <c r="D118" s="44">
        <v>2285.3549710683096</v>
      </c>
      <c r="E118" s="45">
        <v>1462.279491988457</v>
      </c>
      <c r="F118" s="44">
        <v>1727.3541961885935</v>
      </c>
      <c r="G118" s="44">
        <v>3799.449277201641</v>
      </c>
      <c r="H118" s="44">
        <v>2573.2677919498133</v>
      </c>
      <c r="I118" s="44">
        <v>2270.9270344407773</v>
      </c>
    </row>
    <row r="119" spans="1:9" ht="14.25">
      <c r="A119" s="43" t="str">
        <f>HLOOKUP(INDICE!$F$2,Nombres!$C$3:$D$636,36,FALSE)</f>
        <v>Otros ingresos y cargas de explotación</v>
      </c>
      <c r="B119" s="44">
        <v>866.4511583757017</v>
      </c>
      <c r="C119" s="44">
        <v>1334.949028194806</v>
      </c>
      <c r="D119" s="44">
        <v>407.20825745471745</v>
      </c>
      <c r="E119" s="45">
        <v>1959.796805882253</v>
      </c>
      <c r="F119" s="44">
        <v>1566.881942682739</v>
      </c>
      <c r="G119" s="44">
        <v>543.387468518062</v>
      </c>
      <c r="H119" s="44">
        <v>316.588378675724</v>
      </c>
      <c r="I119" s="44">
        <v>369.57566188840843</v>
      </c>
    </row>
    <row r="120" spans="1:9" ht="14.25">
      <c r="A120" s="41" t="str">
        <f>HLOOKUP(INDICE!$F$2,Nombres!$C$3:$D$636,37,FALSE)</f>
        <v>Margen bruto</v>
      </c>
      <c r="B120" s="41">
        <f>+SUM(B116:B119)</f>
        <v>41483.687447418146</v>
      </c>
      <c r="C120" s="41">
        <f aca="true" t="shared" si="19" ref="C120:I120">+SUM(C116:C119)</f>
        <v>42968.91337412538</v>
      </c>
      <c r="D120" s="41">
        <f t="shared" si="19"/>
        <v>43440.16322004175</v>
      </c>
      <c r="E120" s="42">
        <f t="shared" si="19"/>
        <v>45159.45873314115</v>
      </c>
      <c r="F120" s="50">
        <f t="shared" si="19"/>
        <v>43976.82236970181</v>
      </c>
      <c r="G120" s="50">
        <f t="shared" si="19"/>
        <v>40775.63810762936</v>
      </c>
      <c r="H120" s="50">
        <f t="shared" si="19"/>
        <v>43602.6949733018</v>
      </c>
      <c r="I120" s="50">
        <f t="shared" si="19"/>
        <v>43765.751876556</v>
      </c>
    </row>
    <row r="121" spans="1:9" ht="14.25">
      <c r="A121" s="43" t="str">
        <f>HLOOKUP(INDICE!$F$2,Nombres!$C$3:$D$636,38,FALSE)</f>
        <v>Gastos de explotación</v>
      </c>
      <c r="B121" s="44">
        <v>-13831.32564220091</v>
      </c>
      <c r="C121" s="44">
        <v>-14098.222721541617</v>
      </c>
      <c r="D121" s="44">
        <v>-14426.695476784536</v>
      </c>
      <c r="E121" s="45">
        <v>-14651.352328581956</v>
      </c>
      <c r="F121" s="44">
        <v>-14587.322031974996</v>
      </c>
      <c r="G121" s="44">
        <v>-14071.483855388484</v>
      </c>
      <c r="H121" s="44">
        <v>-14088.957653150599</v>
      </c>
      <c r="I121" s="44">
        <v>-14650.609841791142</v>
      </c>
    </row>
    <row r="122" spans="1:9" ht="14.25">
      <c r="A122" s="43" t="str">
        <f>HLOOKUP(INDICE!$F$2,Nombres!$C$3:$D$636,39,FALSE)</f>
        <v>  Gastos de administración</v>
      </c>
      <c r="B122" s="44">
        <v>-11998.702905585627</v>
      </c>
      <c r="C122" s="44">
        <v>-12204.763070528748</v>
      </c>
      <c r="D122" s="44">
        <v>-12531.300524178878</v>
      </c>
      <c r="E122" s="45">
        <v>-12821.971761833958</v>
      </c>
      <c r="F122" s="44">
        <v>-12698.097527967791</v>
      </c>
      <c r="G122" s="44">
        <v>-12173.381080999825</v>
      </c>
      <c r="H122" s="44">
        <v>-12159.793901102865</v>
      </c>
      <c r="I122" s="44">
        <v>-12726.919658015184</v>
      </c>
    </row>
    <row r="123" spans="1:9" ht="14.25">
      <c r="A123" s="46" t="str">
        <f>HLOOKUP(INDICE!$F$2,Nombres!$C$3:$D$636,40,FALSE)</f>
        <v>  Gastos de personal</v>
      </c>
      <c r="B123" s="44">
        <v>-5866.697280657886</v>
      </c>
      <c r="C123" s="44">
        <v>-5994.587394476458</v>
      </c>
      <c r="D123" s="44">
        <v>-6137.1849315396985</v>
      </c>
      <c r="E123" s="45">
        <v>-6238.0009217935085</v>
      </c>
      <c r="F123" s="44">
        <v>-6316.179685254512</v>
      </c>
      <c r="G123" s="44">
        <v>-5390.620301882889</v>
      </c>
      <c r="H123" s="44">
        <v>-5867.838860865511</v>
      </c>
      <c r="I123" s="44">
        <v>-6152.844905907462</v>
      </c>
    </row>
    <row r="124" spans="1:9" ht="14.25">
      <c r="A124" s="46" t="str">
        <f>HLOOKUP(INDICE!$F$2,Nombres!$C$3:$D$636,41,FALSE)</f>
        <v>  Otros gastos de administración</v>
      </c>
      <c r="B124" s="44">
        <v>-6132.005624927739</v>
      </c>
      <c r="C124" s="44">
        <v>-6210.17567605229</v>
      </c>
      <c r="D124" s="44">
        <v>-6394.11559263918</v>
      </c>
      <c r="E124" s="45">
        <v>-6583.97084004045</v>
      </c>
      <c r="F124" s="44">
        <v>-6381.917842713279</v>
      </c>
      <c r="G124" s="44">
        <v>-6782.7607791169385</v>
      </c>
      <c r="H124" s="44">
        <v>-6291.9550402373525</v>
      </c>
      <c r="I124" s="44">
        <v>-6574.074752107721</v>
      </c>
    </row>
    <row r="125" spans="1:9" ht="14.25">
      <c r="A125" s="43" t="str">
        <f>HLOOKUP(INDICE!$F$2,Nombres!$C$3:$D$636,42,FALSE)</f>
        <v>  Amortización</v>
      </c>
      <c r="B125" s="44">
        <v>-1832.6227366152839</v>
      </c>
      <c r="C125" s="44">
        <v>-1893.45965101287</v>
      </c>
      <c r="D125" s="44">
        <v>-1895.3949526056576</v>
      </c>
      <c r="E125" s="45">
        <v>-1829.380566747998</v>
      </c>
      <c r="F125" s="44">
        <v>-1889.2245040072048</v>
      </c>
      <c r="G125" s="44">
        <v>-1898.1027743886586</v>
      </c>
      <c r="H125" s="44">
        <v>-1929.1637520477339</v>
      </c>
      <c r="I125" s="44">
        <v>-1923.6901837759592</v>
      </c>
    </row>
    <row r="126" spans="1:9" ht="14.25">
      <c r="A126" s="41" t="str">
        <f>HLOOKUP(INDICE!$F$2,Nombres!$C$3:$D$636,43,FALSE)</f>
        <v>Margen neto</v>
      </c>
      <c r="B126" s="41">
        <f>+B120+B121</f>
        <v>27652.361805217235</v>
      </c>
      <c r="C126" s="41">
        <f aca="true" t="shared" si="20" ref="C126:I126">+C120+C121</f>
        <v>28870.690652583766</v>
      </c>
      <c r="D126" s="41">
        <f t="shared" si="20"/>
        <v>29013.467743257213</v>
      </c>
      <c r="E126" s="42">
        <f t="shared" si="20"/>
        <v>30508.1064045592</v>
      </c>
      <c r="F126" s="50">
        <f t="shared" si="20"/>
        <v>29389.500337726815</v>
      </c>
      <c r="G126" s="50">
        <f t="shared" si="20"/>
        <v>26704.154252240878</v>
      </c>
      <c r="H126" s="50">
        <f t="shared" si="20"/>
        <v>29513.7373201512</v>
      </c>
      <c r="I126" s="50">
        <f t="shared" si="20"/>
        <v>29115.14203476486</v>
      </c>
    </row>
    <row r="127" spans="1:9" ht="14.25">
      <c r="A127" s="43" t="str">
        <f>HLOOKUP(INDICE!$F$2,Nombres!$C$3:$D$636,44,FALSE)</f>
        <v>Deterioro de activos financieros no valorados a valor razonable con cambios en resultados</v>
      </c>
      <c r="B127" s="44">
        <v>-8603.891622304962</v>
      </c>
      <c r="C127" s="44">
        <v>-9101.079983341657</v>
      </c>
      <c r="D127" s="44">
        <v>-9076.84702835582</v>
      </c>
      <c r="E127" s="45">
        <v>-9808.508110265113</v>
      </c>
      <c r="F127" s="44">
        <v>-17079.20316655902</v>
      </c>
      <c r="G127" s="44">
        <v>-16213.832138709982</v>
      </c>
      <c r="H127" s="44">
        <v>-9628.564337988364</v>
      </c>
      <c r="I127" s="44">
        <v>-10366.598434445748</v>
      </c>
    </row>
    <row r="128" spans="1:9" ht="14.25">
      <c r="A128" s="43" t="str">
        <f>HLOOKUP(INDICE!$F$2,Nombres!$C$3:$D$636,45,FALSE)</f>
        <v>Provisiones o reversión de provisiones y otros resultados</v>
      </c>
      <c r="B128" s="44">
        <v>80.68124561858839</v>
      </c>
      <c r="C128" s="44">
        <v>-287.05777671459373</v>
      </c>
      <c r="D128" s="44">
        <v>-99.66604322244578</v>
      </c>
      <c r="E128" s="45">
        <v>405.91986258245436</v>
      </c>
      <c r="F128" s="44">
        <v>-278.6878671111182</v>
      </c>
      <c r="G128" s="44">
        <v>-1246.1582808439798</v>
      </c>
      <c r="H128" s="44">
        <v>349.9166050056751</v>
      </c>
      <c r="I128" s="44">
        <v>374.70803355049446</v>
      </c>
    </row>
    <row r="129" spans="1:9" ht="14.25">
      <c r="A129" s="41" t="str">
        <f>HLOOKUP(INDICE!$F$2,Nombres!$C$3:$D$636,46,FALSE)</f>
        <v>Resultado antes de impuestos</v>
      </c>
      <c r="B129" s="41">
        <f>+B126+B127+B128</f>
        <v>19129.15142853086</v>
      </c>
      <c r="C129" s="41">
        <f aca="true" t="shared" si="21" ref="C129:I129">+C126+C127+C128</f>
        <v>19482.552892527514</v>
      </c>
      <c r="D129" s="41">
        <f t="shared" si="21"/>
        <v>19836.95467167895</v>
      </c>
      <c r="E129" s="42">
        <f t="shared" si="21"/>
        <v>21105.51815687654</v>
      </c>
      <c r="F129" s="50">
        <f t="shared" si="21"/>
        <v>12031.609304056678</v>
      </c>
      <c r="G129" s="50">
        <f t="shared" si="21"/>
        <v>9244.163832686916</v>
      </c>
      <c r="H129" s="50">
        <f t="shared" si="21"/>
        <v>20235.089587168506</v>
      </c>
      <c r="I129" s="50">
        <f t="shared" si="21"/>
        <v>19123.251633869608</v>
      </c>
    </row>
    <row r="130" spans="1:9" ht="14.25">
      <c r="A130" s="43" t="str">
        <f>HLOOKUP(INDICE!$F$2,Nombres!$C$3:$D$636,47,FALSE)</f>
        <v>Impuesto sobre beneficios</v>
      </c>
      <c r="B130" s="44">
        <v>-5451.7014437375365</v>
      </c>
      <c r="C130" s="44">
        <v>-5297.8843279389</v>
      </c>
      <c r="D130" s="44">
        <v>-5187.662210574808</v>
      </c>
      <c r="E130" s="45">
        <v>-5438.417621192393</v>
      </c>
      <c r="F130" s="44">
        <v>-3805.4547162491886</v>
      </c>
      <c r="G130" s="44">
        <v>-1842.9673434491317</v>
      </c>
      <c r="H130" s="44">
        <v>-6310.294701743007</v>
      </c>
      <c r="I130" s="44">
        <v>-5526.808618631821</v>
      </c>
    </row>
    <row r="131" spans="1:9" ht="14.25">
      <c r="A131" s="41" t="str">
        <f>HLOOKUP(INDICE!$F$2,Nombres!$C$3:$D$636,48,FALSE)</f>
        <v>Resultado del ejercicio</v>
      </c>
      <c r="B131" s="41">
        <f>+B129+B130</f>
        <v>13677.449984793322</v>
      </c>
      <c r="C131" s="41">
        <f aca="true" t="shared" si="22" ref="C131:I131">+C129+C130</f>
        <v>14184.668564588614</v>
      </c>
      <c r="D131" s="41">
        <f t="shared" si="22"/>
        <v>14649.29246110414</v>
      </c>
      <c r="E131" s="42">
        <f t="shared" si="22"/>
        <v>15667.100535684147</v>
      </c>
      <c r="F131" s="50">
        <f t="shared" si="22"/>
        <v>8226.154587807488</v>
      </c>
      <c r="G131" s="50">
        <f t="shared" si="22"/>
        <v>7401.196489237785</v>
      </c>
      <c r="H131" s="50">
        <f t="shared" si="22"/>
        <v>13924.7948854255</v>
      </c>
      <c r="I131" s="50">
        <f t="shared" si="22"/>
        <v>13596.443015237786</v>
      </c>
    </row>
    <row r="132" spans="1:9" ht="14.25">
      <c r="A132" s="43" t="str">
        <f>HLOOKUP(INDICE!$F$2,Nombres!$C$3:$D$636,49,FALSE)</f>
        <v>Minoritarios</v>
      </c>
      <c r="B132" s="44">
        <v>-2.4640488460162144</v>
      </c>
      <c r="C132" s="44">
        <v>-2.7538219099967964</v>
      </c>
      <c r="D132" s="44">
        <v>-2.569472123979648</v>
      </c>
      <c r="E132" s="45">
        <v>-2.8599122321075807</v>
      </c>
      <c r="F132" s="44">
        <v>-1.502241379993918</v>
      </c>
      <c r="G132" s="44">
        <v>-1.4105497340344517</v>
      </c>
      <c r="H132" s="44">
        <v>-2.8289859919382696</v>
      </c>
      <c r="I132" s="44">
        <v>-2.4267521880632548</v>
      </c>
    </row>
    <row r="133" spans="1:9" ht="14.25">
      <c r="A133" s="47" t="str">
        <f>HLOOKUP(INDICE!$F$2,Nombres!$C$3:$D$636,50,FALSE)</f>
        <v>Resultado atribuido</v>
      </c>
      <c r="B133" s="47">
        <f>+B131+B132</f>
        <v>13674.985935947307</v>
      </c>
      <c r="C133" s="47">
        <f aca="true" t="shared" si="23" ref="C133:I133">+C131+C132</f>
        <v>14181.914742678617</v>
      </c>
      <c r="D133" s="47">
        <f t="shared" si="23"/>
        <v>14646.72298898016</v>
      </c>
      <c r="E133" s="47">
        <f t="shared" si="23"/>
        <v>15664.240623452039</v>
      </c>
      <c r="F133" s="51">
        <f t="shared" si="23"/>
        <v>8224.652346427494</v>
      </c>
      <c r="G133" s="51">
        <f t="shared" si="23"/>
        <v>7399.78593950375</v>
      </c>
      <c r="H133" s="51">
        <f t="shared" si="23"/>
        <v>13921.96589943356</v>
      </c>
      <c r="I133" s="51">
        <f t="shared" si="23"/>
        <v>13594.016263049723</v>
      </c>
    </row>
    <row r="134" spans="1:9" ht="14.25">
      <c r="A134" s="63"/>
      <c r="B134" s="64">
        <v>0</v>
      </c>
      <c r="C134" s="64">
        <v>0</v>
      </c>
      <c r="D134" s="64">
        <v>0</v>
      </c>
      <c r="E134" s="64">
        <v>0</v>
      </c>
      <c r="F134" s="64">
        <v>0</v>
      </c>
      <c r="G134" s="64">
        <v>0</v>
      </c>
      <c r="H134" s="64">
        <v>0</v>
      </c>
      <c r="I134" s="64">
        <v>0</v>
      </c>
    </row>
    <row r="135" spans="1:9" ht="14.25">
      <c r="A135" s="41"/>
      <c r="B135" s="41"/>
      <c r="C135" s="41"/>
      <c r="D135" s="41"/>
      <c r="E135" s="41"/>
      <c r="F135" s="50"/>
      <c r="G135" s="50"/>
      <c r="H135" s="50"/>
      <c r="I135" s="50"/>
    </row>
    <row r="136" spans="1:9" ht="16.5">
      <c r="A136" s="33" t="str">
        <f>HLOOKUP(INDICE!$F$2,Nombres!$C$3:$D$636,51,FALSE)</f>
        <v>Balances</v>
      </c>
      <c r="B136" s="34"/>
      <c r="C136" s="34"/>
      <c r="D136" s="34"/>
      <c r="E136" s="34"/>
      <c r="F136" s="70"/>
      <c r="G136" s="70"/>
      <c r="H136" s="70"/>
      <c r="I136" s="70"/>
    </row>
    <row r="137" spans="1:9" ht="14.25">
      <c r="A137" s="35" t="str">
        <f>HLOOKUP(INDICE!$F$2,Nombres!$C$3:$D$636,74,FALSE)</f>
        <v>(Millones de pesos mexicanos)</v>
      </c>
      <c r="B137" s="30"/>
      <c r="C137" s="52"/>
      <c r="D137" s="52"/>
      <c r="E137" s="52"/>
      <c r="F137" s="71"/>
      <c r="G137" s="44"/>
      <c r="H137" s="44"/>
      <c r="I137" s="44"/>
    </row>
    <row r="138" spans="1:9" ht="14.25">
      <c r="A138" s="30"/>
      <c r="B138" s="53">
        <f aca="true" t="shared" si="24" ref="B138:I138">+B$30</f>
        <v>43555</v>
      </c>
      <c r="C138" s="53">
        <f t="shared" si="24"/>
        <v>43646</v>
      </c>
      <c r="D138" s="53">
        <f t="shared" si="24"/>
        <v>43738</v>
      </c>
      <c r="E138" s="69">
        <f t="shared" si="24"/>
        <v>43830</v>
      </c>
      <c r="F138" s="53">
        <f t="shared" si="24"/>
        <v>43921</v>
      </c>
      <c r="G138" s="53">
        <f t="shared" si="24"/>
        <v>44012</v>
      </c>
      <c r="H138" s="53">
        <f t="shared" si="24"/>
        <v>44104</v>
      </c>
      <c r="I138" s="53">
        <f t="shared" si="24"/>
        <v>44196</v>
      </c>
    </row>
    <row r="139" spans="1:9" ht="14.25">
      <c r="A139" s="43" t="str">
        <f>HLOOKUP(INDICE!$F$2,Nombres!$C$3:$D$636,52,FALSE)</f>
        <v>Efectivo, saldos en efectivo en bancos centrales y otros depósitos a la vista</v>
      </c>
      <c r="B139" s="44">
        <v>188235.69100454723</v>
      </c>
      <c r="C139" s="44">
        <v>219319.49832444338</v>
      </c>
      <c r="D139" s="44">
        <v>146542.98150852794</v>
      </c>
      <c r="E139" s="45">
        <v>137698.0051200962</v>
      </c>
      <c r="F139" s="44">
        <v>153097.17095754016</v>
      </c>
      <c r="G139" s="44">
        <v>170273.50302654467</v>
      </c>
      <c r="H139" s="44">
        <v>209189.97442776122</v>
      </c>
      <c r="I139" s="44">
        <v>223638.20550588932</v>
      </c>
    </row>
    <row r="140" spans="1:9" ht="14.25">
      <c r="A140" s="43" t="str">
        <f>HLOOKUP(INDICE!$F$2,Nombres!$C$3:$D$636,53,FALSE)</f>
        <v>Activos financieros a valor razonable</v>
      </c>
      <c r="B140" s="58">
        <v>568152.6883642881</v>
      </c>
      <c r="C140" s="58">
        <v>619806.9883876827</v>
      </c>
      <c r="D140" s="58">
        <v>657917.8006813993</v>
      </c>
      <c r="E140" s="66">
        <v>666353.4100426439</v>
      </c>
      <c r="F140" s="44">
        <v>909668.3279340717</v>
      </c>
      <c r="G140" s="44">
        <v>880673.0169702156</v>
      </c>
      <c r="H140" s="44">
        <v>836278.8567502454</v>
      </c>
      <c r="I140" s="44">
        <v>887767.9086152557</v>
      </c>
    </row>
    <row r="141" spans="1:9" ht="14.25">
      <c r="A141" s="43" t="str">
        <f>HLOOKUP(INDICE!$F$2,Nombres!$C$3:$D$636,54,FALSE)</f>
        <v>Activos financieros a coste amortizado</v>
      </c>
      <c r="B141" s="44">
        <v>1317815.035688915</v>
      </c>
      <c r="C141" s="44">
        <v>1342155.7038358012</v>
      </c>
      <c r="D141" s="44">
        <v>1385374.8383608346</v>
      </c>
      <c r="E141" s="45">
        <v>1404363.0429019297</v>
      </c>
      <c r="F141" s="44">
        <v>1540238.0719002676</v>
      </c>
      <c r="G141" s="44">
        <v>1515764.7624720582</v>
      </c>
      <c r="H141" s="44">
        <v>1488141.9377108538</v>
      </c>
      <c r="I141" s="44">
        <v>1460412.7153388727</v>
      </c>
    </row>
    <row r="142" spans="1:9" ht="14.25">
      <c r="A142" s="43" t="str">
        <f>HLOOKUP(INDICE!$F$2,Nombres!$C$3:$D$636,55,FALSE)</f>
        <v>    de los que préstamos y anticipos a la clientela</v>
      </c>
      <c r="B142" s="44">
        <v>1160034.094340896</v>
      </c>
      <c r="C142" s="44">
        <v>1187709.6539211795</v>
      </c>
      <c r="D142" s="44">
        <v>1212268.3698711966</v>
      </c>
      <c r="E142" s="45">
        <v>1232482.6908143722</v>
      </c>
      <c r="F142" s="44">
        <v>1321531.0736470008</v>
      </c>
      <c r="G142" s="44">
        <v>1282810.4688171488</v>
      </c>
      <c r="H142" s="44">
        <v>1251332.0529495245</v>
      </c>
      <c r="I142" s="44">
        <v>1220859.1111455811</v>
      </c>
    </row>
    <row r="143" spans="1:9" ht="14.25">
      <c r="A143" s="43" t="str">
        <f>HLOOKUP(INDICE!$F$2,Nombres!$C$3:$D$636,56,FALSE)</f>
        <v>Activos tangibles</v>
      </c>
      <c r="B143" s="44">
        <v>44020.734877161754</v>
      </c>
      <c r="C143" s="44">
        <v>44087.03200748709</v>
      </c>
      <c r="D143" s="44">
        <v>42839.03514675434</v>
      </c>
      <c r="E143" s="45">
        <v>42908.83591437771</v>
      </c>
      <c r="F143" s="44">
        <v>41824.647476518534</v>
      </c>
      <c r="G143" s="44">
        <v>41057.053821068774</v>
      </c>
      <c r="H143" s="44">
        <v>40264.366959430336</v>
      </c>
      <c r="I143" s="44">
        <v>40212.76134458389</v>
      </c>
    </row>
    <row r="144" spans="1:9" ht="14.25">
      <c r="A144" s="43" t="str">
        <f>HLOOKUP(INDICE!$F$2,Nombres!$C$3:$D$636,57,FALSE)</f>
        <v>Otros activos</v>
      </c>
      <c r="B144" s="58">
        <f>+B145-B143-B141-B140-B139</f>
        <v>88565.48418423726</v>
      </c>
      <c r="C144" s="58">
        <f aca="true" t="shared" si="25" ref="C144:I144">+C145-C143-C141-C140-C139</f>
        <v>73731.77622991332</v>
      </c>
      <c r="D144" s="58">
        <f t="shared" si="25"/>
        <v>65524.14394271473</v>
      </c>
      <c r="E144" s="66">
        <f t="shared" si="25"/>
        <v>63350.828167010506</v>
      </c>
      <c r="F144" s="44">
        <f t="shared" si="25"/>
        <v>82867.17257275362</v>
      </c>
      <c r="G144" s="44">
        <f t="shared" si="25"/>
        <v>82180.37628013748</v>
      </c>
      <c r="H144" s="44">
        <f t="shared" si="25"/>
        <v>81675.96374089929</v>
      </c>
      <c r="I144" s="44">
        <f t="shared" si="25"/>
        <v>79200.79171291372</v>
      </c>
    </row>
    <row r="145" spans="1:9" ht="14.25">
      <c r="A145" s="47" t="str">
        <f>HLOOKUP(INDICE!$F$2,Nombres!$C$3:$D$636,58,FALSE)</f>
        <v>Total activo / pasivo</v>
      </c>
      <c r="B145" s="47">
        <v>2206789.6341191493</v>
      </c>
      <c r="C145" s="47">
        <v>2299100.9987853277</v>
      </c>
      <c r="D145" s="47">
        <v>2298198.799640231</v>
      </c>
      <c r="E145" s="47">
        <v>2314674.122146058</v>
      </c>
      <c r="F145" s="51">
        <v>2727695.3908411516</v>
      </c>
      <c r="G145" s="51">
        <v>2689948.7125700247</v>
      </c>
      <c r="H145" s="51">
        <v>2655551.09958919</v>
      </c>
      <c r="I145" s="51">
        <v>2691232.382517515</v>
      </c>
    </row>
    <row r="146" spans="1:9" ht="14.25">
      <c r="A146" s="43" t="str">
        <f>HLOOKUP(INDICE!$F$2,Nombres!$C$3:$D$636,59,FALSE)</f>
        <v>Pasivos financieros mantenidos para negociar y designados a valor razonable con cambios en resultados</v>
      </c>
      <c r="B146" s="58">
        <v>384954.6670363007</v>
      </c>
      <c r="C146" s="58">
        <v>451272.5727078153</v>
      </c>
      <c r="D146" s="58">
        <v>489769.7507951645</v>
      </c>
      <c r="E146" s="66">
        <v>462268.09410376986</v>
      </c>
      <c r="F146" s="44">
        <v>670074.2276748761</v>
      </c>
      <c r="G146" s="44">
        <v>635549.3208463241</v>
      </c>
      <c r="H146" s="44">
        <v>564849.157626017</v>
      </c>
      <c r="I146" s="44">
        <v>581132.3454766653</v>
      </c>
    </row>
    <row r="147" spans="1:9" ht="14.25">
      <c r="A147" s="43" t="str">
        <f>HLOOKUP(INDICE!$F$2,Nombres!$C$3:$D$636,60,FALSE)</f>
        <v>Depósitos de bancos centrales y entidades de crédito</v>
      </c>
      <c r="B147" s="58">
        <v>76637.73017768706</v>
      </c>
      <c r="C147" s="58">
        <v>40756.32466354714</v>
      </c>
      <c r="D147" s="58">
        <v>45146.69120516265</v>
      </c>
      <c r="E147" s="66">
        <v>44930.86633238279</v>
      </c>
      <c r="F147" s="44">
        <v>85593.78972446463</v>
      </c>
      <c r="G147" s="44">
        <v>80334.27317765351</v>
      </c>
      <c r="H147" s="44">
        <v>90592.41665882028</v>
      </c>
      <c r="I147" s="44">
        <v>125052.91657730061</v>
      </c>
    </row>
    <row r="148" spans="1:9" ht="14.25">
      <c r="A148" s="43" t="str">
        <f>HLOOKUP(INDICE!$F$2,Nombres!$C$3:$D$636,61,FALSE)</f>
        <v>Depósitos de la clientela</v>
      </c>
      <c r="B148" s="58">
        <v>1104159.0544361826</v>
      </c>
      <c r="C148" s="58">
        <v>1155595.0707640345</v>
      </c>
      <c r="D148" s="58">
        <v>1133235.8264500974</v>
      </c>
      <c r="E148" s="66">
        <v>1186926.7410522928</v>
      </c>
      <c r="F148" s="44">
        <v>1284575.0188893713</v>
      </c>
      <c r="G148" s="44">
        <v>1307689.4902971904</v>
      </c>
      <c r="H148" s="44">
        <v>1329393.681199544</v>
      </c>
      <c r="I148" s="44">
        <v>1319728.7243961256</v>
      </c>
    </row>
    <row r="149" spans="1:9" ht="14.25">
      <c r="A149" s="43" t="str">
        <f>HLOOKUP(INDICE!$F$2,Nombres!$C$3:$D$636,62,FALSE)</f>
        <v>Valores representativos de deuda emitidos</v>
      </c>
      <c r="B149" s="44">
        <v>196753.6354529159</v>
      </c>
      <c r="C149" s="44">
        <v>207544.87050222696</v>
      </c>
      <c r="D149" s="44">
        <v>200427.43265232208</v>
      </c>
      <c r="E149" s="45">
        <v>187585.74041040725</v>
      </c>
      <c r="F149" s="44">
        <v>232433.38011202728</v>
      </c>
      <c r="G149" s="44">
        <v>202364.10395133897</v>
      </c>
      <c r="H149" s="44">
        <v>195587.12793631488</v>
      </c>
      <c r="I149" s="44">
        <v>180364.65440201206</v>
      </c>
    </row>
    <row r="150" spans="1:9" ht="14.25">
      <c r="A150" s="43" t="str">
        <f>HLOOKUP(INDICE!$F$2,Nombres!$C$3:$D$636,63,FALSE)</f>
        <v>Otros pasivos</v>
      </c>
      <c r="B150" s="58">
        <f>+B145-B146-B147-B148-B149-B151</f>
        <v>358867.05835553</v>
      </c>
      <c r="C150" s="58">
        <f aca="true" t="shared" si="26" ref="C150:I150">+C145-C146-C147-C148-C149-C151</f>
        <v>355377.3789146859</v>
      </c>
      <c r="D150" s="58">
        <f t="shared" si="26"/>
        <v>334451.9072517497</v>
      </c>
      <c r="E150" s="66">
        <f t="shared" si="26"/>
        <v>329218.95972727716</v>
      </c>
      <c r="F150" s="44">
        <f t="shared" si="26"/>
        <v>309708.7932799163</v>
      </c>
      <c r="G150" s="44">
        <f t="shared" si="26"/>
        <v>325252.3709816253</v>
      </c>
      <c r="H150" s="44">
        <f t="shared" si="26"/>
        <v>342652.6657172468</v>
      </c>
      <c r="I150" s="44">
        <f t="shared" si="26"/>
        <v>354671.92989830556</v>
      </c>
    </row>
    <row r="151" spans="1:9" ht="14.25">
      <c r="A151" s="43" t="str">
        <f>HLOOKUP(INDICE!$F$2,Nombres!$C$3:$D$636,64,FALSE)</f>
        <v>Dotación de capital económico</v>
      </c>
      <c r="B151" s="44">
        <v>85417.48866053297</v>
      </c>
      <c r="C151" s="44">
        <v>88554.78123301783</v>
      </c>
      <c r="D151" s="44">
        <v>95167.19128573446</v>
      </c>
      <c r="E151" s="45">
        <v>103743.720519928</v>
      </c>
      <c r="F151" s="44">
        <v>145310.18116049605</v>
      </c>
      <c r="G151" s="44">
        <v>138759.15331589238</v>
      </c>
      <c r="H151" s="44">
        <v>132476.0504512468</v>
      </c>
      <c r="I151" s="44">
        <v>130281.81176710637</v>
      </c>
    </row>
    <row r="152" spans="1:9" ht="14.25">
      <c r="A152" s="63"/>
      <c r="B152" s="58"/>
      <c r="C152" s="58"/>
      <c r="D152" s="58"/>
      <c r="E152" s="58"/>
      <c r="F152" s="44"/>
      <c r="G152" s="44"/>
      <c r="H152" s="44"/>
      <c r="I152" s="44"/>
    </row>
    <row r="153" spans="1:9" ht="14.25">
      <c r="A153" s="43"/>
      <c r="B153" s="58"/>
      <c r="C153" s="58"/>
      <c r="D153" s="58"/>
      <c r="E153" s="58"/>
      <c r="F153" s="44"/>
      <c r="G153" s="44"/>
      <c r="H153" s="44"/>
      <c r="I153" s="44"/>
    </row>
    <row r="154" spans="1:9" ht="16.5">
      <c r="A154" s="67" t="str">
        <f>HLOOKUP(INDICE!$F$2,Nombres!$C$3:$D$636,65,FALSE)</f>
        <v>Indicadores relevantes y de gestión</v>
      </c>
      <c r="B154" s="68"/>
      <c r="C154" s="68"/>
      <c r="D154" s="68"/>
      <c r="E154" s="68"/>
      <c r="F154" s="73"/>
      <c r="G154" s="73"/>
      <c r="H154" s="73"/>
      <c r="I154" s="73"/>
    </row>
    <row r="155" spans="1:9" ht="14.25">
      <c r="A155" s="35" t="str">
        <f>HLOOKUP(INDICE!$F$2,Nombres!$C$3:$D$636,74,FALSE)</f>
        <v>(Millones de pesos mexicanos)</v>
      </c>
      <c r="B155" s="30"/>
      <c r="C155" s="30"/>
      <c r="D155" s="30"/>
      <c r="E155" s="30"/>
      <c r="F155" s="71"/>
      <c r="G155" s="44"/>
      <c r="H155" s="44"/>
      <c r="I155" s="44"/>
    </row>
    <row r="156" spans="1:9" ht="15.75" customHeight="1">
      <c r="A156" s="30"/>
      <c r="B156" s="53">
        <f aca="true" t="shared" si="27" ref="B156:I156">+B$30</f>
        <v>43555</v>
      </c>
      <c r="C156" s="53">
        <f t="shared" si="27"/>
        <v>43646</v>
      </c>
      <c r="D156" s="53">
        <f t="shared" si="27"/>
        <v>43738</v>
      </c>
      <c r="E156" s="69">
        <f t="shared" si="27"/>
        <v>43830</v>
      </c>
      <c r="F156" s="53">
        <f t="shared" si="27"/>
        <v>43921</v>
      </c>
      <c r="G156" s="53">
        <f t="shared" si="27"/>
        <v>44012</v>
      </c>
      <c r="H156" s="53">
        <f t="shared" si="27"/>
        <v>44104</v>
      </c>
      <c r="I156" s="53">
        <f t="shared" si="27"/>
        <v>44196</v>
      </c>
    </row>
    <row r="157" spans="1:9" ht="15.75" customHeight="1">
      <c r="A157" s="43" t="str">
        <f>HLOOKUP(INDICE!$F$2,Nombres!$C$3:$D$636,66,FALSE)</f>
        <v>Préstamos y anticipos a la clientela bruto (*)</v>
      </c>
      <c r="B157" s="44">
        <v>1200707.5591363257</v>
      </c>
      <c r="C157" s="44">
        <v>1229234.0233666492</v>
      </c>
      <c r="D157" s="44">
        <v>1254991.6677322276</v>
      </c>
      <c r="E157" s="45">
        <v>1275232.417202519</v>
      </c>
      <c r="F157" s="44">
        <v>1372269.117986747</v>
      </c>
      <c r="G157" s="44">
        <v>1333974.0577900757</v>
      </c>
      <c r="H157" s="44">
        <v>1304088.323856762</v>
      </c>
      <c r="I157" s="44">
        <v>1274837.5028112996</v>
      </c>
    </row>
    <row r="158" spans="1:9" ht="15.75" customHeight="1">
      <c r="A158" s="43" t="str">
        <f>HLOOKUP(INDICE!$F$2,Nombres!$C$3:$D$636,67,FALSE)</f>
        <v>Depósitos de clientes en gestión (**)</v>
      </c>
      <c r="B158" s="44">
        <v>1102540.990208101</v>
      </c>
      <c r="C158" s="44">
        <v>1149461.3708387043</v>
      </c>
      <c r="D158" s="44">
        <v>1123872.279545862</v>
      </c>
      <c r="E158" s="45">
        <v>1174132.3600491679</v>
      </c>
      <c r="F158" s="44">
        <v>1281026.0028768892</v>
      </c>
      <c r="G158" s="44">
        <v>1300756.573721717</v>
      </c>
      <c r="H158" s="44">
        <v>1320551.7956114179</v>
      </c>
      <c r="I158" s="44">
        <v>1312961.9738844398</v>
      </c>
    </row>
    <row r="159" spans="1:9" ht="15.75" customHeight="1">
      <c r="A159" s="43" t="str">
        <f>HLOOKUP(INDICE!$F$2,Nombres!$C$3:$D$636,68,FALSE)</f>
        <v>Fondos de inversión</v>
      </c>
      <c r="B159" s="44">
        <v>424123.2471741528</v>
      </c>
      <c r="C159" s="44">
        <v>442778.5166706118</v>
      </c>
      <c r="D159" s="44">
        <v>455989.6467906783</v>
      </c>
      <c r="E159" s="45">
        <v>465347.9305518837</v>
      </c>
      <c r="F159" s="44">
        <v>485308.250650633</v>
      </c>
      <c r="G159" s="44">
        <v>502316.7740257847</v>
      </c>
      <c r="H159" s="44">
        <v>513023.857766748</v>
      </c>
      <c r="I159" s="44">
        <v>504438.656654297</v>
      </c>
    </row>
    <row r="160" spans="1:9" ht="15.75" customHeight="1">
      <c r="A160" s="43" t="str">
        <f>HLOOKUP(INDICE!$F$2,Nombres!$C$3:$D$636,69,FALSE)</f>
        <v>Fondos de pensiones</v>
      </c>
      <c r="B160" s="44">
        <v>0</v>
      </c>
      <c r="C160" s="44">
        <v>0</v>
      </c>
      <c r="D160" s="44">
        <v>0</v>
      </c>
      <c r="E160" s="45">
        <v>0</v>
      </c>
      <c r="F160" s="44">
        <v>0</v>
      </c>
      <c r="G160" s="44">
        <v>0</v>
      </c>
      <c r="H160" s="44">
        <v>0</v>
      </c>
      <c r="I160" s="44">
        <v>0</v>
      </c>
    </row>
    <row r="161" spans="1:9" ht="14.25">
      <c r="A161" s="43" t="str">
        <f>HLOOKUP(INDICE!$F$2,Nombres!$C$3:$D$636,70,FALSE)</f>
        <v>Otros recursos fuera de balance</v>
      </c>
      <c r="B161" s="44">
        <v>69208.57773667312</v>
      </c>
      <c r="C161" s="44">
        <v>68225.07106956802</v>
      </c>
      <c r="D161" s="44">
        <v>62181.257023063736</v>
      </c>
      <c r="E161" s="45">
        <v>53776.77600615884</v>
      </c>
      <c r="F161" s="44">
        <v>54398.381842518575</v>
      </c>
      <c r="G161" s="44">
        <v>49611.14935791888</v>
      </c>
      <c r="H161" s="44">
        <v>45434.86430153178</v>
      </c>
      <c r="I161" s="44">
        <v>45497.66198937253</v>
      </c>
    </row>
    <row r="162" spans="1:9" ht="14.25">
      <c r="A162" s="63" t="str">
        <f>HLOOKUP(INDICE!$F$2,Nombres!$C$3:$D$636,71,FALSE)</f>
        <v>(*) No incluye las adquisiciones temporales de activos.</v>
      </c>
      <c r="B162" s="58"/>
      <c r="C162" s="58"/>
      <c r="D162" s="58"/>
      <c r="E162" s="58"/>
      <c r="F162" s="44"/>
      <c r="G162" s="44"/>
      <c r="H162" s="44"/>
      <c r="I162" s="44"/>
    </row>
    <row r="163" spans="1:9" ht="14.25">
      <c r="A163" s="63" t="str">
        <f>HLOOKUP(INDICE!$F$2,Nombres!$C$3:$D$636,72,FALSE)</f>
        <v>(**) No incluye las cesiones temporales de activos.</v>
      </c>
      <c r="B163" s="30"/>
      <c r="C163" s="30"/>
      <c r="D163" s="30"/>
      <c r="E163" s="30"/>
      <c r="F163" s="30"/>
      <c r="G163" s="30"/>
      <c r="H163" s="30"/>
      <c r="I163" s="30"/>
    </row>
    <row r="164" spans="1:9" ht="14.25">
      <c r="A164" s="30"/>
      <c r="B164" s="30"/>
      <c r="C164" s="30"/>
      <c r="D164" s="30"/>
      <c r="E164" s="30"/>
      <c r="F164" s="30"/>
      <c r="G164" s="30"/>
      <c r="H164" s="30"/>
      <c r="I164" s="30"/>
    </row>
    <row r="165" spans="1:9" ht="14.25">
      <c r="A165" s="30"/>
      <c r="B165" s="30"/>
      <c r="C165" s="30"/>
      <c r="D165" s="30"/>
      <c r="E165" s="30"/>
      <c r="F165" s="30"/>
      <c r="G165" s="30"/>
      <c r="H165" s="30"/>
      <c r="I165" s="30"/>
    </row>
    <row r="166" spans="1:9" ht="14.25">
      <c r="A166" s="75"/>
      <c r="B166" s="76"/>
      <c r="C166" s="77"/>
      <c r="D166" s="77"/>
      <c r="E166" s="77"/>
      <c r="F166" s="76"/>
      <c r="G166" s="76"/>
      <c r="H166" s="76"/>
      <c r="I166" s="76"/>
    </row>
    <row r="167" spans="1:15" ht="14.25">
      <c r="A167" s="75"/>
      <c r="B167" s="76"/>
      <c r="C167" s="77"/>
      <c r="D167" s="77"/>
      <c r="E167" s="77"/>
      <c r="F167" s="76"/>
      <c r="G167" s="76"/>
      <c r="H167" s="76"/>
      <c r="I167" s="76"/>
      <c r="J167" s="76"/>
      <c r="K167" s="76"/>
      <c r="L167" s="76"/>
      <c r="M167" s="76"/>
      <c r="N167" s="76"/>
      <c r="O167" s="76"/>
    </row>
    <row r="168" spans="1:15" ht="14.25">
      <c r="A168" s="76"/>
      <c r="B168" s="76"/>
      <c r="C168" s="76"/>
      <c r="D168" s="76"/>
      <c r="E168" s="76"/>
      <c r="F168" s="76"/>
      <c r="G168" s="76"/>
      <c r="H168" s="76"/>
      <c r="I168" s="76"/>
      <c r="J168" s="76"/>
      <c r="K168" s="76"/>
      <c r="L168" s="76"/>
      <c r="M168" s="76"/>
      <c r="N168" s="76"/>
      <c r="O168" s="76"/>
    </row>
    <row r="169" spans="1:15" ht="14.25">
      <c r="A169" s="76"/>
      <c r="B169" s="76"/>
      <c r="C169" s="76"/>
      <c r="D169" s="76"/>
      <c r="E169" s="76"/>
      <c r="F169" s="76"/>
      <c r="G169" s="76"/>
      <c r="H169" s="76"/>
      <c r="I169" s="76"/>
      <c r="J169" s="76"/>
      <c r="K169" s="76"/>
      <c r="L169" s="76"/>
      <c r="M169" s="76"/>
      <c r="N169" s="76"/>
      <c r="O169" s="76"/>
    </row>
    <row r="170" spans="1:15" ht="14.25">
      <c r="A170" s="76"/>
      <c r="B170" s="76"/>
      <c r="C170" s="76"/>
      <c r="D170" s="76"/>
      <c r="E170" s="76"/>
      <c r="F170" s="76"/>
      <c r="G170" s="76"/>
      <c r="H170" s="76"/>
      <c r="I170" s="76"/>
      <c r="J170" s="76"/>
      <c r="K170" s="76"/>
      <c r="L170" s="76"/>
      <c r="M170" s="76"/>
      <c r="N170" s="76"/>
      <c r="O170" s="76"/>
    </row>
    <row r="171" spans="1:15" ht="14.25">
      <c r="A171" s="76"/>
      <c r="B171" s="76"/>
      <c r="C171" s="76"/>
      <c r="D171" s="76"/>
      <c r="E171" s="76"/>
      <c r="F171" s="76"/>
      <c r="G171" s="76"/>
      <c r="H171" s="76"/>
      <c r="I171" s="76"/>
      <c r="J171" s="76"/>
      <c r="K171" s="76"/>
      <c r="L171" s="76"/>
      <c r="M171" s="76"/>
      <c r="N171" s="76"/>
      <c r="O171" s="76"/>
    </row>
    <row r="172" spans="1:15" ht="14.25">
      <c r="A172" s="76"/>
      <c r="B172" s="76"/>
      <c r="C172" s="76"/>
      <c r="D172" s="76"/>
      <c r="E172" s="76"/>
      <c r="F172" s="76"/>
      <c r="G172" s="76"/>
      <c r="H172" s="76"/>
      <c r="I172" s="76"/>
      <c r="J172" s="76"/>
      <c r="K172" s="76"/>
      <c r="L172" s="76"/>
      <c r="M172" s="76"/>
      <c r="N172" s="76"/>
      <c r="O172" s="76"/>
    </row>
    <row r="173" spans="1:15" ht="14.25">
      <c r="A173" s="76"/>
      <c r="B173" s="76"/>
      <c r="C173" s="76"/>
      <c r="D173" s="76"/>
      <c r="E173" s="76"/>
      <c r="F173" s="76"/>
      <c r="G173" s="76"/>
      <c r="H173" s="76"/>
      <c r="I173" s="76"/>
      <c r="J173" s="76"/>
      <c r="K173" s="76"/>
      <c r="L173" s="76"/>
      <c r="M173" s="76"/>
      <c r="N173" s="76"/>
      <c r="O173" s="76"/>
    </row>
    <row r="174" spans="1:15" ht="14.25">
      <c r="A174" s="76"/>
      <c r="B174" s="76"/>
      <c r="C174" s="76"/>
      <c r="D174" s="76"/>
      <c r="E174" s="76"/>
      <c r="F174" s="76"/>
      <c r="G174" s="76"/>
      <c r="H174" s="76"/>
      <c r="I174" s="76"/>
      <c r="J174" s="76"/>
      <c r="K174" s="76"/>
      <c r="L174" s="76"/>
      <c r="M174" s="76"/>
      <c r="N174" s="76"/>
      <c r="O174" s="76"/>
    </row>
    <row r="1000" ht="14.25">
      <c r="A1000" s="31" t="s">
        <v>397</v>
      </c>
    </row>
  </sheetData>
  <sheetProtection/>
  <mergeCells count="6">
    <mergeCell ref="B6:E6"/>
    <mergeCell ref="B60:E60"/>
    <mergeCell ref="B114:E114"/>
    <mergeCell ref="F6:I6"/>
    <mergeCell ref="F60:I60"/>
    <mergeCell ref="F114:I114"/>
  </mergeCells>
  <conditionalFormatting sqref="B26:I26">
    <cfRule type="cellIs" priority="3" dxfId="143" operator="notBetween">
      <formula>0.5</formula>
      <formula>-0.5</formula>
    </cfRule>
  </conditionalFormatting>
  <conditionalFormatting sqref="B80:I80">
    <cfRule type="cellIs" priority="2" dxfId="143" operator="notBetween">
      <formula>0.5</formula>
      <formula>-0.5</formula>
    </cfRule>
  </conditionalFormatting>
  <conditionalFormatting sqref="B134:I134">
    <cfRule type="cellIs" priority="1" dxfId="143" operator="notBetween">
      <formula>0.5</formula>
      <formula>-0.5</formula>
    </cfRule>
  </conditionalFormatting>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O1000"/>
  <sheetViews>
    <sheetView showGridLines="0" zoomScalePageLayoutView="0" workbookViewId="0" topLeftCell="A1">
      <selection activeCell="M31" sqref="M31"/>
    </sheetView>
  </sheetViews>
  <sheetFormatPr defaultColWidth="11.421875" defaultRowHeight="15"/>
  <cols>
    <col min="1" max="1" width="62.00390625" style="31" customWidth="1"/>
    <col min="2" max="16384" width="11.421875" style="31" customWidth="1"/>
  </cols>
  <sheetData>
    <row r="1" spans="1:9" ht="16.5">
      <c r="A1" s="29" t="str">
        <f>HLOOKUP(INDICE!$F$2,Nombres!$C$3:$D$636,12,FALSE)</f>
        <v>Turquía </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8">
        <f>+España!B6</f>
        <v>2019</v>
      </c>
      <c r="C6" s="308"/>
      <c r="D6" s="308"/>
      <c r="E6" s="309"/>
      <c r="F6" s="308">
        <f>+España!F6</f>
        <v>2020</v>
      </c>
      <c r="G6" s="308"/>
      <c r="H6" s="308"/>
      <c r="I6" s="308"/>
    </row>
    <row r="7" spans="1:9" ht="14.2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4.25">
      <c r="A8" s="41" t="str">
        <f>HLOOKUP(INDICE!$F$2,Nombres!$C$3:$D$636,33,FALSE)</f>
        <v>Margen de intereses</v>
      </c>
      <c r="B8" s="41">
        <v>694.7669999899998</v>
      </c>
      <c r="C8" s="41">
        <v>658.4860000000001</v>
      </c>
      <c r="D8" s="41">
        <v>676.0629999999998</v>
      </c>
      <c r="E8" s="42">
        <v>784.9380000099999</v>
      </c>
      <c r="F8" s="50">
        <v>819.49299999</v>
      </c>
      <c r="G8" s="50">
        <v>714.7619999999997</v>
      </c>
      <c r="H8" s="50">
        <v>683.9560000199998</v>
      </c>
      <c r="I8" s="50">
        <v>564.5439999900001</v>
      </c>
    </row>
    <row r="9" spans="1:9" ht="14.25">
      <c r="A9" s="43" t="str">
        <f>HLOOKUP(INDICE!$F$2,Nombres!$C$3:$D$636,34,FALSE)</f>
        <v>Comisiones netas</v>
      </c>
      <c r="B9" s="44">
        <v>194.04399998000002</v>
      </c>
      <c r="C9" s="44">
        <v>166.10899998999997</v>
      </c>
      <c r="D9" s="44">
        <v>187.04900001999997</v>
      </c>
      <c r="E9" s="45">
        <v>169.67599998000003</v>
      </c>
      <c r="F9" s="44">
        <v>165.06999997999998</v>
      </c>
      <c r="G9" s="44">
        <v>99.06399999000001</v>
      </c>
      <c r="H9" s="44">
        <v>127.24000002</v>
      </c>
      <c r="I9" s="44">
        <v>118.89200000000005</v>
      </c>
    </row>
    <row r="10" spans="1:9" ht="14.25">
      <c r="A10" s="43" t="str">
        <f>HLOOKUP(INDICE!$F$2,Nombres!$C$3:$D$636,35,FALSE)</f>
        <v>Resultados de operaciones financieras</v>
      </c>
      <c r="B10" s="44">
        <v>-10.991000000000007</v>
      </c>
      <c r="C10" s="44">
        <v>-54.48299999999999</v>
      </c>
      <c r="D10" s="44">
        <v>0.05999999999998451</v>
      </c>
      <c r="E10" s="45">
        <v>75.08500000999999</v>
      </c>
      <c r="F10" s="44">
        <v>66.84599998999998</v>
      </c>
      <c r="G10" s="44">
        <v>59.774999999999984</v>
      </c>
      <c r="H10" s="44">
        <v>79.42800002000001</v>
      </c>
      <c r="I10" s="44">
        <v>21.16799998999999</v>
      </c>
    </row>
    <row r="11" spans="1:9" ht="14.25">
      <c r="A11" s="43" t="str">
        <f>HLOOKUP(INDICE!$F$2,Nombres!$C$3:$D$636,36,FALSE)</f>
        <v>Otros ingresos y cargas de explotación</v>
      </c>
      <c r="B11" s="44">
        <v>5.854000010000005</v>
      </c>
      <c r="C11" s="44">
        <v>23.70299999999999</v>
      </c>
      <c r="D11" s="44">
        <v>7.051999990000024</v>
      </c>
      <c r="E11" s="45">
        <v>12.966000020000019</v>
      </c>
      <c r="F11" s="44">
        <v>21.869000000000003</v>
      </c>
      <c r="G11" s="44">
        <v>10.06099999999999</v>
      </c>
      <c r="H11" s="44">
        <v>18.81700000999999</v>
      </c>
      <c r="I11" s="44">
        <v>2.4399999900000235</v>
      </c>
    </row>
    <row r="12" spans="1:9" ht="14.25">
      <c r="A12" s="41" t="str">
        <f>HLOOKUP(INDICE!$F$2,Nombres!$C$3:$D$636,37,FALSE)</f>
        <v>Margen bruto</v>
      </c>
      <c r="B12" s="41">
        <f>+SUM(B8:B11)</f>
        <v>883.6739999799998</v>
      </c>
      <c r="C12" s="41">
        <f aca="true" t="shared" si="0" ref="C12:I12">+SUM(C8:C11)</f>
        <v>793.8149999900002</v>
      </c>
      <c r="D12" s="41">
        <f t="shared" si="0"/>
        <v>870.2240000099997</v>
      </c>
      <c r="E12" s="42">
        <f t="shared" si="0"/>
        <v>1042.6650000199998</v>
      </c>
      <c r="F12" s="50">
        <f t="shared" si="0"/>
        <v>1073.2779999599998</v>
      </c>
      <c r="G12" s="50">
        <f t="shared" si="0"/>
        <v>883.6619999899997</v>
      </c>
      <c r="H12" s="50">
        <f t="shared" si="0"/>
        <v>909.4410000699999</v>
      </c>
      <c r="I12" s="50">
        <f t="shared" si="0"/>
        <v>707.0439999700002</v>
      </c>
    </row>
    <row r="13" spans="1:9" ht="14.25">
      <c r="A13" s="43" t="str">
        <f>HLOOKUP(INDICE!$F$2,Nombres!$C$3:$D$636,38,FALSE)</f>
        <v>Gastos de explotación</v>
      </c>
      <c r="B13" s="44">
        <v>-312.8470845</v>
      </c>
      <c r="C13" s="44">
        <v>-281.02136904</v>
      </c>
      <c r="D13" s="44">
        <v>-292.4924851</v>
      </c>
      <c r="E13" s="45">
        <v>-328.64913457999995</v>
      </c>
      <c r="F13" s="44">
        <v>-309.88871794999994</v>
      </c>
      <c r="G13" s="44">
        <v>-252.57887993999998</v>
      </c>
      <c r="H13" s="44">
        <v>-229.31690749000003</v>
      </c>
      <c r="I13" s="44">
        <v>-237.70630889999995</v>
      </c>
    </row>
    <row r="14" spans="1:9" ht="14.25">
      <c r="A14" s="43" t="str">
        <f>HLOOKUP(INDICE!$F$2,Nombres!$C$3:$D$636,39,FALSE)</f>
        <v>  Gastos de administración</v>
      </c>
      <c r="B14" s="44">
        <v>-268.71006250999994</v>
      </c>
      <c r="C14" s="44">
        <v>-239.26134802999994</v>
      </c>
      <c r="D14" s="44">
        <v>-246.0004631</v>
      </c>
      <c r="E14" s="45">
        <v>-282.26811356999997</v>
      </c>
      <c r="F14" s="44">
        <v>-262.03969594999995</v>
      </c>
      <c r="G14" s="44">
        <v>-217.17585792999995</v>
      </c>
      <c r="H14" s="44">
        <v>-194.02888550000003</v>
      </c>
      <c r="I14" s="44">
        <v>-206.71428691999998</v>
      </c>
    </row>
    <row r="15" spans="1:9" ht="14.25">
      <c r="A15" s="46" t="str">
        <f>HLOOKUP(INDICE!$F$2,Nombres!$C$3:$D$636,40,FALSE)</f>
        <v>  Gastos de personal</v>
      </c>
      <c r="B15" s="44">
        <v>-171.44995514000001</v>
      </c>
      <c r="C15" s="44">
        <v>-163.97826908000002</v>
      </c>
      <c r="D15" s="44">
        <v>-171.27935614</v>
      </c>
      <c r="E15" s="45">
        <v>-170.8060546</v>
      </c>
      <c r="F15" s="44">
        <v>-156.81167564</v>
      </c>
      <c r="G15" s="44">
        <v>-150.30583693999998</v>
      </c>
      <c r="H15" s="44">
        <v>-130.36995622</v>
      </c>
      <c r="I15" s="44">
        <v>-123.4399632</v>
      </c>
    </row>
    <row r="16" spans="1:9" ht="14.25">
      <c r="A16" s="46" t="str">
        <f>HLOOKUP(INDICE!$F$2,Nombres!$C$3:$D$636,41,FALSE)</f>
        <v>  Otros gastos de administración</v>
      </c>
      <c r="B16" s="44">
        <v>-97.26010736999996</v>
      </c>
      <c r="C16" s="44">
        <v>-75.28307894999998</v>
      </c>
      <c r="D16" s="44">
        <v>-74.72110696000001</v>
      </c>
      <c r="E16" s="45">
        <v>-111.46205896999999</v>
      </c>
      <c r="F16" s="44">
        <v>-105.22802030999999</v>
      </c>
      <c r="G16" s="44">
        <v>-66.87002099000001</v>
      </c>
      <c r="H16" s="44">
        <v>-63.65892928000001</v>
      </c>
      <c r="I16" s="44">
        <v>-83.27432371999998</v>
      </c>
    </row>
    <row r="17" spans="1:9" ht="14.25">
      <c r="A17" s="43" t="str">
        <f>HLOOKUP(INDICE!$F$2,Nombres!$C$3:$D$636,42,FALSE)</f>
        <v>  Amortización</v>
      </c>
      <c r="B17" s="44">
        <v>-44.13702199000001</v>
      </c>
      <c r="C17" s="44">
        <v>-41.76002101</v>
      </c>
      <c r="D17" s="44">
        <v>-46.492022</v>
      </c>
      <c r="E17" s="45">
        <v>-46.38102101</v>
      </c>
      <c r="F17" s="44">
        <v>-47.849022</v>
      </c>
      <c r="G17" s="44">
        <v>-35.403022009999994</v>
      </c>
      <c r="H17" s="44">
        <v>-35.28802199</v>
      </c>
      <c r="I17" s="44">
        <v>-30.992021979999997</v>
      </c>
    </row>
    <row r="18" spans="1:9" ht="14.25">
      <c r="A18" s="41" t="str">
        <f>HLOOKUP(INDICE!$F$2,Nombres!$C$3:$D$636,43,FALSE)</f>
        <v>Margen neto</v>
      </c>
      <c r="B18" s="41">
        <f>+B12+B13</f>
        <v>570.8269154799998</v>
      </c>
      <c r="C18" s="41">
        <f aca="true" t="shared" si="1" ref="C18:I18">+C12+C13</f>
        <v>512.7936309500001</v>
      </c>
      <c r="D18" s="41">
        <f t="shared" si="1"/>
        <v>577.7315149099998</v>
      </c>
      <c r="E18" s="42">
        <f t="shared" si="1"/>
        <v>714.0158654399997</v>
      </c>
      <c r="F18" s="50">
        <f t="shared" si="1"/>
        <v>763.3892820099998</v>
      </c>
      <c r="G18" s="50">
        <f t="shared" si="1"/>
        <v>631.0831200499997</v>
      </c>
      <c r="H18" s="50">
        <f t="shared" si="1"/>
        <v>680.1240925799998</v>
      </c>
      <c r="I18" s="50">
        <f t="shared" si="1"/>
        <v>469.33769107000023</v>
      </c>
    </row>
    <row r="19" spans="1:9" ht="14.25">
      <c r="A19" s="43" t="str">
        <f>HLOOKUP(INDICE!$F$2,Nombres!$C$3:$D$636,44,FALSE)</f>
        <v>Deterioro de activos financieros no valorados a valor razonable con cambios en resultados</v>
      </c>
      <c r="B19" s="44">
        <v>-201.5496435</v>
      </c>
      <c r="C19" s="44">
        <v>-135.36224725</v>
      </c>
      <c r="D19" s="44">
        <v>-307.6158804799999</v>
      </c>
      <c r="E19" s="45">
        <v>-261.46844854</v>
      </c>
      <c r="F19" s="44">
        <v>-403.24300000000005</v>
      </c>
      <c r="G19" s="44">
        <v>-215.16299999999995</v>
      </c>
      <c r="H19" s="44">
        <v>-61.252000010000025</v>
      </c>
      <c r="I19" s="44">
        <v>-215.30999999999997</v>
      </c>
    </row>
    <row r="20" spans="1:9" ht="14.25">
      <c r="A20" s="43" t="str">
        <f>HLOOKUP(INDICE!$F$2,Nombres!$C$3:$D$636,45,FALSE)</f>
        <v>Provisiones o reversión de provisiones y otros resultados</v>
      </c>
      <c r="B20" s="44">
        <v>-1.2579999899999974</v>
      </c>
      <c r="C20" s="44">
        <v>-19.94600001</v>
      </c>
      <c r="D20" s="44">
        <v>-13.214000000000004</v>
      </c>
      <c r="E20" s="45">
        <v>-93.55799999999999</v>
      </c>
      <c r="F20" s="44">
        <v>-20.217000000000017</v>
      </c>
      <c r="G20" s="44">
        <v>-40.537000000000006</v>
      </c>
      <c r="H20" s="44">
        <v>-9.180999990000013</v>
      </c>
      <c r="I20" s="44">
        <v>-56.78800001999991</v>
      </c>
    </row>
    <row r="21" spans="1:9" ht="14.25">
      <c r="A21" s="41" t="str">
        <f>HLOOKUP(INDICE!$F$2,Nombres!$C$3:$D$636,46,FALSE)</f>
        <v>Resultado antes de impuestos</v>
      </c>
      <c r="B21" s="41">
        <f>+B18+B19+B20</f>
        <v>368.0192719899998</v>
      </c>
      <c r="C21" s="41">
        <f aca="true" t="shared" si="2" ref="C21:I21">+C18+C19+C20</f>
        <v>357.4853836900001</v>
      </c>
      <c r="D21" s="41">
        <f t="shared" si="2"/>
        <v>256.9016344299999</v>
      </c>
      <c r="E21" s="42">
        <f t="shared" si="2"/>
        <v>358.98941689999975</v>
      </c>
      <c r="F21" s="50">
        <f t="shared" si="2"/>
        <v>339.92928200999967</v>
      </c>
      <c r="G21" s="50">
        <f t="shared" si="2"/>
        <v>375.3831200499998</v>
      </c>
      <c r="H21" s="50">
        <f t="shared" si="2"/>
        <v>609.6910925799997</v>
      </c>
      <c r="I21" s="50">
        <f t="shared" si="2"/>
        <v>197.23969105000035</v>
      </c>
    </row>
    <row r="22" spans="1:9" ht="14.25">
      <c r="A22" s="43" t="str">
        <f>HLOOKUP(INDICE!$F$2,Nombres!$C$3:$D$636,47,FALSE)</f>
        <v>Impuesto sobre beneficios</v>
      </c>
      <c r="B22" s="44">
        <v>-79.37097462999998</v>
      </c>
      <c r="C22" s="44">
        <v>-73.3787893</v>
      </c>
      <c r="D22" s="44">
        <v>-56.70235448000002</v>
      </c>
      <c r="E22" s="45">
        <v>-102.47585963</v>
      </c>
      <c r="F22" s="44">
        <v>-78.24558461999999</v>
      </c>
      <c r="G22" s="44">
        <v>-96.93393602999998</v>
      </c>
      <c r="H22" s="44">
        <v>-132.35332774000003</v>
      </c>
      <c r="I22" s="44">
        <v>-72.21390732000002</v>
      </c>
    </row>
    <row r="23" spans="1:9" ht="14.25">
      <c r="A23" s="41" t="str">
        <f>HLOOKUP(INDICE!$F$2,Nombres!$C$3:$D$636,48,FALSE)</f>
        <v>Resultado del ejercicio</v>
      </c>
      <c r="B23" s="41">
        <f>+B21+B22</f>
        <v>288.64829735999984</v>
      </c>
      <c r="C23" s="41">
        <f aca="true" t="shared" si="3" ref="C23:I23">+C21+C22</f>
        <v>284.1065943900001</v>
      </c>
      <c r="D23" s="41">
        <f t="shared" si="3"/>
        <v>200.19927994999986</v>
      </c>
      <c r="E23" s="42">
        <f t="shared" si="3"/>
        <v>256.51355726999975</v>
      </c>
      <c r="F23" s="50">
        <f t="shared" si="3"/>
        <v>261.6836973899997</v>
      </c>
      <c r="G23" s="50">
        <f t="shared" si="3"/>
        <v>278.4491840199998</v>
      </c>
      <c r="H23" s="50">
        <f t="shared" si="3"/>
        <v>477.33776483999964</v>
      </c>
      <c r="I23" s="50">
        <f t="shared" si="3"/>
        <v>125.02578373000033</v>
      </c>
    </row>
    <row r="24" spans="1:9" ht="14.25">
      <c r="A24" s="43" t="str">
        <f>HLOOKUP(INDICE!$F$2,Nombres!$C$3:$D$636,49,FALSE)</f>
        <v>Minoritarios</v>
      </c>
      <c r="B24" s="44">
        <v>-146.97299999</v>
      </c>
      <c r="C24" s="44">
        <v>-144.11499999999995</v>
      </c>
      <c r="D24" s="44">
        <v>-102.27800001000007</v>
      </c>
      <c r="E24" s="45">
        <v>-130.35600000999992</v>
      </c>
      <c r="F24" s="44">
        <v>-132.89800000000002</v>
      </c>
      <c r="G24" s="44">
        <v>-141.08800001999998</v>
      </c>
      <c r="H24" s="44">
        <v>-240.95199997000003</v>
      </c>
      <c r="I24" s="44">
        <v>-64.26400002000001</v>
      </c>
    </row>
    <row r="25" spans="1:9" ht="14.25">
      <c r="A25" s="47" t="str">
        <f>HLOOKUP(INDICE!$F$2,Nombres!$C$3:$D$636,50,FALSE)</f>
        <v>Resultado atribuido</v>
      </c>
      <c r="B25" s="47">
        <f>+B23+B24</f>
        <v>141.67529736999984</v>
      </c>
      <c r="C25" s="47">
        <f aca="true" t="shared" si="4" ref="C25:I25">+C23+C24</f>
        <v>139.99159439000016</v>
      </c>
      <c r="D25" s="47">
        <f t="shared" si="4"/>
        <v>97.92127993999979</v>
      </c>
      <c r="E25" s="47">
        <f t="shared" si="4"/>
        <v>126.15755725999983</v>
      </c>
      <c r="F25" s="51">
        <f t="shared" si="4"/>
        <v>128.78569738999965</v>
      </c>
      <c r="G25" s="51">
        <f t="shared" si="4"/>
        <v>137.3611839999998</v>
      </c>
      <c r="H25" s="51">
        <f t="shared" si="4"/>
        <v>236.3857648699996</v>
      </c>
      <c r="I25" s="51">
        <f t="shared" si="4"/>
        <v>60.761783710000316</v>
      </c>
    </row>
    <row r="26" spans="1:9" ht="14.25">
      <c r="A26" s="63"/>
      <c r="B26" s="64">
        <v>0</v>
      </c>
      <c r="C26" s="64">
        <v>0</v>
      </c>
      <c r="D26" s="64">
        <v>0</v>
      </c>
      <c r="E26" s="64">
        <v>0</v>
      </c>
      <c r="F26" s="64">
        <v>-2.2737367544323206E-13</v>
      </c>
      <c r="G26" s="64">
        <v>0</v>
      </c>
      <c r="H26" s="64">
        <v>0</v>
      </c>
      <c r="I26" s="64">
        <v>7.105427357601002E-14</v>
      </c>
    </row>
    <row r="27" spans="1:9" ht="14.25">
      <c r="A27" s="41"/>
      <c r="B27" s="41"/>
      <c r="C27" s="41"/>
      <c r="D27" s="41"/>
      <c r="E27" s="41"/>
      <c r="F27" s="41"/>
      <c r="G27" s="41"/>
      <c r="H27" s="41"/>
      <c r="I27" s="41"/>
    </row>
    <row r="28" spans="1:9" ht="16.5">
      <c r="A28" s="33" t="str">
        <f>HLOOKUP(INDICE!$F$2,Nombres!$C$3:$D$636,51,FALSE)</f>
        <v>Balances</v>
      </c>
      <c r="B28" s="34"/>
      <c r="C28" s="34"/>
      <c r="D28" s="34"/>
      <c r="E28" s="34"/>
      <c r="F28" s="34"/>
      <c r="G28" s="34"/>
      <c r="H28" s="34"/>
      <c r="I28" s="34"/>
    </row>
    <row r="29" spans="1:9" ht="14.25">
      <c r="A29" s="35" t="str">
        <f>HLOOKUP(INDICE!$F$2,Nombres!$C$3:$D$636,32,FALSE)</f>
        <v>(Millones de euros)</v>
      </c>
      <c r="B29" s="30"/>
      <c r="C29" s="52"/>
      <c r="D29" s="52"/>
      <c r="E29" s="52"/>
      <c r="F29" s="30"/>
      <c r="G29" s="58"/>
      <c r="H29" s="58"/>
      <c r="I29" s="58"/>
    </row>
    <row r="30" spans="1:9" ht="14.25">
      <c r="A30" s="30"/>
      <c r="B30" s="53">
        <f>+España!B30</f>
        <v>43555</v>
      </c>
      <c r="C30" s="53">
        <f>+España!C30</f>
        <v>43646</v>
      </c>
      <c r="D30" s="53">
        <f>+España!D30</f>
        <v>43738</v>
      </c>
      <c r="E30" s="69">
        <f>+España!E30</f>
        <v>43830</v>
      </c>
      <c r="F30" s="78">
        <f>+España!F30</f>
        <v>43921</v>
      </c>
      <c r="G30" s="78">
        <f>+España!G30</f>
        <v>44012</v>
      </c>
      <c r="H30" s="78">
        <f>+España!H30</f>
        <v>44104</v>
      </c>
      <c r="I30" s="78">
        <f>+España!I30</f>
        <v>44196</v>
      </c>
    </row>
    <row r="31" spans="1:9" ht="14.25">
      <c r="A31" s="43" t="str">
        <f>HLOOKUP(INDICE!$F$2,Nombres!$C$3:$D$636,52,FALSE)</f>
        <v>Efectivo, saldos en efectivo en bancos centrales y otros depósitos a la vista</v>
      </c>
      <c r="B31" s="44">
        <v>7171.252</v>
      </c>
      <c r="C31" s="44">
        <v>7687.286999999999</v>
      </c>
      <c r="D31" s="44">
        <v>7038.539000000001</v>
      </c>
      <c r="E31" s="45">
        <v>5486.131</v>
      </c>
      <c r="F31" s="44">
        <v>5194.189</v>
      </c>
      <c r="G31" s="44">
        <v>5489.2119999999995</v>
      </c>
      <c r="H31" s="44">
        <v>5510.271</v>
      </c>
      <c r="I31" s="44">
        <v>5477.186000000001</v>
      </c>
    </row>
    <row r="32" spans="1:9" ht="14.25">
      <c r="A32" s="43" t="str">
        <f>HLOOKUP(INDICE!$F$2,Nombres!$C$3:$D$636,53,FALSE)</f>
        <v>Activos financieros a valor razonable</v>
      </c>
      <c r="B32" s="58">
        <v>5598.310000000001</v>
      </c>
      <c r="C32" s="58">
        <v>5256.778</v>
      </c>
      <c r="D32" s="58">
        <v>5598.288</v>
      </c>
      <c r="E32" s="66">
        <v>5268.108</v>
      </c>
      <c r="F32" s="44">
        <v>5058.879</v>
      </c>
      <c r="G32" s="44">
        <v>5712.279</v>
      </c>
      <c r="H32" s="44">
        <v>5429.875999999999</v>
      </c>
      <c r="I32" s="44">
        <v>5331.522999999999</v>
      </c>
    </row>
    <row r="33" spans="1:9" ht="14.25">
      <c r="A33" s="43" t="str">
        <f>HLOOKUP(INDICE!$F$2,Nombres!$C$3:$D$636,54,FALSE)</f>
        <v>Activos financieros a coste amortizado</v>
      </c>
      <c r="B33" s="44">
        <v>51655.761</v>
      </c>
      <c r="C33" s="44">
        <v>49118.938</v>
      </c>
      <c r="D33" s="44">
        <v>51878.471</v>
      </c>
      <c r="E33" s="45">
        <v>51284.78799999999</v>
      </c>
      <c r="F33" s="44">
        <v>50862.558000000005</v>
      </c>
      <c r="G33" s="44">
        <v>50078.886999999995</v>
      </c>
      <c r="H33" s="44">
        <v>45251.355</v>
      </c>
      <c r="I33" s="44">
        <v>46705.471999999994</v>
      </c>
    </row>
    <row r="34" spans="1:9" ht="14.25">
      <c r="A34" s="43" t="str">
        <f>HLOOKUP(INDICE!$F$2,Nombres!$C$3:$D$636,55,FALSE)</f>
        <v>    de los que préstamos y anticipos a la clientela</v>
      </c>
      <c r="B34" s="44">
        <v>42025.041000000005</v>
      </c>
      <c r="C34" s="44">
        <v>39286.08600000001</v>
      </c>
      <c r="D34" s="44">
        <v>40775.634000000005</v>
      </c>
      <c r="E34" s="45">
        <v>40499.86000000001</v>
      </c>
      <c r="F34" s="44">
        <v>39916.31599999999</v>
      </c>
      <c r="G34" s="44">
        <v>41196.41400000001</v>
      </c>
      <c r="H34" s="44">
        <v>36797.241</v>
      </c>
      <c r="I34" s="44">
        <v>37295.429000000004</v>
      </c>
    </row>
    <row r="35" spans="1:9" ht="14.25">
      <c r="A35" s="43" t="str">
        <f>HLOOKUP(INDICE!$F$2,Nombres!$C$3:$D$636,56,FALSE)</f>
        <v>Activos tangibles</v>
      </c>
      <c r="B35" s="44">
        <v>1163.893</v>
      </c>
      <c r="C35" s="44">
        <v>1128.5140000000001</v>
      </c>
      <c r="D35" s="44">
        <v>1184.0720000000001</v>
      </c>
      <c r="E35" s="45">
        <v>1117.498</v>
      </c>
      <c r="F35" s="44">
        <v>1033.449</v>
      </c>
      <c r="G35" s="44">
        <v>942.0169999999999</v>
      </c>
      <c r="H35" s="44">
        <v>827.0029999999999</v>
      </c>
      <c r="I35" s="44">
        <v>900.807</v>
      </c>
    </row>
    <row r="36" spans="1:9" ht="14.25">
      <c r="A36" s="43" t="str">
        <f>HLOOKUP(INDICE!$F$2,Nombres!$C$3:$D$636,57,FALSE)</f>
        <v>Otros activos</v>
      </c>
      <c r="B36" s="58">
        <f>+B37-B35-B33-B32-B31</f>
        <v>1541.0290000000132</v>
      </c>
      <c r="C36" s="58">
        <f aca="true" t="shared" si="5" ref="C36:I36">+C37-C35-C33-C32-C31</f>
        <v>1449.2610000000013</v>
      </c>
      <c r="D36" s="58">
        <f t="shared" si="5"/>
        <v>1456.5459999999985</v>
      </c>
      <c r="E36" s="66">
        <f t="shared" si="5"/>
        <v>1259.516068090009</v>
      </c>
      <c r="F36" s="44">
        <f t="shared" si="5"/>
        <v>1354.876000000003</v>
      </c>
      <c r="G36" s="44">
        <f t="shared" si="5"/>
        <v>1302.464000000009</v>
      </c>
      <c r="H36" s="44">
        <f t="shared" si="5"/>
        <v>1109.6209999999974</v>
      </c>
      <c r="I36" s="44">
        <f t="shared" si="5"/>
        <v>1170.139021570004</v>
      </c>
    </row>
    <row r="37" spans="1:9" ht="14.25">
      <c r="A37" s="47" t="str">
        <f>HLOOKUP(INDICE!$F$2,Nombres!$C$3:$D$636,58,FALSE)</f>
        <v>Total activo / pasivo</v>
      </c>
      <c r="B37" s="51">
        <v>67130.24500000001</v>
      </c>
      <c r="C37" s="51">
        <v>64640.778000000006</v>
      </c>
      <c r="D37" s="51">
        <v>67155.916</v>
      </c>
      <c r="E37" s="82">
        <v>64416.04106809</v>
      </c>
      <c r="F37" s="51">
        <v>63503.95100000001</v>
      </c>
      <c r="G37" s="51">
        <v>63524.859000000004</v>
      </c>
      <c r="H37" s="51">
        <v>58128.126</v>
      </c>
      <c r="I37" s="51">
        <v>59585.12702157</v>
      </c>
    </row>
    <row r="38" spans="1:9" ht="14.25">
      <c r="A38" s="43" t="str">
        <f>HLOOKUP(INDICE!$F$2,Nombres!$C$3:$D$636,59,FALSE)</f>
        <v>Pasivos financieros mantenidos para negociar y designados a valor razonable con cambios en resultados</v>
      </c>
      <c r="B38" s="58">
        <v>1791.8429999999998</v>
      </c>
      <c r="C38" s="58">
        <v>2275.442</v>
      </c>
      <c r="D38" s="58">
        <v>2490.1990000000005</v>
      </c>
      <c r="E38" s="66">
        <v>2183.716</v>
      </c>
      <c r="F38" s="44">
        <v>2336.191</v>
      </c>
      <c r="G38" s="44">
        <v>2248.6989999999996</v>
      </c>
      <c r="H38" s="44">
        <v>2163.924</v>
      </c>
      <c r="I38" s="44">
        <v>2335.963</v>
      </c>
    </row>
    <row r="39" spans="1:9" ht="14.25">
      <c r="A39" s="43" t="str">
        <f>HLOOKUP(INDICE!$F$2,Nombres!$C$3:$D$636,60,FALSE)</f>
        <v>Depósitos de bancos centrales y entidades de crédito</v>
      </c>
      <c r="B39" s="58">
        <v>6950.101000000001</v>
      </c>
      <c r="C39" s="58">
        <v>5459.238</v>
      </c>
      <c r="D39" s="58">
        <v>4938.094999999999</v>
      </c>
      <c r="E39" s="66">
        <v>4472.8769999999995</v>
      </c>
      <c r="F39" s="44">
        <v>4414.611</v>
      </c>
      <c r="G39" s="44">
        <v>5571.6900000000005</v>
      </c>
      <c r="H39" s="44">
        <v>3726.4350000000004</v>
      </c>
      <c r="I39" s="44">
        <v>3380.7119999999995</v>
      </c>
    </row>
    <row r="40" spans="1:9" ht="15.75" customHeight="1">
      <c r="A40" s="43" t="str">
        <f>HLOOKUP(INDICE!$F$2,Nombres!$C$3:$D$636,61,FALSE)</f>
        <v>Depósitos de la clientela</v>
      </c>
      <c r="B40" s="58">
        <v>40544.277</v>
      </c>
      <c r="C40" s="58">
        <v>39455.706</v>
      </c>
      <c r="D40" s="58">
        <v>41650.666</v>
      </c>
      <c r="E40" s="66">
        <v>41334.625</v>
      </c>
      <c r="F40" s="44">
        <v>41058.386</v>
      </c>
      <c r="G40" s="44">
        <v>40131.886</v>
      </c>
      <c r="H40" s="44">
        <v>38130.409999999996</v>
      </c>
      <c r="I40" s="44">
        <v>39353.42600000001</v>
      </c>
    </row>
    <row r="41" spans="1:9" ht="14.25">
      <c r="A41" s="43" t="str">
        <f>HLOOKUP(INDICE!$F$2,Nombres!$C$3:$D$636,62,FALSE)</f>
        <v>Valores representativos de deuda emitidos</v>
      </c>
      <c r="B41" s="44">
        <v>6335.300000000001</v>
      </c>
      <c r="C41" s="44">
        <v>5798.933</v>
      </c>
      <c r="D41" s="44">
        <v>4836.344999999999</v>
      </c>
      <c r="E41" s="45">
        <v>4270.916</v>
      </c>
      <c r="F41" s="44">
        <v>4200.975</v>
      </c>
      <c r="G41" s="44">
        <v>4073.568</v>
      </c>
      <c r="H41" s="44">
        <v>3650.01</v>
      </c>
      <c r="I41" s="44">
        <v>3503.3809999999994</v>
      </c>
    </row>
    <row r="42" spans="1:9" ht="14.25">
      <c r="A42" s="43" t="str">
        <f>HLOOKUP(INDICE!$F$2,Nombres!$C$3:$D$636,63,FALSE)</f>
        <v>Otros pasivos</v>
      </c>
      <c r="B42" s="58">
        <f>+B37-B38-B39-B40-B41-B43</f>
        <v>8786.053530000005</v>
      </c>
      <c r="C42" s="58">
        <f aca="true" t="shared" si="6" ref="C42:I42">+C37-C38-C39-C40-C41-C43</f>
        <v>9050.855150000007</v>
      </c>
      <c r="D42" s="58">
        <f t="shared" si="6"/>
        <v>10654.548045689999</v>
      </c>
      <c r="E42" s="66">
        <f t="shared" si="6"/>
        <v>9481.48445464</v>
      </c>
      <c r="F42" s="44">
        <f t="shared" si="6"/>
        <v>8704.070940000012</v>
      </c>
      <c r="G42" s="44">
        <f t="shared" si="6"/>
        <v>8751.109470000003</v>
      </c>
      <c r="H42" s="44">
        <f t="shared" si="6"/>
        <v>7879.984981170002</v>
      </c>
      <c r="I42" s="44">
        <f t="shared" si="6"/>
        <v>8476.28832563999</v>
      </c>
    </row>
    <row r="43" spans="1:9" ht="14.25">
      <c r="A43" s="43" t="str">
        <f>HLOOKUP(INDICE!$F$2,Nombres!$C$3:$D$636,64,FALSE)</f>
        <v>Dotación de capital económico</v>
      </c>
      <c r="B43" s="44">
        <v>2722.6704699999996</v>
      </c>
      <c r="C43" s="44">
        <v>2600.6038499999995</v>
      </c>
      <c r="D43" s="44">
        <v>2586.0629543100004</v>
      </c>
      <c r="E43" s="45">
        <v>2672.4226134500004</v>
      </c>
      <c r="F43" s="44">
        <v>2789.7170600000004</v>
      </c>
      <c r="G43" s="44">
        <v>2747.90653</v>
      </c>
      <c r="H43" s="44">
        <v>2577.3620188300006</v>
      </c>
      <c r="I43" s="44">
        <v>2535.3566959300006</v>
      </c>
    </row>
    <row r="44" spans="1:9" ht="14.25">
      <c r="A44" s="63"/>
      <c r="B44" s="58"/>
      <c r="C44" s="58"/>
      <c r="D44" s="58"/>
      <c r="E44" s="58"/>
      <c r="F44" s="79"/>
      <c r="G44" s="79"/>
      <c r="H44" s="79"/>
      <c r="I44" s="79"/>
    </row>
    <row r="45" spans="1:9" ht="14.25">
      <c r="A45" s="43"/>
      <c r="B45" s="58"/>
      <c r="C45" s="58"/>
      <c r="D45" s="58"/>
      <c r="E45" s="58"/>
      <c r="F45" s="79"/>
      <c r="G45" s="79"/>
      <c r="H45" s="79"/>
      <c r="I45" s="79"/>
    </row>
    <row r="46" spans="1:9" ht="16.5">
      <c r="A46" s="33" t="str">
        <f>HLOOKUP(INDICE!$F$2,Nombres!$C$3:$D$636,65,FALSE)</f>
        <v>Indicadores relevantes y de gestión</v>
      </c>
      <c r="B46" s="34"/>
      <c r="C46" s="34"/>
      <c r="D46" s="34"/>
      <c r="E46" s="34"/>
      <c r="F46" s="83"/>
      <c r="G46" s="83"/>
      <c r="H46" s="83"/>
      <c r="I46" s="83"/>
    </row>
    <row r="47" spans="1:9" ht="14.25">
      <c r="A47" s="35" t="str">
        <f>HLOOKUP(INDICE!$F$2,Nombres!$C$3:$D$636,32,FALSE)</f>
        <v>(Millones de euros)</v>
      </c>
      <c r="B47" s="30"/>
      <c r="C47" s="30"/>
      <c r="D47" s="30"/>
      <c r="E47" s="30"/>
      <c r="F47" s="81"/>
      <c r="G47" s="79"/>
      <c r="H47" s="79"/>
      <c r="I47" s="79"/>
    </row>
    <row r="48" spans="1:9" ht="14.25">
      <c r="A48" s="30"/>
      <c r="B48" s="53">
        <f aca="true" t="shared" si="7" ref="B48:I48">+B$30</f>
        <v>43555</v>
      </c>
      <c r="C48" s="53">
        <f t="shared" si="7"/>
        <v>43646</v>
      </c>
      <c r="D48" s="53">
        <f t="shared" si="7"/>
        <v>43738</v>
      </c>
      <c r="E48" s="69">
        <f t="shared" si="7"/>
        <v>43830</v>
      </c>
      <c r="F48" s="78">
        <f t="shared" si="7"/>
        <v>43921</v>
      </c>
      <c r="G48" s="78">
        <f t="shared" si="7"/>
        <v>44012</v>
      </c>
      <c r="H48" s="78">
        <f t="shared" si="7"/>
        <v>44104</v>
      </c>
      <c r="I48" s="78">
        <f t="shared" si="7"/>
        <v>44196</v>
      </c>
    </row>
    <row r="49" spans="1:9" ht="14.25">
      <c r="A49" s="43" t="str">
        <f>HLOOKUP(INDICE!$F$2,Nombres!$C$3:$D$636,66,FALSE)</f>
        <v>Préstamos y anticipos a la clientela bruto (*)</v>
      </c>
      <c r="B49" s="44">
        <v>44375.77099999999</v>
      </c>
      <c r="C49" s="44">
        <v>41634.193</v>
      </c>
      <c r="D49" s="44">
        <v>43500.257000000005</v>
      </c>
      <c r="E49" s="45">
        <v>43113.172</v>
      </c>
      <c r="F49" s="44">
        <v>42779.227999999996</v>
      </c>
      <c r="G49" s="44">
        <v>44061.442</v>
      </c>
      <c r="H49" s="44">
        <v>39401.64</v>
      </c>
      <c r="I49" s="44">
        <v>39633.030999999995</v>
      </c>
    </row>
    <row r="50" spans="1:9" ht="14.25">
      <c r="A50" s="43" t="str">
        <f>HLOOKUP(INDICE!$F$2,Nombres!$C$3:$D$636,67,FALSE)</f>
        <v>Depósitos de clientes en gestión (**)</v>
      </c>
      <c r="B50" s="44">
        <v>40539.997</v>
      </c>
      <c r="C50" s="44">
        <v>39452.07899999999</v>
      </c>
      <c r="D50" s="44">
        <v>41647.482</v>
      </c>
      <c r="E50" s="45">
        <v>41324.482</v>
      </c>
      <c r="F50" s="44">
        <v>41050.208999999995</v>
      </c>
      <c r="G50" s="44">
        <v>39929.238999999994</v>
      </c>
      <c r="H50" s="44">
        <v>38125.38</v>
      </c>
      <c r="I50" s="44">
        <v>39345.543000000005</v>
      </c>
    </row>
    <row r="51" spans="1:9" ht="14.25">
      <c r="A51" s="43" t="str">
        <f>HLOOKUP(INDICE!$F$2,Nombres!$C$3:$D$636,68,FALSE)</f>
        <v>Fondos de inversión</v>
      </c>
      <c r="B51" s="44">
        <v>757.36</v>
      </c>
      <c r="C51" s="44">
        <v>872.207</v>
      </c>
      <c r="D51" s="44">
        <v>1035.144</v>
      </c>
      <c r="E51" s="45">
        <v>1459.741</v>
      </c>
      <c r="F51" s="44">
        <v>1502.553</v>
      </c>
      <c r="G51" s="44">
        <v>1754.509</v>
      </c>
      <c r="H51" s="44">
        <v>1216.837</v>
      </c>
      <c r="I51" s="44">
        <v>1087.446</v>
      </c>
    </row>
    <row r="52" spans="1:9" ht="14.25">
      <c r="A52" s="43" t="str">
        <f>HLOOKUP(INDICE!$F$2,Nombres!$C$3:$D$636,69,FALSE)</f>
        <v>Fondos de pensiones</v>
      </c>
      <c r="B52" s="44">
        <v>2612.445</v>
      </c>
      <c r="C52" s="44">
        <v>2110.758</v>
      </c>
      <c r="D52" s="44">
        <v>2425.286</v>
      </c>
      <c r="E52" s="45">
        <v>2446.168</v>
      </c>
      <c r="F52" s="44">
        <v>2360.204</v>
      </c>
      <c r="G52" s="44">
        <v>2457.219</v>
      </c>
      <c r="H52" s="44">
        <v>2214.174</v>
      </c>
      <c r="I52" s="44">
        <v>2337.185</v>
      </c>
    </row>
    <row r="53" spans="1:9" ht="14.25">
      <c r="A53" s="43" t="str">
        <f>HLOOKUP(INDICE!$F$2,Nombres!$C$3:$D$636,70,FALSE)</f>
        <v>Otros recursos fuera de balance</v>
      </c>
      <c r="B53" s="44">
        <v>0</v>
      </c>
      <c r="C53" s="44">
        <v>0</v>
      </c>
      <c r="D53" s="44">
        <v>0</v>
      </c>
      <c r="E53" s="45">
        <v>0</v>
      </c>
      <c r="F53" s="44">
        <v>0</v>
      </c>
      <c r="G53" s="44">
        <v>0</v>
      </c>
      <c r="H53" s="44">
        <v>0</v>
      </c>
      <c r="I53" s="44">
        <v>0</v>
      </c>
    </row>
    <row r="54" spans="1:9" ht="14.25">
      <c r="A54" s="63" t="str">
        <f>HLOOKUP(INDICE!$F$2,Nombres!$C$3:$D$636,71,FALSE)</f>
        <v>(*) No incluye las adquisiciones temporales de activos.</v>
      </c>
      <c r="B54" s="58"/>
      <c r="C54" s="58"/>
      <c r="D54" s="58"/>
      <c r="E54" s="58"/>
      <c r="F54" s="58"/>
      <c r="G54" s="58"/>
      <c r="H54" s="58"/>
      <c r="I54" s="58"/>
    </row>
    <row r="55" spans="1:9" ht="14.25">
      <c r="A55" s="63" t="str">
        <f>HLOOKUP(INDICE!$F$2,Nombres!$C$3:$D$636,72,FALSE)</f>
        <v>(**) No incluye las cesiones temporales de activos.</v>
      </c>
      <c r="B55" s="30"/>
      <c r="C55" s="30"/>
      <c r="D55" s="30"/>
      <c r="E55" s="30"/>
      <c r="F55" s="30"/>
      <c r="G55" s="30"/>
      <c r="H55" s="30"/>
      <c r="I55" s="30"/>
    </row>
    <row r="56" spans="1:9" ht="14.25">
      <c r="A56" s="63"/>
      <c r="B56" s="30"/>
      <c r="C56" s="30"/>
      <c r="D56" s="30"/>
      <c r="E56" s="30"/>
      <c r="F56" s="30"/>
      <c r="G56" s="30"/>
      <c r="H56" s="30"/>
      <c r="I56" s="30"/>
    </row>
    <row r="57" spans="1:9" ht="16.5">
      <c r="A57" s="33" t="str">
        <f>HLOOKUP(INDICE!$F$2,Nombres!$C$3:$D$636,31,FALSE)</f>
        <v>Cuenta de resultados  </v>
      </c>
      <c r="B57" s="34"/>
      <c r="C57" s="34"/>
      <c r="D57" s="34"/>
      <c r="E57" s="34"/>
      <c r="F57" s="34"/>
      <c r="G57" s="34"/>
      <c r="H57" s="34"/>
      <c r="I57" s="34"/>
    </row>
    <row r="58" spans="1:9" ht="14.25">
      <c r="A58" s="35" t="str">
        <f>HLOOKUP(INDICE!$F$2,Nombres!$C$3:$D$636,73,FALSE)</f>
        <v>(Millones de euros constantes)</v>
      </c>
      <c r="B58" s="30"/>
      <c r="C58" s="36"/>
      <c r="D58" s="36"/>
      <c r="E58" s="36"/>
      <c r="F58" s="30"/>
      <c r="G58" s="30"/>
      <c r="H58" s="30"/>
      <c r="I58" s="30"/>
    </row>
    <row r="59" spans="1:9" ht="14.25">
      <c r="A59" s="37"/>
      <c r="B59" s="30"/>
      <c r="C59" s="36"/>
      <c r="D59" s="36"/>
      <c r="E59" s="36"/>
      <c r="F59" s="30"/>
      <c r="G59" s="30"/>
      <c r="H59" s="30"/>
      <c r="I59" s="30"/>
    </row>
    <row r="60" spans="1:9" ht="14.25">
      <c r="A60" s="38"/>
      <c r="B60" s="308">
        <f>+B$6</f>
        <v>2019</v>
      </c>
      <c r="C60" s="308"/>
      <c r="D60" s="308"/>
      <c r="E60" s="309"/>
      <c r="F60" s="308">
        <f>+F$6</f>
        <v>2020</v>
      </c>
      <c r="G60" s="308"/>
      <c r="H60" s="308"/>
      <c r="I60" s="308"/>
    </row>
    <row r="61" spans="1:9" ht="14.25">
      <c r="A61" s="38"/>
      <c r="B61" s="39" t="str">
        <f>+B$7</f>
        <v>1er Trim.</v>
      </c>
      <c r="C61" s="39" t="str">
        <f aca="true" t="shared" si="8" ref="C61:I61">+C$7</f>
        <v>2º Trim.</v>
      </c>
      <c r="D61" s="39" t="str">
        <f t="shared" si="8"/>
        <v>3er Trim.</v>
      </c>
      <c r="E61" s="40" t="str">
        <f t="shared" si="8"/>
        <v>4º Trim.</v>
      </c>
      <c r="F61" s="39" t="str">
        <f t="shared" si="8"/>
        <v>1er Trim.</v>
      </c>
      <c r="G61" s="39" t="str">
        <f t="shared" si="8"/>
        <v>2º Trim.</v>
      </c>
      <c r="H61" s="39" t="str">
        <f t="shared" si="8"/>
        <v>3er Trim.</v>
      </c>
      <c r="I61" s="39" t="str">
        <f t="shared" si="8"/>
        <v>4º Trim.</v>
      </c>
    </row>
    <row r="62" spans="1:9" ht="14.25">
      <c r="A62" s="41" t="str">
        <f>HLOOKUP(INDICE!$F$2,Nombres!$C$3:$D$636,33,FALSE)</f>
        <v>Margen de intereses</v>
      </c>
      <c r="B62" s="41">
        <v>527.3391599006166</v>
      </c>
      <c r="C62" s="41">
        <v>541.4078427880997</v>
      </c>
      <c r="D62" s="41">
        <v>529.4960652119729</v>
      </c>
      <c r="E62" s="42">
        <v>624.9635278507199</v>
      </c>
      <c r="F62" s="50">
        <v>686.412011791346</v>
      </c>
      <c r="G62" s="50">
        <v>677.0718351217158</v>
      </c>
      <c r="H62" s="50">
        <v>730.0547635095289</v>
      </c>
      <c r="I62" s="50">
        <v>689.216389577409</v>
      </c>
    </row>
    <row r="63" spans="1:9" ht="14.25">
      <c r="A63" s="43" t="str">
        <f>HLOOKUP(INDICE!$F$2,Nombres!$C$3:$D$636,34,FALSE)</f>
        <v>Comisiones netas</v>
      </c>
      <c r="B63" s="44">
        <v>147.2824701442084</v>
      </c>
      <c r="C63" s="44">
        <v>137.15247234631713</v>
      </c>
      <c r="D63" s="44">
        <v>146.52889124937514</v>
      </c>
      <c r="E63" s="45">
        <v>135.3560143912143</v>
      </c>
      <c r="F63" s="44">
        <v>138.2635736657322</v>
      </c>
      <c r="G63" s="44">
        <v>96.47083644339409</v>
      </c>
      <c r="H63" s="44">
        <v>134.64279525632452</v>
      </c>
      <c r="I63" s="44">
        <v>140.88879462454923</v>
      </c>
    </row>
    <row r="64" spans="1:9" ht="14.25">
      <c r="A64" s="43" t="str">
        <f>HLOOKUP(INDICE!$F$2,Nombres!$C$3:$D$636,35,FALSE)</f>
        <v>Resultados de operaciones financieras</v>
      </c>
      <c r="B64" s="44">
        <v>-8.342343125898477</v>
      </c>
      <c r="C64" s="44">
        <v>-43.36649569031558</v>
      </c>
      <c r="D64" s="44">
        <v>0.19026209175570497</v>
      </c>
      <c r="E64" s="45">
        <v>59.1584809441002</v>
      </c>
      <c r="F64" s="44">
        <v>55.99059093110017</v>
      </c>
      <c r="G64" s="44">
        <v>56.53678435362712</v>
      </c>
      <c r="H64" s="44">
        <v>81.94084129068197</v>
      </c>
      <c r="I64" s="44">
        <v>32.74878342459072</v>
      </c>
    </row>
    <row r="65" spans="1:9" ht="14.25">
      <c r="A65" s="43" t="str">
        <f>HLOOKUP(INDICE!$F$2,Nombres!$C$3:$D$636,36,FALSE)</f>
        <v>Otros ingresos y cargas de explotación</v>
      </c>
      <c r="B65" s="44">
        <v>4.443278750107635</v>
      </c>
      <c r="C65" s="44">
        <v>18.899699369572332</v>
      </c>
      <c r="D65" s="44">
        <v>5.489436582152907</v>
      </c>
      <c r="E65" s="45">
        <v>10.330882935423867</v>
      </c>
      <c r="F65" s="44">
        <v>18.317599157098496</v>
      </c>
      <c r="G65" s="44">
        <v>10.05841345633135</v>
      </c>
      <c r="H65" s="44">
        <v>19.518801668697346</v>
      </c>
      <c r="I65" s="44">
        <v>5.292185717872812</v>
      </c>
    </row>
    <row r="66" spans="1:9" ht="14.25">
      <c r="A66" s="41" t="str">
        <f>HLOOKUP(INDICE!$F$2,Nombres!$C$3:$D$636,37,FALSE)</f>
        <v>Margen bruto</v>
      </c>
      <c r="B66" s="41">
        <f>+SUM(B62:B65)</f>
        <v>670.7225656690342</v>
      </c>
      <c r="C66" s="41">
        <f aca="true" t="shared" si="9" ref="C66:I66">+SUM(C62:C65)</f>
        <v>654.0935188136737</v>
      </c>
      <c r="D66" s="41">
        <f t="shared" si="9"/>
        <v>681.7046551352566</v>
      </c>
      <c r="E66" s="42">
        <f t="shared" si="9"/>
        <v>829.8089061214583</v>
      </c>
      <c r="F66" s="50">
        <f t="shared" si="9"/>
        <v>898.9837755452769</v>
      </c>
      <c r="G66" s="50">
        <f t="shared" si="9"/>
        <v>840.1378693750684</v>
      </c>
      <c r="H66" s="50">
        <f t="shared" si="9"/>
        <v>966.1572017252329</v>
      </c>
      <c r="I66" s="50">
        <f t="shared" si="9"/>
        <v>868.1461533444218</v>
      </c>
    </row>
    <row r="67" spans="1:9" ht="14.25">
      <c r="A67" s="43" t="str">
        <f>HLOOKUP(INDICE!$F$2,Nombres!$C$3:$D$636,38,FALSE)</f>
        <v>Gastos de explotación</v>
      </c>
      <c r="B67" s="44">
        <v>-237.45589344335832</v>
      </c>
      <c r="C67" s="44">
        <v>-231.558496117905</v>
      </c>
      <c r="D67" s="44">
        <v>-229.0633005798035</v>
      </c>
      <c r="E67" s="45">
        <v>-261.7569263104357</v>
      </c>
      <c r="F67" s="44">
        <v>-259.5645579914607</v>
      </c>
      <c r="G67" s="44">
        <v>-240.2972538585936</v>
      </c>
      <c r="H67" s="44">
        <v>-247.42121629285504</v>
      </c>
      <c r="I67" s="44">
        <v>-282.2077861370907</v>
      </c>
    </row>
    <row r="68" spans="1:9" ht="14.25">
      <c r="A68" s="43" t="str">
        <f>HLOOKUP(INDICE!$F$2,Nombres!$C$3:$D$636,39,FALSE)</f>
        <v>  Gastos de administración</v>
      </c>
      <c r="B68" s="44">
        <v>-203.95519450823812</v>
      </c>
      <c r="C68" s="44">
        <v>-197.22102492020286</v>
      </c>
      <c r="D68" s="44">
        <v>-192.6348580199025</v>
      </c>
      <c r="E68" s="45">
        <v>-224.7986053829248</v>
      </c>
      <c r="F68" s="44">
        <v>-219.48594419772587</v>
      </c>
      <c r="G68" s="44">
        <v>-206.39024125328118</v>
      </c>
      <c r="H68" s="44">
        <v>-209.52920568986616</v>
      </c>
      <c r="I68" s="44">
        <v>-244.55333515912676</v>
      </c>
    </row>
    <row r="69" spans="1:9" ht="14.25">
      <c r="A69" s="46" t="str">
        <f>HLOOKUP(INDICE!$F$2,Nombres!$C$3:$D$636,40,FALSE)</f>
        <v>  Gastos de personal</v>
      </c>
      <c r="B69" s="44">
        <v>-130.1332321624765</v>
      </c>
      <c r="C69" s="44">
        <v>-134.77503647241494</v>
      </c>
      <c r="D69" s="44">
        <v>-134.16308238539926</v>
      </c>
      <c r="E69" s="45">
        <v>-136.1514049763552</v>
      </c>
      <c r="F69" s="44">
        <v>-131.34635408690235</v>
      </c>
      <c r="G69" s="44">
        <v>-141.58726353838054</v>
      </c>
      <c r="H69" s="44">
        <v>-139.9652939321477</v>
      </c>
      <c r="I69" s="44">
        <v>-148.02852044256937</v>
      </c>
    </row>
    <row r="70" spans="1:9" ht="14.25">
      <c r="A70" s="46" t="str">
        <f>HLOOKUP(INDICE!$F$2,Nombres!$C$3:$D$636,41,FALSE)</f>
        <v>  Otros gastos de administración</v>
      </c>
      <c r="B70" s="44">
        <v>-73.82196234576163</v>
      </c>
      <c r="C70" s="44">
        <v>-62.44598844778797</v>
      </c>
      <c r="D70" s="44">
        <v>-58.471775634503196</v>
      </c>
      <c r="E70" s="45">
        <v>-88.64720040656958</v>
      </c>
      <c r="F70" s="44">
        <v>-88.13959011082353</v>
      </c>
      <c r="G70" s="44">
        <v>-64.80297771490065</v>
      </c>
      <c r="H70" s="44">
        <v>-69.56391175771846</v>
      </c>
      <c r="I70" s="44">
        <v>-96.52481471655739</v>
      </c>
    </row>
    <row r="71" spans="1:9" ht="14.25">
      <c r="A71" s="43" t="str">
        <f>HLOOKUP(INDICE!$F$2,Nombres!$C$3:$D$636,42,FALSE)</f>
        <v>  Amortización</v>
      </c>
      <c r="B71" s="44">
        <v>-33.50069893512018</v>
      </c>
      <c r="C71" s="44">
        <v>-34.33747119770211</v>
      </c>
      <c r="D71" s="44">
        <v>-36.428442559901015</v>
      </c>
      <c r="E71" s="45">
        <v>-36.95832092751096</v>
      </c>
      <c r="F71" s="44">
        <v>-40.07861379373486</v>
      </c>
      <c r="G71" s="44">
        <v>-33.90701260531236</v>
      </c>
      <c r="H71" s="44">
        <v>-37.89201060298887</v>
      </c>
      <c r="I71" s="44">
        <v>-37.65445097796392</v>
      </c>
    </row>
    <row r="72" spans="1:9" ht="14.25">
      <c r="A72" s="41" t="str">
        <f>HLOOKUP(INDICE!$F$2,Nombres!$C$3:$D$636,43,FALSE)</f>
        <v>Margen neto</v>
      </c>
      <c r="B72" s="41">
        <f>+B66+B67</f>
        <v>433.2666722256759</v>
      </c>
      <c r="C72" s="41">
        <f aca="true" t="shared" si="10" ref="C72:I72">+C66+C67</f>
        <v>422.53502269576865</v>
      </c>
      <c r="D72" s="41">
        <f t="shared" si="10"/>
        <v>452.6413545554532</v>
      </c>
      <c r="E72" s="42">
        <f t="shared" si="10"/>
        <v>568.0519798110226</v>
      </c>
      <c r="F72" s="50">
        <f t="shared" si="10"/>
        <v>639.4192175538162</v>
      </c>
      <c r="G72" s="50">
        <f t="shared" si="10"/>
        <v>599.8406155164748</v>
      </c>
      <c r="H72" s="50">
        <f t="shared" si="10"/>
        <v>718.7359854323779</v>
      </c>
      <c r="I72" s="50">
        <f t="shared" si="10"/>
        <v>585.9383672073311</v>
      </c>
    </row>
    <row r="73" spans="1:9" ht="14.25">
      <c r="A73" s="43" t="str">
        <f>HLOOKUP(INDICE!$F$2,Nombres!$C$3:$D$636,44,FALSE)</f>
        <v>Deterioro de activos financieros no valorados a valor razonable con cambios en resultados</v>
      </c>
      <c r="B73" s="44">
        <v>-152.97937248471578</v>
      </c>
      <c r="C73" s="44">
        <v>-113.10063872672177</v>
      </c>
      <c r="D73" s="44">
        <v>-241.53538355354974</v>
      </c>
      <c r="E73" s="45">
        <v>-208.10421388387925</v>
      </c>
      <c r="F73" s="44">
        <v>-337.75863719904294</v>
      </c>
      <c r="G73" s="44">
        <v>-211.81532008942253</v>
      </c>
      <c r="H73" s="44">
        <v>-91.884526551493</v>
      </c>
      <c r="I73" s="44">
        <v>-253.50951617004148</v>
      </c>
    </row>
    <row r="74" spans="1:9" ht="14.25">
      <c r="A74" s="43" t="str">
        <f>HLOOKUP(INDICE!$F$2,Nombres!$C$3:$D$636,45,FALSE)</f>
        <v>Provisiones o reversión de provisiones y otros resultados</v>
      </c>
      <c r="B74" s="44">
        <v>-0.9548419223871214</v>
      </c>
      <c r="C74" s="44">
        <v>-15.791259098766352</v>
      </c>
      <c r="D74" s="44">
        <v>-10.360731976406793</v>
      </c>
      <c r="E74" s="45">
        <v>-73.99174847301146</v>
      </c>
      <c r="F74" s="44">
        <v>-16.93387453285748</v>
      </c>
      <c r="G74" s="44">
        <v>-37.05786584660755</v>
      </c>
      <c r="H74" s="44">
        <v>-12.012631025378148</v>
      </c>
      <c r="I74" s="44">
        <v>-60.71862860515681</v>
      </c>
    </row>
    <row r="75" spans="1:9" ht="14.25">
      <c r="A75" s="41" t="str">
        <f>HLOOKUP(INDICE!$F$2,Nombres!$C$3:$D$636,46,FALSE)</f>
        <v>Resultado antes de impuestos</v>
      </c>
      <c r="B75" s="41">
        <f>+B72+B73+B74</f>
        <v>279.332457818573</v>
      </c>
      <c r="C75" s="41">
        <f aca="true" t="shared" si="11" ref="C75:I75">+C72+C73+C74</f>
        <v>293.6431248702805</v>
      </c>
      <c r="D75" s="41">
        <f t="shared" si="11"/>
        <v>200.74523902549666</v>
      </c>
      <c r="E75" s="42">
        <f t="shared" si="11"/>
        <v>285.95601745413194</v>
      </c>
      <c r="F75" s="50">
        <f t="shared" si="11"/>
        <v>284.7267058219158</v>
      </c>
      <c r="G75" s="50">
        <f t="shared" si="11"/>
        <v>350.96742958044473</v>
      </c>
      <c r="H75" s="50">
        <f t="shared" si="11"/>
        <v>614.8388278555068</v>
      </c>
      <c r="I75" s="50">
        <f t="shared" si="11"/>
        <v>271.7102224321328</v>
      </c>
    </row>
    <row r="76" spans="1:9" ht="14.25">
      <c r="A76" s="43" t="str">
        <f>HLOOKUP(INDICE!$F$2,Nombres!$C$3:$D$636,47,FALSE)</f>
        <v>Impuesto sobre beneficios</v>
      </c>
      <c r="B76" s="44">
        <v>-60.24382718591955</v>
      </c>
      <c r="C76" s="44">
        <v>-60.392042354220244</v>
      </c>
      <c r="D76" s="44">
        <v>-44.32384905841581</v>
      </c>
      <c r="E76" s="45">
        <v>-81.45739164733153</v>
      </c>
      <c r="F76" s="44">
        <v>-65.53894804892732</v>
      </c>
      <c r="G76" s="44">
        <v>-90.14211325952856</v>
      </c>
      <c r="H76" s="44">
        <v>-134.56720275425027</v>
      </c>
      <c r="I76" s="44">
        <v>-89.49849164729383</v>
      </c>
    </row>
    <row r="77" spans="1:9" ht="14.25">
      <c r="A77" s="41" t="str">
        <f>HLOOKUP(INDICE!$F$2,Nombres!$C$3:$D$636,48,FALSE)</f>
        <v>Resultado del ejercicio</v>
      </c>
      <c r="B77" s="41">
        <f>+B75+B76</f>
        <v>219.08863063265346</v>
      </c>
      <c r="C77" s="41">
        <f aca="true" t="shared" si="12" ref="C77:I77">+C75+C76</f>
        <v>233.25108251606022</v>
      </c>
      <c r="D77" s="41">
        <f t="shared" si="12"/>
        <v>156.42138996708084</v>
      </c>
      <c r="E77" s="42">
        <f t="shared" si="12"/>
        <v>204.49862580680042</v>
      </c>
      <c r="F77" s="50">
        <f t="shared" si="12"/>
        <v>219.18775777298848</v>
      </c>
      <c r="G77" s="50">
        <f t="shared" si="12"/>
        <v>260.82531632091616</v>
      </c>
      <c r="H77" s="50">
        <f t="shared" si="12"/>
        <v>480.2716251012565</v>
      </c>
      <c r="I77" s="50">
        <f t="shared" si="12"/>
        <v>182.21173078483898</v>
      </c>
    </row>
    <row r="78" spans="1:9" ht="14.25">
      <c r="A78" s="43" t="str">
        <f>HLOOKUP(INDICE!$F$2,Nombres!$C$3:$D$636,49,FALSE)</f>
        <v>Minoritarios</v>
      </c>
      <c r="B78" s="44">
        <v>-111.55483542527992</v>
      </c>
      <c r="C78" s="44">
        <v>-118.33523502737339</v>
      </c>
      <c r="D78" s="44">
        <v>-79.91603300827674</v>
      </c>
      <c r="E78" s="45">
        <v>-103.92421539527544</v>
      </c>
      <c r="F78" s="44">
        <v>-111.31612294938388</v>
      </c>
      <c r="G78" s="44">
        <v>-132.17370456300924</v>
      </c>
      <c r="H78" s="44">
        <v>-242.5065835359665</v>
      </c>
      <c r="I78" s="44">
        <v>-93.20558896164036</v>
      </c>
    </row>
    <row r="79" spans="1:9" ht="14.25">
      <c r="A79" s="47" t="str">
        <f>HLOOKUP(INDICE!$F$2,Nombres!$C$3:$D$636,50,FALSE)</f>
        <v>Resultado atribuido</v>
      </c>
      <c r="B79" s="47">
        <f>+B77+B78</f>
        <v>107.53379520737354</v>
      </c>
      <c r="C79" s="47">
        <f aca="true" t="shared" si="13" ref="C79:I79">+C77+C78</f>
        <v>114.91584748868684</v>
      </c>
      <c r="D79" s="47">
        <f t="shared" si="13"/>
        <v>76.5053569588041</v>
      </c>
      <c r="E79" s="47">
        <f t="shared" si="13"/>
        <v>100.57441041152498</v>
      </c>
      <c r="F79" s="51">
        <f t="shared" si="13"/>
        <v>107.8716348236046</v>
      </c>
      <c r="G79" s="51">
        <f t="shared" si="13"/>
        <v>128.65161175790692</v>
      </c>
      <c r="H79" s="51">
        <f t="shared" si="13"/>
        <v>237.76504156529</v>
      </c>
      <c r="I79" s="51">
        <f t="shared" si="13"/>
        <v>89.00614182319862</v>
      </c>
    </row>
    <row r="80" spans="1:9" ht="14.25">
      <c r="A80" s="63"/>
      <c r="B80" s="64">
        <v>1.7053025658242404E-13</v>
      </c>
      <c r="C80" s="64">
        <v>0</v>
      </c>
      <c r="D80" s="64">
        <v>0</v>
      </c>
      <c r="E80" s="64">
        <v>1.4210854715202004E-13</v>
      </c>
      <c r="F80" s="64">
        <v>1.1368683772161603E-13</v>
      </c>
      <c r="G80" s="64">
        <v>0</v>
      </c>
      <c r="H80" s="64">
        <v>2.2737367544323206E-13</v>
      </c>
      <c r="I80" s="64">
        <v>0</v>
      </c>
    </row>
    <row r="81" spans="1:9" ht="14.25">
      <c r="A81" s="41"/>
      <c r="B81" s="41"/>
      <c r="C81" s="41"/>
      <c r="D81" s="41"/>
      <c r="E81" s="41"/>
      <c r="F81" s="50"/>
      <c r="G81" s="50"/>
      <c r="H81" s="50"/>
      <c r="I81" s="50"/>
    </row>
    <row r="82" spans="1:9" ht="16.5">
      <c r="A82" s="33" t="str">
        <f>HLOOKUP(INDICE!$F$2,Nombres!$C$3:$D$636,51,FALSE)</f>
        <v>Balances</v>
      </c>
      <c r="B82" s="34"/>
      <c r="C82" s="34"/>
      <c r="D82" s="34"/>
      <c r="E82" s="34"/>
      <c r="F82" s="70"/>
      <c r="G82" s="70"/>
      <c r="H82" s="70"/>
      <c r="I82" s="70"/>
    </row>
    <row r="83" spans="1:9" ht="14.25">
      <c r="A83" s="35" t="str">
        <f>HLOOKUP(INDICE!$F$2,Nombres!$C$3:$D$636,73,FALSE)</f>
        <v>(Millones de euros constantes)</v>
      </c>
      <c r="B83" s="30"/>
      <c r="C83" s="52"/>
      <c r="D83" s="52"/>
      <c r="E83" s="52"/>
      <c r="F83" s="71"/>
      <c r="G83" s="44"/>
      <c r="H83" s="44"/>
      <c r="I83" s="44"/>
    </row>
    <row r="84" spans="1:9" ht="14.25">
      <c r="A84" s="30"/>
      <c r="B84" s="53">
        <f aca="true" t="shared" si="14" ref="B84:I84">+B$30</f>
        <v>43555</v>
      </c>
      <c r="C84" s="53">
        <f t="shared" si="14"/>
        <v>43646</v>
      </c>
      <c r="D84" s="53">
        <f t="shared" si="14"/>
        <v>43738</v>
      </c>
      <c r="E84" s="69">
        <f t="shared" si="14"/>
        <v>43830</v>
      </c>
      <c r="F84" s="53">
        <f t="shared" si="14"/>
        <v>43921</v>
      </c>
      <c r="G84" s="53">
        <f t="shared" si="14"/>
        <v>44012</v>
      </c>
      <c r="H84" s="53">
        <f t="shared" si="14"/>
        <v>44104</v>
      </c>
      <c r="I84" s="53">
        <f t="shared" si="14"/>
        <v>44196</v>
      </c>
    </row>
    <row r="85" spans="1:9" ht="14.25">
      <c r="A85" s="43" t="str">
        <f>HLOOKUP(INDICE!$F$2,Nombres!$C$3:$D$636,52,FALSE)</f>
        <v>Efectivo, saldos en efectivo en bancos centrales y otros depósitos a la vista</v>
      </c>
      <c r="B85" s="44">
        <v>4992.672684305619</v>
      </c>
      <c r="C85" s="44">
        <v>5538.278170824105</v>
      </c>
      <c r="D85" s="44">
        <v>4749.281821215734</v>
      </c>
      <c r="E85" s="45">
        <v>4023.981460033717</v>
      </c>
      <c r="F85" s="44">
        <v>4107.371167958599</v>
      </c>
      <c r="G85" s="44">
        <v>4623.64510794609</v>
      </c>
      <c r="H85" s="44">
        <v>5501.745380697071</v>
      </c>
      <c r="I85" s="44">
        <v>5477.186000000001</v>
      </c>
    </row>
    <row r="86" spans="1:9" ht="14.25">
      <c r="A86" s="43" t="str">
        <f>HLOOKUP(INDICE!$F$2,Nombres!$C$3:$D$636,53,FALSE)</f>
        <v>Activos financieros a valor razonable</v>
      </c>
      <c r="B86" s="58">
        <v>3897.580145736754</v>
      </c>
      <c r="C86" s="58">
        <v>3787.2267350325797</v>
      </c>
      <c r="D86" s="58">
        <v>3777.466805018796</v>
      </c>
      <c r="E86" s="66">
        <v>3864.0653898813766</v>
      </c>
      <c r="F86" s="44">
        <v>4000.3730605088167</v>
      </c>
      <c r="G86" s="44">
        <v>4811.537767820441</v>
      </c>
      <c r="H86" s="44">
        <v>5421.474769708764</v>
      </c>
      <c r="I86" s="44">
        <v>5331.522999999999</v>
      </c>
    </row>
    <row r="87" spans="1:9" ht="14.25">
      <c r="A87" s="43" t="str">
        <f>HLOOKUP(INDICE!$F$2,Nombres!$C$3:$D$636,54,FALSE)</f>
        <v>Activos financieros a coste amortizado</v>
      </c>
      <c r="B87" s="44">
        <v>35963.07965913337</v>
      </c>
      <c r="C87" s="44">
        <v>35387.56158049811</v>
      </c>
      <c r="D87" s="44">
        <v>35005.201964891814</v>
      </c>
      <c r="E87" s="45">
        <v>37616.49805550754</v>
      </c>
      <c r="F87" s="44">
        <v>40220.21614111886</v>
      </c>
      <c r="G87" s="44">
        <v>42182.193161593146</v>
      </c>
      <c r="H87" s="44">
        <v>45181.34105228823</v>
      </c>
      <c r="I87" s="44">
        <v>46705.471999999994</v>
      </c>
    </row>
    <row r="88" spans="1:9" ht="14.25">
      <c r="A88" s="43" t="str">
        <f>HLOOKUP(INDICE!$F$2,Nombres!$C$3:$D$636,55,FALSE)</f>
        <v>    de los que préstamos y anticipos a la clientela</v>
      </c>
      <c r="B88" s="44">
        <v>29258.10921963469</v>
      </c>
      <c r="C88" s="44">
        <v>28303.518850137698</v>
      </c>
      <c r="D88" s="44">
        <v>27513.519113092396</v>
      </c>
      <c r="E88" s="45">
        <v>29705.941359030825</v>
      </c>
      <c r="F88" s="44">
        <v>31564.33573547757</v>
      </c>
      <c r="G88" s="44">
        <v>34700.35372217758</v>
      </c>
      <c r="H88" s="44">
        <v>36740.30745387056</v>
      </c>
      <c r="I88" s="44">
        <v>37295.429000000004</v>
      </c>
    </row>
    <row r="89" spans="1:9" ht="14.25">
      <c r="A89" s="43" t="str">
        <f>HLOOKUP(INDICE!$F$2,Nombres!$C$3:$D$636,56,FALSE)</f>
        <v>Activos tangibles</v>
      </c>
      <c r="B89" s="44">
        <v>810.3099414934129</v>
      </c>
      <c r="C89" s="44">
        <v>813.033837772597</v>
      </c>
      <c r="D89" s="44">
        <v>798.9572302732936</v>
      </c>
      <c r="E89" s="45">
        <v>819.6653039500441</v>
      </c>
      <c r="F89" s="44">
        <v>817.2129712945846</v>
      </c>
      <c r="G89" s="44">
        <v>793.474963920514</v>
      </c>
      <c r="H89" s="44">
        <v>825.7234417458993</v>
      </c>
      <c r="I89" s="44">
        <v>900.807</v>
      </c>
    </row>
    <row r="90" spans="1:9" ht="14.25">
      <c r="A90" s="43" t="str">
        <f>HLOOKUP(INDICE!$F$2,Nombres!$C$3:$D$636,57,FALSE)</f>
        <v>Otros activos</v>
      </c>
      <c r="B90" s="58">
        <f>+B91-B89-B87-B86-B85</f>
        <v>1072.8744986262964</v>
      </c>
      <c r="C90" s="58">
        <f aca="true" t="shared" si="15" ref="C90:I90">+C91-C89-C87-C86-C85</f>
        <v>1044.114856141935</v>
      </c>
      <c r="D90" s="58">
        <f t="shared" si="15"/>
        <v>982.810131415692</v>
      </c>
      <c r="E90" s="66">
        <f t="shared" si="15"/>
        <v>923.8330813844536</v>
      </c>
      <c r="F90" s="44">
        <f t="shared" si="15"/>
        <v>1071.3854691385086</v>
      </c>
      <c r="G90" s="44">
        <f t="shared" si="15"/>
        <v>1097.08484603545</v>
      </c>
      <c r="H90" s="44">
        <f t="shared" si="15"/>
        <v>1107.9041686106693</v>
      </c>
      <c r="I90" s="44">
        <f t="shared" si="15"/>
        <v>1170.139021570004</v>
      </c>
    </row>
    <row r="91" spans="1:9" ht="14.25">
      <c r="A91" s="47" t="str">
        <f>HLOOKUP(INDICE!$F$2,Nombres!$C$3:$D$636,58,FALSE)</f>
        <v>Total activo / pasivo</v>
      </c>
      <c r="B91" s="47">
        <v>46736.51692929545</v>
      </c>
      <c r="C91" s="47">
        <v>46570.21518026933</v>
      </c>
      <c r="D91" s="47">
        <v>45313.71795281533</v>
      </c>
      <c r="E91" s="47">
        <v>47248.04329075713</v>
      </c>
      <c r="F91" s="47">
        <v>50216.55881001936</v>
      </c>
      <c r="G91" s="47">
        <v>53507.93584731564</v>
      </c>
      <c r="H91" s="47">
        <v>58038.188813050634</v>
      </c>
      <c r="I91" s="47">
        <v>59585.12702157</v>
      </c>
    </row>
    <row r="92" spans="1:9" ht="14.25">
      <c r="A92" s="43" t="str">
        <f>HLOOKUP(INDICE!$F$2,Nombres!$C$3:$D$636,59,FALSE)</f>
        <v>Pasivos financieros mantenidos para negociar y designados a valor razonable con cambios en resultados</v>
      </c>
      <c r="B92" s="58">
        <v>1247.4928507134084</v>
      </c>
      <c r="C92" s="58">
        <v>1639.3339753773137</v>
      </c>
      <c r="D92" s="58">
        <v>1680.2715509439677</v>
      </c>
      <c r="E92" s="66">
        <v>1601.7176217591214</v>
      </c>
      <c r="F92" s="44">
        <v>1847.3728153219622</v>
      </c>
      <c r="G92" s="44">
        <v>1894.1126942434112</v>
      </c>
      <c r="H92" s="44">
        <v>2160.5759265160514</v>
      </c>
      <c r="I92" s="44">
        <v>2335.963</v>
      </c>
    </row>
    <row r="93" spans="1:9" ht="14.25">
      <c r="A93" s="43" t="str">
        <f>HLOOKUP(INDICE!$F$2,Nombres!$C$3:$D$636,60,FALSE)</f>
        <v>Depósitos de bancos centrales y entidades de crédito</v>
      </c>
      <c r="B93" s="58">
        <v>4838.705907401548</v>
      </c>
      <c r="C93" s="58">
        <v>3933.0883112252013</v>
      </c>
      <c r="D93" s="58">
        <v>3331.9989865704115</v>
      </c>
      <c r="E93" s="66">
        <v>3280.7773130118903</v>
      </c>
      <c r="F93" s="44">
        <v>3490.909926295112</v>
      </c>
      <c r="G93" s="44">
        <v>4693.117557035901</v>
      </c>
      <c r="H93" s="44">
        <v>3720.6693731974137</v>
      </c>
      <c r="I93" s="44">
        <v>3380.7119999999995</v>
      </c>
    </row>
    <row r="94" spans="1:9" ht="14.25">
      <c r="A94" s="43" t="str">
        <f>HLOOKUP(INDICE!$F$2,Nombres!$C$3:$D$636,61,FALSE)</f>
        <v>Depósitos de la clientela</v>
      </c>
      <c r="B94" s="58">
        <v>28227.191609334128</v>
      </c>
      <c r="C94" s="58">
        <v>28425.720966870846</v>
      </c>
      <c r="D94" s="58">
        <v>28103.95039017732</v>
      </c>
      <c r="E94" s="66">
        <v>30318.226935785202</v>
      </c>
      <c r="F94" s="44">
        <v>32467.442147237034</v>
      </c>
      <c r="G94" s="44">
        <v>33803.685916402974</v>
      </c>
      <c r="H94" s="44">
        <v>38071.41374382228</v>
      </c>
      <c r="I94" s="44">
        <v>39353.42600000001</v>
      </c>
    </row>
    <row r="95" spans="1:9" ht="14.25">
      <c r="A95" s="43" t="str">
        <f>HLOOKUP(INDICE!$F$2,Nombres!$C$3:$D$636,62,FALSE)</f>
        <v>Valores representativos de deuda emitidos</v>
      </c>
      <c r="B95" s="44">
        <v>4410.677418236228</v>
      </c>
      <c r="C95" s="44">
        <v>4177.820347799105</v>
      </c>
      <c r="D95" s="44">
        <v>3263.3427746337143</v>
      </c>
      <c r="E95" s="45">
        <v>3132.642439883656</v>
      </c>
      <c r="F95" s="44">
        <v>3321.974535835118</v>
      </c>
      <c r="G95" s="44">
        <v>3431.2270604752994</v>
      </c>
      <c r="H95" s="44">
        <v>3644.3626197328795</v>
      </c>
      <c r="I95" s="44">
        <v>3503.3809999999994</v>
      </c>
    </row>
    <row r="96" spans="1:9" ht="14.25">
      <c r="A96" s="43" t="str">
        <f>HLOOKUP(INDICE!$F$2,Nombres!$C$3:$D$636,63,FALSE)</f>
        <v>Otros pasivos</v>
      </c>
      <c r="B96" s="58">
        <f>+B91-B92-B93-B94-B95-B97</f>
        <v>6116.9081022502</v>
      </c>
      <c r="C96" s="58">
        <f aca="true" t="shared" si="16" ref="C96:I96">+C91-C92-C93-C94-C95-C97</f>
        <v>6520.6559225037345</v>
      </c>
      <c r="D96" s="58">
        <f t="shared" si="16"/>
        <v>7189.198120045239</v>
      </c>
      <c r="E96" s="66">
        <f t="shared" si="16"/>
        <v>6954.5035762123225</v>
      </c>
      <c r="F96" s="44">
        <f t="shared" si="16"/>
        <v>6882.855056452956</v>
      </c>
      <c r="G96" s="44">
        <f t="shared" si="16"/>
        <v>7371.189979557388</v>
      </c>
      <c r="H96" s="44">
        <f t="shared" si="16"/>
        <v>7867.792885343462</v>
      </c>
      <c r="I96" s="44">
        <f t="shared" si="16"/>
        <v>8476.28832563999</v>
      </c>
    </row>
    <row r="97" spans="1:9" ht="14.25">
      <c r="A97" s="43" t="str">
        <f>HLOOKUP(INDICE!$F$2,Nombres!$C$3:$D$636,64,FALSE)</f>
        <v>Dotación de capital económico</v>
      </c>
      <c r="B97" s="44">
        <v>1895.5410413599386</v>
      </c>
      <c r="C97" s="44">
        <v>1873.595656493133</v>
      </c>
      <c r="D97" s="44">
        <v>1744.9561304446763</v>
      </c>
      <c r="E97" s="45">
        <v>1960.1754041049426</v>
      </c>
      <c r="F97" s="44">
        <v>2206.0043288771794</v>
      </c>
      <c r="G97" s="44">
        <v>2314.6026396006596</v>
      </c>
      <c r="H97" s="44">
        <v>2573.374264438542</v>
      </c>
      <c r="I97" s="44">
        <v>2535.3566959300006</v>
      </c>
    </row>
    <row r="98" spans="1:9" ht="14.25">
      <c r="A98" s="63"/>
      <c r="B98" s="58"/>
      <c r="C98" s="58"/>
      <c r="D98" s="58"/>
      <c r="E98" s="58"/>
      <c r="F98" s="44"/>
      <c r="G98" s="44"/>
      <c r="H98" s="44"/>
      <c r="I98" s="44"/>
    </row>
    <row r="99" spans="1:9" ht="14.25">
      <c r="A99" s="43"/>
      <c r="B99" s="58"/>
      <c r="C99" s="58"/>
      <c r="D99" s="58"/>
      <c r="E99" s="58"/>
      <c r="F99" s="44"/>
      <c r="G99" s="44"/>
      <c r="H99" s="44"/>
      <c r="I99" s="44"/>
    </row>
    <row r="100" spans="1:9" ht="16.5">
      <c r="A100" s="33" t="str">
        <f>HLOOKUP(INDICE!$F$2,Nombres!$C$3:$D$636,65,FALSE)</f>
        <v>Indicadores relevantes y de gestión</v>
      </c>
      <c r="B100" s="34"/>
      <c r="C100" s="34"/>
      <c r="D100" s="34"/>
      <c r="E100" s="34"/>
      <c r="F100" s="70"/>
      <c r="G100" s="70"/>
      <c r="H100" s="70"/>
      <c r="I100" s="70"/>
    </row>
    <row r="101" spans="1:9" ht="14.25">
      <c r="A101" s="35" t="str">
        <f>HLOOKUP(INDICE!$F$2,Nombres!$C$3:$D$636,73,FALSE)</f>
        <v>(Millones de euros constantes)</v>
      </c>
      <c r="B101" s="30"/>
      <c r="C101" s="30"/>
      <c r="D101" s="30"/>
      <c r="E101" s="30"/>
      <c r="F101" s="71"/>
      <c r="G101" s="44"/>
      <c r="H101" s="44"/>
      <c r="I101" s="44"/>
    </row>
    <row r="102" spans="1:9" ht="14.25">
      <c r="A102" s="30"/>
      <c r="B102" s="53">
        <f aca="true" t="shared" si="17" ref="B102:I102">+B$30</f>
        <v>43555</v>
      </c>
      <c r="C102" s="53">
        <f t="shared" si="17"/>
        <v>43646</v>
      </c>
      <c r="D102" s="53">
        <f t="shared" si="17"/>
        <v>43738</v>
      </c>
      <c r="E102" s="69">
        <f t="shared" si="17"/>
        <v>43830</v>
      </c>
      <c r="F102" s="53">
        <f t="shared" si="17"/>
        <v>43921</v>
      </c>
      <c r="G102" s="53">
        <f t="shared" si="17"/>
        <v>44012</v>
      </c>
      <c r="H102" s="53">
        <f t="shared" si="17"/>
        <v>44104</v>
      </c>
      <c r="I102" s="53">
        <f t="shared" si="17"/>
        <v>44196</v>
      </c>
    </row>
    <row r="103" spans="1:9" ht="14.25">
      <c r="A103" s="43" t="str">
        <f>HLOOKUP(INDICE!$F$2,Nombres!$C$3:$D$636,66,FALSE)</f>
        <v>Préstamos y anticipos a la clientela bruto (*)</v>
      </c>
      <c r="B103" s="44">
        <v>30894.702865929336</v>
      </c>
      <c r="C103" s="44">
        <v>29995.20406247065</v>
      </c>
      <c r="D103" s="44">
        <v>29351.969178307107</v>
      </c>
      <c r="E103" s="45">
        <v>31622.76015852425</v>
      </c>
      <c r="F103" s="44">
        <v>33828.21989625853</v>
      </c>
      <c r="G103" s="44">
        <v>37113.609522159175</v>
      </c>
      <c r="H103" s="44">
        <v>39340.67686723373</v>
      </c>
      <c r="I103" s="44">
        <v>39633.030999999995</v>
      </c>
    </row>
    <row r="104" spans="1:9" ht="14.25">
      <c r="A104" s="43" t="str">
        <f>HLOOKUP(INDICE!$F$2,Nombres!$C$3:$D$636,67,FALSE)</f>
        <v>Depósitos de clientes en gestión (**)</v>
      </c>
      <c r="B104" s="44">
        <v>28224.21184525823</v>
      </c>
      <c r="C104" s="44">
        <v>28423.107907813</v>
      </c>
      <c r="D104" s="44">
        <v>28101.801973677993</v>
      </c>
      <c r="E104" s="45">
        <v>30310.78722208731</v>
      </c>
      <c r="F104" s="44">
        <v>32460.97608024556</v>
      </c>
      <c r="G104" s="44">
        <v>33632.99332697666</v>
      </c>
      <c r="H104" s="44">
        <v>38066.391526355146</v>
      </c>
      <c r="I104" s="44">
        <v>39345.543000000005</v>
      </c>
    </row>
    <row r="105" spans="1:9" ht="14.25">
      <c r="A105" s="43" t="str">
        <f>HLOOKUP(INDICE!$F$2,Nombres!$C$3:$D$636,68,FALSE)</f>
        <v>Fondos de inversión</v>
      </c>
      <c r="B105" s="44">
        <v>527.279000122392</v>
      </c>
      <c r="C105" s="44">
        <v>628.3783847981713</v>
      </c>
      <c r="D105" s="44">
        <v>698.4674776314432</v>
      </c>
      <c r="E105" s="45">
        <v>1070.6945788299765</v>
      </c>
      <c r="F105" s="44">
        <v>1188.1629394944423</v>
      </c>
      <c r="G105" s="44">
        <v>1477.8490892130576</v>
      </c>
      <c r="H105" s="44">
        <v>1214.95428152468</v>
      </c>
      <c r="I105" s="44">
        <v>1087.446</v>
      </c>
    </row>
    <row r="106" spans="1:9" ht="14.25">
      <c r="A106" s="43" t="str">
        <f>HLOOKUP(INDICE!$F$2,Nombres!$C$3:$D$636,69,FALSE)</f>
        <v>Fondos de pensiones</v>
      </c>
      <c r="B106" s="44">
        <v>1818.8013460900263</v>
      </c>
      <c r="C106" s="44">
        <v>1520.6879820269942</v>
      </c>
      <c r="D106" s="44">
        <v>1636.4712493670952</v>
      </c>
      <c r="E106" s="45">
        <v>1794.2215889718564</v>
      </c>
      <c r="F106" s="44">
        <v>1866.3614011928635</v>
      </c>
      <c r="G106" s="44">
        <v>2069.7521991320764</v>
      </c>
      <c r="H106" s="44">
        <v>2210.7481785486693</v>
      </c>
      <c r="I106" s="44">
        <v>2337.185</v>
      </c>
    </row>
    <row r="107" spans="1:9" ht="14.25">
      <c r="A107" s="43" t="str">
        <f>HLOOKUP(INDICE!$F$2,Nombres!$C$3:$D$636,70,FALSE)</f>
        <v>Otros recursos fuera de balance</v>
      </c>
      <c r="B107" s="44">
        <v>0</v>
      </c>
      <c r="C107" s="44">
        <v>0</v>
      </c>
      <c r="D107" s="44">
        <v>0</v>
      </c>
      <c r="E107" s="45">
        <v>0</v>
      </c>
      <c r="F107" s="44">
        <v>0</v>
      </c>
      <c r="G107" s="44">
        <v>0</v>
      </c>
      <c r="H107" s="44">
        <v>0</v>
      </c>
      <c r="I107" s="44">
        <v>0</v>
      </c>
    </row>
    <row r="108" spans="1:9" ht="14.25">
      <c r="A108" s="63" t="str">
        <f>HLOOKUP(INDICE!$F$2,Nombres!$C$3:$D$636,71,FALSE)</f>
        <v>(*) No incluye las adquisiciones temporales de activos.</v>
      </c>
      <c r="B108" s="58"/>
      <c r="C108" s="58"/>
      <c r="D108" s="58"/>
      <c r="E108" s="58"/>
      <c r="F108" s="58"/>
      <c r="G108" s="58"/>
      <c r="H108" s="58"/>
      <c r="I108" s="58"/>
    </row>
    <row r="109" spans="1:9" ht="14.25">
      <c r="A109" s="63" t="str">
        <f>HLOOKUP(INDICE!$F$2,Nombres!$C$3:$D$636,72,FALSE)</f>
        <v>(**) No incluye las cesiones temporales de activos.</v>
      </c>
      <c r="B109" s="30"/>
      <c r="C109" s="30"/>
      <c r="D109" s="30"/>
      <c r="E109" s="30"/>
      <c r="F109" s="30"/>
      <c r="G109" s="30"/>
      <c r="H109" s="30"/>
      <c r="I109" s="30"/>
    </row>
    <row r="110" spans="1:9" ht="14.25">
      <c r="A110" s="63"/>
      <c r="B110" s="58"/>
      <c r="C110" s="44"/>
      <c r="D110" s="44"/>
      <c r="E110" s="44"/>
      <c r="F110" s="44"/>
      <c r="G110" s="30"/>
      <c r="H110" s="30"/>
      <c r="I110" s="30"/>
    </row>
    <row r="111" spans="1:9" ht="16.5">
      <c r="A111" s="33" t="str">
        <f>HLOOKUP(INDICE!$F$2,Nombres!$C$3:$D$636,31,FALSE)</f>
        <v>Cuenta de resultados  </v>
      </c>
      <c r="B111" s="34"/>
      <c r="C111" s="34"/>
      <c r="D111" s="34"/>
      <c r="E111" s="34"/>
      <c r="F111" s="34"/>
      <c r="G111" s="34"/>
      <c r="H111" s="34"/>
      <c r="I111" s="34"/>
    </row>
    <row r="112" spans="1:9" ht="14.25">
      <c r="A112" s="35" t="str">
        <f>HLOOKUP(INDICE!$F$2,Nombres!$C$3:$D$636,77,FALSE)</f>
        <v>(Millones de liras turcas)</v>
      </c>
      <c r="B112" s="30"/>
      <c r="C112" s="36"/>
      <c r="D112" s="36"/>
      <c r="E112" s="36"/>
      <c r="F112" s="30"/>
      <c r="G112" s="30"/>
      <c r="H112" s="30"/>
      <c r="I112" s="30"/>
    </row>
    <row r="113" spans="1:9" ht="14.25">
      <c r="A113" s="37"/>
      <c r="B113" s="30"/>
      <c r="C113" s="36"/>
      <c r="D113" s="36"/>
      <c r="E113" s="36"/>
      <c r="F113" s="30"/>
      <c r="G113" s="30"/>
      <c r="H113" s="30"/>
      <c r="I113" s="30"/>
    </row>
    <row r="114" spans="1:9" ht="14.25">
      <c r="A114" s="38"/>
      <c r="B114" s="308">
        <f>+B$6</f>
        <v>2019</v>
      </c>
      <c r="C114" s="308"/>
      <c r="D114" s="308"/>
      <c r="E114" s="309"/>
      <c r="F114" s="308">
        <f>+F$6</f>
        <v>2020</v>
      </c>
      <c r="G114" s="308"/>
      <c r="H114" s="308"/>
      <c r="I114" s="308"/>
    </row>
    <row r="115" spans="1:9" ht="14.25">
      <c r="A115" s="38"/>
      <c r="B115" s="39" t="str">
        <f>+B$7</f>
        <v>1er Trim.</v>
      </c>
      <c r="C115" s="39" t="str">
        <f aca="true" t="shared" si="18" ref="C115:I115">+C$7</f>
        <v>2º Trim.</v>
      </c>
      <c r="D115" s="39" t="str">
        <f t="shared" si="18"/>
        <v>3er Trim.</v>
      </c>
      <c r="E115" s="40" t="str">
        <f t="shared" si="18"/>
        <v>4º Trim.</v>
      </c>
      <c r="F115" s="39" t="str">
        <f t="shared" si="18"/>
        <v>1er Trim.</v>
      </c>
      <c r="G115" s="39" t="str">
        <f t="shared" si="18"/>
        <v>2º Trim.</v>
      </c>
      <c r="H115" s="39" t="str">
        <f t="shared" si="18"/>
        <v>3er Trim.</v>
      </c>
      <c r="I115" s="39" t="str">
        <f t="shared" si="18"/>
        <v>4º Trim.</v>
      </c>
    </row>
    <row r="116" spans="1:9" ht="14.25">
      <c r="A116" s="41" t="str">
        <f>HLOOKUP(INDICE!$F$2,Nombres!$C$3:$D$636,33,FALSE)</f>
        <v>Margen de intereses</v>
      </c>
      <c r="B116" s="41">
        <v>4245.151428001827</v>
      </c>
      <c r="C116" s="41">
        <v>4358.406224518666</v>
      </c>
      <c r="D116" s="41">
        <v>4262.51480694053</v>
      </c>
      <c r="E116" s="42">
        <v>5031.040769292655</v>
      </c>
      <c r="F116" s="50">
        <v>5525.709360561815</v>
      </c>
      <c r="G116" s="50">
        <v>5450.51967744717</v>
      </c>
      <c r="H116" s="50">
        <v>5877.039403665936</v>
      </c>
      <c r="I116" s="50">
        <v>5548.284980330708</v>
      </c>
    </row>
    <row r="117" spans="1:9" ht="14.25">
      <c r="A117" s="43" t="str">
        <f>HLOOKUP(INDICE!$F$2,Nombres!$C$3:$D$636,34,FALSE)</f>
        <v>Comisiones netas</v>
      </c>
      <c r="B117" s="44">
        <v>1185.6437677986146</v>
      </c>
      <c r="C117" s="44">
        <v>1104.0959179755932</v>
      </c>
      <c r="D117" s="44">
        <v>1179.5773559620338</v>
      </c>
      <c r="E117" s="45">
        <v>1089.634188915139</v>
      </c>
      <c r="F117" s="44">
        <v>1113.040433595595</v>
      </c>
      <c r="G117" s="44">
        <v>776.603256935037</v>
      </c>
      <c r="H117" s="44">
        <v>1083.892678594673</v>
      </c>
      <c r="I117" s="44">
        <v>1134.1738167189776</v>
      </c>
    </row>
    <row r="118" spans="1:9" ht="14.25">
      <c r="A118" s="43" t="str">
        <f>HLOOKUP(INDICE!$F$2,Nombres!$C$3:$D$636,35,FALSE)</f>
        <v>Resultados de operaciones financieras</v>
      </c>
      <c r="B118" s="44">
        <v>-67.15698838004649</v>
      </c>
      <c r="C118" s="44">
        <v>-349.10614478521484</v>
      </c>
      <c r="D118" s="44">
        <v>1.5316355240212083</v>
      </c>
      <c r="E118" s="45">
        <v>476.2337579966478</v>
      </c>
      <c r="F118" s="44">
        <v>450.73181572675435</v>
      </c>
      <c r="G118" s="44">
        <v>455.12874651422396</v>
      </c>
      <c r="H118" s="44">
        <v>659.6348344059381</v>
      </c>
      <c r="I118" s="44">
        <v>263.63212765466676</v>
      </c>
    </row>
    <row r="119" spans="1:9" ht="14.25">
      <c r="A119" s="43" t="str">
        <f>HLOOKUP(INDICE!$F$2,Nombres!$C$3:$D$636,36,FALSE)</f>
        <v>Otros ingresos y cargas de explotación</v>
      </c>
      <c r="B119" s="44">
        <v>35.7689937811265</v>
      </c>
      <c r="C119" s="44">
        <v>152.14513138501974</v>
      </c>
      <c r="D119" s="44">
        <v>44.1907055604285</v>
      </c>
      <c r="E119" s="45">
        <v>83.16500229965759</v>
      </c>
      <c r="F119" s="44">
        <v>147.45914609105978</v>
      </c>
      <c r="G119" s="44">
        <v>80.97158620957539</v>
      </c>
      <c r="H119" s="44">
        <v>157.12898847180443</v>
      </c>
      <c r="I119" s="44">
        <v>42.60280947410108</v>
      </c>
    </row>
    <row r="120" spans="1:9" ht="14.25">
      <c r="A120" s="41" t="str">
        <f>HLOOKUP(INDICE!$F$2,Nombres!$C$3:$D$636,37,FALSE)</f>
        <v>Margen bruto</v>
      </c>
      <c r="B120" s="41">
        <f>+SUM(B116:B119)</f>
        <v>5399.407201201521</v>
      </c>
      <c r="C120" s="41">
        <f aca="true" t="shared" si="19" ref="C120:I120">+SUM(C116:C119)</f>
        <v>5265.541129094063</v>
      </c>
      <c r="D120" s="41">
        <f t="shared" si="19"/>
        <v>5487.814503987014</v>
      </c>
      <c r="E120" s="42">
        <f t="shared" si="19"/>
        <v>6680.073718504099</v>
      </c>
      <c r="F120" s="50">
        <f t="shared" si="19"/>
        <v>7236.9407559752235</v>
      </c>
      <c r="G120" s="50">
        <f t="shared" si="19"/>
        <v>6763.2232671060065</v>
      </c>
      <c r="H120" s="50">
        <f t="shared" si="19"/>
        <v>7777.695905138352</v>
      </c>
      <c r="I120" s="50">
        <f t="shared" si="19"/>
        <v>6988.693734178454</v>
      </c>
    </row>
    <row r="121" spans="1:9" ht="14.25">
      <c r="A121" s="43" t="str">
        <f>HLOOKUP(INDICE!$F$2,Nombres!$C$3:$D$636,38,FALSE)</f>
        <v>Gastos de explotación</v>
      </c>
      <c r="B121" s="44">
        <v>-1911.551998771529</v>
      </c>
      <c r="C121" s="44">
        <v>-1864.0771541528206</v>
      </c>
      <c r="D121" s="44">
        <v>-1843.9904932196332</v>
      </c>
      <c r="E121" s="45">
        <v>-2107.178593991643</v>
      </c>
      <c r="F121" s="44">
        <v>-2089.529733054108</v>
      </c>
      <c r="G121" s="44">
        <v>-1934.4253336979107</v>
      </c>
      <c r="H121" s="44">
        <v>-1991.7741930288514</v>
      </c>
      <c r="I121" s="44">
        <v>-2271.810776462885</v>
      </c>
    </row>
    <row r="122" spans="1:9" ht="14.25">
      <c r="A122" s="43" t="str">
        <f>HLOOKUP(INDICE!$F$2,Nombres!$C$3:$D$636,39,FALSE)</f>
        <v>  Gastos de administración</v>
      </c>
      <c r="B122" s="44">
        <v>-1641.8668497484846</v>
      </c>
      <c r="C122" s="44">
        <v>-1587.6558754517118</v>
      </c>
      <c r="D122" s="44">
        <v>-1550.736612771629</v>
      </c>
      <c r="E122" s="45">
        <v>-1809.659121150784</v>
      </c>
      <c r="F122" s="44">
        <v>-1766.891481400519</v>
      </c>
      <c r="G122" s="44">
        <v>-1661.4693047774622</v>
      </c>
      <c r="H122" s="44">
        <v>-1686.7383922522617</v>
      </c>
      <c r="I122" s="44">
        <v>-1968.6873627383025</v>
      </c>
    </row>
    <row r="123" spans="1:9" ht="14.25">
      <c r="A123" s="46" t="str">
        <f>HLOOKUP(INDICE!$F$2,Nombres!$C$3:$D$636,40,FALSE)</f>
        <v>  Gastos de personal</v>
      </c>
      <c r="B123" s="44">
        <v>-1047.590086898048</v>
      </c>
      <c r="C123" s="44">
        <v>-1084.9572382367692</v>
      </c>
      <c r="D123" s="44">
        <v>-1080.0309252224733</v>
      </c>
      <c r="E123" s="45">
        <v>-1096.0371905032753</v>
      </c>
      <c r="F123" s="44">
        <v>-1057.3558821611712</v>
      </c>
      <c r="G123" s="44">
        <v>-1139.7965857686434</v>
      </c>
      <c r="H123" s="44">
        <v>-1126.739511472525</v>
      </c>
      <c r="I123" s="44">
        <v>-1191.6495734172322</v>
      </c>
    </row>
    <row r="124" spans="1:9" ht="14.25">
      <c r="A124" s="46" t="str">
        <f>HLOOKUP(INDICE!$F$2,Nombres!$C$3:$D$636,41,FALSE)</f>
        <v>  Otros gastos de administración</v>
      </c>
      <c r="B124" s="44">
        <v>-594.2767628504366</v>
      </c>
      <c r="C124" s="44">
        <v>-502.69863721494283</v>
      </c>
      <c r="D124" s="44">
        <v>-470.70568754915547</v>
      </c>
      <c r="E124" s="45">
        <v>-713.6219306475084</v>
      </c>
      <c r="F124" s="44">
        <v>-709.5355992393481</v>
      </c>
      <c r="G124" s="44">
        <v>-521.6727190088191</v>
      </c>
      <c r="H124" s="44">
        <v>-559.9988807797365</v>
      </c>
      <c r="I124" s="44">
        <v>-777.0377893210701</v>
      </c>
    </row>
    <row r="125" spans="1:9" ht="14.25">
      <c r="A125" s="43" t="str">
        <f>HLOOKUP(INDICE!$F$2,Nombres!$C$3:$D$636,42,FALSE)</f>
        <v>  Amortización</v>
      </c>
      <c r="B125" s="44">
        <v>-269.68514902304435</v>
      </c>
      <c r="C125" s="44">
        <v>-276.42127870110846</v>
      </c>
      <c r="D125" s="44">
        <v>-293.2538804480042</v>
      </c>
      <c r="E125" s="45">
        <v>-297.51947284085924</v>
      </c>
      <c r="F125" s="44">
        <v>-322.63825165358895</v>
      </c>
      <c r="G125" s="44">
        <v>-272.95602892044855</v>
      </c>
      <c r="H125" s="44">
        <v>-305.03580077658967</v>
      </c>
      <c r="I125" s="44">
        <v>-303.12341372458246</v>
      </c>
    </row>
    <row r="126" spans="1:9" ht="14.25">
      <c r="A126" s="41" t="str">
        <f>HLOOKUP(INDICE!$F$2,Nombres!$C$3:$D$636,43,FALSE)</f>
        <v>Margen neto</v>
      </c>
      <c r="B126" s="41">
        <f>+B120+B121</f>
        <v>3487.8552024299925</v>
      </c>
      <c r="C126" s="41">
        <f aca="true" t="shared" si="20" ref="C126:I126">+C120+C121</f>
        <v>3401.463974941242</v>
      </c>
      <c r="D126" s="41">
        <f t="shared" si="20"/>
        <v>3643.824010767381</v>
      </c>
      <c r="E126" s="42">
        <f t="shared" si="20"/>
        <v>4572.895124512455</v>
      </c>
      <c r="F126" s="50">
        <f t="shared" si="20"/>
        <v>5147.411022921116</v>
      </c>
      <c r="G126" s="50">
        <f t="shared" si="20"/>
        <v>4828.797933408096</v>
      </c>
      <c r="H126" s="50">
        <f t="shared" si="20"/>
        <v>5785.921712109501</v>
      </c>
      <c r="I126" s="50">
        <f t="shared" si="20"/>
        <v>4716.882957715569</v>
      </c>
    </row>
    <row r="127" spans="1:9" ht="14.25">
      <c r="A127" s="43" t="str">
        <f>HLOOKUP(INDICE!$F$2,Nombres!$C$3:$D$636,44,FALSE)</f>
        <v>Deterioro de activos financieros no valorados a valor razonable con cambios en resultados</v>
      </c>
      <c r="B127" s="44">
        <v>-1231.5046007216795</v>
      </c>
      <c r="C127" s="44">
        <v>-910.4754103396156</v>
      </c>
      <c r="D127" s="44">
        <v>-1944.392444889854</v>
      </c>
      <c r="E127" s="45">
        <v>-1675.267015840132</v>
      </c>
      <c r="F127" s="44">
        <v>-2719.002626878104</v>
      </c>
      <c r="G127" s="44">
        <v>-1705.1419217942005</v>
      </c>
      <c r="H127" s="44">
        <v>-739.6828431532653</v>
      </c>
      <c r="I127" s="44">
        <v>-2040.7858289608614</v>
      </c>
    </row>
    <row r="128" spans="1:9" ht="14.25">
      <c r="A128" s="43" t="str">
        <f>HLOOKUP(INDICE!$F$2,Nombres!$C$3:$D$636,45,FALSE)</f>
        <v>Provisiones o reversión de provisiones y otros resultados</v>
      </c>
      <c r="B128" s="44">
        <v>-7.686606378903512</v>
      </c>
      <c r="C128" s="44">
        <v>-127.121767565505</v>
      </c>
      <c r="D128" s="44">
        <v>-83.40529110919168</v>
      </c>
      <c r="E128" s="45">
        <v>-595.6435640959298</v>
      </c>
      <c r="F128" s="44">
        <v>-136.31997606305552</v>
      </c>
      <c r="G128" s="44">
        <v>-298.32082287815354</v>
      </c>
      <c r="H128" s="44">
        <v>-96.70330145983039</v>
      </c>
      <c r="I128" s="44">
        <v>-488.79315728813344</v>
      </c>
    </row>
    <row r="129" spans="1:9" ht="14.25">
      <c r="A129" s="41" t="str">
        <f>HLOOKUP(INDICE!$F$2,Nombres!$C$3:$D$636,46,FALSE)</f>
        <v>Resultado antes de impuestos</v>
      </c>
      <c r="B129" s="41">
        <f>+B126+B127+B128</f>
        <v>2248.6639953294093</v>
      </c>
      <c r="C129" s="41">
        <f aca="true" t="shared" si="21" ref="C129:I129">+C126+C127+C128</f>
        <v>2363.8667970361216</v>
      </c>
      <c r="D129" s="41">
        <f t="shared" si="21"/>
        <v>1616.0262747683353</v>
      </c>
      <c r="E129" s="42">
        <f t="shared" si="21"/>
        <v>2301.9845445763935</v>
      </c>
      <c r="F129" s="50">
        <f t="shared" si="21"/>
        <v>2292.088419979956</v>
      </c>
      <c r="G129" s="50">
        <f t="shared" si="21"/>
        <v>2825.3351887357417</v>
      </c>
      <c r="H129" s="50">
        <f t="shared" si="21"/>
        <v>4949.535567496406</v>
      </c>
      <c r="I129" s="50">
        <f t="shared" si="21"/>
        <v>2187.3039714665747</v>
      </c>
    </row>
    <row r="130" spans="1:9" ht="14.25">
      <c r="A130" s="43" t="str">
        <f>HLOOKUP(INDICE!$F$2,Nombres!$C$3:$D$636,47,FALSE)</f>
        <v>Impuesto sobre beneficios</v>
      </c>
      <c r="B130" s="44">
        <v>-484.970941765068</v>
      </c>
      <c r="C130" s="44">
        <v>-486.1640938789408</v>
      </c>
      <c r="D130" s="44">
        <v>-356.81296864115444</v>
      </c>
      <c r="E130" s="45">
        <v>-655.7429995112509</v>
      </c>
      <c r="F130" s="44">
        <v>-527.5973795537503</v>
      </c>
      <c r="G130" s="44">
        <v>-725.6561809271067</v>
      </c>
      <c r="H130" s="44">
        <v>-1083.2841487479855</v>
      </c>
      <c r="I130" s="44">
        <v>-720.474940059681</v>
      </c>
    </row>
    <row r="131" spans="1:9" ht="14.25">
      <c r="A131" s="41" t="str">
        <f>HLOOKUP(INDICE!$F$2,Nombres!$C$3:$D$636,48,FALSE)</f>
        <v>Resultado del ejercicio</v>
      </c>
      <c r="B131" s="41">
        <f>+B129+B130</f>
        <v>1763.6930535643414</v>
      </c>
      <c r="C131" s="41">
        <f aca="true" t="shared" si="22" ref="C131:I131">+C129+C130</f>
        <v>1877.7027031571808</v>
      </c>
      <c r="D131" s="41">
        <f t="shared" si="22"/>
        <v>1259.2133061271809</v>
      </c>
      <c r="E131" s="42">
        <f t="shared" si="22"/>
        <v>1646.2415450651426</v>
      </c>
      <c r="F131" s="50">
        <f t="shared" si="22"/>
        <v>1764.491040426206</v>
      </c>
      <c r="G131" s="50">
        <f t="shared" si="22"/>
        <v>2099.679007808635</v>
      </c>
      <c r="H131" s="50">
        <f t="shared" si="22"/>
        <v>3866.2514187484203</v>
      </c>
      <c r="I131" s="50">
        <f t="shared" si="22"/>
        <v>1466.8290314068936</v>
      </c>
    </row>
    <row r="132" spans="1:9" ht="14.25">
      <c r="A132" s="43" t="str">
        <f>HLOOKUP(INDICE!$F$2,Nombres!$C$3:$D$636,49,FALSE)</f>
        <v>Minoritarios</v>
      </c>
      <c r="B132" s="44">
        <v>-898.0314850795178</v>
      </c>
      <c r="C132" s="44">
        <v>-952.6146172305131</v>
      </c>
      <c r="D132" s="44">
        <v>-643.334854383399</v>
      </c>
      <c r="E132" s="45">
        <v>-836.6039637040565</v>
      </c>
      <c r="F132" s="44">
        <v>-896.1098174223639</v>
      </c>
      <c r="G132" s="44">
        <v>-1064.0161651861697</v>
      </c>
      <c r="H132" s="44">
        <v>-1952.2107358603337</v>
      </c>
      <c r="I132" s="44">
        <v>-750.317573898415</v>
      </c>
    </row>
    <row r="133" spans="1:9" ht="14.25">
      <c r="A133" s="47" t="str">
        <f>HLOOKUP(INDICE!$F$2,Nombres!$C$3:$D$636,50,FALSE)</f>
        <v>Resultado atribuido</v>
      </c>
      <c r="B133" s="47">
        <f>+B131+B132</f>
        <v>865.6615684848236</v>
      </c>
      <c r="C133" s="47">
        <f aca="true" t="shared" si="23" ref="C133:I133">+C131+C132</f>
        <v>925.0880859266678</v>
      </c>
      <c r="D133" s="47">
        <f t="shared" si="23"/>
        <v>615.8784517437819</v>
      </c>
      <c r="E133" s="47">
        <f t="shared" si="23"/>
        <v>809.6375813610862</v>
      </c>
      <c r="F133" s="51">
        <f t="shared" si="23"/>
        <v>868.381223003842</v>
      </c>
      <c r="G133" s="51">
        <f t="shared" si="23"/>
        <v>1035.6628426224654</v>
      </c>
      <c r="H133" s="51">
        <f t="shared" si="23"/>
        <v>1914.0406828880866</v>
      </c>
      <c r="I133" s="51">
        <f t="shared" si="23"/>
        <v>716.5114575084785</v>
      </c>
    </row>
    <row r="134" spans="1:9" ht="14.25">
      <c r="A134" s="63"/>
      <c r="B134" s="64">
        <v>-1.1368683772161603E-12</v>
      </c>
      <c r="C134" s="64">
        <v>-1.9326762412674725E-12</v>
      </c>
      <c r="D134" s="64">
        <v>0</v>
      </c>
      <c r="E134" s="64">
        <v>0</v>
      </c>
      <c r="F134" s="64">
        <v>-9.094947017729282E-13</v>
      </c>
      <c r="G134" s="64">
        <v>0</v>
      </c>
      <c r="H134" s="64">
        <v>1.8189894035458565E-12</v>
      </c>
      <c r="I134" s="64">
        <v>9.094947017729282E-13</v>
      </c>
    </row>
    <row r="135" spans="1:9" ht="14.25">
      <c r="A135" s="41"/>
      <c r="B135" s="41"/>
      <c r="C135" s="41"/>
      <c r="D135" s="41"/>
      <c r="E135" s="41"/>
      <c r="F135" s="50"/>
      <c r="G135" s="50"/>
      <c r="H135" s="50"/>
      <c r="I135" s="50"/>
    </row>
    <row r="136" spans="1:9" ht="16.5">
      <c r="A136" s="33" t="str">
        <f>HLOOKUP(INDICE!$F$2,Nombres!$C$3:$D$636,51,FALSE)</f>
        <v>Balances</v>
      </c>
      <c r="B136" s="34"/>
      <c r="C136" s="34"/>
      <c r="D136" s="34"/>
      <c r="E136" s="34"/>
      <c r="F136" s="70"/>
      <c r="G136" s="70"/>
      <c r="H136" s="70"/>
      <c r="I136" s="70"/>
    </row>
    <row r="137" spans="1:9" ht="14.25">
      <c r="A137" s="35" t="str">
        <f>HLOOKUP(INDICE!$F$2,Nombres!$C$3:$D$636,77,FALSE)</f>
        <v>(Millones de liras turcas)</v>
      </c>
      <c r="B137" s="30"/>
      <c r="C137" s="52"/>
      <c r="D137" s="52"/>
      <c r="E137" s="52"/>
      <c r="F137" s="71"/>
      <c r="G137" s="44"/>
      <c r="H137" s="44"/>
      <c r="I137" s="44"/>
    </row>
    <row r="138" spans="1:9" ht="14.25">
      <c r="A138" s="30"/>
      <c r="B138" s="53">
        <f aca="true" t="shared" si="24" ref="B138:I138">+B$30</f>
        <v>43555</v>
      </c>
      <c r="C138" s="53">
        <f t="shared" si="24"/>
        <v>43646</v>
      </c>
      <c r="D138" s="53">
        <f t="shared" si="24"/>
        <v>43738</v>
      </c>
      <c r="E138" s="69">
        <f t="shared" si="24"/>
        <v>43830</v>
      </c>
      <c r="F138" s="53">
        <f t="shared" si="24"/>
        <v>43921</v>
      </c>
      <c r="G138" s="53">
        <f t="shared" si="24"/>
        <v>44012</v>
      </c>
      <c r="H138" s="53">
        <f t="shared" si="24"/>
        <v>44104</v>
      </c>
      <c r="I138" s="53">
        <f t="shared" si="24"/>
        <v>44196</v>
      </c>
    </row>
    <row r="139" spans="1:9" ht="14.25">
      <c r="A139" s="43" t="str">
        <f>HLOOKUP(INDICE!$F$2,Nombres!$C$3:$D$636,52,FALSE)</f>
        <v>Efectivo, saldos en efectivo en bancos centrales y otros depósitos a la vista</v>
      </c>
      <c r="B139" s="44">
        <v>45498.72543930164</v>
      </c>
      <c r="C139" s="44">
        <v>50470.88279848846</v>
      </c>
      <c r="D139" s="44">
        <v>43280.68016487936</v>
      </c>
      <c r="E139" s="45">
        <v>36670.94544339789</v>
      </c>
      <c r="F139" s="44">
        <v>37430.8841906874</v>
      </c>
      <c r="G139" s="44">
        <v>42135.74023318286</v>
      </c>
      <c r="H139" s="44">
        <v>50137.955828782106</v>
      </c>
      <c r="I139" s="44">
        <v>49914.14373655185</v>
      </c>
    </row>
    <row r="140" spans="1:9" ht="14.25">
      <c r="A140" s="43" t="str">
        <f>HLOOKUP(INDICE!$F$2,Nombres!$C$3:$D$636,53,FALSE)</f>
        <v>Activos financieros a valor razonable</v>
      </c>
      <c r="B140" s="58">
        <v>35519.03762607935</v>
      </c>
      <c r="C140" s="58">
        <v>34513.3759589921</v>
      </c>
      <c r="D140" s="58">
        <v>34424.43274078358</v>
      </c>
      <c r="E140" s="66">
        <v>35213.614304494</v>
      </c>
      <c r="F140" s="44">
        <v>36455.79973768773</v>
      </c>
      <c r="G140" s="44">
        <v>43848.02483188216</v>
      </c>
      <c r="H140" s="44">
        <v>49406.441723785276</v>
      </c>
      <c r="I140" s="44">
        <v>48586.702251253126</v>
      </c>
    </row>
    <row r="141" spans="1:9" ht="14.25">
      <c r="A141" s="43" t="str">
        <f>HLOOKUP(INDICE!$F$2,Nombres!$C$3:$D$636,54,FALSE)</f>
        <v>Activos financieros a coste amortizado</v>
      </c>
      <c r="B141" s="44">
        <v>327735.1412413321</v>
      </c>
      <c r="C141" s="44">
        <v>322490.3874389263</v>
      </c>
      <c r="D141" s="44">
        <v>319005.9060259479</v>
      </c>
      <c r="E141" s="45">
        <v>342802.9084293151</v>
      </c>
      <c r="F141" s="44">
        <v>366530.85171527666</v>
      </c>
      <c r="G141" s="44">
        <v>384410.5445005436</v>
      </c>
      <c r="H141" s="44">
        <v>411742.0791432106</v>
      </c>
      <c r="I141" s="44">
        <v>425631.6368827893</v>
      </c>
    </row>
    <row r="142" spans="1:9" ht="14.25">
      <c r="A142" s="43" t="str">
        <f>HLOOKUP(INDICE!$F$2,Nombres!$C$3:$D$636,55,FALSE)</f>
        <v>    de los que préstamos y anticipos a la clientela</v>
      </c>
      <c r="B142" s="44">
        <v>266632.07512919564</v>
      </c>
      <c r="C142" s="44">
        <v>257932.79763294107</v>
      </c>
      <c r="D142" s="44">
        <v>250733.4510292804</v>
      </c>
      <c r="E142" s="45">
        <v>270713.2141987226</v>
      </c>
      <c r="F142" s="44">
        <v>287648.9479907032</v>
      </c>
      <c r="G142" s="44">
        <v>316227.7935052714</v>
      </c>
      <c r="H142" s="44">
        <v>334818.09585754486</v>
      </c>
      <c r="I142" s="44">
        <v>339876.97401957214</v>
      </c>
    </row>
    <row r="143" spans="1:9" ht="14.25">
      <c r="A143" s="43" t="str">
        <f>HLOOKUP(INDICE!$F$2,Nombres!$C$3:$D$636,56,FALSE)</f>
        <v>Activos tangibles</v>
      </c>
      <c r="B143" s="44">
        <v>7384.435527816496</v>
      </c>
      <c r="C143" s="44">
        <v>7409.258666998307</v>
      </c>
      <c r="D143" s="44">
        <v>7280.977135196528</v>
      </c>
      <c r="E143" s="45">
        <v>7469.691881419941</v>
      </c>
      <c r="F143" s="44">
        <v>7447.343528697495</v>
      </c>
      <c r="G143" s="44">
        <v>7231.016693697059</v>
      </c>
      <c r="H143" s="44">
        <v>7524.9002969672965</v>
      </c>
      <c r="I143" s="44">
        <v>8209.14427169208</v>
      </c>
    </row>
    <row r="144" spans="1:9" ht="14.25">
      <c r="A144" s="43" t="str">
        <f>HLOOKUP(INDICE!$F$2,Nombres!$C$3:$D$636,57,FALSE)</f>
        <v>Otros activos</v>
      </c>
      <c r="B144" s="58">
        <f>+B145-B143-B141-B140-B139</f>
        <v>9777.212593421791</v>
      </c>
      <c r="C144" s="58">
        <f aca="true" t="shared" si="25" ref="C144:I144">+C145-C143-C141-C140-C139</f>
        <v>9515.123095497867</v>
      </c>
      <c r="D144" s="58">
        <f t="shared" si="25"/>
        <v>8956.447008595715</v>
      </c>
      <c r="E144" s="66">
        <f t="shared" si="25"/>
        <v>8418.983253956554</v>
      </c>
      <c r="F144" s="44">
        <f t="shared" si="25"/>
        <v>9763.642918796686</v>
      </c>
      <c r="G144" s="44">
        <f t="shared" si="25"/>
        <v>9997.843910396019</v>
      </c>
      <c r="H144" s="44">
        <f t="shared" si="25"/>
        <v>10096.441478956061</v>
      </c>
      <c r="I144" s="44">
        <f t="shared" si="25"/>
        <v>10663.593917459439</v>
      </c>
    </row>
    <row r="145" spans="1:9" ht="14.25">
      <c r="A145" s="47" t="str">
        <f>HLOOKUP(INDICE!$F$2,Nombres!$C$3:$D$636,58,FALSE)</f>
        <v>Total activo / pasivo</v>
      </c>
      <c r="B145" s="47">
        <v>425914.55242795136</v>
      </c>
      <c r="C145" s="47">
        <v>424399.02795890305</v>
      </c>
      <c r="D145" s="47">
        <v>412948.44307540305</v>
      </c>
      <c r="E145" s="72">
        <v>430576.14331258344</v>
      </c>
      <c r="F145" s="51">
        <v>457628.522091146</v>
      </c>
      <c r="G145" s="51">
        <v>487623.17016970174</v>
      </c>
      <c r="H145" s="51">
        <v>528907.8184717014</v>
      </c>
      <c r="I145" s="51">
        <v>543005.2210597458</v>
      </c>
    </row>
    <row r="146" spans="1:9" ht="14.25">
      <c r="A146" s="43" t="str">
        <f>HLOOKUP(INDICE!$F$2,Nombres!$C$3:$D$636,59,FALSE)</f>
        <v>Pasivos financieros mantenidos para negociar y designados a valor razonable con cambios en resultados</v>
      </c>
      <c r="B146" s="58">
        <v>11368.527097825398</v>
      </c>
      <c r="C146" s="58">
        <v>14939.414450996588</v>
      </c>
      <c r="D146" s="58">
        <v>15312.482670892696</v>
      </c>
      <c r="E146" s="66">
        <v>14596.612858838966</v>
      </c>
      <c r="F146" s="44">
        <v>16835.29320329433</v>
      </c>
      <c r="G146" s="44">
        <v>17261.238393892974</v>
      </c>
      <c r="H146" s="44">
        <v>19689.544475914427</v>
      </c>
      <c r="I146" s="44">
        <v>21287.864415279462</v>
      </c>
    </row>
    <row r="147" spans="1:9" ht="14.25">
      <c r="A147" s="43" t="str">
        <f>HLOOKUP(INDICE!$F$2,Nombres!$C$3:$D$636,60,FALSE)</f>
        <v>Depósitos de bancos centrales y entidades de crédito</v>
      </c>
      <c r="B147" s="58">
        <v>44095.61080469851</v>
      </c>
      <c r="C147" s="58">
        <v>35842.62708899181</v>
      </c>
      <c r="D147" s="58">
        <v>30364.839964485516</v>
      </c>
      <c r="E147" s="66">
        <v>29898.05173117981</v>
      </c>
      <c r="F147" s="44">
        <v>31813.011249289295</v>
      </c>
      <c r="G147" s="44">
        <v>42768.84960898261</v>
      </c>
      <c r="H147" s="44">
        <v>33906.83206485265</v>
      </c>
      <c r="I147" s="44">
        <v>30808.766527170275</v>
      </c>
    </row>
    <row r="148" spans="1:9" ht="14.25">
      <c r="A148" s="43" t="str">
        <f>HLOOKUP(INDICE!$F$2,Nombres!$C$3:$D$636,61,FALSE)</f>
        <v>Depósitos de la clientela</v>
      </c>
      <c r="B148" s="58">
        <v>257237.21985477465</v>
      </c>
      <c r="C148" s="58">
        <v>259046.4377429408</v>
      </c>
      <c r="D148" s="58">
        <v>256114.11030047789</v>
      </c>
      <c r="E148" s="66">
        <v>276293.03388823755</v>
      </c>
      <c r="F148" s="44">
        <v>295879.0470317004</v>
      </c>
      <c r="G148" s="44">
        <v>308056.37012447463</v>
      </c>
      <c r="H148" s="44">
        <v>346948.6005884922</v>
      </c>
      <c r="I148" s="44">
        <v>358631.706480254</v>
      </c>
    </row>
    <row r="149" spans="1:9" ht="14.25">
      <c r="A149" s="43" t="str">
        <f>HLOOKUP(INDICE!$F$2,Nombres!$C$3:$D$636,62,FALSE)</f>
        <v>Valores representativos de deuda emitidos</v>
      </c>
      <c r="B149" s="44">
        <v>40194.94438008979</v>
      </c>
      <c r="C149" s="44">
        <v>38072.8946114913</v>
      </c>
      <c r="D149" s="44">
        <v>29739.16903948582</v>
      </c>
      <c r="E149" s="45">
        <v>28548.08381887621</v>
      </c>
      <c r="F149" s="44">
        <v>30273.48614248981</v>
      </c>
      <c r="G149" s="44">
        <v>31269.115324787283</v>
      </c>
      <c r="H149" s="44">
        <v>33211.44098985566</v>
      </c>
      <c r="I149" s="44">
        <v>31926.6613910692</v>
      </c>
    </row>
    <row r="150" spans="1:9" ht="14.25">
      <c r="A150" s="43" t="str">
        <f>HLOOKUP(INDICE!$F$2,Nombres!$C$3:$D$636,63,FALSE)</f>
        <v>Otros pasivos</v>
      </c>
      <c r="B150" s="58">
        <f>+B145-B146-B147-B148-B149-B151</f>
        <v>55743.995226562416</v>
      </c>
      <c r="C150" s="58">
        <f aca="true" t="shared" si="26" ref="C150:I150">+C145-C146-C147-C148-C149-C151</f>
        <v>59423.38948731145</v>
      </c>
      <c r="D150" s="58">
        <f t="shared" si="26"/>
        <v>65515.88138772114</v>
      </c>
      <c r="E150" s="66">
        <f t="shared" si="26"/>
        <v>63377.08654031936</v>
      </c>
      <c r="F150" s="44">
        <f t="shared" si="26"/>
        <v>62724.1464149009</v>
      </c>
      <c r="G150" s="44">
        <f t="shared" si="26"/>
        <v>67174.39140263978</v>
      </c>
      <c r="H150" s="44">
        <f t="shared" si="26"/>
        <v>71699.98334335416</v>
      </c>
      <c r="I150" s="44">
        <f t="shared" si="26"/>
        <v>77245.26314031542</v>
      </c>
    </row>
    <row r="151" spans="1:9" ht="14.25">
      <c r="A151" s="43" t="str">
        <f>HLOOKUP(INDICE!$F$2,Nombres!$C$3:$D$636,64,FALSE)</f>
        <v>Dotación de capital económico</v>
      </c>
      <c r="B151" s="44">
        <v>17274.255064000594</v>
      </c>
      <c r="C151" s="44">
        <v>17074.264577171096</v>
      </c>
      <c r="D151" s="44">
        <v>15901.959712340036</v>
      </c>
      <c r="E151" s="45">
        <v>17863.27447513152</v>
      </c>
      <c r="F151" s="44">
        <v>20103.538049471234</v>
      </c>
      <c r="G151" s="44">
        <v>21093.20531492442</v>
      </c>
      <c r="H151" s="44">
        <v>23451.417009232253</v>
      </c>
      <c r="I151" s="44">
        <v>23104.959105657395</v>
      </c>
    </row>
    <row r="152" spans="1:9" ht="14.25">
      <c r="A152" s="63"/>
      <c r="B152" s="58"/>
      <c r="C152" s="58"/>
      <c r="D152" s="58"/>
      <c r="E152" s="58"/>
      <c r="F152" s="44"/>
      <c r="G152" s="44"/>
      <c r="H152" s="44"/>
      <c r="I152" s="44"/>
    </row>
    <row r="153" spans="1:9" ht="14.25">
      <c r="A153" s="43"/>
      <c r="B153" s="58"/>
      <c r="C153" s="58"/>
      <c r="D153" s="58"/>
      <c r="E153" s="58"/>
      <c r="F153" s="44"/>
      <c r="G153" s="44"/>
      <c r="H153" s="44"/>
      <c r="I153" s="44"/>
    </row>
    <row r="154" spans="1:9" ht="16.5">
      <c r="A154" s="33" t="str">
        <f>HLOOKUP(INDICE!$F$2,Nombres!$C$3:$D$636,65,FALSE)</f>
        <v>Indicadores relevantes y de gestión</v>
      </c>
      <c r="B154" s="34"/>
      <c r="C154" s="34"/>
      <c r="D154" s="34"/>
      <c r="E154" s="34"/>
      <c r="F154" s="70"/>
      <c r="G154" s="70"/>
      <c r="H154" s="70"/>
      <c r="I154" s="70"/>
    </row>
    <row r="155" spans="1:9" ht="14.25">
      <c r="A155" s="35" t="str">
        <f>HLOOKUP(INDICE!$F$2,Nombres!$C$3:$D$636,77,FALSE)</f>
        <v>(Millones de liras turcas)</v>
      </c>
      <c r="B155" s="30"/>
      <c r="C155" s="30"/>
      <c r="D155" s="30"/>
      <c r="E155" s="30"/>
      <c r="F155" s="71"/>
      <c r="G155" s="44"/>
      <c r="H155" s="44"/>
      <c r="I155" s="44"/>
    </row>
    <row r="156" spans="1:9" ht="15.75" customHeight="1">
      <c r="A156" s="30"/>
      <c r="B156" s="53">
        <f aca="true" t="shared" si="27" ref="B156:I156">+B$30</f>
        <v>43555</v>
      </c>
      <c r="C156" s="53">
        <f t="shared" si="27"/>
        <v>43646</v>
      </c>
      <c r="D156" s="53">
        <f t="shared" si="27"/>
        <v>43738</v>
      </c>
      <c r="E156" s="69">
        <f t="shared" si="27"/>
        <v>43830</v>
      </c>
      <c r="F156" s="53">
        <f t="shared" si="27"/>
        <v>43921</v>
      </c>
      <c r="G156" s="53">
        <f t="shared" si="27"/>
        <v>44012</v>
      </c>
      <c r="H156" s="53">
        <f t="shared" si="27"/>
        <v>44104</v>
      </c>
      <c r="I156" s="53">
        <f t="shared" si="27"/>
        <v>44196</v>
      </c>
    </row>
    <row r="157" spans="1:9" ht="15.75" customHeight="1">
      <c r="A157" s="43" t="str">
        <f>HLOOKUP(INDICE!$F$2,Nombres!$C$3:$D$636,66,FALSE)</f>
        <v>Préstamos y anticipos a la clientela bruto (*)</v>
      </c>
      <c r="B157" s="44">
        <v>281546.5166872289</v>
      </c>
      <c r="C157" s="44">
        <v>273349.2941414375</v>
      </c>
      <c r="D157" s="44">
        <v>267487.43031857244</v>
      </c>
      <c r="E157" s="45">
        <v>288181.3756003693</v>
      </c>
      <c r="F157" s="44">
        <v>308279.95073629625</v>
      </c>
      <c r="G157" s="44">
        <v>338220.0349360624</v>
      </c>
      <c r="H157" s="44">
        <v>358515.52235844184</v>
      </c>
      <c r="I157" s="44">
        <v>361179.7748057516</v>
      </c>
    </row>
    <row r="158" spans="1:9" ht="15.75" customHeight="1">
      <c r="A158" s="43" t="str">
        <f>HLOOKUP(INDICE!$F$2,Nombres!$C$3:$D$636,67,FALSE)</f>
        <v>Depósitos de clientes en gestión (**)</v>
      </c>
      <c r="B158" s="44">
        <v>257210.06496677463</v>
      </c>
      <c r="C158" s="44">
        <v>259022.6246744408</v>
      </c>
      <c r="D158" s="44">
        <v>256094.5315660779</v>
      </c>
      <c r="E158" s="45">
        <v>276225.23503333743</v>
      </c>
      <c r="F158" s="44">
        <v>295820.1211166004</v>
      </c>
      <c r="G158" s="44">
        <v>306500.8314877754</v>
      </c>
      <c r="H158" s="44">
        <v>346902.83261849236</v>
      </c>
      <c r="I158" s="44">
        <v>358559.86791295424</v>
      </c>
    </row>
    <row r="159" spans="1:9" ht="15.75" customHeight="1">
      <c r="A159" s="43" t="str">
        <f>HLOOKUP(INDICE!$F$2,Nombres!$C$3:$D$636,68,FALSE)</f>
        <v>Fondos de inversión</v>
      </c>
      <c r="B159" s="44">
        <v>4805.146256010735</v>
      </c>
      <c r="C159" s="44">
        <v>5726.475058498691</v>
      </c>
      <c r="D159" s="44">
        <v>6365.203970396964</v>
      </c>
      <c r="E159" s="45">
        <v>9757.346766326047</v>
      </c>
      <c r="F159" s="44">
        <v>10827.847683896356</v>
      </c>
      <c r="G159" s="44">
        <v>13467.786534894522</v>
      </c>
      <c r="H159" s="44">
        <v>11071.999862951881</v>
      </c>
      <c r="I159" s="44">
        <v>9910.004142590438</v>
      </c>
    </row>
    <row r="160" spans="1:9" ht="15.75" customHeight="1">
      <c r="A160" s="43" t="str">
        <f>HLOOKUP(INDICE!$F$2,Nombres!$C$3:$D$636,69,FALSE)</f>
        <v>Fondos de pensiones</v>
      </c>
      <c r="B160" s="44">
        <v>16574.91854703703</v>
      </c>
      <c r="C160" s="44">
        <v>13858.181648996831</v>
      </c>
      <c r="D160" s="44">
        <v>14913.326142592889</v>
      </c>
      <c r="E160" s="45">
        <v>16350.92076244365</v>
      </c>
      <c r="F160" s="44">
        <v>17008.33808519428</v>
      </c>
      <c r="G160" s="44">
        <v>18861.858765892328</v>
      </c>
      <c r="H160" s="44">
        <v>20146.76922591244</v>
      </c>
      <c r="I160" s="44">
        <v>21299.000623479453</v>
      </c>
    </row>
    <row r="161" spans="1:9" ht="14.25">
      <c r="A161" s="43" t="str">
        <f>HLOOKUP(INDICE!$F$2,Nombres!$C$3:$D$636,70,FALSE)</f>
        <v>Otros recursos fuera de balance</v>
      </c>
      <c r="B161" s="44">
        <v>0</v>
      </c>
      <c r="C161" s="44">
        <v>0</v>
      </c>
      <c r="D161" s="44">
        <v>0</v>
      </c>
      <c r="E161" s="45">
        <v>0</v>
      </c>
      <c r="F161" s="44">
        <v>0</v>
      </c>
      <c r="G161" s="44">
        <v>0</v>
      </c>
      <c r="H161" s="44">
        <v>0</v>
      </c>
      <c r="I161" s="44">
        <v>0</v>
      </c>
    </row>
    <row r="162" spans="1:9" ht="14.25">
      <c r="A162" s="63" t="str">
        <f>HLOOKUP(INDICE!$F$2,Nombres!$C$3:$D$636,71,FALSE)</f>
        <v>(*) No incluye las adquisiciones temporales de activos.</v>
      </c>
      <c r="B162" s="58"/>
      <c r="C162" s="58"/>
      <c r="D162" s="58"/>
      <c r="E162" s="58"/>
      <c r="F162" s="44"/>
      <c r="G162" s="44"/>
      <c r="H162" s="44"/>
      <c r="I162" s="44"/>
    </row>
    <row r="163" spans="1:9" ht="14.25">
      <c r="A163" s="63" t="str">
        <f>HLOOKUP(INDICE!$F$2,Nombres!$C$3:$D$636,72,FALSE)</f>
        <v>(**) No incluye las cesiones temporales de activos.</v>
      </c>
      <c r="B163" s="30"/>
      <c r="C163" s="30"/>
      <c r="D163" s="30"/>
      <c r="E163" s="30"/>
      <c r="F163" s="30"/>
      <c r="G163" s="30"/>
      <c r="H163" s="30"/>
      <c r="I163" s="30"/>
    </row>
    <row r="164" spans="1:9" ht="14.25">
      <c r="A164" s="30"/>
      <c r="B164" s="30"/>
      <c r="C164" s="30"/>
      <c r="D164" s="30"/>
      <c r="E164" s="30"/>
      <c r="F164" s="30"/>
      <c r="G164" s="30"/>
      <c r="H164" s="30"/>
      <c r="I164" s="30"/>
    </row>
    <row r="165" spans="1:9" ht="14.25">
      <c r="A165" s="30"/>
      <c r="B165" s="30"/>
      <c r="C165" s="30"/>
      <c r="D165" s="30"/>
      <c r="E165" s="30"/>
      <c r="F165" s="30"/>
      <c r="G165" s="30"/>
      <c r="H165" s="30"/>
      <c r="I165" s="30"/>
    </row>
    <row r="166" spans="1:9" ht="14.25">
      <c r="A166" s="75"/>
      <c r="B166" s="76"/>
      <c r="C166" s="77"/>
      <c r="D166" s="77"/>
      <c r="E166" s="77"/>
      <c r="F166" s="76"/>
      <c r="G166" s="76"/>
      <c r="H166" s="76"/>
      <c r="I166" s="76"/>
    </row>
    <row r="167" spans="1:15" ht="14.25">
      <c r="A167" s="75"/>
      <c r="B167" s="76"/>
      <c r="C167" s="77"/>
      <c r="D167" s="77"/>
      <c r="E167" s="77"/>
      <c r="F167" s="76"/>
      <c r="G167" s="76"/>
      <c r="H167" s="76"/>
      <c r="I167" s="76"/>
      <c r="J167" s="76"/>
      <c r="K167" s="76"/>
      <c r="L167" s="76"/>
      <c r="M167" s="76"/>
      <c r="N167" s="76"/>
      <c r="O167" s="76"/>
    </row>
    <row r="168" spans="1:15" ht="14.25">
      <c r="A168" s="76"/>
      <c r="B168" s="76"/>
      <c r="C168" s="76"/>
      <c r="D168" s="76"/>
      <c r="E168" s="76"/>
      <c r="F168" s="76"/>
      <c r="G168" s="76"/>
      <c r="H168" s="76"/>
      <c r="I168" s="76"/>
      <c r="J168" s="76"/>
      <c r="K168" s="76"/>
      <c r="L168" s="76"/>
      <c r="M168" s="76"/>
      <c r="N168" s="76"/>
      <c r="O168" s="76"/>
    </row>
    <row r="169" spans="1:15" ht="14.25">
      <c r="A169" s="76"/>
      <c r="B169" s="76"/>
      <c r="C169" s="76"/>
      <c r="D169" s="76"/>
      <c r="E169" s="76"/>
      <c r="F169" s="76"/>
      <c r="G169" s="76"/>
      <c r="H169" s="76"/>
      <c r="I169" s="76"/>
      <c r="J169" s="76"/>
      <c r="K169" s="76"/>
      <c r="L169" s="76"/>
      <c r="M169" s="76"/>
      <c r="N169" s="76"/>
      <c r="O169" s="76"/>
    </row>
    <row r="170" spans="1:15" ht="14.25">
      <c r="A170" s="76"/>
      <c r="B170" s="76"/>
      <c r="C170" s="76"/>
      <c r="D170" s="76"/>
      <c r="E170" s="76"/>
      <c r="F170" s="76"/>
      <c r="G170" s="76"/>
      <c r="H170" s="76"/>
      <c r="I170" s="76"/>
      <c r="J170" s="76"/>
      <c r="K170" s="76"/>
      <c r="L170" s="76"/>
      <c r="M170" s="76"/>
      <c r="N170" s="76"/>
      <c r="O170" s="76"/>
    </row>
    <row r="171" spans="1:15" ht="14.25">
      <c r="A171" s="76"/>
      <c r="B171" s="76"/>
      <c r="C171" s="76"/>
      <c r="D171" s="76"/>
      <c r="E171" s="76"/>
      <c r="F171" s="76"/>
      <c r="G171" s="76"/>
      <c r="H171" s="76"/>
      <c r="I171" s="76"/>
      <c r="J171" s="76"/>
      <c r="K171" s="76"/>
      <c r="L171" s="76"/>
      <c r="M171" s="76"/>
      <c r="N171" s="76"/>
      <c r="O171" s="76"/>
    </row>
    <row r="172" spans="1:15" ht="14.25">
      <c r="A172" s="76"/>
      <c r="B172" s="76"/>
      <c r="C172" s="76"/>
      <c r="D172" s="76"/>
      <c r="E172" s="76"/>
      <c r="F172" s="76"/>
      <c r="G172" s="76"/>
      <c r="H172" s="76"/>
      <c r="I172" s="76"/>
      <c r="J172" s="76"/>
      <c r="K172" s="76"/>
      <c r="L172" s="76"/>
      <c r="M172" s="76"/>
      <c r="N172" s="76"/>
      <c r="O172" s="76"/>
    </row>
    <row r="173" spans="1:15" ht="14.25">
      <c r="A173" s="76"/>
      <c r="B173" s="76"/>
      <c r="C173" s="76"/>
      <c r="D173" s="76"/>
      <c r="E173" s="76"/>
      <c r="F173" s="76"/>
      <c r="G173" s="76"/>
      <c r="H173" s="76"/>
      <c r="I173" s="76"/>
      <c r="J173" s="76"/>
      <c r="K173" s="76"/>
      <c r="L173" s="76"/>
      <c r="M173" s="76"/>
      <c r="N173" s="76"/>
      <c r="O173" s="76"/>
    </row>
    <row r="174" spans="1:15" ht="14.25">
      <c r="A174" s="76"/>
      <c r="B174" s="76"/>
      <c r="C174" s="76"/>
      <c r="D174" s="76"/>
      <c r="E174" s="76"/>
      <c r="F174" s="76"/>
      <c r="G174" s="76"/>
      <c r="H174" s="76"/>
      <c r="I174" s="76"/>
      <c r="J174" s="76"/>
      <c r="K174" s="76"/>
      <c r="L174" s="76"/>
      <c r="M174" s="76"/>
      <c r="N174" s="76"/>
      <c r="O174" s="76"/>
    </row>
    <row r="1000" ht="14.25">
      <c r="A1000" s="31" t="s">
        <v>397</v>
      </c>
    </row>
  </sheetData>
  <sheetProtection/>
  <mergeCells count="6">
    <mergeCell ref="B6:E6"/>
    <mergeCell ref="B60:E60"/>
    <mergeCell ref="B114:E114"/>
    <mergeCell ref="F6:I6"/>
    <mergeCell ref="F60:I60"/>
    <mergeCell ref="F114:I114"/>
  </mergeCells>
  <conditionalFormatting sqref="B26:I26">
    <cfRule type="cellIs" priority="3" dxfId="143" operator="notBetween">
      <formula>0.5</formula>
      <formula>-0.5</formula>
    </cfRule>
  </conditionalFormatting>
  <conditionalFormatting sqref="B80:I80">
    <cfRule type="cellIs" priority="2" dxfId="143" operator="notBetween">
      <formula>0.5</formula>
      <formula>-0.5</formula>
    </cfRule>
  </conditionalFormatting>
  <conditionalFormatting sqref="B134:I134">
    <cfRule type="cellIs" priority="1" dxfId="143" operator="notBetween">
      <formula>0.5</formula>
      <formula>-0.5</formula>
    </cfRule>
  </conditionalFormatting>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O1000"/>
  <sheetViews>
    <sheetView showGridLines="0" zoomScalePageLayoutView="0" workbookViewId="0" topLeftCell="A1">
      <selection activeCell="M29" sqref="M29"/>
    </sheetView>
  </sheetViews>
  <sheetFormatPr defaultColWidth="11.421875" defaultRowHeight="15"/>
  <cols>
    <col min="1" max="1" width="62.00390625" style="31" customWidth="1"/>
    <col min="2" max="16384" width="11.421875" style="31" customWidth="1"/>
  </cols>
  <sheetData>
    <row r="1" spans="1:9" ht="16.5">
      <c r="A1" s="29" t="str">
        <f>HLOOKUP(INDICE!$F$2,Nombres!$C$3:$D$636,13,FALSE)</f>
        <v>América del Sur </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8">
        <f>+España!B6</f>
        <v>2019</v>
      </c>
      <c r="C6" s="308"/>
      <c r="D6" s="308"/>
      <c r="E6" s="309"/>
      <c r="F6" s="308">
        <f>+España!F6</f>
        <v>2020</v>
      </c>
      <c r="G6" s="308"/>
      <c r="H6" s="308"/>
      <c r="I6" s="308"/>
    </row>
    <row r="7" spans="1:9" ht="14.2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4.25">
      <c r="A8" s="41" t="str">
        <f>HLOOKUP(INDICE!$F$2,Nombres!$C$3:$D$636,33,FALSE)</f>
        <v>Margen de intereses</v>
      </c>
      <c r="B8" s="41">
        <v>760.2469960400001</v>
      </c>
      <c r="C8" s="41">
        <v>852.45497825</v>
      </c>
      <c r="D8" s="41">
        <v>762.84097045</v>
      </c>
      <c r="E8" s="42">
        <v>820.8909661</v>
      </c>
      <c r="F8" s="50">
        <v>763.1889958799999</v>
      </c>
      <c r="G8" s="50">
        <v>679.60597806</v>
      </c>
      <c r="H8" s="50">
        <v>626.5529847800001</v>
      </c>
      <c r="I8" s="50">
        <v>632.0409201</v>
      </c>
    </row>
    <row r="9" spans="1:9" ht="14.25">
      <c r="A9" s="43" t="str">
        <f>HLOOKUP(INDICE!$F$2,Nombres!$C$3:$D$636,34,FALSE)</f>
        <v>Comisiones netas</v>
      </c>
      <c r="B9" s="44">
        <v>134.72437054</v>
      </c>
      <c r="C9" s="44">
        <v>163.64929165</v>
      </c>
      <c r="D9" s="44">
        <v>125.36818768999998</v>
      </c>
      <c r="E9" s="45">
        <v>132.77113399</v>
      </c>
      <c r="F9" s="44">
        <v>119.18508365</v>
      </c>
      <c r="G9" s="44">
        <v>112.76146721</v>
      </c>
      <c r="H9" s="44">
        <v>135.58380037</v>
      </c>
      <c r="I9" s="44">
        <v>115.97995891000002</v>
      </c>
    </row>
    <row r="10" spans="1:9" ht="14.25">
      <c r="A10" s="43" t="str">
        <f>HLOOKUP(INDICE!$F$2,Nombres!$C$3:$D$636,35,FALSE)</f>
        <v>Resultados de operaciones financieras</v>
      </c>
      <c r="B10" s="44">
        <v>206.19724782999995</v>
      </c>
      <c r="C10" s="44">
        <v>108.25140379</v>
      </c>
      <c r="D10" s="44">
        <v>102.93838012000003</v>
      </c>
      <c r="E10" s="45">
        <v>158.35670112999995</v>
      </c>
      <c r="F10" s="44">
        <v>80.40936833</v>
      </c>
      <c r="G10" s="44">
        <v>91.73590293000001</v>
      </c>
      <c r="H10" s="44">
        <v>97.76752325000001</v>
      </c>
      <c r="I10" s="44">
        <v>137.30968869000003</v>
      </c>
    </row>
    <row r="11" spans="1:9" ht="14.25">
      <c r="A11" s="43" t="str">
        <f>HLOOKUP(INDICE!$F$2,Nombres!$C$3:$D$636,36,FALSE)</f>
        <v>Otros ingresos y cargas de explotación</v>
      </c>
      <c r="B11" s="44">
        <v>-116.178</v>
      </c>
      <c r="C11" s="44">
        <v>-114.885</v>
      </c>
      <c r="D11" s="44">
        <v>-101.61699999999996</v>
      </c>
      <c r="E11" s="45">
        <v>-146.413</v>
      </c>
      <c r="F11" s="44">
        <v>-100.19599999999998</v>
      </c>
      <c r="G11" s="44">
        <v>-82.402</v>
      </c>
      <c r="H11" s="44">
        <v>-83.18000000000002</v>
      </c>
      <c r="I11" s="44">
        <v>-101.02999999999997</v>
      </c>
    </row>
    <row r="12" spans="1:9" ht="14.25">
      <c r="A12" s="41" t="str">
        <f>HLOOKUP(INDICE!$F$2,Nombres!$C$3:$D$636,37,FALSE)</f>
        <v>Margen bruto</v>
      </c>
      <c r="B12" s="41">
        <f>+SUM(B8:B11)</f>
        <v>984.9906144100001</v>
      </c>
      <c r="C12" s="41">
        <f aca="true" t="shared" si="0" ref="C12:I12">+SUM(C8:C11)</f>
        <v>1009.47067369</v>
      </c>
      <c r="D12" s="41">
        <f t="shared" si="0"/>
        <v>889.5305382600001</v>
      </c>
      <c r="E12" s="42">
        <f t="shared" si="0"/>
        <v>965.6058012199999</v>
      </c>
      <c r="F12" s="50">
        <f t="shared" si="0"/>
        <v>862.5874478599999</v>
      </c>
      <c r="G12" s="50">
        <f t="shared" si="0"/>
        <v>801.7013482</v>
      </c>
      <c r="H12" s="50">
        <f t="shared" si="0"/>
        <v>776.7243084000002</v>
      </c>
      <c r="I12" s="50">
        <f t="shared" si="0"/>
        <v>784.3005677000001</v>
      </c>
    </row>
    <row r="13" spans="1:9" ht="14.25">
      <c r="A13" s="43" t="str">
        <f>HLOOKUP(INDICE!$F$2,Nombres!$C$3:$D$636,38,FALSE)</f>
        <v>Gastos de explotación</v>
      </c>
      <c r="B13" s="44">
        <v>-378.57976147</v>
      </c>
      <c r="C13" s="44">
        <v>-400.71090519</v>
      </c>
      <c r="D13" s="44">
        <v>-371.24367008</v>
      </c>
      <c r="E13" s="45">
        <v>-423.51330616000007</v>
      </c>
      <c r="F13" s="44">
        <v>-389.56641964999994</v>
      </c>
      <c r="G13" s="44">
        <v>-329.49252897</v>
      </c>
      <c r="H13" s="44">
        <v>-324.65845329</v>
      </c>
      <c r="I13" s="44">
        <v>-328.50580499</v>
      </c>
    </row>
    <row r="14" spans="1:9" ht="14.25">
      <c r="A14" s="43" t="str">
        <f>HLOOKUP(INDICE!$F$2,Nombres!$C$3:$D$636,39,FALSE)</f>
        <v>  Gastos de administración</v>
      </c>
      <c r="B14" s="44">
        <v>-337.35576147</v>
      </c>
      <c r="C14" s="44">
        <v>-357.70790519</v>
      </c>
      <c r="D14" s="44">
        <v>-332.54767008</v>
      </c>
      <c r="E14" s="45">
        <v>-375.10430615999996</v>
      </c>
      <c r="F14" s="44">
        <v>-345.60541965000004</v>
      </c>
      <c r="G14" s="44">
        <v>-290.71252897</v>
      </c>
      <c r="H14" s="44">
        <v>-288.88545329</v>
      </c>
      <c r="I14" s="44">
        <v>-293.30980499</v>
      </c>
    </row>
    <row r="15" spans="1:9" ht="14.25">
      <c r="A15" s="46" t="str">
        <f>HLOOKUP(INDICE!$F$2,Nombres!$C$3:$D$636,40,FALSE)</f>
        <v>  Gastos de personal</v>
      </c>
      <c r="B15" s="44">
        <v>-194.99451276</v>
      </c>
      <c r="C15" s="44">
        <v>-206.80953108</v>
      </c>
      <c r="D15" s="44">
        <v>-181.89978388</v>
      </c>
      <c r="E15" s="45">
        <v>-210.3353035</v>
      </c>
      <c r="F15" s="44">
        <v>-197.28728021</v>
      </c>
      <c r="G15" s="44">
        <v>-159.56920114000002</v>
      </c>
      <c r="H15" s="44">
        <v>-158.25797253</v>
      </c>
      <c r="I15" s="44">
        <v>-154.38418601</v>
      </c>
    </row>
    <row r="16" spans="1:9" ht="14.25">
      <c r="A16" s="46" t="str">
        <f>HLOOKUP(INDICE!$F$2,Nombres!$C$3:$D$636,41,FALSE)</f>
        <v>  Otros gastos de administración</v>
      </c>
      <c r="B16" s="44">
        <v>-142.36124871</v>
      </c>
      <c r="C16" s="44">
        <v>-150.89837411000002</v>
      </c>
      <c r="D16" s="44">
        <v>-150.64788620000002</v>
      </c>
      <c r="E16" s="45">
        <v>-164.76900266</v>
      </c>
      <c r="F16" s="44">
        <v>-148.31813944</v>
      </c>
      <c r="G16" s="44">
        <v>-131.14332783</v>
      </c>
      <c r="H16" s="44">
        <v>-130.62748076</v>
      </c>
      <c r="I16" s="44">
        <v>-138.92561898000002</v>
      </c>
    </row>
    <row r="17" spans="1:9" ht="14.25">
      <c r="A17" s="43" t="str">
        <f>HLOOKUP(INDICE!$F$2,Nombres!$C$3:$D$636,42,FALSE)</f>
        <v>  Amortización</v>
      </c>
      <c r="B17" s="44">
        <v>-41.224</v>
      </c>
      <c r="C17" s="44">
        <v>-43.003</v>
      </c>
      <c r="D17" s="44">
        <v>-38.696</v>
      </c>
      <c r="E17" s="45">
        <v>-48.409000000000006</v>
      </c>
      <c r="F17" s="44">
        <v>-43.961</v>
      </c>
      <c r="G17" s="44">
        <v>-38.78</v>
      </c>
      <c r="H17" s="44">
        <v>-35.772999999999996</v>
      </c>
      <c r="I17" s="44">
        <v>-35.196</v>
      </c>
    </row>
    <row r="18" spans="1:9" ht="14.25">
      <c r="A18" s="41" t="str">
        <f>HLOOKUP(INDICE!$F$2,Nombres!$C$3:$D$636,43,FALSE)</f>
        <v>Margen neto</v>
      </c>
      <c r="B18" s="41">
        <f>+B12+B13</f>
        <v>606.4108529400002</v>
      </c>
      <c r="C18" s="41">
        <f aca="true" t="shared" si="1" ref="C18:I18">+C12+C13</f>
        <v>608.7597685000001</v>
      </c>
      <c r="D18" s="41">
        <f t="shared" si="1"/>
        <v>518.28686818</v>
      </c>
      <c r="E18" s="42">
        <f t="shared" si="1"/>
        <v>542.0924950599998</v>
      </c>
      <c r="F18" s="50">
        <f t="shared" si="1"/>
        <v>473.02102820999994</v>
      </c>
      <c r="G18" s="50">
        <f t="shared" si="1"/>
        <v>472.20881922999996</v>
      </c>
      <c r="H18" s="50">
        <f t="shared" si="1"/>
        <v>452.06585511000014</v>
      </c>
      <c r="I18" s="50">
        <f t="shared" si="1"/>
        <v>455.7947627100001</v>
      </c>
    </row>
    <row r="19" spans="1:9" ht="14.25">
      <c r="A19" s="43" t="str">
        <f>HLOOKUP(INDICE!$F$2,Nombres!$C$3:$D$636,44,FALSE)</f>
        <v>Deterioro de activos financieros no valorados a valor razonable con cambios en resultados</v>
      </c>
      <c r="B19" s="44">
        <v>-176.951</v>
      </c>
      <c r="C19" s="44">
        <v>-172.462</v>
      </c>
      <c r="D19" s="44">
        <v>-213.60699999999997</v>
      </c>
      <c r="E19" s="45">
        <v>-213.52000000000004</v>
      </c>
      <c r="F19" s="44">
        <v>-318.74199999999996</v>
      </c>
      <c r="G19" s="44">
        <v>-283.932</v>
      </c>
      <c r="H19" s="44">
        <v>-72.37499999999997</v>
      </c>
      <c r="I19" s="44">
        <v>-189.16700000000003</v>
      </c>
    </row>
    <row r="20" spans="1:9" ht="14.25">
      <c r="A20" s="43" t="str">
        <f>HLOOKUP(INDICE!$F$2,Nombres!$C$3:$D$636,45,FALSE)</f>
        <v>Provisiones o reversión de provisiones y otros resultados</v>
      </c>
      <c r="B20" s="44">
        <v>-12.426999999999992</v>
      </c>
      <c r="C20" s="44">
        <v>-6.579999999999993</v>
      </c>
      <c r="D20" s="44">
        <v>-14.749000000000015</v>
      </c>
      <c r="E20" s="45">
        <v>-69.569</v>
      </c>
      <c r="F20" s="44">
        <v>-17.688000000000002</v>
      </c>
      <c r="G20" s="44">
        <v>-27.756999999999998</v>
      </c>
      <c r="H20" s="44">
        <v>-29.577999999999996</v>
      </c>
      <c r="I20" s="44">
        <v>-17.711512999999997</v>
      </c>
    </row>
    <row r="21" spans="1:9" ht="14.25">
      <c r="A21" s="41" t="str">
        <f>HLOOKUP(INDICE!$F$2,Nombres!$C$3:$D$636,46,FALSE)</f>
        <v>Resultado antes de impuestos</v>
      </c>
      <c r="B21" s="41">
        <f>+B18+B19+B20</f>
        <v>417.0328529400001</v>
      </c>
      <c r="C21" s="41">
        <f aca="true" t="shared" si="2" ref="C21:I21">+C18+C19+C20</f>
        <v>429.7177685000001</v>
      </c>
      <c r="D21" s="41">
        <f t="shared" si="2"/>
        <v>289.93086818000006</v>
      </c>
      <c r="E21" s="42">
        <f t="shared" si="2"/>
        <v>259.00349505999975</v>
      </c>
      <c r="F21" s="50">
        <f t="shared" si="2"/>
        <v>136.59102821</v>
      </c>
      <c r="G21" s="50">
        <f t="shared" si="2"/>
        <v>160.51981922999994</v>
      </c>
      <c r="H21" s="50">
        <f t="shared" si="2"/>
        <v>350.11285511000017</v>
      </c>
      <c r="I21" s="50">
        <f t="shared" si="2"/>
        <v>248.91624971000007</v>
      </c>
    </row>
    <row r="22" spans="1:9" ht="14.25">
      <c r="A22" s="43" t="str">
        <f>HLOOKUP(INDICE!$F$2,Nombres!$C$3:$D$636,47,FALSE)</f>
        <v>Impuesto sobre beneficios</v>
      </c>
      <c r="B22" s="44">
        <v>-137.76212579999998</v>
      </c>
      <c r="C22" s="44">
        <v>-133.42388689</v>
      </c>
      <c r="D22" s="44">
        <v>-49.62055456999998</v>
      </c>
      <c r="E22" s="45">
        <v>-46.78526214</v>
      </c>
      <c r="F22" s="44">
        <v>-29.39512622999999</v>
      </c>
      <c r="G22" s="44">
        <v>-51.93055445999998</v>
      </c>
      <c r="H22" s="44">
        <v>-111.81223169999998</v>
      </c>
      <c r="I22" s="44">
        <v>-84.26761431</v>
      </c>
    </row>
    <row r="23" spans="1:9" ht="14.25">
      <c r="A23" s="41" t="str">
        <f>HLOOKUP(INDICE!$F$2,Nombres!$C$3:$D$636,48,FALSE)</f>
        <v>Resultado del ejercicio</v>
      </c>
      <c r="B23" s="41">
        <f>+B21+B22</f>
        <v>279.27072714000013</v>
      </c>
      <c r="C23" s="41">
        <f aca="true" t="shared" si="3" ref="C23:I23">+C21+C22</f>
        <v>296.2938816100001</v>
      </c>
      <c r="D23" s="41">
        <f t="shared" si="3"/>
        <v>240.3103136100001</v>
      </c>
      <c r="E23" s="42">
        <f t="shared" si="3"/>
        <v>212.21823291999976</v>
      </c>
      <c r="F23" s="50">
        <f t="shared" si="3"/>
        <v>107.19590198</v>
      </c>
      <c r="G23" s="50">
        <f t="shared" si="3"/>
        <v>108.58926476999996</v>
      </c>
      <c r="H23" s="50">
        <f t="shared" si="3"/>
        <v>238.30062341000018</v>
      </c>
      <c r="I23" s="50">
        <f t="shared" si="3"/>
        <v>164.64863540000007</v>
      </c>
    </row>
    <row r="24" spans="1:9" ht="14.25">
      <c r="A24" s="43" t="str">
        <f>HLOOKUP(INDICE!$F$2,Nombres!$C$3:$D$636,49,FALSE)</f>
        <v>Minoritarios</v>
      </c>
      <c r="B24" s="44">
        <v>-86.11211804999999</v>
      </c>
      <c r="C24" s="44">
        <v>-85.25376215</v>
      </c>
      <c r="D24" s="44">
        <v>-75.68045954</v>
      </c>
      <c r="E24" s="45">
        <v>-59.75962379999999</v>
      </c>
      <c r="F24" s="44">
        <v>-37.35593481000001</v>
      </c>
      <c r="G24" s="44">
        <v>-19.17750641999999</v>
      </c>
      <c r="H24" s="44">
        <v>-71.41591481</v>
      </c>
      <c r="I24" s="44">
        <v>-44.756895869999994</v>
      </c>
    </row>
    <row r="25" spans="1:9" ht="14.25">
      <c r="A25" s="47" t="str">
        <f>HLOOKUP(INDICE!$F$2,Nombres!$C$3:$D$636,50,FALSE)</f>
        <v>Resultado atribuido</v>
      </c>
      <c r="B25" s="47">
        <f>+B23+B24</f>
        <v>193.15860909000014</v>
      </c>
      <c r="C25" s="47">
        <f aca="true" t="shared" si="4" ref="C25:I25">+C23+C24</f>
        <v>211.04011946000008</v>
      </c>
      <c r="D25" s="47">
        <f t="shared" si="4"/>
        <v>164.62985407000008</v>
      </c>
      <c r="E25" s="47">
        <f t="shared" si="4"/>
        <v>152.45860911999978</v>
      </c>
      <c r="F25" s="51">
        <f t="shared" si="4"/>
        <v>69.83996717</v>
      </c>
      <c r="G25" s="51">
        <f t="shared" si="4"/>
        <v>89.41175834999997</v>
      </c>
      <c r="H25" s="51">
        <f t="shared" si="4"/>
        <v>166.88470860000018</v>
      </c>
      <c r="I25" s="51">
        <f t="shared" si="4"/>
        <v>119.89173953000008</v>
      </c>
    </row>
    <row r="26" spans="1:9" ht="14.25">
      <c r="A26" s="63"/>
      <c r="B26" s="64">
        <v>0</v>
      </c>
      <c r="C26" s="64">
        <v>0</v>
      </c>
      <c r="D26" s="64">
        <v>0</v>
      </c>
      <c r="E26" s="64">
        <v>-2.2737367544323206E-13</v>
      </c>
      <c r="F26" s="64">
        <v>0</v>
      </c>
      <c r="G26" s="64">
        <v>0</v>
      </c>
      <c r="H26" s="64">
        <v>0</v>
      </c>
      <c r="I26" s="64">
        <v>0</v>
      </c>
    </row>
    <row r="27" spans="1:15" ht="14.25">
      <c r="A27" s="281"/>
      <c r="B27" s="281"/>
      <c r="C27" s="281"/>
      <c r="D27" s="281"/>
      <c r="E27" s="281"/>
      <c r="F27" s="281"/>
      <c r="G27" s="281"/>
      <c r="H27" s="281"/>
      <c r="I27" s="281"/>
      <c r="J27" s="165"/>
      <c r="K27" s="165"/>
      <c r="L27" s="165"/>
      <c r="M27" s="165"/>
      <c r="N27" s="165"/>
      <c r="O27" s="165"/>
    </row>
    <row r="28" spans="1:15" ht="14.25">
      <c r="A28" s="282"/>
      <c r="B28" s="283"/>
      <c r="C28" s="283"/>
      <c r="D28" s="283"/>
      <c r="E28" s="283"/>
      <c r="F28" s="283"/>
      <c r="G28" s="283"/>
      <c r="H28" s="283"/>
      <c r="I28" s="283"/>
      <c r="J28" s="165"/>
      <c r="K28" s="165"/>
      <c r="L28" s="165"/>
      <c r="M28" s="165"/>
      <c r="N28" s="165"/>
      <c r="O28" s="165"/>
    </row>
    <row r="29" spans="1:9" ht="14.25">
      <c r="A29" s="63"/>
      <c r="B29" s="64"/>
      <c r="C29" s="64"/>
      <c r="D29" s="64"/>
      <c r="E29" s="64"/>
      <c r="F29" s="64"/>
      <c r="G29" s="64"/>
      <c r="H29" s="64"/>
      <c r="I29" s="64"/>
    </row>
    <row r="30" spans="1:9" ht="14.25">
      <c r="A30" s="41"/>
      <c r="B30" s="41"/>
      <c r="C30" s="41"/>
      <c r="D30" s="41"/>
      <c r="E30" s="41"/>
      <c r="F30" s="41"/>
      <c r="G30" s="41"/>
      <c r="H30" s="41"/>
      <c r="I30" s="41"/>
    </row>
    <row r="31" spans="1:9" ht="16.5">
      <c r="A31" s="33" t="str">
        <f>HLOOKUP(INDICE!$F$2,Nombres!$C$3:$D$636,51,FALSE)</f>
        <v>Balances</v>
      </c>
      <c r="B31" s="34"/>
      <c r="C31" s="34"/>
      <c r="D31" s="34"/>
      <c r="E31" s="34"/>
      <c r="F31" s="34"/>
      <c r="G31" s="34"/>
      <c r="H31" s="34"/>
      <c r="I31" s="34"/>
    </row>
    <row r="32" spans="1:9" ht="14.25">
      <c r="A32" s="35" t="str">
        <f>HLOOKUP(INDICE!$F$2,Nombres!$C$3:$D$636,32,FALSE)</f>
        <v>(Millones de euros)</v>
      </c>
      <c r="B32" s="30"/>
      <c r="C32" s="52"/>
      <c r="D32" s="52"/>
      <c r="E32" s="52"/>
      <c r="F32" s="30"/>
      <c r="G32" s="58"/>
      <c r="H32" s="58"/>
      <c r="I32" s="58"/>
    </row>
    <row r="33" spans="1:9" ht="14.25">
      <c r="A33" s="30"/>
      <c r="B33" s="53">
        <f>+España!B30</f>
        <v>43555</v>
      </c>
      <c r="C33" s="53">
        <f>+España!C30</f>
        <v>43646</v>
      </c>
      <c r="D33" s="53">
        <f>+España!D30</f>
        <v>43738</v>
      </c>
      <c r="E33" s="69">
        <f>+España!E30</f>
        <v>43830</v>
      </c>
      <c r="F33" s="78">
        <f>+España!F30</f>
        <v>43921</v>
      </c>
      <c r="G33" s="78">
        <f>+España!G30</f>
        <v>44012</v>
      </c>
      <c r="H33" s="78">
        <f>+España!H30</f>
        <v>44104</v>
      </c>
      <c r="I33" s="78">
        <f>+España!I30</f>
        <v>44196</v>
      </c>
    </row>
    <row r="34" spans="1:10" ht="14.25">
      <c r="A34" s="43" t="str">
        <f>HLOOKUP(INDICE!$F$2,Nombres!$C$3:$D$636,52,FALSE)</f>
        <v>Efectivo, saldos en efectivo en bancos centrales y otros depósitos a la vista</v>
      </c>
      <c r="B34" s="44">
        <v>8830.099</v>
      </c>
      <c r="C34" s="44">
        <v>7661.6630000000005</v>
      </c>
      <c r="D34" s="44">
        <v>7162.622</v>
      </c>
      <c r="E34" s="45">
        <v>8600.637</v>
      </c>
      <c r="F34" s="44">
        <v>8313.47</v>
      </c>
      <c r="G34" s="44">
        <v>8398.868</v>
      </c>
      <c r="H34" s="44">
        <v>6825.441999999999</v>
      </c>
      <c r="I34" s="44">
        <v>7126.093</v>
      </c>
      <c r="J34" s="84"/>
    </row>
    <row r="35" spans="1:10" ht="14.25">
      <c r="A35" s="43" t="str">
        <f>HLOOKUP(INDICE!$F$2,Nombres!$C$3:$D$636,53,FALSE)</f>
        <v>Activos financieros a valor razonable</v>
      </c>
      <c r="B35" s="58">
        <v>6861.116</v>
      </c>
      <c r="C35" s="58">
        <v>7377.868</v>
      </c>
      <c r="D35" s="58">
        <v>7100.55</v>
      </c>
      <c r="E35" s="66">
        <v>6119.976000000001</v>
      </c>
      <c r="F35" s="44">
        <v>7561.228999999999</v>
      </c>
      <c r="G35" s="44">
        <v>8250.433</v>
      </c>
      <c r="H35" s="44">
        <v>8153.83</v>
      </c>
      <c r="I35" s="44">
        <v>7328.645</v>
      </c>
      <c r="J35" s="84"/>
    </row>
    <row r="36" spans="1:10" ht="14.25">
      <c r="A36" s="43" t="str">
        <f>HLOOKUP(INDICE!$F$2,Nombres!$C$3:$D$636,54,FALSE)</f>
        <v>Activos financieros a coste amortizado</v>
      </c>
      <c r="B36" s="44">
        <v>37985.671</v>
      </c>
      <c r="C36" s="44">
        <v>37996.350999999995</v>
      </c>
      <c r="D36" s="44">
        <v>38230.965000000004</v>
      </c>
      <c r="E36" s="45">
        <v>37868.638999999996</v>
      </c>
      <c r="F36" s="44">
        <v>36145.816999999995</v>
      </c>
      <c r="G36" s="44">
        <v>38741.912</v>
      </c>
      <c r="H36" s="44">
        <v>38223.009</v>
      </c>
      <c r="I36" s="44">
        <v>38548.833000000006</v>
      </c>
      <c r="J36" s="84"/>
    </row>
    <row r="37" spans="1:10" ht="14.25">
      <c r="A37" s="43" t="str">
        <f>HLOOKUP(INDICE!$F$2,Nombres!$C$3:$D$636,55,FALSE)</f>
        <v>    de los que préstamos y anticipos a la clientela</v>
      </c>
      <c r="B37" s="44">
        <v>35691.312</v>
      </c>
      <c r="C37" s="44">
        <v>35712.08</v>
      </c>
      <c r="D37" s="44">
        <v>35874.947</v>
      </c>
      <c r="E37" s="45">
        <v>35701.328</v>
      </c>
      <c r="F37" s="44">
        <v>34202.087</v>
      </c>
      <c r="G37" s="44">
        <v>35335.912</v>
      </c>
      <c r="H37" s="44">
        <v>33678.044</v>
      </c>
      <c r="I37" s="44">
        <v>33615.106</v>
      </c>
      <c r="J37" s="84"/>
    </row>
    <row r="38" spans="1:10" ht="14.25">
      <c r="A38" s="43" t="str">
        <f>HLOOKUP(INDICE!$F$2,Nombres!$C$3:$D$636,56,FALSE)</f>
        <v>Activos tangibles</v>
      </c>
      <c r="B38" s="44">
        <v>972.4350000000001</v>
      </c>
      <c r="C38" s="44">
        <v>1000.5010000000002</v>
      </c>
      <c r="D38" s="44">
        <v>961.4799999999999</v>
      </c>
      <c r="E38" s="45">
        <v>968.006</v>
      </c>
      <c r="F38" s="44">
        <v>920.8204417600001</v>
      </c>
      <c r="G38" s="44">
        <v>874.265</v>
      </c>
      <c r="H38" s="44">
        <v>809.6049176799999</v>
      </c>
      <c r="I38" s="44">
        <v>808.0074728400001</v>
      </c>
      <c r="J38" s="84"/>
    </row>
    <row r="39" spans="1:10" ht="14.25">
      <c r="A39" s="43" t="str">
        <f>HLOOKUP(INDICE!$F$2,Nombres!$C$3:$D$636,57,FALSE)</f>
        <v>Otros activos</v>
      </c>
      <c r="B39" s="58">
        <f aca="true" t="shared" si="5" ref="B39:I39">+B40-B38-B36-B35-B34</f>
        <v>2382.0129999999954</v>
      </c>
      <c r="C39" s="58">
        <f t="shared" si="5"/>
        <v>2396.9912354100106</v>
      </c>
      <c r="D39" s="58">
        <f t="shared" si="5"/>
        <v>2517.655699839989</v>
      </c>
      <c r="E39" s="66">
        <f t="shared" si="5"/>
        <v>1438.4908747799964</v>
      </c>
      <c r="F39" s="44">
        <f t="shared" si="5"/>
        <v>1830.2078954400004</v>
      </c>
      <c r="G39" s="44">
        <f t="shared" si="5"/>
        <v>1625.5767774400138</v>
      </c>
      <c r="H39" s="44">
        <f t="shared" si="5"/>
        <v>1521.1646062599957</v>
      </c>
      <c r="I39" s="44">
        <f t="shared" si="5"/>
        <v>1623.7976308199914</v>
      </c>
      <c r="J39" s="84"/>
    </row>
    <row r="40" spans="1:10" ht="15.75" customHeight="1">
      <c r="A40" s="47" t="str">
        <f>HLOOKUP(INDICE!$F$2,Nombres!$C$3:$D$636,58,FALSE)</f>
        <v>Total activo / pasivo</v>
      </c>
      <c r="B40" s="47">
        <v>57031.333999999995</v>
      </c>
      <c r="C40" s="47">
        <v>56433.37423541</v>
      </c>
      <c r="D40" s="47">
        <v>55973.272699839996</v>
      </c>
      <c r="E40" s="47">
        <v>54995.748874779994</v>
      </c>
      <c r="F40" s="51">
        <v>54771.54433719999</v>
      </c>
      <c r="G40" s="51">
        <v>57891.05477744001</v>
      </c>
      <c r="H40" s="51">
        <v>55533.05052393999</v>
      </c>
      <c r="I40" s="51">
        <v>55435.37610366</v>
      </c>
      <c r="J40" s="84"/>
    </row>
    <row r="41" spans="1:10" ht="14.25">
      <c r="A41" s="43" t="str">
        <f>HLOOKUP(INDICE!$F$2,Nombres!$C$3:$D$636,59,FALSE)</f>
        <v>Pasivos financieros mantenidos para negociar y designados a valor razonable con cambios en resultados</v>
      </c>
      <c r="B41" s="58">
        <v>2324.884</v>
      </c>
      <c r="C41" s="58">
        <v>1931.3759999999997</v>
      </c>
      <c r="D41" s="58">
        <v>1641.4089999999999</v>
      </c>
      <c r="E41" s="66">
        <v>1860.009</v>
      </c>
      <c r="F41" s="44">
        <v>2005.9350000000002</v>
      </c>
      <c r="G41" s="44">
        <v>1942.9720000000002</v>
      </c>
      <c r="H41" s="44">
        <v>1618.1270000000002</v>
      </c>
      <c r="I41" s="44">
        <v>1326.236</v>
      </c>
      <c r="J41" s="84"/>
    </row>
    <row r="42" spans="1:10" ht="14.25">
      <c r="A42" s="43" t="str">
        <f>HLOOKUP(INDICE!$F$2,Nombres!$C$3:$D$636,60,FALSE)</f>
        <v>Depósitos de bancos centrales y entidades de crédito</v>
      </c>
      <c r="B42" s="58">
        <v>3153.6319999999996</v>
      </c>
      <c r="C42" s="58">
        <v>3230.6949999999997</v>
      </c>
      <c r="D42" s="58">
        <v>3682.479</v>
      </c>
      <c r="E42" s="66">
        <v>3656.085</v>
      </c>
      <c r="F42" s="44">
        <v>4055.4549999999995</v>
      </c>
      <c r="G42" s="44">
        <v>4289.307999999999</v>
      </c>
      <c r="H42" s="44">
        <v>5877.398999999999</v>
      </c>
      <c r="I42" s="44">
        <v>5378.188999999999</v>
      </c>
      <c r="J42" s="84"/>
    </row>
    <row r="43" spans="1:10" ht="14.25">
      <c r="A43" s="43" t="str">
        <f>HLOOKUP(INDICE!$F$2,Nombres!$C$3:$D$636,61,FALSE)</f>
        <v>Depósitos de la clientela</v>
      </c>
      <c r="B43" s="58">
        <v>37235.835</v>
      </c>
      <c r="C43" s="58">
        <v>36895.701</v>
      </c>
      <c r="D43" s="58">
        <v>36159.263</v>
      </c>
      <c r="E43" s="66">
        <v>36104.399</v>
      </c>
      <c r="F43" s="44">
        <v>35948.85399999999</v>
      </c>
      <c r="G43" s="44">
        <v>39356.901</v>
      </c>
      <c r="H43" s="44">
        <v>36023.834</v>
      </c>
      <c r="I43" s="44">
        <v>36874.061</v>
      </c>
      <c r="J43" s="84"/>
    </row>
    <row r="44" spans="1:10" ht="14.25">
      <c r="A44" s="43" t="str">
        <f>HLOOKUP(INDICE!$F$2,Nombres!$C$3:$D$636,62,FALSE)</f>
        <v>Valores representativos de deuda emitidos</v>
      </c>
      <c r="B44" s="44">
        <v>3387.7419999999997</v>
      </c>
      <c r="C44" s="44">
        <v>3201.6079999999997</v>
      </c>
      <c r="D44" s="44">
        <v>3306.9010000000003</v>
      </c>
      <c r="E44" s="45">
        <v>3220.065</v>
      </c>
      <c r="F44" s="44">
        <v>3104.6769999999997</v>
      </c>
      <c r="G44" s="44">
        <v>2971.7239999999997</v>
      </c>
      <c r="H44" s="44">
        <v>2811.827</v>
      </c>
      <c r="I44" s="44">
        <v>2612.2549999999997</v>
      </c>
      <c r="J44" s="84"/>
    </row>
    <row r="45" spans="1:10" ht="14.25">
      <c r="A45" s="43" t="str">
        <f>HLOOKUP(INDICE!$F$2,Nombres!$C$3:$D$636,63,FALSE)</f>
        <v>Otros pasivos</v>
      </c>
      <c r="B45" s="58">
        <f aca="true" t="shared" si="6" ref="B45:I45">+B40-B41-B42-B43-B44-B46</f>
        <v>8500.71126</v>
      </c>
      <c r="C45" s="58">
        <f t="shared" si="6"/>
        <v>8721.578295410005</v>
      </c>
      <c r="D45" s="58">
        <f>+D40-D41-D42-D43-D44-D46</f>
        <v>8807.818620179998</v>
      </c>
      <c r="E45" s="66">
        <f t="shared" si="6"/>
        <v>7663.6497986099985</v>
      </c>
      <c r="F45" s="44">
        <f t="shared" si="6"/>
        <v>7142.732037200003</v>
      </c>
      <c r="G45" s="44">
        <f t="shared" si="6"/>
        <v>6997.744047440015</v>
      </c>
      <c r="H45" s="44">
        <f t="shared" si="6"/>
        <v>7012.206456539992</v>
      </c>
      <c r="I45" s="44">
        <f t="shared" si="6"/>
        <v>7092.586819760001</v>
      </c>
      <c r="J45" s="84"/>
    </row>
    <row r="46" spans="1:10" ht="14.25">
      <c r="A46" s="43" t="str">
        <f>HLOOKUP(INDICE!$F$2,Nombres!$C$3:$D$636,64,FALSE)</f>
        <v>Dotación de capital económico</v>
      </c>
      <c r="B46" s="44">
        <v>2428.52974</v>
      </c>
      <c r="C46" s="44">
        <v>2452.4159400000003</v>
      </c>
      <c r="D46" s="44">
        <v>2375.40207966</v>
      </c>
      <c r="E46" s="45">
        <v>2491.54107617</v>
      </c>
      <c r="F46" s="44">
        <v>2513.8913</v>
      </c>
      <c r="G46" s="44">
        <v>2332.4057299999995</v>
      </c>
      <c r="H46" s="44">
        <v>2189.6570674</v>
      </c>
      <c r="I46" s="44">
        <v>2152.0482839</v>
      </c>
      <c r="J46" s="84"/>
    </row>
    <row r="47" spans="1:10" ht="14.25">
      <c r="A47" s="63"/>
      <c r="B47" s="58"/>
      <c r="C47" s="58"/>
      <c r="D47" s="58"/>
      <c r="E47" s="58"/>
      <c r="F47" s="44"/>
      <c r="G47" s="44"/>
      <c r="H47" s="44"/>
      <c r="I47" s="44"/>
      <c r="J47" s="84"/>
    </row>
    <row r="48" spans="1:10" ht="14.25">
      <c r="A48" s="43"/>
      <c r="B48" s="58"/>
      <c r="C48" s="58"/>
      <c r="D48" s="58"/>
      <c r="E48" s="58"/>
      <c r="F48" s="44"/>
      <c r="G48" s="44"/>
      <c r="H48" s="44"/>
      <c r="I48" s="44"/>
      <c r="J48" s="84"/>
    </row>
    <row r="49" spans="1:10" ht="16.5">
      <c r="A49" s="33" t="str">
        <f>HLOOKUP(INDICE!$F$2,Nombres!$C$3:$D$636,65,FALSE)</f>
        <v>Indicadores relevantes y de gestión</v>
      </c>
      <c r="B49" s="34"/>
      <c r="C49" s="34"/>
      <c r="D49" s="34"/>
      <c r="E49" s="34"/>
      <c r="F49" s="70"/>
      <c r="G49" s="70"/>
      <c r="H49" s="70"/>
      <c r="I49" s="70"/>
      <c r="J49" s="84"/>
    </row>
    <row r="50" spans="1:10" ht="14.25">
      <c r="A50" s="35" t="str">
        <f>HLOOKUP(INDICE!$F$2,Nombres!$C$3:$D$636,32,FALSE)</f>
        <v>(Millones de euros)</v>
      </c>
      <c r="B50" s="30"/>
      <c r="C50" s="30"/>
      <c r="D50" s="30"/>
      <c r="E50" s="30"/>
      <c r="F50" s="71"/>
      <c r="G50" s="44"/>
      <c r="H50" s="44"/>
      <c r="I50" s="44"/>
      <c r="J50" s="84"/>
    </row>
    <row r="51" spans="1:10" ht="14.25">
      <c r="A51" s="30"/>
      <c r="B51" s="53">
        <f aca="true" t="shared" si="7" ref="B51:I51">+B$33</f>
        <v>43555</v>
      </c>
      <c r="C51" s="53">
        <f t="shared" si="7"/>
        <v>43646</v>
      </c>
      <c r="D51" s="53">
        <f t="shared" si="7"/>
        <v>43738</v>
      </c>
      <c r="E51" s="69">
        <f t="shared" si="7"/>
        <v>43830</v>
      </c>
      <c r="F51" s="53">
        <f t="shared" si="7"/>
        <v>43921</v>
      </c>
      <c r="G51" s="53">
        <f t="shared" si="7"/>
        <v>44012</v>
      </c>
      <c r="H51" s="53">
        <f t="shared" si="7"/>
        <v>44104</v>
      </c>
      <c r="I51" s="53">
        <f t="shared" si="7"/>
        <v>44196</v>
      </c>
      <c r="J51" s="84"/>
    </row>
    <row r="52" spans="1:10" ht="14.25">
      <c r="A52" s="43" t="str">
        <f>HLOOKUP(INDICE!$F$2,Nombres!$C$3:$D$636,66,FALSE)</f>
        <v>Préstamos y anticipos a la clientela bruto (*)</v>
      </c>
      <c r="B52" s="44">
        <v>37073.45334887999</v>
      </c>
      <c r="C52" s="44">
        <v>37080.63978956</v>
      </c>
      <c r="D52" s="44">
        <v>37417.00290693001</v>
      </c>
      <c r="E52" s="45">
        <v>37424.30825982</v>
      </c>
      <c r="F52" s="44">
        <v>35917.29836894</v>
      </c>
      <c r="G52" s="44">
        <v>37122.318925789994</v>
      </c>
      <c r="H52" s="44">
        <v>35480.540991320006</v>
      </c>
      <c r="I52" s="44">
        <v>35441.98570991</v>
      </c>
      <c r="J52" s="84"/>
    </row>
    <row r="53" spans="1:10" ht="14.25">
      <c r="A53" s="43" t="str">
        <f>HLOOKUP(INDICE!$F$2,Nombres!$C$3:$D$636,67,FALSE)</f>
        <v>Depósitos de clientes en gestión (**)</v>
      </c>
      <c r="B53" s="44">
        <v>37354.36870739</v>
      </c>
      <c r="C53" s="44">
        <v>36911.02720615</v>
      </c>
      <c r="D53" s="44">
        <v>36163.63943116</v>
      </c>
      <c r="E53" s="45">
        <v>36123.418474850005</v>
      </c>
      <c r="F53" s="44">
        <v>35963.78127501</v>
      </c>
      <c r="G53" s="44">
        <v>39375.98712307</v>
      </c>
      <c r="H53" s="44">
        <v>36036.081061720004</v>
      </c>
      <c r="I53" s="44">
        <v>36885.828558400004</v>
      </c>
      <c r="J53" s="84"/>
    </row>
    <row r="54" spans="1:10" ht="14.25">
      <c r="A54" s="43" t="str">
        <f>HLOOKUP(INDICE!$F$2,Nombres!$C$3:$D$636,68,FALSE)</f>
        <v>Fondos de inversión</v>
      </c>
      <c r="B54" s="44">
        <v>4200.42768723</v>
      </c>
      <c r="C54" s="44">
        <v>4164.98669668</v>
      </c>
      <c r="D54" s="44">
        <v>3938.4021081</v>
      </c>
      <c r="E54" s="45">
        <v>3859.8348800199997</v>
      </c>
      <c r="F54" s="44">
        <v>3501.2440465500003</v>
      </c>
      <c r="G54" s="44">
        <v>4488.52960532</v>
      </c>
      <c r="H54" s="44">
        <v>4680.5537464</v>
      </c>
      <c r="I54" s="44">
        <v>4687.027100849999</v>
      </c>
      <c r="J54" s="84"/>
    </row>
    <row r="55" spans="1:10" ht="14.25">
      <c r="A55" s="43" t="str">
        <f>HLOOKUP(INDICE!$F$2,Nombres!$C$3:$D$636,69,FALSE)</f>
        <v>Fondos de pensiones</v>
      </c>
      <c r="B55" s="44">
        <v>8280.6570624</v>
      </c>
      <c r="C55" s="44">
        <v>8412.01073898</v>
      </c>
      <c r="D55" s="44">
        <v>9047.52912357</v>
      </c>
      <c r="E55" s="45">
        <v>9004.5869315</v>
      </c>
      <c r="F55" s="44">
        <v>9433.94754052</v>
      </c>
      <c r="G55" s="44">
        <v>9349.92267847</v>
      </c>
      <c r="H55" s="44">
        <v>9180.04306231</v>
      </c>
      <c r="I55" s="44">
        <v>9035.21080128</v>
      </c>
      <c r="J55" s="84"/>
    </row>
    <row r="56" spans="1:10" ht="14.25">
      <c r="A56" s="43" t="str">
        <f>HLOOKUP(INDICE!$F$2,Nombres!$C$3:$D$636,70,FALSE)</f>
        <v>Otros recursos fuera de balance</v>
      </c>
      <c r="B56" s="44">
        <v>0</v>
      </c>
      <c r="C56" s="44">
        <v>0</v>
      </c>
      <c r="D56" s="44">
        <v>0</v>
      </c>
      <c r="E56" s="45">
        <v>0</v>
      </c>
      <c r="F56" s="44">
        <v>0</v>
      </c>
      <c r="G56" s="44">
        <v>0</v>
      </c>
      <c r="H56" s="44">
        <v>0</v>
      </c>
      <c r="I56" s="44">
        <v>0</v>
      </c>
      <c r="J56" s="84"/>
    </row>
    <row r="57" spans="1:9" ht="14.25">
      <c r="A57" s="63" t="str">
        <f>HLOOKUP(INDICE!$F$2,Nombres!$C$3:$D$636,71,FALSE)</f>
        <v>(*) No incluye las adquisiciones temporales de activos.</v>
      </c>
      <c r="B57" s="58"/>
      <c r="C57" s="58"/>
      <c r="D57" s="58"/>
      <c r="E57" s="58"/>
      <c r="F57" s="58"/>
      <c r="G57" s="58"/>
      <c r="H57" s="58"/>
      <c r="I57" s="58"/>
    </row>
    <row r="58" spans="1:9" ht="14.25">
      <c r="A58" s="63" t="str">
        <f>HLOOKUP(INDICE!$F$2,Nombres!$C$3:$D$636,72,FALSE)</f>
        <v>(**) No incluye las cesiones temporales de activos.</v>
      </c>
      <c r="B58" s="30"/>
      <c r="C58" s="30"/>
      <c r="D58" s="30"/>
      <c r="E58" s="30"/>
      <c r="F58" s="30"/>
      <c r="G58" s="30"/>
      <c r="H58" s="30"/>
      <c r="I58" s="30"/>
    </row>
    <row r="59" spans="1:9" ht="14.25">
      <c r="A59" s="63"/>
      <c r="B59" s="30"/>
      <c r="C59" s="30"/>
      <c r="D59" s="30"/>
      <c r="E59" s="30"/>
      <c r="F59" s="30"/>
      <c r="G59" s="30"/>
      <c r="H59" s="30"/>
      <c r="I59" s="30"/>
    </row>
    <row r="60" spans="1:9" ht="16.5">
      <c r="A60" s="33" t="str">
        <f>HLOOKUP(INDICE!$F$2,Nombres!$C$3:$D$636,31,FALSE)</f>
        <v>Cuenta de resultados  </v>
      </c>
      <c r="B60" s="34"/>
      <c r="C60" s="34"/>
      <c r="D60" s="34"/>
      <c r="E60" s="34"/>
      <c r="F60" s="34"/>
      <c r="G60" s="34"/>
      <c r="H60" s="34"/>
      <c r="I60" s="34"/>
    </row>
    <row r="61" spans="1:9" ht="14.25">
      <c r="A61" s="35" t="str">
        <f>HLOOKUP(INDICE!$F$2,Nombres!$C$3:$D$636,73,FALSE)</f>
        <v>(Millones de euros constantes)</v>
      </c>
      <c r="B61" s="30"/>
      <c r="C61" s="36"/>
      <c r="D61" s="36"/>
      <c r="E61" s="36"/>
      <c r="F61" s="30"/>
      <c r="G61" s="30"/>
      <c r="H61" s="30"/>
      <c r="I61" s="30"/>
    </row>
    <row r="62" spans="1:9" ht="14.25">
      <c r="A62" s="37"/>
      <c r="B62" s="30"/>
      <c r="C62" s="36"/>
      <c r="D62" s="36"/>
      <c r="E62" s="36"/>
      <c r="F62" s="30"/>
      <c r="G62" s="30"/>
      <c r="H62" s="30"/>
      <c r="I62" s="30"/>
    </row>
    <row r="63" spans="1:9" ht="14.25">
      <c r="A63" s="38"/>
      <c r="B63" s="308">
        <f>+B$6</f>
        <v>2019</v>
      </c>
      <c r="C63" s="308"/>
      <c r="D63" s="308"/>
      <c r="E63" s="309"/>
      <c r="F63" s="308">
        <f>+F$6</f>
        <v>2020</v>
      </c>
      <c r="G63" s="308"/>
      <c r="H63" s="308"/>
      <c r="I63" s="308"/>
    </row>
    <row r="64" spans="1:9" ht="14.25">
      <c r="A64" s="38"/>
      <c r="B64" s="39" t="str">
        <f>+B$7</f>
        <v>1er Trim.</v>
      </c>
      <c r="C64" s="39" t="str">
        <f aca="true" t="shared" si="8" ref="C64:I64">+C$7</f>
        <v>2º Trim.</v>
      </c>
      <c r="D64" s="39" t="str">
        <f t="shared" si="8"/>
        <v>3er Trim.</v>
      </c>
      <c r="E64" s="40" t="str">
        <f t="shared" si="8"/>
        <v>4º Trim.</v>
      </c>
      <c r="F64" s="39" t="str">
        <f t="shared" si="8"/>
        <v>1er Trim.</v>
      </c>
      <c r="G64" s="39" t="str">
        <f t="shared" si="8"/>
        <v>2º Trim.</v>
      </c>
      <c r="H64" s="39" t="str">
        <f t="shared" si="8"/>
        <v>3er Trim.</v>
      </c>
      <c r="I64" s="39" t="str">
        <f t="shared" si="8"/>
        <v>4º Trim.</v>
      </c>
    </row>
    <row r="65" spans="1:9" ht="14.25">
      <c r="A65" s="41" t="str">
        <f>HLOOKUP(INDICE!$F$2,Nombres!$C$3:$D$636,33,FALSE)</f>
        <v>Margen de intereses</v>
      </c>
      <c r="B65" s="41">
        <v>587.4197675427075</v>
      </c>
      <c r="C65" s="41">
        <v>647.3195653683852</v>
      </c>
      <c r="D65" s="41">
        <v>709.3846937376693</v>
      </c>
      <c r="E65" s="42">
        <v>732.9574342802701</v>
      </c>
      <c r="F65" s="50">
        <v>655.3328418814974</v>
      </c>
      <c r="G65" s="50">
        <v>644.3690563071258</v>
      </c>
      <c r="H65" s="50">
        <v>667.2851163049988</v>
      </c>
      <c r="I65" s="50">
        <v>734.401864326378</v>
      </c>
    </row>
    <row r="66" spans="1:9" ht="14.25">
      <c r="A66" s="43" t="str">
        <f>HLOOKUP(INDICE!$F$2,Nombres!$C$3:$D$636,34,FALSE)</f>
        <v>Comisiones netas</v>
      </c>
      <c r="B66" s="44">
        <v>108.65506939725708</v>
      </c>
      <c r="C66" s="44">
        <v>127.38505589642703</v>
      </c>
      <c r="D66" s="44">
        <v>122.58546849429851</v>
      </c>
      <c r="E66" s="45">
        <v>122.0770630127693</v>
      </c>
      <c r="F66" s="44">
        <v>105.28422570307595</v>
      </c>
      <c r="G66" s="44">
        <v>103.38850002510405</v>
      </c>
      <c r="H66" s="44">
        <v>140.28644913639314</v>
      </c>
      <c r="I66" s="44">
        <v>134.55113527542687</v>
      </c>
    </row>
    <row r="67" spans="1:9" ht="14.25">
      <c r="A67" s="43" t="str">
        <f>HLOOKUP(INDICE!$F$2,Nombres!$C$3:$D$636,35,FALSE)</f>
        <v>Resultados de operaciones financieras</v>
      </c>
      <c r="B67" s="44">
        <v>129.6970134328367</v>
      </c>
      <c r="C67" s="44">
        <v>86.67739832958226</v>
      </c>
      <c r="D67" s="44">
        <v>110.90739814032409</v>
      </c>
      <c r="E67" s="45">
        <v>139.85181075365955</v>
      </c>
      <c r="F67" s="44">
        <v>69.14843120422125</v>
      </c>
      <c r="G67" s="44">
        <v>86.06079683807067</v>
      </c>
      <c r="H67" s="44">
        <v>101.90158907730402</v>
      </c>
      <c r="I67" s="44">
        <v>150.11166608040412</v>
      </c>
    </row>
    <row r="68" spans="1:9" ht="14.25">
      <c r="A68" s="43" t="str">
        <f>HLOOKUP(INDICE!$F$2,Nombres!$C$3:$D$636,36,FALSE)</f>
        <v>Otros ingresos y cargas de explotación</v>
      </c>
      <c r="B68" s="44">
        <v>-102.73574012526062</v>
      </c>
      <c r="C68" s="44">
        <v>-109.59882775973132</v>
      </c>
      <c r="D68" s="44">
        <v>-98.73810093545423</v>
      </c>
      <c r="E68" s="45">
        <v>-141.21831002266373</v>
      </c>
      <c r="F68" s="44">
        <v>-92.89682443429702</v>
      </c>
      <c r="G68" s="44">
        <v>-79.90920251201972</v>
      </c>
      <c r="H68" s="44">
        <v>-85.71601279950227</v>
      </c>
      <c r="I68" s="44">
        <v>-108.28596025418098</v>
      </c>
    </row>
    <row r="69" spans="1:9" ht="14.25">
      <c r="A69" s="41" t="str">
        <f>HLOOKUP(INDICE!$F$2,Nombres!$C$3:$D$636,37,FALSE)</f>
        <v>Margen bruto</v>
      </c>
      <c r="B69" s="41">
        <f>+SUM(B65:B68)</f>
        <v>723.0361102475407</v>
      </c>
      <c r="C69" s="41">
        <f aca="true" t="shared" si="9" ref="C69:I69">+SUM(C65:C68)</f>
        <v>751.7831918346632</v>
      </c>
      <c r="D69" s="41">
        <f t="shared" si="9"/>
        <v>844.1394594368377</v>
      </c>
      <c r="E69" s="42">
        <f t="shared" si="9"/>
        <v>853.6679980240353</v>
      </c>
      <c r="F69" s="50">
        <f t="shared" si="9"/>
        <v>736.8686743544974</v>
      </c>
      <c r="G69" s="50">
        <f t="shared" si="9"/>
        <v>753.9091506582807</v>
      </c>
      <c r="H69" s="50">
        <f t="shared" si="9"/>
        <v>823.7571417191937</v>
      </c>
      <c r="I69" s="50">
        <f t="shared" si="9"/>
        <v>910.778705428028</v>
      </c>
    </row>
    <row r="70" spans="1:9" ht="14.25">
      <c r="A70" s="43" t="str">
        <f>HLOOKUP(INDICE!$F$2,Nombres!$C$3:$D$636,38,FALSE)</f>
        <v>Gastos de explotación</v>
      </c>
      <c r="B70" s="44">
        <v>-297.1086713393173</v>
      </c>
      <c r="C70" s="44">
        <v>-311.68512558989966</v>
      </c>
      <c r="D70" s="44">
        <v>-346.2599625054406</v>
      </c>
      <c r="E70" s="45">
        <v>-379.1720704261969</v>
      </c>
      <c r="F70" s="44">
        <v>-338.04058505781086</v>
      </c>
      <c r="G70" s="44">
        <v>-312.55620574007435</v>
      </c>
      <c r="H70" s="44">
        <v>-342.96360314829764</v>
      </c>
      <c r="I70" s="44">
        <v>-378.6628129538172</v>
      </c>
    </row>
    <row r="71" spans="1:9" ht="14.25">
      <c r="A71" s="43" t="str">
        <f>HLOOKUP(INDICE!$F$2,Nombres!$C$3:$D$636,39,FALSE)</f>
        <v>  Gastos de administración</v>
      </c>
      <c r="B71" s="44">
        <v>-262.39219824408525</v>
      </c>
      <c r="C71" s="44">
        <v>-275.47831742419373</v>
      </c>
      <c r="D71" s="44">
        <v>-309.5385306168648</v>
      </c>
      <c r="E71" s="45">
        <v>-336.012101594907</v>
      </c>
      <c r="F71" s="44">
        <v>-297.8903122740245</v>
      </c>
      <c r="G71" s="44">
        <v>-275.29491157060187</v>
      </c>
      <c r="H71" s="44">
        <v>-305.51637722717163</v>
      </c>
      <c r="I71" s="44">
        <v>-339.811605828202</v>
      </c>
    </row>
    <row r="72" spans="1:9" ht="14.25">
      <c r="A72" s="46" t="str">
        <f>HLOOKUP(INDICE!$F$2,Nombres!$C$3:$D$636,40,FALSE)</f>
        <v>  Gastos de personal</v>
      </c>
      <c r="B72" s="44">
        <v>-149.75405358564893</v>
      </c>
      <c r="C72" s="44">
        <v>-157.14043947221768</v>
      </c>
      <c r="D72" s="44">
        <v>-172.19059205561965</v>
      </c>
      <c r="E72" s="45">
        <v>-189.0625955978652</v>
      </c>
      <c r="F72" s="44">
        <v>-168.87050483054037</v>
      </c>
      <c r="G72" s="44">
        <v>-151.58792709910637</v>
      </c>
      <c r="H72" s="44">
        <v>-168.1041946631176</v>
      </c>
      <c r="I72" s="44">
        <v>-180.93601329723572</v>
      </c>
    </row>
    <row r="73" spans="1:9" ht="14.25">
      <c r="A73" s="46" t="str">
        <f>HLOOKUP(INDICE!$F$2,Nombres!$C$3:$D$636,41,FALSE)</f>
        <v>  Otros gastos de administración</v>
      </c>
      <c r="B73" s="44">
        <v>-112.63814465843635</v>
      </c>
      <c r="C73" s="44">
        <v>-118.33787795197607</v>
      </c>
      <c r="D73" s="44">
        <v>-137.34793856124512</v>
      </c>
      <c r="E73" s="45">
        <v>-146.94950599704177</v>
      </c>
      <c r="F73" s="44">
        <v>-129.01980744348413</v>
      </c>
      <c r="G73" s="44">
        <v>-123.70698447149546</v>
      </c>
      <c r="H73" s="44">
        <v>-137.41218256405406</v>
      </c>
      <c r="I73" s="44">
        <v>-158.87559253096634</v>
      </c>
    </row>
    <row r="74" spans="1:9" ht="14.25">
      <c r="A74" s="43" t="str">
        <f>HLOOKUP(INDICE!$F$2,Nombres!$C$3:$D$636,42,FALSE)</f>
        <v>  Amortización</v>
      </c>
      <c r="B74" s="44">
        <v>-34.71647309523199</v>
      </c>
      <c r="C74" s="44">
        <v>-36.20680816570594</v>
      </c>
      <c r="D74" s="44">
        <v>-36.72143188857591</v>
      </c>
      <c r="E74" s="45">
        <v>-43.15996883128996</v>
      </c>
      <c r="F74" s="44">
        <v>-40.15027278378635</v>
      </c>
      <c r="G74" s="44">
        <v>-37.26129416947253</v>
      </c>
      <c r="H74" s="44">
        <v>-37.44722592112596</v>
      </c>
      <c r="I74" s="44">
        <v>-38.85120712561516</v>
      </c>
    </row>
    <row r="75" spans="1:9" ht="14.25">
      <c r="A75" s="41" t="str">
        <f>HLOOKUP(INDICE!$F$2,Nombres!$C$3:$D$636,43,FALSE)</f>
        <v>Margen neto</v>
      </c>
      <c r="B75" s="41">
        <f>+B69+B70</f>
        <v>425.9274389082234</v>
      </c>
      <c r="C75" s="41">
        <f aca="true" t="shared" si="10" ref="C75:I75">+C69+C70</f>
        <v>440.0980662447635</v>
      </c>
      <c r="D75" s="41">
        <f t="shared" si="10"/>
        <v>497.87949693139706</v>
      </c>
      <c r="E75" s="42">
        <f t="shared" si="10"/>
        <v>474.49592759783843</v>
      </c>
      <c r="F75" s="50">
        <f t="shared" si="10"/>
        <v>398.8280892966866</v>
      </c>
      <c r="G75" s="50">
        <f t="shared" si="10"/>
        <v>441.3529449182064</v>
      </c>
      <c r="H75" s="50">
        <f t="shared" si="10"/>
        <v>480.79353857089603</v>
      </c>
      <c r="I75" s="50">
        <f t="shared" si="10"/>
        <v>532.1158924742108</v>
      </c>
    </row>
    <row r="76" spans="1:9" ht="14.25">
      <c r="A76" s="43" t="str">
        <f>HLOOKUP(INDICE!$F$2,Nombres!$C$3:$D$636,44,FALSE)</f>
        <v>Deterioro de activos financieros no valorados a valor razonable con cambios en resultados</v>
      </c>
      <c r="B76" s="44">
        <v>-147.12411422995362</v>
      </c>
      <c r="C76" s="44">
        <v>-138.99403793827952</v>
      </c>
      <c r="D76" s="44">
        <v>-172.2431795845419</v>
      </c>
      <c r="E76" s="45">
        <v>-186.62146576446654</v>
      </c>
      <c r="F76" s="44">
        <v>-282.00126086734156</v>
      </c>
      <c r="G76" s="44">
        <v>-278.57386192335895</v>
      </c>
      <c r="H76" s="44">
        <v>-97.64267637637519</v>
      </c>
      <c r="I76" s="44">
        <v>-205.99820083292434</v>
      </c>
    </row>
    <row r="77" spans="1:9" ht="14.25">
      <c r="A77" s="43" t="str">
        <f>HLOOKUP(INDICE!$F$2,Nombres!$C$3:$D$636,45,FALSE)</f>
        <v>Provisiones o reversión de provisiones y otros resultados</v>
      </c>
      <c r="B77" s="44">
        <v>-9.006110901981955</v>
      </c>
      <c r="C77" s="44">
        <v>-0.8300146382261131</v>
      </c>
      <c r="D77" s="44">
        <v>-11.564563045482405</v>
      </c>
      <c r="E77" s="45">
        <v>-53.05751041229138</v>
      </c>
      <c r="F77" s="44">
        <v>-13.897814520579475</v>
      </c>
      <c r="G77" s="44">
        <v>-28.45606482222388</v>
      </c>
      <c r="H77" s="44">
        <v>-29.91411487364443</v>
      </c>
      <c r="I77" s="44">
        <v>-20.466518783552218</v>
      </c>
    </row>
    <row r="78" spans="1:9" ht="14.25">
      <c r="A78" s="41" t="str">
        <f>HLOOKUP(INDICE!$F$2,Nombres!$C$3:$D$636,46,FALSE)</f>
        <v>Resultado antes de impuestos</v>
      </c>
      <c r="B78" s="41">
        <f>+B75+B76+B77</f>
        <v>269.7972137762878</v>
      </c>
      <c r="C78" s="41">
        <f aca="true" t="shared" si="11" ref="C78:I78">+C75+C76+C77</f>
        <v>300.2740136682579</v>
      </c>
      <c r="D78" s="41">
        <f t="shared" si="11"/>
        <v>314.0717543013727</v>
      </c>
      <c r="E78" s="42">
        <f t="shared" si="11"/>
        <v>234.81695142108055</v>
      </c>
      <c r="F78" s="50">
        <f t="shared" si="11"/>
        <v>102.92901390876555</v>
      </c>
      <c r="G78" s="50">
        <f t="shared" si="11"/>
        <v>134.32301817262356</v>
      </c>
      <c r="H78" s="50">
        <f t="shared" si="11"/>
        <v>353.2367473208764</v>
      </c>
      <c r="I78" s="50">
        <f t="shared" si="11"/>
        <v>305.65117285773425</v>
      </c>
    </row>
    <row r="79" spans="1:9" ht="14.25">
      <c r="A79" s="43" t="str">
        <f>HLOOKUP(INDICE!$F$2,Nombres!$C$3:$D$636,47,FALSE)</f>
        <v>Impuesto sobre beneficios</v>
      </c>
      <c r="B79" s="44">
        <v>-95.89896937666438</v>
      </c>
      <c r="C79" s="44">
        <v>-98.80043425575734</v>
      </c>
      <c r="D79" s="44">
        <v>-50.15088287859725</v>
      </c>
      <c r="E79" s="45">
        <v>-45.54071983180414</v>
      </c>
      <c r="F79" s="44">
        <v>-21.267394921151165</v>
      </c>
      <c r="G79" s="44">
        <v>-43.062980272145275</v>
      </c>
      <c r="H79" s="44">
        <v>-112.09712968700731</v>
      </c>
      <c r="I79" s="44">
        <v>-100.97802181969627</v>
      </c>
    </row>
    <row r="80" spans="1:9" ht="14.25">
      <c r="A80" s="41" t="str">
        <f>HLOOKUP(INDICE!$F$2,Nombres!$C$3:$D$636,48,FALSE)</f>
        <v>Resultado del ejercicio</v>
      </c>
      <c r="B80" s="41">
        <f>+B78+B79</f>
        <v>173.8982443996234</v>
      </c>
      <c r="C80" s="41">
        <f aca="true" t="shared" si="12" ref="C80:I80">+C78+C79</f>
        <v>201.47357941250056</v>
      </c>
      <c r="D80" s="41">
        <f t="shared" si="12"/>
        <v>263.92087142277546</v>
      </c>
      <c r="E80" s="42">
        <f t="shared" si="12"/>
        <v>189.2762315892764</v>
      </c>
      <c r="F80" s="50">
        <f t="shared" si="12"/>
        <v>81.66161898761439</v>
      </c>
      <c r="G80" s="50">
        <f t="shared" si="12"/>
        <v>91.2600379004783</v>
      </c>
      <c r="H80" s="50">
        <f t="shared" si="12"/>
        <v>241.1396176338691</v>
      </c>
      <c r="I80" s="50">
        <f t="shared" si="12"/>
        <v>204.673151038038</v>
      </c>
    </row>
    <row r="81" spans="1:9" ht="14.25">
      <c r="A81" s="43" t="str">
        <f>HLOOKUP(INDICE!$F$2,Nombres!$C$3:$D$636,49,FALSE)</f>
        <v>Minoritarios</v>
      </c>
      <c r="B81" s="44">
        <v>-54.57491143010566</v>
      </c>
      <c r="C81" s="44">
        <v>-59.98113028610385</v>
      </c>
      <c r="D81" s="44">
        <v>-83.62899691903809</v>
      </c>
      <c r="E81" s="45">
        <v>-54.24729090817845</v>
      </c>
      <c r="F81" s="44">
        <v>-29.088753550684693</v>
      </c>
      <c r="G81" s="44">
        <v>-13.865111121715627</v>
      </c>
      <c r="H81" s="44">
        <v>-71.94542959686959</v>
      </c>
      <c r="I81" s="44">
        <v>-57.806957640730104</v>
      </c>
    </row>
    <row r="82" spans="1:9" ht="14.25">
      <c r="A82" s="47" t="str">
        <f>HLOOKUP(INDICE!$F$2,Nombres!$C$3:$D$636,50,FALSE)</f>
        <v>Resultado atribuido</v>
      </c>
      <c r="B82" s="47">
        <f>+B80+B81</f>
        <v>119.32333296951774</v>
      </c>
      <c r="C82" s="47">
        <f aca="true" t="shared" si="13" ref="C82:I82">+C80+C81</f>
        <v>141.4924491263967</v>
      </c>
      <c r="D82" s="47">
        <f t="shared" si="13"/>
        <v>180.29187450373738</v>
      </c>
      <c r="E82" s="47">
        <f t="shared" si="13"/>
        <v>135.02894068109794</v>
      </c>
      <c r="F82" s="51">
        <f t="shared" si="13"/>
        <v>52.572865436929696</v>
      </c>
      <c r="G82" s="51">
        <f t="shared" si="13"/>
        <v>77.39492677876267</v>
      </c>
      <c r="H82" s="51">
        <f t="shared" si="13"/>
        <v>169.19418803699952</v>
      </c>
      <c r="I82" s="51">
        <f t="shared" si="13"/>
        <v>146.86619339730788</v>
      </c>
    </row>
    <row r="83" spans="1:15" ht="14.25">
      <c r="A83" s="284"/>
      <c r="B83" s="283"/>
      <c r="C83" s="283"/>
      <c r="D83" s="283"/>
      <c r="E83" s="283"/>
      <c r="F83" s="283"/>
      <c r="G83" s="283"/>
      <c r="H83" s="283"/>
      <c r="I83" s="283"/>
      <c r="J83" s="165"/>
      <c r="K83" s="165"/>
      <c r="L83" s="165"/>
      <c r="M83" s="165"/>
      <c r="N83" s="165"/>
      <c r="O83" s="165"/>
    </row>
    <row r="84" spans="1:15" ht="14.25">
      <c r="A84" s="281"/>
      <c r="B84" s="281"/>
      <c r="C84" s="281"/>
      <c r="D84" s="281"/>
      <c r="E84" s="281"/>
      <c r="F84" s="281"/>
      <c r="G84" s="281"/>
      <c r="H84" s="281"/>
      <c r="I84" s="281"/>
      <c r="J84" s="165"/>
      <c r="K84" s="165"/>
      <c r="L84" s="165"/>
      <c r="M84" s="165"/>
      <c r="N84" s="165"/>
      <c r="O84" s="165"/>
    </row>
    <row r="85" spans="1:15" ht="14.25">
      <c r="A85" s="282"/>
      <c r="B85" s="283"/>
      <c r="C85" s="283"/>
      <c r="D85" s="283"/>
      <c r="E85" s="283"/>
      <c r="F85" s="283"/>
      <c r="G85" s="283"/>
      <c r="H85" s="283"/>
      <c r="I85" s="283"/>
      <c r="J85" s="165"/>
      <c r="K85" s="165"/>
      <c r="L85" s="165"/>
      <c r="M85" s="165"/>
      <c r="N85" s="165"/>
      <c r="O85" s="165"/>
    </row>
    <row r="86" spans="1:9" ht="14.25">
      <c r="A86" s="63"/>
      <c r="B86" s="64"/>
      <c r="C86" s="64"/>
      <c r="D86" s="64"/>
      <c r="E86" s="64"/>
      <c r="F86" s="64"/>
      <c r="G86" s="64"/>
      <c r="H86" s="64"/>
      <c r="I86" s="64"/>
    </row>
    <row r="87" spans="1:9" ht="14.25">
      <c r="A87" s="41"/>
      <c r="B87" s="41"/>
      <c r="C87" s="41"/>
      <c r="D87" s="41"/>
      <c r="E87" s="41"/>
      <c r="F87" s="50"/>
      <c r="G87" s="50"/>
      <c r="H87" s="50"/>
      <c r="I87" s="50"/>
    </row>
    <row r="88" spans="1:9" ht="16.5">
      <c r="A88" s="33" t="str">
        <f>HLOOKUP(INDICE!$F$2,Nombres!$C$3:$D$636,51,FALSE)</f>
        <v>Balances</v>
      </c>
      <c r="B88" s="34"/>
      <c r="C88" s="34"/>
      <c r="D88" s="34"/>
      <c r="E88" s="34"/>
      <c r="F88" s="70"/>
      <c r="G88" s="70"/>
      <c r="H88" s="70"/>
      <c r="I88" s="70"/>
    </row>
    <row r="89" spans="1:9" ht="14.25">
      <c r="A89" s="35" t="str">
        <f>HLOOKUP(INDICE!$F$2,Nombres!$C$3:$D$636,73,FALSE)</f>
        <v>(Millones de euros constantes)</v>
      </c>
      <c r="B89" s="30"/>
      <c r="C89" s="52"/>
      <c r="D89" s="52"/>
      <c r="E89" s="52"/>
      <c r="F89" s="71"/>
      <c r="G89" s="44"/>
      <c r="H89" s="44"/>
      <c r="I89" s="44"/>
    </row>
    <row r="90" spans="1:9" ht="14.25">
      <c r="A90" s="30"/>
      <c r="B90" s="53">
        <f aca="true" t="shared" si="14" ref="B90:I90">+B$33</f>
        <v>43555</v>
      </c>
      <c r="C90" s="53">
        <f t="shared" si="14"/>
        <v>43646</v>
      </c>
      <c r="D90" s="53">
        <f t="shared" si="14"/>
        <v>43738</v>
      </c>
      <c r="E90" s="69">
        <f t="shared" si="14"/>
        <v>43830</v>
      </c>
      <c r="F90" s="53">
        <f t="shared" si="14"/>
        <v>43921</v>
      </c>
      <c r="G90" s="53">
        <f t="shared" si="14"/>
        <v>44012</v>
      </c>
      <c r="H90" s="53">
        <f t="shared" si="14"/>
        <v>44104</v>
      </c>
      <c r="I90" s="53">
        <f t="shared" si="14"/>
        <v>44196</v>
      </c>
    </row>
    <row r="91" spans="1:9" ht="14.25">
      <c r="A91" s="43" t="str">
        <f>HLOOKUP(INDICE!$F$2,Nombres!$C$3:$D$636,52,FALSE)</f>
        <v>Efectivo, saldos en efectivo en bancos centrales y otros depósitos a la vista</v>
      </c>
      <c r="B91" s="44">
        <v>6606.12064785132</v>
      </c>
      <c r="C91" s="44">
        <v>5781.4402400255285</v>
      </c>
      <c r="D91" s="44">
        <v>5664.418696938857</v>
      </c>
      <c r="E91" s="45">
        <v>6845.949347126321</v>
      </c>
      <c r="F91" s="44">
        <v>7068.685076603646</v>
      </c>
      <c r="G91" s="44">
        <v>7575.152484234265</v>
      </c>
      <c r="H91" s="44">
        <v>6536.791501231801</v>
      </c>
      <c r="I91" s="44">
        <v>7126.093</v>
      </c>
    </row>
    <row r="92" spans="1:9" ht="14.25">
      <c r="A92" s="43" t="str">
        <f>HLOOKUP(INDICE!$F$2,Nombres!$C$3:$D$636,53,FALSE)</f>
        <v>Activos financieros a valor razonable</v>
      </c>
      <c r="B92" s="58">
        <v>5415.548826939083</v>
      </c>
      <c r="C92" s="58">
        <v>5641.6026891705515</v>
      </c>
      <c r="D92" s="58">
        <v>5807.643673904446</v>
      </c>
      <c r="E92" s="66">
        <v>5077.955206857187</v>
      </c>
      <c r="F92" s="44">
        <v>6996.83521439787</v>
      </c>
      <c r="G92" s="44">
        <v>7540.246979404805</v>
      </c>
      <c r="H92" s="44">
        <v>7988.11058299951</v>
      </c>
      <c r="I92" s="44">
        <v>7328.645</v>
      </c>
    </row>
    <row r="93" spans="1:9" ht="14.25">
      <c r="A93" s="43" t="str">
        <f>HLOOKUP(INDICE!$F$2,Nombres!$C$3:$D$636,54,FALSE)</f>
        <v>Activos financieros a coste amortizado</v>
      </c>
      <c r="B93" s="44">
        <v>30375.35012840178</v>
      </c>
      <c r="C93" s="44">
        <v>30779.967126336498</v>
      </c>
      <c r="D93" s="44">
        <v>31880.41638456977</v>
      </c>
      <c r="E93" s="45">
        <v>31931.888145477995</v>
      </c>
      <c r="F93" s="44">
        <v>33016.06906272921</v>
      </c>
      <c r="G93" s="44">
        <v>35693.75841296536</v>
      </c>
      <c r="H93" s="44">
        <v>37686.748662920065</v>
      </c>
      <c r="I93" s="44">
        <v>38548.833000000006</v>
      </c>
    </row>
    <row r="94" spans="1:9" ht="14.25">
      <c r="A94" s="43" t="str">
        <f>HLOOKUP(INDICE!$F$2,Nombres!$C$3:$D$636,55,FALSE)</f>
        <v>    de los que préstamos y anticipos a la clientela</v>
      </c>
      <c r="B94" s="44">
        <v>28547.67389052318</v>
      </c>
      <c r="C94" s="44">
        <v>28911.633882200946</v>
      </c>
      <c r="D94" s="44">
        <v>29883.360353109823</v>
      </c>
      <c r="E94" s="45">
        <v>30058.38941272504</v>
      </c>
      <c r="F94" s="44">
        <v>31245.065089413612</v>
      </c>
      <c r="G94" s="44">
        <v>32605.210186304394</v>
      </c>
      <c r="H94" s="44">
        <v>33285.63354256998</v>
      </c>
      <c r="I94" s="44">
        <v>33615.106</v>
      </c>
    </row>
    <row r="95" spans="1:9" ht="14.25">
      <c r="A95" s="43" t="str">
        <f>HLOOKUP(INDICE!$F$2,Nombres!$C$3:$D$636,56,FALSE)</f>
        <v>Activos tangibles</v>
      </c>
      <c r="B95" s="44">
        <v>809.705164337549</v>
      </c>
      <c r="C95" s="44">
        <v>838.901094905422</v>
      </c>
      <c r="D95" s="44">
        <v>831.8881109646234</v>
      </c>
      <c r="E95" s="45">
        <v>848.1148220552931</v>
      </c>
      <c r="F95" s="44">
        <v>838.6349912181039</v>
      </c>
      <c r="G95" s="44">
        <v>814.1518282754048</v>
      </c>
      <c r="H95" s="44">
        <v>789.9321144193012</v>
      </c>
      <c r="I95" s="44">
        <v>808.0074728400001</v>
      </c>
    </row>
    <row r="96" spans="1:9" ht="14.25">
      <c r="A96" s="43" t="str">
        <f>HLOOKUP(INDICE!$F$2,Nombres!$C$3:$D$636,57,FALSE)</f>
        <v>Otros activos</v>
      </c>
      <c r="B96" s="58">
        <f>+B97-B95-B93-B92-B91</f>
        <v>2010.0418692910434</v>
      </c>
      <c r="C96" s="58">
        <f aca="true" t="shared" si="15" ref="C96:I96">+C97-C95-C93-C92-C91</f>
        <v>2031.369888796914</v>
      </c>
      <c r="D96" s="58">
        <f t="shared" si="15"/>
        <v>2197.5202798790515</v>
      </c>
      <c r="E96" s="66">
        <f t="shared" si="15"/>
        <v>1225.62962871315</v>
      </c>
      <c r="F96" s="44">
        <f t="shared" si="15"/>
        <v>1711.1843146399679</v>
      </c>
      <c r="G96" s="44">
        <f t="shared" si="15"/>
        <v>1511.9561653154824</v>
      </c>
      <c r="H96" s="44">
        <f t="shared" si="15"/>
        <v>1509.4860890677883</v>
      </c>
      <c r="I96" s="44">
        <f t="shared" si="15"/>
        <v>1623.7976308199914</v>
      </c>
    </row>
    <row r="97" spans="1:9" ht="14.25">
      <c r="A97" s="47" t="str">
        <f>HLOOKUP(INDICE!$F$2,Nombres!$C$3:$D$636,58,FALSE)</f>
        <v>Total activo / pasivo</v>
      </c>
      <c r="B97" s="47">
        <v>45216.76663682078</v>
      </c>
      <c r="C97" s="47">
        <v>45073.28103923491</v>
      </c>
      <c r="D97" s="47">
        <v>46381.88714625675</v>
      </c>
      <c r="E97" s="47">
        <v>45929.537150229946</v>
      </c>
      <c r="F97" s="51">
        <v>49631.4086595888</v>
      </c>
      <c r="G97" s="51">
        <v>53135.26587019532</v>
      </c>
      <c r="H97" s="51">
        <v>54511.068950638466</v>
      </c>
      <c r="I97" s="51">
        <v>55435.37610366</v>
      </c>
    </row>
    <row r="98" spans="1:9" ht="14.25">
      <c r="A98" s="43" t="str">
        <f>HLOOKUP(INDICE!$F$2,Nombres!$C$3:$D$636,59,FALSE)</f>
        <v>Pasivos financieros mantenidos para negociar y designados a valor razonable con cambios en resultados</v>
      </c>
      <c r="B98" s="58">
        <v>1952.8365660831207</v>
      </c>
      <c r="C98" s="58">
        <v>1637.1150381590671</v>
      </c>
      <c r="D98" s="58">
        <v>1439.6260314710444</v>
      </c>
      <c r="E98" s="66">
        <v>1609.5450209359772</v>
      </c>
      <c r="F98" s="44">
        <v>2063.835777725415</v>
      </c>
      <c r="G98" s="44">
        <v>1908.3832538325394</v>
      </c>
      <c r="H98" s="44">
        <v>1713.4676962108215</v>
      </c>
      <c r="I98" s="44">
        <v>1326.236</v>
      </c>
    </row>
    <row r="99" spans="1:9" ht="14.25">
      <c r="A99" s="43" t="str">
        <f>HLOOKUP(INDICE!$F$2,Nombres!$C$3:$D$636,60,FALSE)</f>
        <v>Depósitos de bancos centrales y entidades de crédito</v>
      </c>
      <c r="B99" s="58">
        <v>2600.8046164766984</v>
      </c>
      <c r="C99" s="58">
        <v>2706.240219711653</v>
      </c>
      <c r="D99" s="58">
        <v>3070.9639313816583</v>
      </c>
      <c r="E99" s="66">
        <v>3126.3991489146283</v>
      </c>
      <c r="F99" s="44">
        <v>3651.795785494604</v>
      </c>
      <c r="G99" s="44">
        <v>3942.9397972189963</v>
      </c>
      <c r="H99" s="44">
        <v>5706.025036247516</v>
      </c>
      <c r="I99" s="44">
        <v>5378.188999999999</v>
      </c>
    </row>
    <row r="100" spans="1:9" ht="14.25">
      <c r="A100" s="43" t="str">
        <f>HLOOKUP(INDICE!$F$2,Nombres!$C$3:$D$636,61,FALSE)</f>
        <v>Depósitos de la clientela</v>
      </c>
      <c r="B100" s="58">
        <v>29087.85759486524</v>
      </c>
      <c r="C100" s="58">
        <v>29055.262520495446</v>
      </c>
      <c r="D100" s="58">
        <v>29704.32815608094</v>
      </c>
      <c r="E100" s="66">
        <v>29891.938341563146</v>
      </c>
      <c r="F100" s="44">
        <v>32441.48025262878</v>
      </c>
      <c r="G100" s="44">
        <v>35978.42681439009</v>
      </c>
      <c r="H100" s="44">
        <v>35312.21154117071</v>
      </c>
      <c r="I100" s="44">
        <v>36874.061</v>
      </c>
    </row>
    <row r="101" spans="1:9" ht="14.25">
      <c r="A101" s="43" t="str">
        <f>HLOOKUP(INDICE!$F$2,Nombres!$C$3:$D$636,62,FALSE)</f>
        <v>Valores representativos de deuda emitidos</v>
      </c>
      <c r="B101" s="44">
        <v>2860.194299685928</v>
      </c>
      <c r="C101" s="44">
        <v>2723.2045291942695</v>
      </c>
      <c r="D101" s="44">
        <v>2827.269637117463</v>
      </c>
      <c r="E101" s="45">
        <v>2822.5703648355034</v>
      </c>
      <c r="F101" s="44">
        <v>2922.9659901772425</v>
      </c>
      <c r="G101" s="44">
        <v>2833.9154684397954</v>
      </c>
      <c r="H101" s="44">
        <v>2822.5575022941002</v>
      </c>
      <c r="I101" s="44">
        <v>2612.2549999999997</v>
      </c>
    </row>
    <row r="102" spans="1:9" ht="14.25">
      <c r="A102" s="43" t="str">
        <f>HLOOKUP(INDICE!$F$2,Nombres!$C$3:$D$636,63,FALSE)</f>
        <v>Otros pasivos</v>
      </c>
      <c r="B102" s="58">
        <f>+B97-B98-B99-B100-B101-B103</f>
        <v>6823.703588750564</v>
      </c>
      <c r="C102" s="58">
        <f aca="true" t="shared" si="16" ref="C102:I102">+C97-C98-C99-C100-C101-C103</f>
        <v>7045.671592426284</v>
      </c>
      <c r="D102" s="58">
        <f t="shared" si="16"/>
        <v>7385.702791651409</v>
      </c>
      <c r="E102" s="66">
        <f t="shared" si="16"/>
        <v>6423.06203979901</v>
      </c>
      <c r="F102" s="44">
        <f t="shared" si="16"/>
        <v>6258.216305985774</v>
      </c>
      <c r="G102" s="44">
        <f t="shared" si="16"/>
        <v>6341.851635639172</v>
      </c>
      <c r="H102" s="44">
        <f t="shared" si="16"/>
        <v>6793.968955784693</v>
      </c>
      <c r="I102" s="44">
        <f t="shared" si="16"/>
        <v>7092.586819760001</v>
      </c>
    </row>
    <row r="103" spans="1:9" ht="14.25">
      <c r="A103" s="43" t="str">
        <f>HLOOKUP(INDICE!$F$2,Nombres!$C$3:$D$636,64,FALSE)</f>
        <v>Dotación de capital económico</v>
      </c>
      <c r="B103" s="44">
        <v>1891.369970959227</v>
      </c>
      <c r="C103" s="44">
        <v>1905.7871392481884</v>
      </c>
      <c r="D103" s="44">
        <v>1953.9965985542317</v>
      </c>
      <c r="E103" s="45">
        <v>2056.022234181682</v>
      </c>
      <c r="F103" s="44">
        <v>2293.1145475769845</v>
      </c>
      <c r="G103" s="44">
        <v>2129.748900674725</v>
      </c>
      <c r="H103" s="44">
        <v>2162.8382189306185</v>
      </c>
      <c r="I103" s="44">
        <v>2152.0482839</v>
      </c>
    </row>
    <row r="104" spans="1:9" ht="14.25">
      <c r="A104" s="63"/>
      <c r="B104" s="58"/>
      <c r="C104" s="58"/>
      <c r="D104" s="58"/>
      <c r="E104" s="58"/>
      <c r="F104" s="44"/>
      <c r="G104" s="44"/>
      <c r="H104" s="44"/>
      <c r="I104" s="44"/>
    </row>
    <row r="105" spans="1:9" ht="14.25">
      <c r="A105" s="43"/>
      <c r="B105" s="58"/>
      <c r="C105" s="58"/>
      <c r="D105" s="58"/>
      <c r="E105" s="58"/>
      <c r="F105" s="44"/>
      <c r="G105" s="44"/>
      <c r="H105" s="44"/>
      <c r="I105" s="44"/>
    </row>
    <row r="106" spans="1:9" ht="16.5">
      <c r="A106" s="33" t="str">
        <f>HLOOKUP(INDICE!$F$2,Nombres!$C$3:$D$636,65,FALSE)</f>
        <v>Indicadores relevantes y de gestión</v>
      </c>
      <c r="B106" s="34"/>
      <c r="C106" s="34"/>
      <c r="D106" s="34"/>
      <c r="E106" s="34"/>
      <c r="F106" s="70"/>
      <c r="G106" s="70"/>
      <c r="H106" s="70"/>
      <c r="I106" s="70"/>
    </row>
    <row r="107" spans="1:9" ht="14.25">
      <c r="A107" s="35" t="str">
        <f>HLOOKUP(INDICE!$F$2,Nombres!$C$3:$D$636,73,FALSE)</f>
        <v>(Millones de euros constantes)</v>
      </c>
      <c r="B107" s="30"/>
      <c r="C107" s="30"/>
      <c r="D107" s="30"/>
      <c r="E107" s="30"/>
      <c r="F107" s="71"/>
      <c r="G107" s="44"/>
      <c r="H107" s="44"/>
      <c r="I107" s="44"/>
    </row>
    <row r="108" spans="1:9" ht="14.25">
      <c r="A108" s="30"/>
      <c r="B108" s="53">
        <f aca="true" t="shared" si="17" ref="B108:I108">+B$33</f>
        <v>43555</v>
      </c>
      <c r="C108" s="53">
        <f t="shared" si="17"/>
        <v>43646</v>
      </c>
      <c r="D108" s="53">
        <f t="shared" si="17"/>
        <v>43738</v>
      </c>
      <c r="E108" s="69">
        <f t="shared" si="17"/>
        <v>43830</v>
      </c>
      <c r="F108" s="53">
        <f t="shared" si="17"/>
        <v>43921</v>
      </c>
      <c r="G108" s="53">
        <f t="shared" si="17"/>
        <v>44012</v>
      </c>
      <c r="H108" s="53">
        <f t="shared" si="17"/>
        <v>44104</v>
      </c>
      <c r="I108" s="53">
        <f t="shared" si="17"/>
        <v>44196</v>
      </c>
    </row>
    <row r="109" spans="1:9" ht="14.25">
      <c r="A109" s="43" t="str">
        <f>HLOOKUP(INDICE!$F$2,Nombres!$C$3:$D$636,66,FALSE)</f>
        <v>Préstamos y anticipos a la clientela bruto (*)</v>
      </c>
      <c r="B109" s="44">
        <v>29774.818713247263</v>
      </c>
      <c r="C109" s="44">
        <v>30076.382843064537</v>
      </c>
      <c r="D109" s="44">
        <v>31165.148636077418</v>
      </c>
      <c r="E109" s="45">
        <v>31498.5449274376</v>
      </c>
      <c r="F109" s="44">
        <v>32809.880876745076</v>
      </c>
      <c r="G109" s="44">
        <v>34260.26724880418</v>
      </c>
      <c r="H109" s="44">
        <v>35078.333507047515</v>
      </c>
      <c r="I109" s="44">
        <v>35441.98570991</v>
      </c>
    </row>
    <row r="110" spans="1:9" ht="14.25">
      <c r="A110" s="43" t="str">
        <f>HLOOKUP(INDICE!$F$2,Nombres!$C$3:$D$636,67,FALSE)</f>
        <v>Depósitos de clientes en gestión (**)</v>
      </c>
      <c r="B110" s="44">
        <v>29185.227411046435</v>
      </c>
      <c r="C110" s="44">
        <v>29067.028447046137</v>
      </c>
      <c r="D110" s="44">
        <v>29710.210499402012</v>
      </c>
      <c r="E110" s="45">
        <v>29907.34751040405</v>
      </c>
      <c r="F110" s="44">
        <v>32456.74996483482</v>
      </c>
      <c r="G110" s="44">
        <v>35996.57759258641</v>
      </c>
      <c r="H110" s="44">
        <v>35323.93210721498</v>
      </c>
      <c r="I110" s="44">
        <v>36885.828558400004</v>
      </c>
    </row>
    <row r="111" spans="1:9" ht="14.25">
      <c r="A111" s="43" t="str">
        <f>HLOOKUP(INDICE!$F$2,Nombres!$C$3:$D$636,68,FALSE)</f>
        <v>Fondos de inversión</v>
      </c>
      <c r="B111" s="44">
        <v>3164.5554192792642</v>
      </c>
      <c r="C111" s="44">
        <v>3151.6357596694684</v>
      </c>
      <c r="D111" s="44">
        <v>3213.000528272732</v>
      </c>
      <c r="E111" s="45">
        <v>3162.9251804361</v>
      </c>
      <c r="F111" s="44">
        <v>2951.2634331639506</v>
      </c>
      <c r="G111" s="44">
        <v>3931.3385196465665</v>
      </c>
      <c r="H111" s="44">
        <v>4536.937007592646</v>
      </c>
      <c r="I111" s="44">
        <v>4687.027100849999</v>
      </c>
    </row>
    <row r="112" spans="1:9" ht="14.25">
      <c r="A112" s="43" t="str">
        <f>HLOOKUP(INDICE!$F$2,Nombres!$C$3:$D$636,69,FALSE)</f>
        <v>Fondos de pensiones</v>
      </c>
      <c r="B112" s="44">
        <v>7581.54853685969</v>
      </c>
      <c r="C112" s="44">
        <v>7801.212795154649</v>
      </c>
      <c r="D112" s="44">
        <v>8028.566916022792</v>
      </c>
      <c r="E112" s="45">
        <v>8243.625587856272</v>
      </c>
      <c r="F112" s="44">
        <v>8422.975246837588</v>
      </c>
      <c r="G112" s="44">
        <v>8532.347335446257</v>
      </c>
      <c r="H112" s="44">
        <v>8758.857808911816</v>
      </c>
      <c r="I112" s="44">
        <v>9035.21080128</v>
      </c>
    </row>
    <row r="113" spans="1:9" ht="14.25">
      <c r="A113" s="43" t="str">
        <f>HLOOKUP(INDICE!$F$2,Nombres!$C$3:$D$636,70,FALSE)</f>
        <v>Otros recursos fuera de balance</v>
      </c>
      <c r="B113" s="44">
        <v>0</v>
      </c>
      <c r="C113" s="44">
        <v>0</v>
      </c>
      <c r="D113" s="44">
        <v>0</v>
      </c>
      <c r="E113" s="45">
        <v>0</v>
      </c>
      <c r="F113" s="44">
        <v>0</v>
      </c>
      <c r="G113" s="44">
        <v>0</v>
      </c>
      <c r="H113" s="44">
        <v>0</v>
      </c>
      <c r="I113" s="44">
        <v>0</v>
      </c>
    </row>
    <row r="114" spans="1:9" ht="14.25">
      <c r="A114" s="63" t="str">
        <f>HLOOKUP(INDICE!$F$2,Nombres!$C$3:$D$636,71,FALSE)</f>
        <v>(*) No incluye las adquisiciones temporales de activos.</v>
      </c>
      <c r="B114" s="58"/>
      <c r="C114" s="58"/>
      <c r="D114" s="58"/>
      <c r="E114" s="58"/>
      <c r="F114" s="58"/>
      <c r="G114" s="58"/>
      <c r="H114" s="58"/>
      <c r="I114" s="58"/>
    </row>
    <row r="115" spans="1:9" ht="14.25">
      <c r="A115" s="63" t="str">
        <f>HLOOKUP(INDICE!$F$2,Nombres!$C$3:$D$636,72,FALSE)</f>
        <v>(**) No incluye las cesiones temporales de activos.</v>
      </c>
      <c r="B115" s="30"/>
      <c r="C115" s="30"/>
      <c r="D115" s="30"/>
      <c r="E115" s="30"/>
      <c r="F115" s="30"/>
      <c r="G115" s="30"/>
      <c r="H115" s="30"/>
      <c r="I115" s="30"/>
    </row>
    <row r="116" spans="1:9" ht="14.25">
      <c r="A116" s="63"/>
      <c r="B116" s="58"/>
      <c r="C116" s="44"/>
      <c r="D116" s="44"/>
      <c r="E116" s="44"/>
      <c r="F116" s="44"/>
      <c r="G116" s="30"/>
      <c r="H116" s="30"/>
      <c r="I116" s="30"/>
    </row>
    <row r="122" spans="6:9" ht="14.25">
      <c r="F122" s="84"/>
      <c r="G122" s="84"/>
      <c r="H122" s="84"/>
      <c r="I122" s="84"/>
    </row>
    <row r="123" spans="6:9" ht="14.25">
      <c r="F123" s="84"/>
      <c r="G123" s="84"/>
      <c r="H123" s="84"/>
      <c r="I123" s="84"/>
    </row>
    <row r="124" spans="6:9" ht="14.25">
      <c r="F124" s="84"/>
      <c r="G124" s="84"/>
      <c r="H124" s="84"/>
      <c r="I124" s="84"/>
    </row>
    <row r="125" spans="6:9" ht="14.25">
      <c r="F125" s="84"/>
      <c r="G125" s="84"/>
      <c r="H125" s="84"/>
      <c r="I125" s="84"/>
    </row>
    <row r="126" spans="6:9" ht="14.25">
      <c r="F126" s="84"/>
      <c r="G126" s="84"/>
      <c r="H126" s="84"/>
      <c r="I126" s="84"/>
    </row>
    <row r="127" spans="6:9" ht="14.25">
      <c r="F127" s="84"/>
      <c r="G127" s="84"/>
      <c r="H127" s="84"/>
      <c r="I127" s="84"/>
    </row>
    <row r="128" spans="6:9" ht="14.25">
      <c r="F128" s="84"/>
      <c r="G128" s="84"/>
      <c r="H128" s="84"/>
      <c r="I128" s="84"/>
    </row>
    <row r="129" spans="6:9" ht="14.25">
      <c r="F129" s="84"/>
      <c r="G129" s="84"/>
      <c r="H129" s="84"/>
      <c r="I129" s="84"/>
    </row>
    <row r="130" spans="6:9" ht="14.25">
      <c r="F130" s="84"/>
      <c r="G130" s="84"/>
      <c r="H130" s="84"/>
      <c r="I130" s="84"/>
    </row>
    <row r="131" spans="6:9" ht="14.25">
      <c r="F131" s="84"/>
      <c r="G131" s="84"/>
      <c r="H131" s="84"/>
      <c r="I131" s="84"/>
    </row>
    <row r="132" spans="6:9" ht="14.25">
      <c r="F132" s="84"/>
      <c r="G132" s="84"/>
      <c r="H132" s="84"/>
      <c r="I132" s="84"/>
    </row>
    <row r="133" spans="6:9" ht="14.25">
      <c r="F133" s="84"/>
      <c r="G133" s="84"/>
      <c r="H133" s="84"/>
      <c r="I133" s="84"/>
    </row>
    <row r="134" spans="6:9" ht="14.25">
      <c r="F134" s="84"/>
      <c r="G134" s="84"/>
      <c r="H134" s="84"/>
      <c r="I134" s="84"/>
    </row>
    <row r="135" spans="6:9" ht="14.25">
      <c r="F135" s="84"/>
      <c r="G135" s="84"/>
      <c r="H135" s="84"/>
      <c r="I135" s="84"/>
    </row>
    <row r="136" spans="6:9" ht="14.25">
      <c r="F136" s="84"/>
      <c r="G136" s="84"/>
      <c r="H136" s="84"/>
      <c r="I136" s="84"/>
    </row>
    <row r="137" spans="6:9" ht="14.25">
      <c r="F137" s="84"/>
      <c r="G137" s="84"/>
      <c r="H137" s="84"/>
      <c r="I137" s="84"/>
    </row>
    <row r="138" spans="6:9" ht="14.25">
      <c r="F138" s="84"/>
      <c r="G138" s="84"/>
      <c r="H138" s="84"/>
      <c r="I138" s="84"/>
    </row>
    <row r="139" spans="6:9" ht="14.25">
      <c r="F139" s="84"/>
      <c r="G139" s="84"/>
      <c r="H139" s="84"/>
      <c r="I139" s="84"/>
    </row>
    <row r="140" spans="6:9" ht="14.25">
      <c r="F140" s="84"/>
      <c r="G140" s="84"/>
      <c r="H140" s="84"/>
      <c r="I140" s="84"/>
    </row>
    <row r="141" spans="6:9" ht="14.25">
      <c r="F141" s="84"/>
      <c r="G141" s="84"/>
      <c r="H141" s="84"/>
      <c r="I141" s="84"/>
    </row>
    <row r="142" spans="6:9" ht="14.25">
      <c r="F142" s="84"/>
      <c r="G142" s="84"/>
      <c r="H142" s="84"/>
      <c r="I142" s="84"/>
    </row>
    <row r="143" spans="6:9" ht="14.25">
      <c r="F143" s="84"/>
      <c r="G143" s="84"/>
      <c r="H143" s="84"/>
      <c r="I143" s="84"/>
    </row>
    <row r="144" spans="6:9" ht="14.25">
      <c r="F144" s="84"/>
      <c r="G144" s="84"/>
      <c r="H144" s="84"/>
      <c r="I144" s="84"/>
    </row>
    <row r="145" spans="6:9" ht="14.25">
      <c r="F145" s="84"/>
      <c r="G145" s="84"/>
      <c r="H145" s="84"/>
      <c r="I145" s="84"/>
    </row>
    <row r="146" spans="6:9" ht="14.25">
      <c r="F146" s="84"/>
      <c r="G146" s="84"/>
      <c r="H146" s="84"/>
      <c r="I146" s="84"/>
    </row>
    <row r="147" spans="6:9" ht="14.25">
      <c r="F147" s="84"/>
      <c r="G147" s="84"/>
      <c r="H147" s="84"/>
      <c r="I147" s="84"/>
    </row>
    <row r="148" spans="6:9" ht="14.25">
      <c r="F148" s="84"/>
      <c r="G148" s="84"/>
      <c r="H148" s="84"/>
      <c r="I148" s="84"/>
    </row>
    <row r="149" spans="6:9" ht="14.25">
      <c r="F149" s="84"/>
      <c r="G149" s="84"/>
      <c r="H149" s="84"/>
      <c r="I149" s="84"/>
    </row>
    <row r="150" spans="6:9" ht="14.25">
      <c r="F150" s="84"/>
      <c r="G150" s="84"/>
      <c r="H150" s="84"/>
      <c r="I150" s="84"/>
    </row>
    <row r="151" spans="6:9" ht="14.25">
      <c r="F151" s="84"/>
      <c r="G151" s="84"/>
      <c r="H151" s="84"/>
      <c r="I151" s="84"/>
    </row>
    <row r="152" spans="6:9" ht="14.25">
      <c r="F152" s="84"/>
      <c r="G152" s="84"/>
      <c r="H152" s="84"/>
      <c r="I152" s="84"/>
    </row>
    <row r="153" spans="6:9" ht="14.25">
      <c r="F153" s="84"/>
      <c r="G153" s="84"/>
      <c r="H153" s="84"/>
      <c r="I153" s="84"/>
    </row>
    <row r="154" spans="6:9" ht="14.25">
      <c r="F154" s="84"/>
      <c r="G154" s="84"/>
      <c r="H154" s="84"/>
      <c r="I154" s="84"/>
    </row>
    <row r="155" spans="6:9" ht="14.25">
      <c r="F155" s="84"/>
      <c r="G155" s="84"/>
      <c r="H155" s="84"/>
      <c r="I155" s="84"/>
    </row>
    <row r="156" spans="6:9" ht="14.25">
      <c r="F156" s="84"/>
      <c r="G156" s="84"/>
      <c r="H156" s="84"/>
      <c r="I156" s="84"/>
    </row>
    <row r="157" spans="6:9" ht="14.25">
      <c r="F157" s="84"/>
      <c r="G157" s="84"/>
      <c r="H157" s="84"/>
      <c r="I157" s="84"/>
    </row>
    <row r="158" spans="6:9" ht="14.25">
      <c r="F158" s="84"/>
      <c r="G158" s="84"/>
      <c r="H158" s="84"/>
      <c r="I158" s="84"/>
    </row>
    <row r="159" spans="6:9" ht="14.25">
      <c r="F159" s="84"/>
      <c r="G159" s="84"/>
      <c r="H159" s="84"/>
      <c r="I159" s="84"/>
    </row>
    <row r="160" spans="6:9" ht="14.25">
      <c r="F160" s="84"/>
      <c r="G160" s="84"/>
      <c r="H160" s="84"/>
      <c r="I160" s="84"/>
    </row>
    <row r="161" spans="6:9" ht="14.25">
      <c r="F161" s="84"/>
      <c r="G161" s="84"/>
      <c r="H161" s="84"/>
      <c r="I161" s="84"/>
    </row>
    <row r="162" spans="6:9" ht="14.25">
      <c r="F162" s="84"/>
      <c r="G162" s="84"/>
      <c r="H162" s="84"/>
      <c r="I162" s="84"/>
    </row>
    <row r="163" spans="6:9" ht="14.25">
      <c r="F163" s="84"/>
      <c r="G163" s="84"/>
      <c r="H163" s="84"/>
      <c r="I163" s="84"/>
    </row>
    <row r="164" spans="6:9" ht="14.25">
      <c r="F164" s="84"/>
      <c r="G164" s="84"/>
      <c r="H164" s="84"/>
      <c r="I164" s="84"/>
    </row>
    <row r="165" spans="6:9" ht="14.25">
      <c r="F165" s="84"/>
      <c r="G165" s="84"/>
      <c r="H165" s="84"/>
      <c r="I165" s="84"/>
    </row>
    <row r="166" spans="6:9" ht="14.25">
      <c r="F166" s="84"/>
      <c r="G166" s="84"/>
      <c r="H166" s="84"/>
      <c r="I166" s="84"/>
    </row>
    <row r="167" spans="6:9" ht="14.25">
      <c r="F167" s="84"/>
      <c r="G167" s="84"/>
      <c r="H167" s="84"/>
      <c r="I167" s="84"/>
    </row>
    <row r="168" spans="6:9" ht="14.25">
      <c r="F168" s="84"/>
      <c r="G168" s="84"/>
      <c r="H168" s="84"/>
      <c r="I168" s="84"/>
    </row>
    <row r="1000" ht="14.25">
      <c r="A1000" s="31" t="s">
        <v>397</v>
      </c>
    </row>
  </sheetData>
  <sheetProtection/>
  <mergeCells count="4">
    <mergeCell ref="B6:E6"/>
    <mergeCell ref="F6:I6"/>
    <mergeCell ref="B63:E63"/>
    <mergeCell ref="F63:I63"/>
  </mergeCells>
  <conditionalFormatting sqref="B26:I26 B28:I29">
    <cfRule type="cellIs" priority="2" dxfId="143" operator="notBetween">
      <formula>0.5</formula>
      <formula>-0.5</formula>
    </cfRule>
  </conditionalFormatting>
  <conditionalFormatting sqref="B83:I83 B85:I86">
    <cfRule type="cellIs" priority="1" dxfId="143" operator="notBetween">
      <formula>0.5</formula>
      <formula>-0.5</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BBVA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LERCHUNDI LIZASO ,ION</dc:creator>
  <cp:keywords/>
  <dc:description/>
  <cp:lastModifiedBy>GONZALEZ SOBRADO, SONIA</cp:lastModifiedBy>
  <dcterms:created xsi:type="dcterms:W3CDTF">2019-04-26T12:12:53Z</dcterms:created>
  <dcterms:modified xsi:type="dcterms:W3CDTF">2021-02-19T16:41:06Z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