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02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Diferenciales" sheetId="20" r:id="rId20"/>
    <sheet name="APRs"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<sst xmlns="http://schemas.openxmlformats.org/spreadsheetml/2006/main" count="630" uniqueCount="521">
  <si>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</si>
  <si>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</si>
  <si>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</si>
  <si>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</si>
  <si>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</si>
  <si>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</si>
  <si>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</si>
  <si>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</si>
  <si>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</si>
  <si>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</si>
  <si>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</si>
  <si>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</si>
  <si>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</si>
  <si>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</si>
  <si>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</si>
  <si>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</si>
  <si>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</si>
  <si>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</si>
  <si>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</si>
  <si>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</si>
  <si>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</si>
  <si>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</si>
  <si>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</si>
  <si>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</si>
  <si>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</si>
  <si>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</si>
  <si>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</si>
  <si>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</si>
  <si>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</si>
  <si>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</si>
  <si>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</si>
  <si>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</si>
  <si>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</si>
  <si>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</si>
  <si>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</si>
  <si>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</si>
  <si>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</si>
  <si>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</si>
  <si>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</si>
  <si>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</si>
  <si>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</si>
  <si>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</si>
  <si>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</si>
  <si>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</si>
  <si>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</si>
  <si>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</si>
  <si>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</si>
  <si>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</si>
  <si>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</si>
  <si>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</si>
  <si>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</si>
  <si>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</si>
  <si>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</si>
  <si>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</si>
  <si>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</si>
  <si>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</si>
  <si>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</si>
  <si>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</si>
  <si>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</si>
  <si>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</si>
  <si>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</si>
  <si>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</si>
  <si>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</si>
  <si>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</si>
  <si>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</si>
  <si>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</si>
  <si>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</si>
  <si>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</si>
  <si>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</si>
  <si>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</si>
  <si>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</si>
  <si>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</si>
  <si>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</si>
  <si>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</si>
  <si>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</si>
  <si>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</si>
  <si>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</si>
  <si>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</si>
  <si>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</si>
  <si>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</si>
  <si>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</si>
  <si>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</si>
  <si>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</si>
  <si>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</si>
  <si>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</si>
  <si>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</si>
  <si>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</si>
  <si>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</si>
  <si>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</si>
  <si>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</si>
  <si>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</si>
  <si>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</si>
  <si>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</si>
  <si>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</si>
  <si>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</si>
  <si>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</si>
  <si>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</si>
  <si>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</si>
  <si>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</si>
  <si>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</si>
  <si>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</si>
  <si>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</si>
  <si>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</si>
  <si>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</si>
  <si>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</si>
  <si>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</si>
  <si>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</si>
  <si>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</si>
  <si>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</si>
  <si>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</si>
  <si>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</si>
  <si>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</si>
  <si>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</si>
  <si>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</si>
  <si>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</si>
  <si>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</si>
  <si>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</si>
  <si>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</si>
  <si>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</si>
  <si>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</si>
  <si>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</si>
  <si>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</si>
  <si>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</si>
  <si>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</si>
  <si>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</si>
  <si>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</si>
  <si>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</si>
  <si>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</si>
  <si>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</si>
  <si>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</si>
  <si>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</si>
  <si>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</si>
  <si>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</si>
  <si>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</si>
  <si>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</si>
  <si>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</si>
  <si>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</si>
  <si>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</si>
  <si>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</si>
  <si>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</si>
  <si>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</si>
  <si>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</si>
  <si>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</si>
  <si>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</si>
  <si>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</si>
  <si>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</si>
  <si>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</si>
  <si>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</si>
  <si>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</si>
  <si>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</si>
  <si>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</si>
  <si>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</si>
  <si>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</si>
  <si>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</si>
  <si>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</si>
  <si>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</si>
  <si>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</si>
  <si>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</si>
  <si>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</si>
  <si>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</si>
  <si>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</si>
  <si>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</si>
  <si>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</si>
  <si>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</si>
  <si>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</si>
  <si>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</si>
  <si>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</si>
  <si>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</si>
  <si>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</si>
  <si>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</si>
  <si>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</si>
  <si>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</si>
  <si>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</si>
  <si>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</si>
  <si>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</si>
  <si>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</si>
  <si>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</si>
  <si>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</si>
  <si>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</si>
  <si>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</si>
  <si>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</si>
  <si>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</si>
  <si>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</si>
  <si>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</si>
  <si>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</si>
  <si>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</si>
  <si>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</si>
  <si>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</si>
  <si>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</si>
  <si>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</si>
  <si>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</si>
  <si>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</si>
  <si>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</si>
  <si>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</si>
  <si>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</si>
  <si>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</si>
  <si>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</si>
  <si>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</si>
  <si>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</si>
  <si>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</si>
  <si>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</si>
  <si>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</si>
  <si>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</si>
  <si>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</si>
  <si>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</si>
  <si>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</si>
  <si>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</si>
  <si>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</si>
  <si>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</si>
  <si>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</si>
  <si>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</si>
  <si>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</si>
  <si>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</si>
  <si>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</si>
  <si>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</si>
  <si>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</si>
  <si>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</si>
  <si>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</si>
  <si>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</si>
  <si>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</si>
  <si>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</si>
  <si>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</si>
  <si>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</si>
  <si>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</si>
  <si>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</si>
  <si>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</si>
  <si>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</si>
  <si>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</si>
  <si>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</si>
  <si>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</si>
  <si>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</si>
  <si>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</si>
  <si>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</si>
  <si>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</si>
  <si>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</si>
  <si>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</si>
  <si>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</si>
  <si>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</si>
  <si>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</si>
  <si>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</si>
  <si>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</si>
  <si>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</si>
  <si>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</si>
  <si>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</si>
  <si>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</si>
  <si>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</si>
  <si>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</si>
  <si>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</si>
  <si>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</si>
  <si>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</si>
  <si>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</si>
  <si>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</si>
  <si>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</si>
  <si>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</si>
  <si>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</si>
  <si>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</si>
  <si>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</si>
  <si>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</si>
  <si>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</si>
  <si>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</si>
  <si>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</si>
  <si>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</si>
  <si>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</si>
  <si>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</si>
  <si>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</si>
  <si>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</si>
  <si>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</si>
  <si>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</si>
  <si>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</si>
  <si>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</si>
  <si>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</si>
  <si>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</si>
  <si>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</si>
  <si>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</si>
  <si>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</si>
  <si>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</si>
  <si>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</si>
  <si>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</si>
  <si>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</si>
  <si>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</si>
  <si>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</si>
  <si>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</si>
  <si>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</si>
  <si>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</si>
  <si>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</si>
  <si>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</si>
  <si>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</si>
  <si>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</si>
  <si>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</si>
  <si>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</si>
  <si>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</si>
  <si>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</si>
  <si>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</si>
  <si>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</si>
  <si>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</si>
  <si>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</si>
  <si>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</si>
  <si>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</si>
  <si>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</si>
  <si>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</si>
  <si>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</si>
  <si>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</si>
  <si>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</si>
  <si>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</si>
  <si>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</si>
  <si>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</si>
  <si>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</si>
  <si>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</si>
  <si>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</si>
  <si>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</si>
  <si>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</si>
  <si>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</si>
  <si>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</si>
  <si>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</si>
  <si>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</si>
  <si>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</si>
  <si>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</si>
  <si>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</si>
  <si>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</si>
  <si>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</si>
  <si>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</si>
  <si>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</si>
  <si>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</si>
  <si>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</si>
  <si>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</si>
  <si>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</si>
  <si>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</si>
  <si>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</si>
  <si>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</si>
  <si>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</si>
  <si>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</si>
  <si>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</si>
  <si>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</si>
  <si>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</si>
  <si>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</si>
  <si>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</si>
  <si>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</si>
  <si>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</si>
  <si>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</si>
  <si>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</si>
  <si>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</si>
  <si>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</si>
  <si>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</si>
  <si>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</si>
  <si>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</si>
  <si>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</si>
  <si>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</si>
  <si>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</si>
  <si>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</si>
  <si>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</si>
  <si>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</si>
  <si>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</si>
  <si>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</si>
  <si>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</si>
  <si>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</si>
  <si>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</si>
  <si>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</si>
  <si>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</si>
  <si>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</si>
  <si>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</si>
  <si>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</si>
  <si>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</si>
  <si>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</si>
  <si>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</si>
  <si>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</si>
  <si>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</si>
  <si>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</si>
  <si>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</si>
  <si>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</si>
  <si>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</si>
  <si>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</si>
  <si>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</si>
  <si>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</si>
  <si>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</si>
  <si>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</si>
  <si>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</si>
  <si>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</si>
  <si>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</si>
  <si>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</si>
  <si>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</si>
  <si>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</si>
  <si>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</si>
  <si>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</si>
  <si>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</si>
  <si>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</si>
  <si>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</si>
  <si>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</si>
  <si>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</si>
  <si>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</si>
  <si>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</si>
  <si>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</si>
  <si>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</si>
  <si>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</si>
  <si>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</si>
  <si>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</si>
  <si>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</si>
  <si>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</si>
  <si>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</si>
  <si>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</si>
  <si>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</si>
  <si>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</si>
  <si>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</si>
  <si>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</si>
  <si>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</si>
  <si>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</si>
  <si>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</si>
  <si>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</si>
  <si>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</si>
  <si>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</si>
  <si>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</si>
  <si>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</si>
  <si>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</si>
  <si>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</si>
  <si>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</si>
  <si>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</si>
  <si>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</si>
  <si>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</si>
  <si>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</si>
  <si>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</si>
  <si>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</si>
  <si>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</si>
  <si>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</si>
  <si>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</si>
  <si>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</si>
  <si>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</si>
  <si>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</si>
  <si>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</si>
  <si>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#NoAccess</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</si>
  <si>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</si>
  <si>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</si>
  <si>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</si>
  <si>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</si>
  <si>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</si>
  <si>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</si>
  <si>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</si>
  <si>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</si>
  <si>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</si>
  <si>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</si>
  <si>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</si>
  <si>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</si>
  <si>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</si>
  <si>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</si>
  <si>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</si>
  <si>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</si>
  <si>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</si>
  <si>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</si>
  <si>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</si>
  <si>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</si>
  <si>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</si>
  <si>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</si>
  <si>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</si>
  <si>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Series trimestrales 2020-2021</t>
  </si>
  <si>
    <t>Quarterly series 2020-2021</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</si>
  <si>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</si>
  <si>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income statement. </t>
    </r>
  </si>
  <si>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</si>
  <si>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</si>
  <si>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</si>
  <si>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</si>
  <si>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</si>
  <si>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</si>
  <si>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</si>
  <si>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</si>
  <si>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</si>
  <si>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</si>
  <si>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</si>
  <si>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</si>
  <si>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</si>
  <si>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</si>
  <si>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</si>
  <si>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</si>
  <si>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</si>
  <si>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</si>
  <si>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</si>
  <si>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</si>
  <si>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</si>
  <si>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</si>
  <si>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</si>
  <si>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</si>
  <si>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</si>
  <si>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</si>
  <si>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América del Sur (***)</t>
  </si>
  <si>
    <t>South America (***)</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</si>
  <si>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</si>
  <si>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</si>
  <si>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</si>
  <si>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</si>
  <si>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</si>
  <si>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</si>
  <si>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</si>
  <si>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</si>
  <si>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</si>
  <si>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</si>
  <si>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</si>
  <si>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</si>
  <si>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</si>
  <si>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</si>
  <si>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</si>
  <si>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</si>
  <si>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</si>
  <si>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</si>
  <si>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</si>
  <si>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</si>
  <si>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</si>
  <si>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</si>
  <si>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</si>
  <si>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</si>
  <si>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</si>
  <si>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</si>
  <si>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Cifras considerando la clasificación de las sociedades incluidas en el acuerdo de venta suscrito con PNC y Paraguay como Activos y Pasivos No corrientes en Venta.</t>
  </si>
  <si>
    <t>General note: figures considering companies in the United States included in the sale agreement signed with PNC and BBVA Paraguay as Non-current Assets and Liabilities Held for Sale</t>
  </si>
  <si>
    <t>Operaciones Corporativas y Discontinuadas (1)</t>
  </si>
  <si>
    <t>Corporate &amp; discontinued operations (1)</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</si>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</sst>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8"/>
      <color indexed="9"/>
      <name val="Calibri"/>
      <family val="2"/>
    </font>
    <font>
      <b/>
      <sz val="9"/>
      <color indexed="10"/>
      <name val="BBVA Office Book"/>
      <family val="2"/>
    </font>
    <font>
      <sz val="2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8"/>
      <color theme="0"/>
      <name val="Calibri"/>
      <family val="2"/>
    </font>
    <font>
      <sz val="11"/>
      <color theme="4" tint="-0.4999699890613556"/>
      <name val="Calibri"/>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15">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4"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02"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4"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0" fillId="0" borderId="0" xfId="0" applyFill="1" applyBorder="1" applyAlignment="1">
      <alignment horizontal="right"/>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9"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7" fillId="33" borderId="0" xfId="59" applyFont="1" applyFill="1" applyBorder="1">
      <alignment/>
      <protection/>
    </xf>
    <xf numFmtId="167"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4"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9"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3" fontId="100" fillId="0" borderId="0" xfId="0" applyNumberFormat="1" applyFont="1" applyFill="1" applyBorder="1" applyAlignment="1">
      <alignment horizontal="right" vertical="center"/>
    </xf>
    <xf numFmtId="166" fontId="71"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02" fillId="36" borderId="0" xfId="0" applyNumberFormat="1" applyFont="1" applyFill="1" applyBorder="1" applyAlignment="1">
      <alignment vertical="center" wrapText="1"/>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100"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14" fillId="0" borderId="0" xfId="0" applyNumberFormat="1" applyFont="1" applyFill="1" applyAlignment="1">
      <alignment vertical="top"/>
    </xf>
    <xf numFmtId="3" fontId="15" fillId="0" borderId="13" xfId="0" applyNumberFormat="1" applyFont="1" applyFill="1" applyBorder="1" applyAlignment="1">
      <alignment horizontal="right"/>
    </xf>
    <xf numFmtId="10" fontId="0" fillId="0" borderId="0" xfId="64" applyNumberFormat="1" applyFont="1" applyAlignment="1">
      <alignment/>
    </xf>
    <xf numFmtId="3" fontId="3" fillId="0" borderId="0" xfId="58" applyNumberFormat="1" applyFont="1">
      <alignment/>
      <protection/>
    </xf>
    <xf numFmtId="1" fontId="101" fillId="0" borderId="0" xfId="0" applyNumberFormat="1" applyFont="1" applyFill="1" applyBorder="1" applyAlignment="1">
      <alignment/>
    </xf>
    <xf numFmtId="0" fontId="0" fillId="0" borderId="0" xfId="57" applyFont="1" applyAlignment="1">
      <alignment horizontal="right"/>
      <protection/>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5"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167" fontId="0" fillId="0" borderId="0" xfId="63" applyNumberFormat="1" applyFont="1" applyAlignment="1">
      <alignment/>
    </xf>
    <xf numFmtId="10" fontId="0" fillId="0" borderId="0" xfId="64" applyNumberFormat="1" applyFont="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0" fillId="0" borderId="0" xfId="57" applyFont="1" applyAlignment="1">
      <alignment horizontal="right"/>
      <protection/>
    </xf>
    <xf numFmtId="0" fontId="0" fillId="0" borderId="0" xfId="57" applyFont="1">
      <alignment/>
      <protection/>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113" fillId="0" borderId="11"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99" fillId="0" borderId="0" xfId="0" applyFont="1" applyFill="1" applyBorder="1" applyAlignment="1">
      <alignment horizontal="center" vertical="center"/>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5" /></Relationships>
</file>

<file path=xl/drawings/_rels/drawing18.xml.rels><?xml version="1.0" encoding="utf-8" standalone="yes"?><Relationships xmlns="http://schemas.openxmlformats.org/package/2006/relationships"><Relationship Id="rId1" Type="http://schemas.openxmlformats.org/officeDocument/2006/relationships/hyperlink" Target="#INDICE!C26"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8"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304800</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8324850" y="323850"/>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xdr:row>
      <xdr:rowOff>114300</xdr:rowOff>
    </xdr:from>
    <xdr:to>
      <xdr:col>10</xdr:col>
      <xdr:colOff>638175</xdr:colOff>
      <xdr:row>5</xdr:row>
      <xdr:rowOff>85725</xdr:rowOff>
    </xdr:to>
    <xdr:sp>
      <xdr:nvSpPr>
        <xdr:cNvPr id="1" name="2 Rectángulo redondeado">
          <a:hlinkClick r:id="rId1"/>
        </xdr:cNvPr>
        <xdr:cNvSpPr>
          <a:spLocks/>
        </xdr:cNvSpPr>
      </xdr:nvSpPr>
      <xdr:spPr>
        <a:xfrm>
          <a:off x="8115300" y="323850"/>
          <a:ext cx="122872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238125</xdr:rowOff>
    </xdr:from>
    <xdr:to>
      <xdr:col>10</xdr:col>
      <xdr:colOff>600075</xdr:colOff>
      <xdr:row>6</xdr:row>
      <xdr:rowOff>19050</xdr:rowOff>
    </xdr:to>
    <xdr:sp>
      <xdr:nvSpPr>
        <xdr:cNvPr id="1" name="2 Rectángulo redondeado">
          <a:hlinkClick r:id="rId1"/>
        </xdr:cNvPr>
        <xdr:cNvSpPr>
          <a:spLocks/>
        </xdr:cNvSpPr>
      </xdr:nvSpPr>
      <xdr:spPr>
        <a:xfrm>
          <a:off x="8096250" y="447675"/>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0287000" y="514350"/>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752475</xdr:colOff>
      <xdr:row>5</xdr:row>
      <xdr:rowOff>104775</xdr:rowOff>
    </xdr:to>
    <xdr:sp>
      <xdr:nvSpPr>
        <xdr:cNvPr id="1" name="2 Rectángulo redondeado">
          <a:hlinkClick r:id="rId1"/>
        </xdr:cNvPr>
        <xdr:cNvSpPr>
          <a:spLocks/>
        </xdr:cNvSpPr>
      </xdr:nvSpPr>
      <xdr:spPr>
        <a:xfrm>
          <a:off x="8229600" y="333375"/>
          <a:ext cx="1228725"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133350</xdr:rowOff>
    </xdr:from>
    <xdr:to>
      <xdr:col>10</xdr:col>
      <xdr:colOff>628650</xdr:colOff>
      <xdr:row>4</xdr:row>
      <xdr:rowOff>47625</xdr:rowOff>
    </xdr:to>
    <xdr:sp>
      <xdr:nvSpPr>
        <xdr:cNvPr id="1" name="2 Rectángulo redondeado">
          <a:hlinkClick r:id="rId1"/>
        </xdr:cNvPr>
        <xdr:cNvSpPr>
          <a:spLocks/>
        </xdr:cNvSpPr>
      </xdr:nvSpPr>
      <xdr:spPr>
        <a:xfrm>
          <a:off x="6562725" y="133350"/>
          <a:ext cx="952500" cy="6667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7096125" y="133350"/>
          <a:ext cx="1209675"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638175</xdr:colOff>
      <xdr:row>3</xdr:row>
      <xdr:rowOff>133350</xdr:rowOff>
    </xdr:to>
    <xdr:sp>
      <xdr:nvSpPr>
        <xdr:cNvPr id="1" name="2 Rectángulo redondeado">
          <a:hlinkClick r:id="rId1"/>
        </xdr:cNvPr>
        <xdr:cNvSpPr>
          <a:spLocks/>
        </xdr:cNvSpPr>
      </xdr:nvSpPr>
      <xdr:spPr>
        <a:xfrm>
          <a:off x="5838825" y="304800"/>
          <a:ext cx="962025"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180975</xdr:rowOff>
    </xdr:from>
    <xdr:to>
      <xdr:col>11</xdr:col>
      <xdr:colOff>9525</xdr:colOff>
      <xdr:row>3</xdr:row>
      <xdr:rowOff>0</xdr:rowOff>
    </xdr:to>
    <xdr:sp>
      <xdr:nvSpPr>
        <xdr:cNvPr id="1" name="2 Rectángulo redondeado">
          <a:hlinkClick r:id="rId1"/>
        </xdr:cNvPr>
        <xdr:cNvSpPr>
          <a:spLocks/>
        </xdr:cNvSpPr>
      </xdr:nvSpPr>
      <xdr:spPr>
        <a:xfrm>
          <a:off x="8705850" y="180975"/>
          <a:ext cx="1076325" cy="457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xdr:row>
      <xdr:rowOff>104775</xdr:rowOff>
    </xdr:from>
    <xdr:to>
      <xdr:col>10</xdr:col>
      <xdr:colOff>447675</xdr:colOff>
      <xdr:row>4</xdr:row>
      <xdr:rowOff>0</xdr:rowOff>
    </xdr:to>
    <xdr:sp>
      <xdr:nvSpPr>
        <xdr:cNvPr id="1" name="2 Rectángulo redondeado">
          <a:hlinkClick r:id="rId1"/>
        </xdr:cNvPr>
        <xdr:cNvSpPr>
          <a:spLocks/>
        </xdr:cNvSpPr>
      </xdr:nvSpPr>
      <xdr:spPr>
        <a:xfrm>
          <a:off x="5962650" y="352425"/>
          <a:ext cx="866775" cy="5048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xdr:row>
      <xdr:rowOff>38100</xdr:rowOff>
    </xdr:from>
    <xdr:to>
      <xdr:col>10</xdr:col>
      <xdr:colOff>571500</xdr:colOff>
      <xdr:row>5</xdr:row>
      <xdr:rowOff>9525</xdr:rowOff>
    </xdr:to>
    <xdr:sp>
      <xdr:nvSpPr>
        <xdr:cNvPr id="1" name="2 Rectángulo redondeado">
          <a:hlinkClick r:id="rId1"/>
        </xdr:cNvPr>
        <xdr:cNvSpPr>
          <a:spLocks/>
        </xdr:cNvSpPr>
      </xdr:nvSpPr>
      <xdr:spPr>
        <a:xfrm>
          <a:off x="10467975" y="247650"/>
          <a:ext cx="123825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xdr:row>
      <xdr:rowOff>38100</xdr:rowOff>
    </xdr:from>
    <xdr:to>
      <xdr:col>10</xdr:col>
      <xdr:colOff>476250</xdr:colOff>
      <xdr:row>4</xdr:row>
      <xdr:rowOff>66675</xdr:rowOff>
    </xdr:to>
    <xdr:sp>
      <xdr:nvSpPr>
        <xdr:cNvPr id="1" name="2 Rectángulo redondeado">
          <a:hlinkClick r:id="rId1"/>
        </xdr:cNvPr>
        <xdr:cNvSpPr>
          <a:spLocks/>
        </xdr:cNvSpPr>
      </xdr:nvSpPr>
      <xdr:spPr>
        <a:xfrm>
          <a:off x="7686675" y="247650"/>
          <a:ext cx="962025" cy="6000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133350</xdr:rowOff>
    </xdr:from>
    <xdr:to>
      <xdr:col>11</xdr:col>
      <xdr:colOff>57150</xdr:colOff>
      <xdr:row>4</xdr:row>
      <xdr:rowOff>66675</xdr:rowOff>
    </xdr:to>
    <xdr:sp>
      <xdr:nvSpPr>
        <xdr:cNvPr id="1" name="2 Rectángulo redondeado">
          <a:hlinkClick r:id="rId1"/>
        </xdr:cNvPr>
        <xdr:cNvSpPr>
          <a:spLocks/>
        </xdr:cNvSpPr>
      </xdr:nvSpPr>
      <xdr:spPr>
        <a:xfrm>
          <a:off x="7029450" y="342900"/>
          <a:ext cx="90487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38100</xdr:rowOff>
    </xdr:from>
    <xdr:to>
      <xdr:col>11</xdr:col>
      <xdr:colOff>1114425</xdr:colOff>
      <xdr:row>4</xdr:row>
      <xdr:rowOff>161925</xdr:rowOff>
    </xdr:to>
    <xdr:sp>
      <xdr:nvSpPr>
        <xdr:cNvPr id="1" name="1 Rectángulo redondeado">
          <a:hlinkClick r:id="rId1"/>
        </xdr:cNvPr>
        <xdr:cNvSpPr>
          <a:spLocks/>
        </xdr:cNvSpPr>
      </xdr:nvSpPr>
      <xdr:spPr>
        <a:xfrm>
          <a:off x="6791325" y="247650"/>
          <a:ext cx="1333500" cy="6858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47625</xdr:rowOff>
    </xdr:from>
    <xdr:to>
      <xdr:col>10</xdr:col>
      <xdr:colOff>647700</xdr:colOff>
      <xdr:row>3</xdr:row>
      <xdr:rowOff>180975</xdr:rowOff>
    </xdr:to>
    <xdr:sp>
      <xdr:nvSpPr>
        <xdr:cNvPr id="1" name="1 Rectángulo redondeado">
          <a:hlinkClick r:id="rId1"/>
        </xdr:cNvPr>
        <xdr:cNvSpPr>
          <a:spLocks/>
        </xdr:cNvSpPr>
      </xdr:nvSpPr>
      <xdr:spPr>
        <a:xfrm>
          <a:off x="6515100" y="257175"/>
          <a:ext cx="952500"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104775</xdr:rowOff>
    </xdr:from>
    <xdr:to>
      <xdr:col>10</xdr:col>
      <xdr:colOff>552450</xdr:colOff>
      <xdr:row>6</xdr:row>
      <xdr:rowOff>152400</xdr:rowOff>
    </xdr:to>
    <xdr:sp>
      <xdr:nvSpPr>
        <xdr:cNvPr id="1" name="2 Rectángulo redondeado">
          <a:hlinkClick r:id="rId1"/>
        </xdr:cNvPr>
        <xdr:cNvSpPr>
          <a:spLocks/>
        </xdr:cNvSpPr>
      </xdr:nvSpPr>
      <xdr:spPr>
        <a:xfrm>
          <a:off x="9610725" y="561975"/>
          <a:ext cx="1209675"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200025</xdr:colOff>
      <xdr:row>6</xdr:row>
      <xdr:rowOff>133350</xdr:rowOff>
    </xdr:to>
    <xdr:sp>
      <xdr:nvSpPr>
        <xdr:cNvPr id="1" name="2 Rectángulo redondeado">
          <a:hlinkClick r:id="rId1"/>
        </xdr:cNvPr>
        <xdr:cNvSpPr>
          <a:spLocks/>
        </xdr:cNvSpPr>
      </xdr:nvSpPr>
      <xdr:spPr>
        <a:xfrm>
          <a:off x="8458200" y="571500"/>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2</xdr:row>
      <xdr:rowOff>152400</xdr:rowOff>
    </xdr:from>
    <xdr:to>
      <xdr:col>10</xdr:col>
      <xdr:colOff>619125</xdr:colOff>
      <xdr:row>6</xdr:row>
      <xdr:rowOff>152400</xdr:rowOff>
    </xdr:to>
    <xdr:sp>
      <xdr:nvSpPr>
        <xdr:cNvPr id="1" name="2 Rectángulo redondeado">
          <a:hlinkClick r:id="rId1"/>
        </xdr:cNvPr>
        <xdr:cNvSpPr>
          <a:spLocks/>
        </xdr:cNvSpPr>
      </xdr:nvSpPr>
      <xdr:spPr>
        <a:xfrm>
          <a:off x="8115300" y="609600"/>
          <a:ext cx="1209675"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xdr:row>
      <xdr:rowOff>76200</xdr:rowOff>
    </xdr:from>
    <xdr:to>
      <xdr:col>11</xdr:col>
      <xdr:colOff>28575</xdr:colOff>
      <xdr:row>6</xdr:row>
      <xdr:rowOff>104775</xdr:rowOff>
    </xdr:to>
    <xdr:sp>
      <xdr:nvSpPr>
        <xdr:cNvPr id="1" name="2 Rectángulo redondeado">
          <a:hlinkClick r:id="rId1"/>
        </xdr:cNvPr>
        <xdr:cNvSpPr>
          <a:spLocks/>
        </xdr:cNvSpPr>
      </xdr:nvSpPr>
      <xdr:spPr>
        <a:xfrm>
          <a:off x="8286750" y="533400"/>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19050</xdr:rowOff>
    </xdr:from>
    <xdr:to>
      <xdr:col>11</xdr:col>
      <xdr:colOff>47625</xdr:colOff>
      <xdr:row>6</xdr:row>
      <xdr:rowOff>38100</xdr:rowOff>
    </xdr:to>
    <xdr:sp>
      <xdr:nvSpPr>
        <xdr:cNvPr id="1" name="2 Rectángulo redondeado">
          <a:hlinkClick r:id="rId1"/>
        </xdr:cNvPr>
        <xdr:cNvSpPr>
          <a:spLocks/>
        </xdr:cNvSpPr>
      </xdr:nvSpPr>
      <xdr:spPr>
        <a:xfrm>
          <a:off x="8305800" y="476250"/>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714375</xdr:colOff>
      <xdr:row>6</xdr:row>
      <xdr:rowOff>47625</xdr:rowOff>
    </xdr:to>
    <xdr:sp>
      <xdr:nvSpPr>
        <xdr:cNvPr id="1" name="2 Rectángulo redondeado">
          <a:hlinkClick r:id="rId1"/>
        </xdr:cNvPr>
        <xdr:cNvSpPr>
          <a:spLocks/>
        </xdr:cNvSpPr>
      </xdr:nvSpPr>
      <xdr:spPr>
        <a:xfrm>
          <a:off x="8201025" y="495300"/>
          <a:ext cx="1219200"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209550</xdr:rowOff>
    </xdr:from>
    <xdr:to>
      <xdr:col>10</xdr:col>
      <xdr:colOff>666750</xdr:colOff>
      <xdr:row>5</xdr:row>
      <xdr:rowOff>171450</xdr:rowOff>
    </xdr:to>
    <xdr:sp>
      <xdr:nvSpPr>
        <xdr:cNvPr id="1" name="2 Rectángulo redondeado">
          <a:hlinkClick r:id="rId1"/>
        </xdr:cNvPr>
        <xdr:cNvSpPr>
          <a:spLocks/>
        </xdr:cNvSpPr>
      </xdr:nvSpPr>
      <xdr:spPr>
        <a:xfrm>
          <a:off x="8353425" y="419100"/>
          <a:ext cx="121920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268">
      <selection activeCell="C304" sqref="C304"/>
    </sheetView>
  </sheetViews>
  <sheetFormatPr defaultColWidth="11.421875" defaultRowHeight="15"/>
  <cols>
    <col min="2" max="2" width="6.421875" style="0" customWidth="1"/>
    <col min="3" max="3" width="107.421875" style="0" customWidth="1"/>
    <col min="4" max="4" width="54.421875" style="0" customWidth="1"/>
  </cols>
  <sheetData>
    <row r="1" spans="1:4" ht="14.25">
      <c r="A1" s="232"/>
      <c r="B1" s="232"/>
      <c r="C1" s="233"/>
      <c r="D1" s="233"/>
    </row>
    <row r="2" spans="1:4" ht="14.25">
      <c r="A2" s="232"/>
      <c r="B2" s="232" t="s">
        <v>12</v>
      </c>
      <c r="C2" s="233" t="s">
        <v>13</v>
      </c>
      <c r="D2" s="233" t="s">
        <v>14</v>
      </c>
    </row>
    <row r="3" spans="1:9" ht="19.5">
      <c r="A3" s="232"/>
      <c r="B3" s="232">
        <v>1</v>
      </c>
      <c r="C3" s="234">
        <v>7</v>
      </c>
      <c r="D3" s="234">
        <v>8</v>
      </c>
      <c r="I3" s="235" t="s">
        <v>0</v>
      </c>
    </row>
    <row r="4" spans="2:9" ht="19.5">
      <c r="B4">
        <v>2</v>
      </c>
      <c r="C4" s="236" t="s">
        <v>451</v>
      </c>
      <c r="D4" s="236" t="s">
        <v>452</v>
      </c>
      <c r="I4" s="235" t="s">
        <v>15</v>
      </c>
    </row>
    <row r="5" spans="2:9" ht="19.5">
      <c r="B5">
        <v>3</v>
      </c>
      <c r="C5" s="236" t="s">
        <v>16</v>
      </c>
      <c r="D5" s="236" t="s">
        <v>17</v>
      </c>
      <c r="I5" s="235" t="s">
        <v>18</v>
      </c>
    </row>
    <row r="6" spans="2:4" ht="15">
      <c r="B6">
        <v>4</v>
      </c>
      <c r="C6" s="236" t="s">
        <v>19</v>
      </c>
      <c r="D6" s="236" t="s">
        <v>20</v>
      </c>
    </row>
    <row r="7" spans="2:4" ht="15">
      <c r="B7">
        <v>5</v>
      </c>
      <c r="C7" s="236" t="s">
        <v>21</v>
      </c>
      <c r="D7" s="236" t="s">
        <v>22</v>
      </c>
    </row>
    <row r="8" spans="2:4" ht="15">
      <c r="B8">
        <v>6</v>
      </c>
      <c r="C8" s="236" t="s">
        <v>23</v>
      </c>
      <c r="D8" s="236" t="s">
        <v>24</v>
      </c>
    </row>
    <row r="9" spans="2:4" ht="15">
      <c r="B9">
        <v>7</v>
      </c>
      <c r="C9" s="236" t="s">
        <v>25</v>
      </c>
      <c r="D9" s="236" t="s">
        <v>26</v>
      </c>
    </row>
    <row r="10" spans="2:4" ht="15">
      <c r="B10">
        <v>8</v>
      </c>
      <c r="C10" s="236" t="s">
        <v>27</v>
      </c>
      <c r="D10" s="236" t="s">
        <v>28</v>
      </c>
    </row>
    <row r="11" spans="2:4" ht="15">
      <c r="B11">
        <v>9</v>
      </c>
      <c r="C11" s="236" t="s">
        <v>29</v>
      </c>
      <c r="D11" s="236" t="s">
        <v>29</v>
      </c>
    </row>
    <row r="12" spans="2:4" ht="15">
      <c r="B12">
        <v>10</v>
      </c>
      <c r="C12" s="237" t="s">
        <v>30</v>
      </c>
      <c r="D12" s="237" t="s">
        <v>31</v>
      </c>
    </row>
    <row r="13" spans="2:4" ht="15">
      <c r="B13">
        <v>11</v>
      </c>
      <c r="C13" s="237" t="s">
        <v>32</v>
      </c>
      <c r="D13" s="237" t="s">
        <v>33</v>
      </c>
    </row>
    <row r="14" spans="2:4" ht="15">
      <c r="B14">
        <v>12</v>
      </c>
      <c r="C14" s="237" t="s">
        <v>34</v>
      </c>
      <c r="D14" s="237" t="s">
        <v>35</v>
      </c>
    </row>
    <row r="15" spans="2:4" ht="15">
      <c r="B15">
        <v>13</v>
      </c>
      <c r="C15" s="237" t="s">
        <v>36</v>
      </c>
      <c r="D15" s="237" t="s">
        <v>37</v>
      </c>
    </row>
    <row r="16" spans="2:4" ht="15">
      <c r="B16">
        <v>14</v>
      </c>
      <c r="C16" s="237" t="s">
        <v>7</v>
      </c>
      <c r="D16" s="237" t="s">
        <v>7</v>
      </c>
    </row>
    <row r="17" spans="2:4" ht="15">
      <c r="B17">
        <v>15</v>
      </c>
      <c r="C17" s="237" t="s">
        <v>8</v>
      </c>
      <c r="D17" s="237" t="s">
        <v>8</v>
      </c>
    </row>
    <row r="18" spans="2:4" ht="15">
      <c r="B18">
        <v>16</v>
      </c>
      <c r="C18" s="237" t="s">
        <v>9</v>
      </c>
      <c r="D18" s="237" t="s">
        <v>9</v>
      </c>
    </row>
    <row r="19" spans="2:4" ht="15">
      <c r="B19">
        <v>17</v>
      </c>
      <c r="C19" s="237" t="s">
        <v>10</v>
      </c>
      <c r="D19" s="237" t="s">
        <v>38</v>
      </c>
    </row>
    <row r="20" spans="2:4" ht="15">
      <c r="B20">
        <v>18</v>
      </c>
      <c r="C20" s="237" t="s">
        <v>39</v>
      </c>
      <c r="D20" s="237" t="s">
        <v>40</v>
      </c>
    </row>
    <row r="21" spans="2:4" ht="15">
      <c r="B21">
        <v>19</v>
      </c>
      <c r="C21" s="237" t="s">
        <v>41</v>
      </c>
      <c r="D21" s="237" t="s">
        <v>42</v>
      </c>
    </row>
    <row r="22" spans="2:4" ht="15">
      <c r="B22">
        <v>20</v>
      </c>
      <c r="C22" s="237" t="s">
        <v>43</v>
      </c>
      <c r="D22" s="237" t="s">
        <v>44</v>
      </c>
    </row>
    <row r="23" spans="2:4" ht="15">
      <c r="B23">
        <v>21</v>
      </c>
      <c r="C23" s="237" t="s">
        <v>45</v>
      </c>
      <c r="D23" s="237" t="s">
        <v>45</v>
      </c>
    </row>
    <row r="24" spans="2:4" ht="15">
      <c r="B24">
        <v>22</v>
      </c>
      <c r="C24" s="237" t="s">
        <v>46</v>
      </c>
      <c r="D24" s="237" t="s">
        <v>47</v>
      </c>
    </row>
    <row r="25" spans="2:4" ht="15">
      <c r="B25">
        <v>23</v>
      </c>
      <c r="C25" s="237" t="s">
        <v>48</v>
      </c>
      <c r="D25" s="237" t="s">
        <v>49</v>
      </c>
    </row>
    <row r="26" spans="2:4" ht="15">
      <c r="B26">
        <v>24</v>
      </c>
      <c r="C26" s="237" t="s">
        <v>50</v>
      </c>
      <c r="D26" s="237" t="s">
        <v>51</v>
      </c>
    </row>
    <row r="27" spans="2:4" ht="15">
      <c r="B27">
        <v>25</v>
      </c>
      <c r="C27" s="237" t="s">
        <v>52</v>
      </c>
      <c r="D27" s="237" t="s">
        <v>53</v>
      </c>
    </row>
    <row r="28" spans="2:4" ht="15">
      <c r="B28">
        <v>26</v>
      </c>
      <c r="C28" s="237" t="s">
        <v>54</v>
      </c>
      <c r="D28" s="237" t="s">
        <v>55</v>
      </c>
    </row>
    <row r="29" spans="2:4" ht="15">
      <c r="B29">
        <v>27</v>
      </c>
      <c r="C29" s="237" t="s">
        <v>56</v>
      </c>
      <c r="D29" s="237" t="s">
        <v>57</v>
      </c>
    </row>
    <row r="30" spans="2:4" ht="15">
      <c r="B30">
        <v>28</v>
      </c>
      <c r="C30" s="237" t="s">
        <v>58</v>
      </c>
      <c r="D30" s="237" t="s">
        <v>59</v>
      </c>
    </row>
    <row r="31" spans="2:4" ht="15">
      <c r="B31">
        <v>29</v>
      </c>
      <c r="C31" s="237" t="s">
        <v>60</v>
      </c>
      <c r="D31" s="237" t="s">
        <v>61</v>
      </c>
    </row>
    <row r="32" spans="2:4" ht="15">
      <c r="B32">
        <v>30</v>
      </c>
      <c r="C32" s="237" t="s">
        <v>62</v>
      </c>
      <c r="D32" s="237" t="s">
        <v>63</v>
      </c>
    </row>
    <row r="33" spans="2:4" ht="15">
      <c r="B33">
        <v>31</v>
      </c>
      <c r="C33" s="237" t="s">
        <v>64</v>
      </c>
      <c r="D33" t="s">
        <v>65</v>
      </c>
    </row>
    <row r="34" spans="2:4" ht="15">
      <c r="B34">
        <v>32</v>
      </c>
      <c r="C34" s="237" t="s">
        <v>66</v>
      </c>
      <c r="D34" t="s">
        <v>67</v>
      </c>
    </row>
    <row r="35" spans="2:4" ht="15">
      <c r="B35">
        <v>33</v>
      </c>
      <c r="C35" s="237" t="s">
        <v>68</v>
      </c>
      <c r="D35" t="s">
        <v>69</v>
      </c>
    </row>
    <row r="36" spans="2:4" ht="15">
      <c r="B36">
        <v>34</v>
      </c>
      <c r="C36" s="237" t="s">
        <v>70</v>
      </c>
      <c r="D36" t="s">
        <v>71</v>
      </c>
    </row>
    <row r="37" spans="2:4" ht="15">
      <c r="B37">
        <v>35</v>
      </c>
      <c r="C37" s="237" t="s">
        <v>72</v>
      </c>
      <c r="D37" t="s">
        <v>73</v>
      </c>
    </row>
    <row r="38" spans="2:4" ht="15">
      <c r="B38">
        <v>36</v>
      </c>
      <c r="C38" s="237" t="s">
        <v>74</v>
      </c>
      <c r="D38" t="s">
        <v>75</v>
      </c>
    </row>
    <row r="39" spans="2:4" ht="15">
      <c r="B39">
        <v>37</v>
      </c>
      <c r="C39" s="237" t="s">
        <v>76</v>
      </c>
      <c r="D39" t="s">
        <v>77</v>
      </c>
    </row>
    <row r="40" spans="2:4" ht="15">
      <c r="B40">
        <v>38</v>
      </c>
      <c r="C40" s="237" t="s">
        <v>78</v>
      </c>
      <c r="D40" t="s">
        <v>79</v>
      </c>
    </row>
    <row r="41" spans="2:4" ht="15">
      <c r="B41">
        <v>39</v>
      </c>
      <c r="C41" s="237" t="s">
        <v>80</v>
      </c>
      <c r="D41" t="s">
        <v>81</v>
      </c>
    </row>
    <row r="42" spans="2:4" ht="15">
      <c r="B42">
        <v>40</v>
      </c>
      <c r="C42" s="237" t="s">
        <v>82</v>
      </c>
      <c r="D42" t="s">
        <v>83</v>
      </c>
    </row>
    <row r="43" spans="2:4" ht="15">
      <c r="B43">
        <v>41</v>
      </c>
      <c r="C43" s="237" t="s">
        <v>84</v>
      </c>
      <c r="D43" t="s">
        <v>85</v>
      </c>
    </row>
    <row r="44" spans="2:4" ht="15">
      <c r="B44">
        <v>42</v>
      </c>
      <c r="C44" s="237" t="s">
        <v>86</v>
      </c>
      <c r="D44" t="s">
        <v>87</v>
      </c>
    </row>
    <row r="45" spans="2:4" ht="15">
      <c r="B45">
        <v>43</v>
      </c>
      <c r="C45" s="237" t="s">
        <v>88</v>
      </c>
      <c r="D45" t="s">
        <v>89</v>
      </c>
    </row>
    <row r="46" spans="2:4" ht="15">
      <c r="B46">
        <v>44</v>
      </c>
      <c r="C46" s="237" t="s">
        <v>90</v>
      </c>
      <c r="D46" t="s">
        <v>91</v>
      </c>
    </row>
    <row r="47" spans="2:4" ht="15">
      <c r="B47">
        <v>45</v>
      </c>
      <c r="C47" s="237" t="s">
        <v>92</v>
      </c>
      <c r="D47" t="s">
        <v>93</v>
      </c>
    </row>
    <row r="48" spans="2:4" ht="15">
      <c r="B48">
        <v>46</v>
      </c>
      <c r="C48" s="237" t="s">
        <v>94</v>
      </c>
      <c r="D48" t="s">
        <v>95</v>
      </c>
    </row>
    <row r="49" spans="2:4" ht="15">
      <c r="B49">
        <v>47</v>
      </c>
      <c r="C49" s="237" t="s">
        <v>96</v>
      </c>
      <c r="D49" t="s">
        <v>97</v>
      </c>
    </row>
    <row r="50" spans="2:4" ht="15">
      <c r="B50">
        <v>48</v>
      </c>
      <c r="C50" s="237" t="s">
        <v>98</v>
      </c>
      <c r="D50" t="s">
        <v>99</v>
      </c>
    </row>
    <row r="51" spans="2:4" ht="15">
      <c r="B51">
        <v>49</v>
      </c>
      <c r="C51" s="237" t="s">
        <v>100</v>
      </c>
      <c r="D51" t="s">
        <v>101</v>
      </c>
    </row>
    <row r="52" spans="2:4" ht="15">
      <c r="B52">
        <v>50</v>
      </c>
      <c r="C52" s="237" t="s">
        <v>102</v>
      </c>
      <c r="D52" t="s">
        <v>103</v>
      </c>
    </row>
    <row r="53" spans="2:4" ht="15">
      <c r="B53">
        <v>51</v>
      </c>
      <c r="C53" s="237" t="s">
        <v>104</v>
      </c>
      <c r="D53" t="s">
        <v>105</v>
      </c>
    </row>
    <row r="54" spans="2:4" ht="15">
      <c r="B54">
        <v>52</v>
      </c>
      <c r="C54" s="237" t="s">
        <v>106</v>
      </c>
      <c r="D54" t="s">
        <v>107</v>
      </c>
    </row>
    <row r="55" spans="2:4" ht="15">
      <c r="B55">
        <v>53</v>
      </c>
      <c r="C55" s="237" t="s">
        <v>108</v>
      </c>
      <c r="D55" t="s">
        <v>109</v>
      </c>
    </row>
    <row r="56" spans="2:4" ht="15">
      <c r="B56">
        <v>54</v>
      </c>
      <c r="C56" s="237" t="s">
        <v>110</v>
      </c>
      <c r="D56" t="s">
        <v>111</v>
      </c>
    </row>
    <row r="57" spans="2:4" ht="15">
      <c r="B57">
        <v>55</v>
      </c>
      <c r="C57" s="237" t="s">
        <v>112</v>
      </c>
      <c r="D57" t="s">
        <v>113</v>
      </c>
    </row>
    <row r="58" spans="2:4" ht="15">
      <c r="B58">
        <v>56</v>
      </c>
      <c r="C58" s="237" t="s">
        <v>114</v>
      </c>
      <c r="D58" t="s">
        <v>115</v>
      </c>
    </row>
    <row r="59" spans="2:4" ht="15">
      <c r="B59">
        <v>57</v>
      </c>
      <c r="C59" s="237" t="s">
        <v>116</v>
      </c>
      <c r="D59" t="s">
        <v>117</v>
      </c>
    </row>
    <row r="60" spans="2:4" ht="15">
      <c r="B60">
        <v>58</v>
      </c>
      <c r="C60" s="237" t="s">
        <v>118</v>
      </c>
      <c r="D60" t="s">
        <v>119</v>
      </c>
    </row>
    <row r="61" spans="2:4" ht="15">
      <c r="B61">
        <v>59</v>
      </c>
      <c r="C61" s="237" t="s">
        <v>120</v>
      </c>
      <c r="D61" t="s">
        <v>121</v>
      </c>
    </row>
    <row r="62" spans="2:4" ht="15">
      <c r="B62">
        <v>60</v>
      </c>
      <c r="C62" s="237" t="s">
        <v>122</v>
      </c>
      <c r="D62" t="s">
        <v>123</v>
      </c>
    </row>
    <row r="63" spans="2:4" ht="15">
      <c r="B63">
        <v>61</v>
      </c>
      <c r="C63" s="237" t="s">
        <v>124</v>
      </c>
      <c r="D63" t="s">
        <v>125</v>
      </c>
    </row>
    <row r="64" spans="2:4" ht="15">
      <c r="B64">
        <v>62</v>
      </c>
      <c r="C64" s="237" t="s">
        <v>126</v>
      </c>
      <c r="D64" t="s">
        <v>127</v>
      </c>
    </row>
    <row r="65" spans="2:4" ht="15">
      <c r="B65">
        <v>63</v>
      </c>
      <c r="C65" s="237" t="s">
        <v>128</v>
      </c>
      <c r="D65" t="s">
        <v>129</v>
      </c>
    </row>
    <row r="66" spans="2:4" ht="15">
      <c r="B66">
        <v>64</v>
      </c>
      <c r="C66" s="237" t="s">
        <v>130</v>
      </c>
      <c r="D66" t="s">
        <v>131</v>
      </c>
    </row>
    <row r="67" spans="2:4" ht="15">
      <c r="B67">
        <v>65</v>
      </c>
      <c r="C67" s="237" t="s">
        <v>132</v>
      </c>
      <c r="D67" t="s">
        <v>133</v>
      </c>
    </row>
    <row r="68" spans="2:4" ht="15">
      <c r="B68">
        <v>66</v>
      </c>
      <c r="C68" s="237" t="s">
        <v>134</v>
      </c>
      <c r="D68" s="59" t="s">
        <v>135</v>
      </c>
    </row>
    <row r="69" spans="2:4" ht="15">
      <c r="B69">
        <v>67</v>
      </c>
      <c r="C69" s="237" t="s">
        <v>136</v>
      </c>
      <c r="D69" s="59" t="s">
        <v>137</v>
      </c>
    </row>
    <row r="70" spans="2:4" ht="15">
      <c r="B70">
        <v>68</v>
      </c>
      <c r="C70" s="237" t="s">
        <v>138</v>
      </c>
      <c r="D70" s="59" t="s">
        <v>139</v>
      </c>
    </row>
    <row r="71" spans="2:4" ht="15">
      <c r="B71">
        <v>69</v>
      </c>
      <c r="C71" s="237" t="s">
        <v>140</v>
      </c>
      <c r="D71" s="59" t="s">
        <v>141</v>
      </c>
    </row>
    <row r="72" spans="2:4" ht="15">
      <c r="B72">
        <v>70</v>
      </c>
      <c r="C72" s="237" t="s">
        <v>142</v>
      </c>
      <c r="D72" s="59" t="s">
        <v>143</v>
      </c>
    </row>
    <row r="73" spans="2:4" ht="15">
      <c r="B73">
        <v>71</v>
      </c>
      <c r="C73" s="237" t="s">
        <v>144</v>
      </c>
      <c r="D73" s="238" t="s">
        <v>145</v>
      </c>
    </row>
    <row r="74" spans="2:4" ht="15">
      <c r="B74">
        <v>72</v>
      </c>
      <c r="C74" s="237" t="s">
        <v>146</v>
      </c>
      <c r="D74" s="238"/>
    </row>
    <row r="75" spans="2:4" ht="15">
      <c r="B75">
        <v>73</v>
      </c>
      <c r="C75" s="237" t="s">
        <v>147</v>
      </c>
      <c r="D75" s="164" t="s">
        <v>148</v>
      </c>
    </row>
    <row r="76" spans="2:4" ht="15">
      <c r="B76">
        <v>74</v>
      </c>
      <c r="C76" s="237" t="s">
        <v>149</v>
      </c>
      <c r="D76" s="164" t="s">
        <v>150</v>
      </c>
    </row>
    <row r="77" spans="2:4" ht="15">
      <c r="B77">
        <v>75</v>
      </c>
      <c r="C77" s="237" t="s">
        <v>151</v>
      </c>
      <c r="D77" s="164" t="s">
        <v>152</v>
      </c>
    </row>
    <row r="78" spans="2:4" ht="15">
      <c r="B78">
        <v>76</v>
      </c>
      <c r="C78" s="237" t="s">
        <v>153</v>
      </c>
      <c r="D78" s="164" t="s">
        <v>154</v>
      </c>
    </row>
    <row r="79" spans="2:4" ht="15">
      <c r="B79">
        <v>77</v>
      </c>
      <c r="C79" s="237" t="s">
        <v>155</v>
      </c>
      <c r="D79" s="164" t="s">
        <v>156</v>
      </c>
    </row>
    <row r="80" spans="2:4" ht="15">
      <c r="B80">
        <v>78</v>
      </c>
      <c r="C80" s="237" t="s">
        <v>157</v>
      </c>
      <c r="D80" s="164" t="s">
        <v>158</v>
      </c>
    </row>
    <row r="81" spans="2:4" ht="15">
      <c r="B81">
        <v>79</v>
      </c>
      <c r="C81" s="237" t="s">
        <v>159</v>
      </c>
      <c r="D81" s="164" t="s">
        <v>160</v>
      </c>
    </row>
    <row r="82" spans="2:4" ht="15">
      <c r="B82">
        <v>80</v>
      </c>
      <c r="C82" s="237" t="s">
        <v>161</v>
      </c>
      <c r="D82" s="164" t="s">
        <v>161</v>
      </c>
    </row>
    <row r="83" spans="2:4" ht="15">
      <c r="B83">
        <v>81</v>
      </c>
      <c r="C83" s="237" t="s">
        <v>162</v>
      </c>
      <c r="D83" s="164" t="s">
        <v>163</v>
      </c>
    </row>
    <row r="84" spans="2:4" ht="14.25">
      <c r="B84">
        <v>82</v>
      </c>
      <c r="C84" t="s">
        <v>164</v>
      </c>
      <c r="D84" t="s">
        <v>165</v>
      </c>
    </row>
    <row r="85" spans="2:4" ht="14.25">
      <c r="B85">
        <v>83</v>
      </c>
      <c r="C85" t="s">
        <v>166</v>
      </c>
      <c r="D85" t="s">
        <v>167</v>
      </c>
    </row>
    <row r="86" spans="2:4" ht="15">
      <c r="B86">
        <v>84</v>
      </c>
      <c r="C86" s="237" t="s">
        <v>168</v>
      </c>
      <c r="D86" t="s">
        <v>169</v>
      </c>
    </row>
    <row r="87" spans="2:4" ht="14.25">
      <c r="B87">
        <v>85</v>
      </c>
      <c r="C87" t="s">
        <v>170</v>
      </c>
      <c r="D87" t="s">
        <v>171</v>
      </c>
    </row>
    <row r="88" spans="2:4" ht="14.25">
      <c r="B88">
        <v>86</v>
      </c>
      <c r="C88" t="s">
        <v>172</v>
      </c>
      <c r="D88" t="s">
        <v>173</v>
      </c>
    </row>
    <row r="89" spans="2:4" ht="14.25">
      <c r="B89">
        <v>87</v>
      </c>
      <c r="C89" t="s">
        <v>416</v>
      </c>
      <c r="D89" t="s">
        <v>417</v>
      </c>
    </row>
    <row r="90" spans="2:4" ht="14.25">
      <c r="B90">
        <v>88</v>
      </c>
      <c r="C90" t="s">
        <v>58</v>
      </c>
      <c r="D90" t="s">
        <v>59</v>
      </c>
    </row>
    <row r="91" spans="2:4" ht="14.25">
      <c r="B91">
        <v>89</v>
      </c>
      <c r="C91" s="239" t="s">
        <v>174</v>
      </c>
      <c r="D91" t="s">
        <v>175</v>
      </c>
    </row>
    <row r="92" spans="2:4" ht="14.25">
      <c r="B92">
        <v>90</v>
      </c>
      <c r="C92" t="s">
        <v>176</v>
      </c>
      <c r="D92" t="s">
        <v>176</v>
      </c>
    </row>
    <row r="93" spans="2:4" ht="14.25">
      <c r="B93">
        <v>91</v>
      </c>
      <c r="C93" t="s">
        <v>177</v>
      </c>
      <c r="D93" t="s">
        <v>178</v>
      </c>
    </row>
    <row r="94" spans="2:4" ht="14.25">
      <c r="B94">
        <v>92</v>
      </c>
      <c r="C94" t="s">
        <v>1</v>
      </c>
      <c r="D94" t="s">
        <v>179</v>
      </c>
    </row>
    <row r="95" spans="2:4" ht="14.25">
      <c r="B95">
        <v>93</v>
      </c>
      <c r="C95" t="s">
        <v>2</v>
      </c>
      <c r="D95" t="s">
        <v>180</v>
      </c>
    </row>
    <row r="96" spans="2:4" ht="14.25">
      <c r="B96">
        <v>94</v>
      </c>
      <c r="C96" t="s">
        <v>3</v>
      </c>
      <c r="D96" t="s">
        <v>181</v>
      </c>
    </row>
    <row r="97" spans="2:4" ht="14.25">
      <c r="B97">
        <v>95</v>
      </c>
      <c r="C97" t="s">
        <v>4</v>
      </c>
      <c r="D97" t="s">
        <v>182</v>
      </c>
    </row>
    <row r="98" spans="2:4" ht="14.25">
      <c r="B98">
        <v>96</v>
      </c>
      <c r="C98" s="240" t="s">
        <v>183</v>
      </c>
      <c r="D98" s="240" t="s">
        <v>184</v>
      </c>
    </row>
    <row r="99" spans="2:4" ht="14.25">
      <c r="B99">
        <v>97</v>
      </c>
      <c r="C99" s="240" t="s">
        <v>185</v>
      </c>
      <c r="D99" s="240" t="s">
        <v>186</v>
      </c>
    </row>
    <row r="100" spans="2:4" ht="14.25">
      <c r="B100">
        <v>98</v>
      </c>
      <c r="C100" s="240" t="s">
        <v>187</v>
      </c>
      <c r="D100" s="240" t="s">
        <v>188</v>
      </c>
    </row>
    <row r="101" spans="2:4" ht="14.25">
      <c r="B101">
        <v>99</v>
      </c>
      <c r="C101" s="240" t="s">
        <v>189</v>
      </c>
      <c r="D101" t="s">
        <v>190</v>
      </c>
    </row>
    <row r="102" spans="2:4" ht="14.25">
      <c r="B102">
        <v>100</v>
      </c>
      <c r="C102" s="240" t="s">
        <v>359</v>
      </c>
      <c r="D102" t="s">
        <v>360</v>
      </c>
    </row>
    <row r="103" spans="2:4" ht="14.25">
      <c r="B103">
        <v>101</v>
      </c>
      <c r="C103" t="s">
        <v>191</v>
      </c>
      <c r="D103" t="s">
        <v>192</v>
      </c>
    </row>
    <row r="104" spans="2:4" ht="15" customHeight="1">
      <c r="B104">
        <v>102</v>
      </c>
      <c r="C104" t="s">
        <v>193</v>
      </c>
      <c r="D104" t="s">
        <v>194</v>
      </c>
    </row>
    <row r="105" spans="2:4" ht="14.25">
      <c r="B105">
        <v>103</v>
      </c>
      <c r="C105" t="s">
        <v>195</v>
      </c>
      <c r="D105" t="s">
        <v>196</v>
      </c>
    </row>
    <row r="106" spans="2:4" ht="14.25">
      <c r="B106">
        <v>104</v>
      </c>
      <c r="C106" t="s">
        <v>197</v>
      </c>
      <c r="D106" t="s">
        <v>198</v>
      </c>
    </row>
    <row r="107" spans="2:4" ht="14.25">
      <c r="B107">
        <v>105</v>
      </c>
      <c r="C107" s="215" t="s">
        <v>199</v>
      </c>
      <c r="D107" t="s">
        <v>200</v>
      </c>
    </row>
    <row r="108" spans="2:4" ht="14.25">
      <c r="B108">
        <v>106</v>
      </c>
      <c r="C108" s="215" t="s">
        <v>201</v>
      </c>
      <c r="D108" t="s">
        <v>202</v>
      </c>
    </row>
    <row r="109" spans="2:4" ht="14.25">
      <c r="B109">
        <v>107</v>
      </c>
      <c r="C109" t="s">
        <v>203</v>
      </c>
      <c r="D109" t="s">
        <v>204</v>
      </c>
    </row>
    <row r="110" spans="2:4" ht="14.25">
      <c r="B110">
        <v>108</v>
      </c>
      <c r="C110" s="215" t="s">
        <v>205</v>
      </c>
      <c r="D110" t="s">
        <v>206</v>
      </c>
    </row>
    <row r="111" spans="2:4" ht="14.25">
      <c r="B111">
        <v>109</v>
      </c>
      <c r="C111" s="215" t="s">
        <v>207</v>
      </c>
      <c r="D111" t="s">
        <v>208</v>
      </c>
    </row>
    <row r="112" spans="2:4" ht="14.25">
      <c r="B112">
        <v>110</v>
      </c>
      <c r="C112" s="215" t="s">
        <v>209</v>
      </c>
      <c r="D112" t="s">
        <v>210</v>
      </c>
    </row>
    <row r="113" spans="2:4" ht="14.25">
      <c r="B113">
        <v>111</v>
      </c>
      <c r="C113" s="215" t="s">
        <v>11</v>
      </c>
      <c r="D113" t="s">
        <v>211</v>
      </c>
    </row>
    <row r="114" spans="2:4" ht="14.25">
      <c r="B114">
        <v>112</v>
      </c>
      <c r="C114" s="217" t="s">
        <v>212</v>
      </c>
      <c r="D114" t="s">
        <v>213</v>
      </c>
    </row>
    <row r="115" spans="2:4" ht="14.25">
      <c r="B115">
        <v>113</v>
      </c>
      <c r="C115" s="217" t="s">
        <v>60</v>
      </c>
      <c r="D115" t="s">
        <v>61</v>
      </c>
    </row>
    <row r="116" spans="2:4" ht="14.25">
      <c r="B116">
        <v>114</v>
      </c>
      <c r="C116" s="215" t="s">
        <v>214</v>
      </c>
      <c r="D116" t="s">
        <v>215</v>
      </c>
    </row>
    <row r="117" spans="2:4" ht="14.25">
      <c r="B117">
        <v>115</v>
      </c>
      <c r="C117" s="215" t="s">
        <v>216</v>
      </c>
      <c r="D117" t="s">
        <v>217</v>
      </c>
    </row>
    <row r="118" spans="2:4" ht="14.25">
      <c r="B118">
        <v>116</v>
      </c>
      <c r="C118" s="215" t="s">
        <v>218</v>
      </c>
      <c r="D118" t="s">
        <v>219</v>
      </c>
    </row>
    <row r="119" spans="2:4" ht="15">
      <c r="B119">
        <v>117</v>
      </c>
      <c r="C119" s="237"/>
      <c r="D119" s="59"/>
    </row>
    <row r="120" spans="2:4" ht="14.25">
      <c r="B120">
        <v>118</v>
      </c>
      <c r="C120" s="210" t="s">
        <v>220</v>
      </c>
      <c r="D120" t="s">
        <v>221</v>
      </c>
    </row>
    <row r="121" spans="2:3" ht="14.25">
      <c r="B121">
        <v>119</v>
      </c>
      <c r="C121" s="228" t="s">
        <v>222</v>
      </c>
    </row>
    <row r="122" spans="2:4" ht="16.5">
      <c r="B122">
        <v>120</v>
      </c>
      <c r="C122" s="206" t="s">
        <v>62</v>
      </c>
      <c r="D122" t="s">
        <v>63</v>
      </c>
    </row>
    <row r="123" spans="2:4" ht="14.25">
      <c r="B123">
        <v>121</v>
      </c>
      <c r="C123" t="s">
        <v>223</v>
      </c>
      <c r="D123" t="s">
        <v>224</v>
      </c>
    </row>
    <row r="124" spans="2:4" ht="14.25">
      <c r="B124">
        <v>122</v>
      </c>
      <c r="C124" t="s">
        <v>225</v>
      </c>
      <c r="D124" t="s">
        <v>224</v>
      </c>
    </row>
    <row r="125" spans="2:4" ht="14.25">
      <c r="B125">
        <v>123</v>
      </c>
      <c r="C125" t="s">
        <v>226</v>
      </c>
      <c r="D125" t="s">
        <v>227</v>
      </c>
    </row>
    <row r="126" spans="2:4" ht="14.25">
      <c r="B126">
        <v>124</v>
      </c>
      <c r="C126" t="s">
        <v>228</v>
      </c>
      <c r="D126" t="s">
        <v>229</v>
      </c>
    </row>
    <row r="127" spans="2:4" ht="14.25">
      <c r="B127">
        <v>125</v>
      </c>
      <c r="C127" t="s">
        <v>230</v>
      </c>
      <c r="D127" t="s">
        <v>231</v>
      </c>
    </row>
    <row r="128" spans="2:4" ht="14.25">
      <c r="B128">
        <v>126</v>
      </c>
      <c r="C128" t="s">
        <v>232</v>
      </c>
      <c r="D128" t="s">
        <v>232</v>
      </c>
    </row>
    <row r="129" spans="2:4" ht="14.25">
      <c r="B129">
        <v>127</v>
      </c>
      <c r="C129" t="s">
        <v>233</v>
      </c>
      <c r="D129" t="s">
        <v>233</v>
      </c>
    </row>
    <row r="130" spans="2:4" ht="14.25">
      <c r="B130">
        <v>128</v>
      </c>
      <c r="C130" t="s">
        <v>234</v>
      </c>
      <c r="D130" t="s">
        <v>234</v>
      </c>
    </row>
    <row r="131" spans="2:4" ht="14.25">
      <c r="B131">
        <v>129</v>
      </c>
      <c r="C131" t="s">
        <v>235</v>
      </c>
      <c r="D131" t="s">
        <v>235</v>
      </c>
    </row>
    <row r="132" spans="2:4" ht="14.25">
      <c r="B132">
        <v>130</v>
      </c>
      <c r="C132" t="s">
        <v>236</v>
      </c>
      <c r="D132" t="s">
        <v>236</v>
      </c>
    </row>
    <row r="133" spans="2:4" ht="14.25">
      <c r="B133">
        <v>131</v>
      </c>
      <c r="C133" s="43" t="s">
        <v>237</v>
      </c>
      <c r="D133" t="s">
        <v>238</v>
      </c>
    </row>
    <row r="134" spans="2:4" ht="14.25">
      <c r="B134">
        <v>132</v>
      </c>
      <c r="C134" s="43" t="s">
        <v>239</v>
      </c>
      <c r="D134" t="s">
        <v>240</v>
      </c>
    </row>
    <row r="135" spans="2:4" ht="14.25">
      <c r="B135">
        <v>133</v>
      </c>
      <c r="C135" s="43" t="s">
        <v>241</v>
      </c>
      <c r="D135" t="s">
        <v>242</v>
      </c>
    </row>
    <row r="136" spans="2:4" ht="14.25">
      <c r="B136">
        <v>134</v>
      </c>
      <c r="C136" s="43" t="s">
        <v>243</v>
      </c>
      <c r="D136" t="s">
        <v>244</v>
      </c>
    </row>
    <row r="137" spans="2:4" ht="14.25">
      <c r="B137">
        <v>135</v>
      </c>
      <c r="C137" s="43" t="s">
        <v>110</v>
      </c>
      <c r="D137" t="s">
        <v>111</v>
      </c>
    </row>
    <row r="138" spans="2:4" ht="14.25">
      <c r="B138">
        <v>136</v>
      </c>
      <c r="C138" s="43" t="s">
        <v>245</v>
      </c>
      <c r="D138" t="s">
        <v>246</v>
      </c>
    </row>
    <row r="139" spans="2:4" ht="14.25">
      <c r="B139">
        <v>137</v>
      </c>
      <c r="C139" s="43" t="s">
        <v>247</v>
      </c>
      <c r="D139" t="s">
        <v>248</v>
      </c>
    </row>
    <row r="140" spans="2:4" ht="14.25">
      <c r="B140">
        <v>138</v>
      </c>
      <c r="C140" s="43" t="s">
        <v>249</v>
      </c>
      <c r="D140" t="s">
        <v>250</v>
      </c>
    </row>
    <row r="141" spans="2:4" ht="14.25">
      <c r="B141">
        <v>139</v>
      </c>
      <c r="C141" s="43" t="s">
        <v>251</v>
      </c>
      <c r="D141" t="s">
        <v>252</v>
      </c>
    </row>
    <row r="142" spans="2:4" ht="14.25">
      <c r="B142">
        <v>140</v>
      </c>
      <c r="C142" s="43" t="s">
        <v>253</v>
      </c>
      <c r="D142" t="s">
        <v>254</v>
      </c>
    </row>
    <row r="143" spans="2:4" ht="14.25">
      <c r="B143">
        <v>141</v>
      </c>
      <c r="C143" s="43" t="s">
        <v>255</v>
      </c>
      <c r="D143" s="59" t="s">
        <v>256</v>
      </c>
    </row>
    <row r="144" spans="2:4" ht="14.25">
      <c r="B144">
        <v>142</v>
      </c>
      <c r="C144" s="59" t="s">
        <v>257</v>
      </c>
      <c r="D144" s="59" t="s">
        <v>258</v>
      </c>
    </row>
    <row r="145" spans="2:4" ht="14.25">
      <c r="B145">
        <v>143</v>
      </c>
      <c r="C145" s="59" t="s">
        <v>259</v>
      </c>
      <c r="D145" t="s">
        <v>260</v>
      </c>
    </row>
    <row r="146" spans="2:4" ht="14.25">
      <c r="B146">
        <v>144</v>
      </c>
      <c r="C146" s="43" t="s">
        <v>261</v>
      </c>
      <c r="D146" t="s">
        <v>262</v>
      </c>
    </row>
    <row r="147" spans="2:4" ht="14.25">
      <c r="B147">
        <v>145</v>
      </c>
      <c r="C147" s="43" t="s">
        <v>263</v>
      </c>
      <c r="D147" t="s">
        <v>264</v>
      </c>
    </row>
    <row r="148" spans="2:4" ht="14.25">
      <c r="B148">
        <v>146</v>
      </c>
      <c r="C148" s="104" t="s">
        <v>265</v>
      </c>
      <c r="D148" t="s">
        <v>266</v>
      </c>
    </row>
    <row r="149" spans="2:4" ht="14.25">
      <c r="B149">
        <v>147</v>
      </c>
      <c r="C149" s="59" t="s">
        <v>267</v>
      </c>
      <c r="D149" t="s">
        <v>101</v>
      </c>
    </row>
    <row r="150" spans="2:4" ht="14.25">
      <c r="B150">
        <v>148</v>
      </c>
      <c r="C150" s="59" t="s">
        <v>268</v>
      </c>
      <c r="D150" t="s">
        <v>269</v>
      </c>
    </row>
    <row r="151" spans="2:4" ht="14.25">
      <c r="B151">
        <v>149</v>
      </c>
      <c r="C151" s="59" t="s">
        <v>270</v>
      </c>
      <c r="D151" t="s">
        <v>271</v>
      </c>
    </row>
    <row r="152" spans="2:4" ht="14.25">
      <c r="B152">
        <v>150</v>
      </c>
      <c r="C152" s="104" t="s">
        <v>272</v>
      </c>
      <c r="D152" t="s">
        <v>273</v>
      </c>
    </row>
    <row r="153" spans="2:4" ht="14.25">
      <c r="B153">
        <v>151</v>
      </c>
      <c r="C153" s="47" t="s">
        <v>274</v>
      </c>
      <c r="D153" t="s">
        <v>275</v>
      </c>
    </row>
    <row r="154" spans="2:4" ht="14.25">
      <c r="B154">
        <v>152</v>
      </c>
      <c r="C154" s="59" t="s">
        <v>276</v>
      </c>
      <c r="D154" t="s">
        <v>277</v>
      </c>
    </row>
    <row r="155" spans="2:4" ht="14.25">
      <c r="B155">
        <v>153</v>
      </c>
      <c r="C155" s="59" t="s">
        <v>278</v>
      </c>
      <c r="D155" t="s">
        <v>279</v>
      </c>
    </row>
    <row r="156" spans="2:4" ht="14.25">
      <c r="B156">
        <v>154</v>
      </c>
      <c r="C156" s="59" t="s">
        <v>280</v>
      </c>
      <c r="D156" t="s">
        <v>281</v>
      </c>
    </row>
    <row r="157" spans="2:4" ht="14.25">
      <c r="B157">
        <v>155</v>
      </c>
      <c r="C157" s="59" t="s">
        <v>282</v>
      </c>
      <c r="D157" t="s">
        <v>283</v>
      </c>
    </row>
    <row r="158" spans="2:4" ht="14.25">
      <c r="B158">
        <v>156</v>
      </c>
      <c r="C158" s="59" t="s">
        <v>284</v>
      </c>
      <c r="D158" t="s">
        <v>285</v>
      </c>
    </row>
    <row r="159" spans="2:4" ht="14.25">
      <c r="B159">
        <v>157</v>
      </c>
      <c r="C159" s="59" t="s">
        <v>286</v>
      </c>
      <c r="D159" t="s">
        <v>287</v>
      </c>
    </row>
    <row r="160" spans="2:4" ht="14.25">
      <c r="B160">
        <v>158</v>
      </c>
      <c r="C160" s="59" t="s">
        <v>288</v>
      </c>
      <c r="D160" t="s">
        <v>289</v>
      </c>
    </row>
    <row r="161" spans="2:4" ht="14.25">
      <c r="B161">
        <v>159</v>
      </c>
      <c r="C161" s="117" t="s">
        <v>290</v>
      </c>
      <c r="D161" t="s">
        <v>291</v>
      </c>
    </row>
    <row r="162" spans="2:4" ht="14.25">
      <c r="B162">
        <v>160</v>
      </c>
      <c r="C162" s="117" t="s">
        <v>292</v>
      </c>
      <c r="D162" t="s">
        <v>293</v>
      </c>
    </row>
    <row r="163" spans="2:4" ht="14.25">
      <c r="B163">
        <v>161</v>
      </c>
      <c r="C163" s="59" t="s">
        <v>54</v>
      </c>
      <c r="D163" t="s">
        <v>55</v>
      </c>
    </row>
    <row r="164" spans="2:4" ht="14.25">
      <c r="B164">
        <v>162</v>
      </c>
      <c r="C164" s="59" t="s">
        <v>294</v>
      </c>
      <c r="D164" t="s">
        <v>295</v>
      </c>
    </row>
    <row r="165" spans="2:5" ht="15">
      <c r="B165">
        <v>163</v>
      </c>
      <c r="C165" s="59" t="s">
        <v>296</v>
      </c>
      <c r="D165" t="s">
        <v>297</v>
      </c>
      <c r="E165" s="241"/>
    </row>
    <row r="166" spans="2:4" ht="14.25">
      <c r="B166">
        <v>164</v>
      </c>
      <c r="C166" t="s">
        <v>298</v>
      </c>
      <c r="D166" t="s">
        <v>299</v>
      </c>
    </row>
    <row r="167" spans="2:4" ht="14.25">
      <c r="B167">
        <v>165</v>
      </c>
      <c r="C167" s="242" t="s">
        <v>300</v>
      </c>
      <c r="D167" t="s">
        <v>301</v>
      </c>
    </row>
    <row r="168" spans="2:4" ht="14.25">
      <c r="B168">
        <v>166</v>
      </c>
      <c r="C168" s="164" t="s">
        <v>294</v>
      </c>
      <c r="D168" t="s">
        <v>295</v>
      </c>
    </row>
    <row r="169" spans="2:4" ht="14.25">
      <c r="B169">
        <v>167</v>
      </c>
      <c r="C169" t="s">
        <v>1</v>
      </c>
      <c r="D169" t="s">
        <v>179</v>
      </c>
    </row>
    <row r="170" spans="2:4" ht="14.25">
      <c r="B170">
        <v>168</v>
      </c>
      <c r="C170" t="s">
        <v>2</v>
      </c>
      <c r="D170" t="s">
        <v>180</v>
      </c>
    </row>
    <row r="171" spans="2:4" ht="14.25">
      <c r="B171">
        <v>169</v>
      </c>
      <c r="C171" t="s">
        <v>3</v>
      </c>
      <c r="D171" t="s">
        <v>181</v>
      </c>
    </row>
    <row r="172" spans="2:4" ht="14.25">
      <c r="B172">
        <v>170</v>
      </c>
      <c r="C172" t="s">
        <v>4</v>
      </c>
      <c r="D172" t="s">
        <v>182</v>
      </c>
    </row>
    <row r="173" spans="2:4" ht="14.25">
      <c r="B173">
        <v>171</v>
      </c>
      <c r="C173" t="s">
        <v>302</v>
      </c>
      <c r="D173" t="s">
        <v>303</v>
      </c>
    </row>
    <row r="174" spans="2:4" ht="14.25">
      <c r="B174">
        <v>172</v>
      </c>
      <c r="C174" t="s">
        <v>168</v>
      </c>
      <c r="D174" t="s">
        <v>169</v>
      </c>
    </row>
    <row r="175" spans="2:4" ht="14.25">
      <c r="B175">
        <v>173</v>
      </c>
      <c r="C175" t="s">
        <v>420</v>
      </c>
      <c r="D175" s="186" t="s">
        <v>422</v>
      </c>
    </row>
    <row r="176" spans="2:4" ht="14.25">
      <c r="B176">
        <v>174</v>
      </c>
      <c r="C176" t="s">
        <v>421</v>
      </c>
      <c r="D176" s="186" t="s">
        <v>419</v>
      </c>
    </row>
    <row r="177" spans="2:4" ht="14.25">
      <c r="B177">
        <v>175</v>
      </c>
      <c r="C177" s="189" t="s">
        <v>27</v>
      </c>
      <c r="D177" t="s">
        <v>28</v>
      </c>
    </row>
    <row r="178" spans="2:4" ht="14.25">
      <c r="B178">
        <v>176</v>
      </c>
      <c r="C178" s="189" t="s">
        <v>304</v>
      </c>
      <c r="D178" s="41" t="s">
        <v>305</v>
      </c>
    </row>
    <row r="179" spans="2:4" ht="14.25">
      <c r="B179">
        <v>177</v>
      </c>
      <c r="C179" s="189" t="s">
        <v>306</v>
      </c>
      <c r="D179" t="s">
        <v>307</v>
      </c>
    </row>
    <row r="180" spans="2:4" ht="14.25">
      <c r="B180">
        <v>178</v>
      </c>
      <c r="C180" s="189" t="s">
        <v>308</v>
      </c>
      <c r="D180" t="s">
        <v>309</v>
      </c>
    </row>
    <row r="181" spans="2:4" ht="14.25">
      <c r="B181">
        <v>179</v>
      </c>
      <c r="C181" s="189" t="s">
        <v>310</v>
      </c>
      <c r="D181" t="s">
        <v>311</v>
      </c>
    </row>
    <row r="182" spans="2:4" ht="14.25">
      <c r="B182">
        <v>180</v>
      </c>
      <c r="C182" s="189" t="s">
        <v>312</v>
      </c>
      <c r="D182" t="s">
        <v>313</v>
      </c>
    </row>
    <row r="183" spans="2:4" ht="14.25">
      <c r="B183">
        <v>181</v>
      </c>
      <c r="C183" s="189" t="s">
        <v>7</v>
      </c>
      <c r="D183" t="s">
        <v>7</v>
      </c>
    </row>
    <row r="184" spans="2:4" ht="14.25">
      <c r="B184">
        <v>182</v>
      </c>
      <c r="C184" s="189" t="s">
        <v>9</v>
      </c>
      <c r="D184" t="s">
        <v>9</v>
      </c>
    </row>
    <row r="185" spans="2:4" ht="14.25">
      <c r="B185">
        <v>183</v>
      </c>
      <c r="C185" s="189" t="s">
        <v>10</v>
      </c>
      <c r="D185" t="s">
        <v>38</v>
      </c>
    </row>
    <row r="186" spans="2:4" ht="14.25">
      <c r="B186">
        <v>184</v>
      </c>
      <c r="C186" t="s">
        <v>314</v>
      </c>
      <c r="D186" t="s">
        <v>315</v>
      </c>
    </row>
    <row r="187" spans="2:4" ht="14.25">
      <c r="B187">
        <v>185</v>
      </c>
      <c r="C187" t="s">
        <v>316</v>
      </c>
      <c r="D187" t="s">
        <v>317</v>
      </c>
    </row>
    <row r="188" spans="2:4" ht="14.25">
      <c r="B188">
        <v>186</v>
      </c>
      <c r="C188" t="s">
        <v>318</v>
      </c>
      <c r="D188" t="s">
        <v>319</v>
      </c>
    </row>
    <row r="189" spans="2:4" ht="14.25">
      <c r="B189">
        <v>187</v>
      </c>
      <c r="C189" t="s">
        <v>320</v>
      </c>
      <c r="D189" t="s">
        <v>271</v>
      </c>
    </row>
    <row r="190" spans="2:3" ht="14.25">
      <c r="B190">
        <v>188</v>
      </c>
      <c r="C190" s="215" t="s">
        <v>321</v>
      </c>
    </row>
    <row r="191" spans="2:3" ht="14.25">
      <c r="B191">
        <v>189</v>
      </c>
      <c r="C191" s="215" t="s">
        <v>322</v>
      </c>
    </row>
    <row r="192" spans="2:3" ht="14.25">
      <c r="B192">
        <v>190</v>
      </c>
      <c r="C192" s="215" t="s">
        <v>323</v>
      </c>
    </row>
    <row r="193" spans="2:4" ht="14.25">
      <c r="B193">
        <v>191</v>
      </c>
      <c r="C193" s="215" t="s">
        <v>205</v>
      </c>
      <c r="D193" t="s">
        <v>206</v>
      </c>
    </row>
    <row r="194" spans="2:3" ht="14.25">
      <c r="B194">
        <v>192</v>
      </c>
      <c r="C194" s="215" t="s">
        <v>207</v>
      </c>
    </row>
    <row r="195" spans="2:3" ht="14.25">
      <c r="B195">
        <v>193</v>
      </c>
      <c r="C195" s="215" t="s">
        <v>11</v>
      </c>
    </row>
    <row r="196" spans="2:3" ht="14.25">
      <c r="B196">
        <v>194</v>
      </c>
      <c r="C196" s="217" t="s">
        <v>212</v>
      </c>
    </row>
    <row r="197" spans="2:3" ht="14.25">
      <c r="B197">
        <v>195</v>
      </c>
      <c r="C197" s="215" t="s">
        <v>324</v>
      </c>
    </row>
    <row r="198" spans="2:3" ht="14.25">
      <c r="B198">
        <v>196</v>
      </c>
      <c r="C198" s="215" t="s">
        <v>325</v>
      </c>
    </row>
    <row r="199" spans="2:3" ht="14.25">
      <c r="B199">
        <v>197</v>
      </c>
      <c r="C199" s="215" t="s">
        <v>209</v>
      </c>
    </row>
    <row r="200" spans="2:3" ht="14.25">
      <c r="B200">
        <v>198</v>
      </c>
      <c r="C200" s="215" t="s">
        <v>201</v>
      </c>
    </row>
    <row r="201" spans="2:3" ht="14.25">
      <c r="B201">
        <v>199</v>
      </c>
      <c r="C201" s="215" t="s">
        <v>326</v>
      </c>
    </row>
    <row r="202" spans="2:3" ht="14.25">
      <c r="B202">
        <v>200</v>
      </c>
      <c r="C202" s="215" t="s">
        <v>199</v>
      </c>
    </row>
    <row r="203" spans="2:3" ht="14.25">
      <c r="B203">
        <v>201</v>
      </c>
      <c r="C203" s="215" t="s">
        <v>327</v>
      </c>
    </row>
    <row r="204" spans="2:3" ht="14.25">
      <c r="B204">
        <v>202</v>
      </c>
      <c r="C204" s="217" t="s">
        <v>328</v>
      </c>
    </row>
    <row r="205" spans="2:4" ht="14.25">
      <c r="B205">
        <v>203</v>
      </c>
      <c r="C205" s="215" t="s">
        <v>329</v>
      </c>
      <c r="D205" t="s">
        <v>330</v>
      </c>
    </row>
    <row r="206" spans="2:4" ht="14.25">
      <c r="B206">
        <v>204</v>
      </c>
      <c r="C206" s="215" t="s">
        <v>331</v>
      </c>
      <c r="D206" t="s">
        <v>331</v>
      </c>
    </row>
    <row r="207" spans="2:4" ht="14.25">
      <c r="B207">
        <v>205</v>
      </c>
      <c r="C207" s="215" t="s">
        <v>332</v>
      </c>
      <c r="D207" s="215" t="s">
        <v>333</v>
      </c>
    </row>
    <row r="208" spans="2:4" ht="14.25">
      <c r="B208">
        <v>206</v>
      </c>
      <c r="C208" t="s">
        <v>334</v>
      </c>
      <c r="D208" t="s">
        <v>335</v>
      </c>
    </row>
    <row r="209" spans="2:4" ht="14.25">
      <c r="B209">
        <v>207</v>
      </c>
      <c r="C209" t="s">
        <v>336</v>
      </c>
      <c r="D209" t="s">
        <v>337</v>
      </c>
    </row>
    <row r="210" spans="2:4" ht="14.25">
      <c r="B210">
        <v>208</v>
      </c>
      <c r="C210" s="215" t="s">
        <v>338</v>
      </c>
      <c r="D210" t="s">
        <v>339</v>
      </c>
    </row>
    <row r="211" spans="2:4" ht="14.25">
      <c r="B211">
        <v>209</v>
      </c>
      <c r="C211" s="215" t="s">
        <v>199</v>
      </c>
      <c r="D211" t="s">
        <v>200</v>
      </c>
    </row>
    <row r="212" spans="2:4" ht="14.25">
      <c r="B212">
        <v>210</v>
      </c>
      <c r="C212" s="215" t="s">
        <v>340</v>
      </c>
      <c r="D212" t="s">
        <v>341</v>
      </c>
    </row>
    <row r="213" spans="2:4" ht="14.25">
      <c r="B213">
        <v>211</v>
      </c>
      <c r="C213" s="215" t="s">
        <v>342</v>
      </c>
      <c r="D213" t="s">
        <v>366</v>
      </c>
    </row>
    <row r="214" spans="2:4" ht="14.25">
      <c r="B214">
        <v>212</v>
      </c>
      <c r="C214" s="215" t="s">
        <v>343</v>
      </c>
      <c r="D214" t="s">
        <v>344</v>
      </c>
    </row>
    <row r="215" spans="2:4" ht="14.25">
      <c r="B215">
        <v>213</v>
      </c>
      <c r="C215" s="215" t="s">
        <v>345</v>
      </c>
      <c r="D215" t="s">
        <v>346</v>
      </c>
    </row>
    <row r="216" spans="2:4" ht="14.25">
      <c r="B216">
        <v>214</v>
      </c>
      <c r="C216" s="215" t="s">
        <v>205</v>
      </c>
      <c r="D216" t="s">
        <v>206</v>
      </c>
    </row>
    <row r="217" spans="2:4" ht="14.25">
      <c r="B217">
        <v>215</v>
      </c>
      <c r="C217" s="215" t="s">
        <v>11</v>
      </c>
      <c r="D217" t="s">
        <v>347</v>
      </c>
    </row>
    <row r="218" spans="2:4" ht="14.25">
      <c r="B218">
        <v>216</v>
      </c>
      <c r="C218" s="215" t="s">
        <v>327</v>
      </c>
      <c r="D218" t="s">
        <v>348</v>
      </c>
    </row>
    <row r="219" spans="2:4" ht="14.25">
      <c r="B219">
        <v>217</v>
      </c>
      <c r="C219" s="215" t="s">
        <v>349</v>
      </c>
      <c r="D219" t="s">
        <v>330</v>
      </c>
    </row>
    <row r="220" spans="2:8" ht="15" customHeight="1">
      <c r="B220">
        <v>218</v>
      </c>
      <c r="C220" s="215" t="s">
        <v>350</v>
      </c>
      <c r="D220" s="215" t="s">
        <v>351</v>
      </c>
      <c r="E220" s="215"/>
      <c r="F220" s="215"/>
      <c r="G220" s="215"/>
      <c r="H220" s="215"/>
    </row>
    <row r="221" spans="2:4" ht="15" customHeight="1">
      <c r="B221">
        <v>219</v>
      </c>
      <c r="C221" t="s">
        <v>398</v>
      </c>
      <c r="D221" t="s">
        <v>352</v>
      </c>
    </row>
    <row r="222" spans="2:4" ht="14.25">
      <c r="B222">
        <v>220</v>
      </c>
      <c r="C222" t="s">
        <v>353</v>
      </c>
      <c r="D222" t="s">
        <v>354</v>
      </c>
    </row>
    <row r="223" spans="2:4" ht="14.25">
      <c r="B223">
        <v>221</v>
      </c>
      <c r="C223" t="s">
        <v>355</v>
      </c>
      <c r="D223" t="s">
        <v>356</v>
      </c>
    </row>
    <row r="224" spans="2:4" ht="14.25">
      <c r="B224">
        <v>222</v>
      </c>
      <c r="C224" t="s">
        <v>363</v>
      </c>
      <c r="D224" t="s">
        <v>363</v>
      </c>
    </row>
    <row r="225" spans="2:4" ht="14.25">
      <c r="B225">
        <v>223</v>
      </c>
      <c r="C225" t="s">
        <v>361</v>
      </c>
      <c r="D225" t="s">
        <v>362</v>
      </c>
    </row>
    <row r="226" spans="2:4" ht="14.25">
      <c r="B226">
        <v>224</v>
      </c>
      <c r="C226" t="s">
        <v>364</v>
      </c>
      <c r="D226" t="s">
        <v>365</v>
      </c>
    </row>
    <row r="227" spans="2:4" ht="14.25">
      <c r="B227">
        <v>225</v>
      </c>
      <c r="C227" t="s">
        <v>357</v>
      </c>
      <c r="D227" t="s">
        <v>358</v>
      </c>
    </row>
    <row r="228" spans="2:4" ht="14.25">
      <c r="B228">
        <v>226</v>
      </c>
      <c r="C228" t="s">
        <v>367</v>
      </c>
      <c r="D228" t="s">
        <v>368</v>
      </c>
    </row>
    <row r="229" spans="2:4" ht="14.25">
      <c r="B229">
        <v>227</v>
      </c>
      <c r="C229" s="240" t="s">
        <v>359</v>
      </c>
      <c r="D229" t="s">
        <v>360</v>
      </c>
    </row>
    <row r="230" spans="2:4" ht="14.25">
      <c r="B230">
        <v>228</v>
      </c>
      <c r="C230" t="s">
        <v>397</v>
      </c>
      <c r="D230" t="s">
        <v>369</v>
      </c>
    </row>
    <row r="231" spans="2:4" ht="14.25">
      <c r="B231">
        <v>229</v>
      </c>
      <c r="C231" t="s">
        <v>370</v>
      </c>
      <c r="D231" t="s">
        <v>371</v>
      </c>
    </row>
    <row r="232" spans="2:4" ht="14.25">
      <c r="B232">
        <v>230</v>
      </c>
      <c r="C232" s="217" t="s">
        <v>16</v>
      </c>
      <c r="D232" t="s">
        <v>17</v>
      </c>
    </row>
    <row r="233" spans="2:4" ht="14.25">
      <c r="B233">
        <v>231</v>
      </c>
      <c r="C233" s="215" t="s">
        <v>372</v>
      </c>
      <c r="D233" t="s">
        <v>373</v>
      </c>
    </row>
    <row r="234" spans="2:4" ht="14.25">
      <c r="B234">
        <v>232</v>
      </c>
      <c r="C234" s="215" t="s">
        <v>25</v>
      </c>
      <c r="D234" t="s">
        <v>26</v>
      </c>
    </row>
    <row r="235" spans="2:4" ht="14.25">
      <c r="B235">
        <v>233</v>
      </c>
      <c r="C235" s="215" t="s">
        <v>374</v>
      </c>
      <c r="D235" t="s">
        <v>375</v>
      </c>
    </row>
    <row r="236" spans="2:4" ht="14.25">
      <c r="B236">
        <v>234</v>
      </c>
      <c r="C236" s="215" t="s">
        <v>376</v>
      </c>
      <c r="D236" t="s">
        <v>377</v>
      </c>
    </row>
    <row r="237" spans="2:4" ht="14.25">
      <c r="B237">
        <v>235</v>
      </c>
      <c r="C237" s="215" t="s">
        <v>31</v>
      </c>
      <c r="D237" t="s">
        <v>31</v>
      </c>
    </row>
    <row r="238" spans="2:4" ht="14.25">
      <c r="B238">
        <v>236</v>
      </c>
      <c r="C238" s="215" t="s">
        <v>378</v>
      </c>
      <c r="D238" t="s">
        <v>379</v>
      </c>
    </row>
    <row r="239" spans="2:4" ht="14.25">
      <c r="B239">
        <v>237</v>
      </c>
      <c r="C239" s="215" t="s">
        <v>33</v>
      </c>
      <c r="D239" t="s">
        <v>33</v>
      </c>
    </row>
    <row r="240" spans="2:4" ht="14.25">
      <c r="B240">
        <v>238</v>
      </c>
      <c r="C240" s="215" t="s">
        <v>380</v>
      </c>
      <c r="D240" t="s">
        <v>37</v>
      </c>
    </row>
    <row r="241" spans="2:4" ht="14.25">
      <c r="B241">
        <v>239</v>
      </c>
      <c r="C241" s="215" t="s">
        <v>381</v>
      </c>
      <c r="D241" t="s">
        <v>382</v>
      </c>
    </row>
    <row r="242" spans="2:4" ht="14.25">
      <c r="B242">
        <v>240</v>
      </c>
      <c r="C242" s="215" t="s">
        <v>383</v>
      </c>
      <c r="D242" t="s">
        <v>384</v>
      </c>
    </row>
    <row r="243" spans="2:4" ht="14.25">
      <c r="B243">
        <v>241</v>
      </c>
      <c r="C243" s="215" t="s">
        <v>385</v>
      </c>
      <c r="D243" t="s">
        <v>386</v>
      </c>
    </row>
    <row r="244" spans="2:4" ht="14.25">
      <c r="B244">
        <v>242</v>
      </c>
      <c r="C244" s="215" t="s">
        <v>387</v>
      </c>
      <c r="D244" t="s">
        <v>388</v>
      </c>
    </row>
    <row r="245" spans="2:4" ht="14.25">
      <c r="B245">
        <v>243</v>
      </c>
      <c r="C245" t="s">
        <v>389</v>
      </c>
      <c r="D245" t="s">
        <v>390</v>
      </c>
    </row>
    <row r="246" spans="2:4" ht="14.25">
      <c r="B246">
        <v>244</v>
      </c>
      <c r="C246" t="s">
        <v>391</v>
      </c>
      <c r="D246" t="s">
        <v>392</v>
      </c>
    </row>
    <row r="247" spans="2:4" ht="15">
      <c r="B247">
        <v>245</v>
      </c>
      <c r="C247" s="237" t="s">
        <v>393</v>
      </c>
      <c r="D247" s="237" t="s">
        <v>394</v>
      </c>
    </row>
    <row r="248" spans="2:4" ht="14.25">
      <c r="B248">
        <v>246</v>
      </c>
      <c r="C248" s="215" t="s">
        <v>395</v>
      </c>
      <c r="D248" t="s">
        <v>395</v>
      </c>
    </row>
    <row r="249" spans="2:4" ht="14.25">
      <c r="B249">
        <v>247</v>
      </c>
      <c r="C249" t="s">
        <v>399</v>
      </c>
      <c r="D249" t="s">
        <v>400</v>
      </c>
    </row>
    <row r="250" spans="2:4" ht="14.25">
      <c r="B250">
        <v>248</v>
      </c>
      <c r="C250" t="s">
        <v>401</v>
      </c>
      <c r="D250" t="s">
        <v>402</v>
      </c>
    </row>
    <row r="251" spans="2:4" ht="14.25">
      <c r="B251">
        <v>249</v>
      </c>
      <c r="C251" t="s">
        <v>403</v>
      </c>
      <c r="D251" t="s">
        <v>404</v>
      </c>
    </row>
    <row r="252" spans="2:4" ht="14.25">
      <c r="B252">
        <v>250</v>
      </c>
      <c r="C252" t="s">
        <v>405</v>
      </c>
      <c r="D252" t="s">
        <v>406</v>
      </c>
    </row>
    <row r="253" spans="2:4" ht="14.25">
      <c r="B253">
        <v>251</v>
      </c>
      <c r="C253" t="s">
        <v>407</v>
      </c>
      <c r="D253" t="s">
        <v>408</v>
      </c>
    </row>
    <row r="254" spans="2:4" ht="14.25">
      <c r="B254">
        <v>252</v>
      </c>
      <c r="C254" t="s">
        <v>409</v>
      </c>
      <c r="D254" t="s">
        <v>410</v>
      </c>
    </row>
    <row r="255" spans="2:4" ht="14.25">
      <c r="B255">
        <v>253</v>
      </c>
      <c r="C255" t="s">
        <v>411</v>
      </c>
      <c r="D255" t="s">
        <v>412</v>
      </c>
    </row>
    <row r="256" spans="2:4" ht="14.25">
      <c r="B256">
        <v>254</v>
      </c>
      <c r="C256" t="s">
        <v>413</v>
      </c>
      <c r="D256" t="s">
        <v>414</v>
      </c>
    </row>
    <row r="257" spans="2:4" ht="14.25">
      <c r="B257">
        <v>255</v>
      </c>
      <c r="C257" t="s">
        <v>428</v>
      </c>
      <c r="D257" t="s">
        <v>415</v>
      </c>
    </row>
    <row r="258" spans="2:4" ht="14.25">
      <c r="B258">
        <v>256</v>
      </c>
      <c r="C258" t="s">
        <v>453</v>
      </c>
      <c r="D258" t="s">
        <v>454</v>
      </c>
    </row>
    <row r="259" spans="2:4" ht="14.25">
      <c r="B259">
        <v>257</v>
      </c>
      <c r="C259" t="s">
        <v>426</v>
      </c>
      <c r="D259" t="s">
        <v>429</v>
      </c>
    </row>
    <row r="260" spans="2:4" ht="14.25">
      <c r="B260">
        <v>258</v>
      </c>
      <c r="C260" t="s">
        <v>423</v>
      </c>
      <c r="D260" t="s">
        <v>424</v>
      </c>
    </row>
    <row r="261" spans="2:4" ht="14.25">
      <c r="B261">
        <v>259</v>
      </c>
      <c r="C261" t="s">
        <v>430</v>
      </c>
      <c r="D261" t="s">
        <v>431</v>
      </c>
    </row>
    <row r="262" spans="2:4" ht="14.25">
      <c r="B262">
        <v>260</v>
      </c>
      <c r="C262" t="s">
        <v>432</v>
      </c>
      <c r="D262" t="s">
        <v>433</v>
      </c>
    </row>
    <row r="263" spans="2:4" ht="14.25">
      <c r="B263">
        <v>261</v>
      </c>
      <c r="C263" t="s">
        <v>434</v>
      </c>
      <c r="D263" t="s">
        <v>435</v>
      </c>
    </row>
    <row r="264" spans="2:4" ht="14.25">
      <c r="B264">
        <v>262</v>
      </c>
      <c r="C264" t="s">
        <v>436</v>
      </c>
      <c r="D264" t="s">
        <v>437</v>
      </c>
    </row>
    <row r="265" spans="2:4" ht="14.25">
      <c r="B265">
        <v>263</v>
      </c>
      <c r="C265" t="s">
        <v>438</v>
      </c>
      <c r="D265" t="s">
        <v>439</v>
      </c>
    </row>
    <row r="266" spans="2:4" ht="14.25">
      <c r="B266">
        <v>264</v>
      </c>
      <c r="C266" t="s">
        <v>455</v>
      </c>
      <c r="D266" t="s">
        <v>456</v>
      </c>
    </row>
    <row r="267" spans="2:4" ht="15" customHeight="1">
      <c r="B267">
        <v>265</v>
      </c>
      <c r="C267" t="s">
        <v>440</v>
      </c>
      <c r="D267" t="s">
        <v>441</v>
      </c>
    </row>
    <row r="268" spans="2:4" ht="14.25">
      <c r="B268">
        <v>266</v>
      </c>
      <c r="C268" t="s">
        <v>450</v>
      </c>
      <c r="D268" t="s">
        <v>449</v>
      </c>
    </row>
    <row r="269" spans="2:4" ht="14.25">
      <c r="B269">
        <v>267</v>
      </c>
      <c r="C269" t="s">
        <v>442</v>
      </c>
      <c r="D269" t="s">
        <v>443</v>
      </c>
    </row>
    <row r="270" spans="2:4" ht="14.25">
      <c r="B270">
        <v>268</v>
      </c>
      <c r="C270" t="s">
        <v>457</v>
      </c>
      <c r="D270" t="s">
        <v>444</v>
      </c>
    </row>
    <row r="271" spans="2:4" ht="14.25">
      <c r="B271">
        <v>269</v>
      </c>
      <c r="C271" t="s">
        <v>446</v>
      </c>
      <c r="D271" t="s">
        <v>445</v>
      </c>
    </row>
    <row r="272" spans="2:4" ht="14.25">
      <c r="B272">
        <v>270</v>
      </c>
      <c r="C272" t="s">
        <v>448</v>
      </c>
      <c r="D272" t="s">
        <v>447</v>
      </c>
    </row>
    <row r="273" spans="2:4" ht="14.25">
      <c r="B273">
        <v>271</v>
      </c>
      <c r="C273" t="s">
        <v>458</v>
      </c>
      <c r="D273" t="s">
        <v>459</v>
      </c>
    </row>
    <row r="274" spans="2:4" ht="14.25">
      <c r="B274">
        <v>272</v>
      </c>
      <c r="C274" t="s">
        <v>460</v>
      </c>
      <c r="D274" t="s">
        <v>461</v>
      </c>
    </row>
    <row r="275" spans="2:4" ht="14.25">
      <c r="B275">
        <v>273</v>
      </c>
      <c r="C275" s="295" t="s">
        <v>462</v>
      </c>
      <c r="D275" s="295" t="s">
        <v>463</v>
      </c>
    </row>
    <row r="276" spans="2:4" ht="15">
      <c r="B276">
        <v>274</v>
      </c>
      <c r="C276" s="296" t="s">
        <v>464</v>
      </c>
      <c r="D276" t="s">
        <v>465</v>
      </c>
    </row>
    <row r="277" spans="2:4" ht="14.25">
      <c r="B277">
        <v>275</v>
      </c>
      <c r="C277" s="296" t="s">
        <v>466</v>
      </c>
      <c r="D277" t="s">
        <v>467</v>
      </c>
    </row>
    <row r="278" spans="2:4" ht="14.25">
      <c r="B278">
        <v>276</v>
      </c>
      <c r="C278" s="296" t="s">
        <v>468</v>
      </c>
      <c r="D278" t="s">
        <v>469</v>
      </c>
    </row>
    <row r="279" spans="2:4" ht="14.25">
      <c r="B279">
        <v>277</v>
      </c>
      <c r="C279" s="296" t="s">
        <v>470</v>
      </c>
      <c r="D279" t="s">
        <v>471</v>
      </c>
    </row>
    <row r="280" spans="2:4" ht="14.25">
      <c r="B280">
        <v>278</v>
      </c>
      <c r="C280" s="296" t="s">
        <v>472</v>
      </c>
      <c r="D280" t="s">
        <v>473</v>
      </c>
    </row>
    <row r="281" spans="2:4" ht="14.25">
      <c r="B281">
        <v>279</v>
      </c>
      <c r="C281" s="296" t="s">
        <v>474</v>
      </c>
      <c r="D281" t="s">
        <v>475</v>
      </c>
    </row>
    <row r="282" spans="2:4" ht="15">
      <c r="B282">
        <v>280</v>
      </c>
      <c r="C282" s="237" t="s">
        <v>476</v>
      </c>
      <c r="D282" s="237" t="s">
        <v>476</v>
      </c>
    </row>
    <row r="283" spans="2:4" ht="14.25">
      <c r="B283">
        <v>281</v>
      </c>
      <c r="C283" s="296" t="s">
        <v>477</v>
      </c>
      <c r="D283" t="s">
        <v>478</v>
      </c>
    </row>
    <row r="284" spans="2:4" ht="15">
      <c r="B284">
        <v>282</v>
      </c>
      <c r="C284" s="237" t="s">
        <v>479</v>
      </c>
      <c r="D284" t="s">
        <v>480</v>
      </c>
    </row>
    <row r="285" spans="2:4" ht="15">
      <c r="B285">
        <v>283</v>
      </c>
      <c r="C285" s="237" t="s">
        <v>481</v>
      </c>
      <c r="D285" s="237" t="s">
        <v>482</v>
      </c>
    </row>
    <row r="286" spans="2:4" ht="15">
      <c r="B286">
        <v>284</v>
      </c>
      <c r="C286" s="237" t="s">
        <v>483</v>
      </c>
      <c r="D286" t="s">
        <v>484</v>
      </c>
    </row>
    <row r="287" spans="2:4" ht="15">
      <c r="B287">
        <v>285</v>
      </c>
      <c r="C287" s="237" t="s">
        <v>485</v>
      </c>
      <c r="D287" s="215" t="s">
        <v>486</v>
      </c>
    </row>
    <row r="288" spans="2:4" ht="15">
      <c r="B288">
        <v>286</v>
      </c>
      <c r="C288" s="237" t="s">
        <v>487</v>
      </c>
      <c r="D288" s="215" t="s">
        <v>488</v>
      </c>
    </row>
    <row r="289" spans="2:4" ht="15">
      <c r="B289">
        <v>287</v>
      </c>
      <c r="C289" s="237" t="s">
        <v>489</v>
      </c>
      <c r="D289" s="217" t="s">
        <v>490</v>
      </c>
    </row>
    <row r="290" spans="2:4" ht="15">
      <c r="B290">
        <v>288</v>
      </c>
      <c r="C290" s="237" t="s">
        <v>491</v>
      </c>
      <c r="D290" s="217" t="s">
        <v>492</v>
      </c>
    </row>
    <row r="291" spans="2:4" ht="15">
      <c r="B291">
        <v>289</v>
      </c>
      <c r="C291" s="237" t="s">
        <v>493</v>
      </c>
      <c r="D291" s="215" t="s">
        <v>494</v>
      </c>
    </row>
    <row r="292" spans="2:4" ht="15">
      <c r="B292">
        <v>290</v>
      </c>
      <c r="C292" s="237" t="s">
        <v>495</v>
      </c>
      <c r="D292" s="215" t="s">
        <v>496</v>
      </c>
    </row>
    <row r="293" spans="2:4" ht="15">
      <c r="B293">
        <v>291</v>
      </c>
      <c r="C293" s="237" t="s">
        <v>497</v>
      </c>
      <c r="D293" s="217" t="s">
        <v>498</v>
      </c>
    </row>
    <row r="294" spans="2:4" ht="15">
      <c r="B294">
        <v>292</v>
      </c>
      <c r="C294" s="237" t="s">
        <v>499</v>
      </c>
      <c r="D294" s="215" t="s">
        <v>500</v>
      </c>
    </row>
    <row r="295" spans="2:4" ht="15">
      <c r="B295">
        <v>293</v>
      </c>
      <c r="C295" s="237" t="s">
        <v>501</v>
      </c>
      <c r="D295" s="215" t="s">
        <v>502</v>
      </c>
    </row>
    <row r="296" spans="2:4" ht="15">
      <c r="B296">
        <v>294</v>
      </c>
      <c r="C296" s="237" t="s">
        <v>503</v>
      </c>
      <c r="D296" s="217" t="s">
        <v>504</v>
      </c>
    </row>
    <row r="297" spans="2:4" ht="15">
      <c r="B297">
        <v>295</v>
      </c>
      <c r="C297" s="237" t="s">
        <v>505</v>
      </c>
      <c r="D297" s="237" t="s">
        <v>506</v>
      </c>
    </row>
    <row r="298" spans="2:4" ht="14.25">
      <c r="B298">
        <v>296</v>
      </c>
      <c r="C298" s="215" t="s">
        <v>507</v>
      </c>
      <c r="D298" t="s">
        <v>508</v>
      </c>
    </row>
    <row r="299" spans="2:11" ht="14.25">
      <c r="B299">
        <v>297</v>
      </c>
      <c r="C299" t="s">
        <v>509</v>
      </c>
      <c r="D299" t="s">
        <v>510</v>
      </c>
      <c r="E299" s="297"/>
      <c r="F299" s="297"/>
      <c r="G299" s="297"/>
      <c r="H299" s="297"/>
      <c r="I299" s="297"/>
      <c r="J299" s="297"/>
      <c r="K299" s="297"/>
    </row>
    <row r="300" spans="2:4" ht="14.25">
      <c r="B300">
        <v>298</v>
      </c>
      <c r="C300" t="s">
        <v>511</v>
      </c>
      <c r="D300" t="s">
        <v>512</v>
      </c>
    </row>
    <row r="301" spans="2:4" ht="15">
      <c r="B301">
        <v>299</v>
      </c>
      <c r="C301" s="237" t="s">
        <v>513</v>
      </c>
      <c r="D301" t="s">
        <v>514</v>
      </c>
    </row>
    <row r="302" spans="2:4" ht="15">
      <c r="B302">
        <v>300</v>
      </c>
      <c r="C302" s="237" t="s">
        <v>515</v>
      </c>
      <c r="D302" s="237" t="s">
        <v>516</v>
      </c>
    </row>
    <row r="303" spans="2:4" ht="14.25">
      <c r="B303">
        <v>301</v>
      </c>
      <c r="C303" t="s">
        <v>517</v>
      </c>
      <c r="D303" t="s">
        <v>518</v>
      </c>
    </row>
    <row r="304" spans="2:4" ht="14.25">
      <c r="B304">
        <v>302</v>
      </c>
      <c r="C304" t="s">
        <v>519</v>
      </c>
      <c r="D304" t="s">
        <v>520</v>
      </c>
    </row>
    <row r="1000" ht="14.25">
      <c r="A1000" t="s">
        <v>396</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P18" sqref="P18"/>
    </sheetView>
  </sheetViews>
  <sheetFormatPr defaultColWidth="11.421875" defaultRowHeight="15"/>
  <cols>
    <col min="1" max="1" width="62.00390625" style="31" customWidth="1"/>
    <col min="2" max="2" width="12.8515625" style="31" customWidth="1"/>
    <col min="3" max="3" width="13.00390625" style="31" customWidth="1"/>
    <col min="4" max="6" width="11.421875" style="31" customWidth="1"/>
    <col min="7" max="9" width="0" style="31" hidden="1" customWidth="1"/>
    <col min="10" max="16384" width="11.421875" style="31" customWidth="1"/>
  </cols>
  <sheetData>
    <row r="1" spans="1:9" ht="16.5">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50">
        <v>37.97200000000001</v>
      </c>
      <c r="C8" s="50">
        <v>34.04399999999999</v>
      </c>
      <c r="D8" s="50">
        <v>29.413999999999994</v>
      </c>
      <c r="E8" s="280">
        <v>31.984</v>
      </c>
      <c r="F8" s="50">
        <v>33.449</v>
      </c>
      <c r="G8" s="50">
        <v>0</v>
      </c>
      <c r="H8" s="50">
        <v>0</v>
      </c>
      <c r="I8" s="50">
        <v>0</v>
      </c>
    </row>
    <row r="9" spans="1:9" ht="14.25">
      <c r="A9" s="43" t="str">
        <f>HLOOKUP(INDICE!$F$2,Nombres!$C$3:$D$636,34,FALSE)</f>
        <v>Comisiones netas</v>
      </c>
      <c r="B9" s="44">
        <v>1.278</v>
      </c>
      <c r="C9" s="44">
        <v>-1.0029999999999992</v>
      </c>
      <c r="D9" s="44">
        <v>-2.5320000000000022</v>
      </c>
      <c r="E9" s="45">
        <v>-0.13199999999999523</v>
      </c>
      <c r="F9" s="44">
        <v>-4.187999999999999</v>
      </c>
      <c r="G9" s="44">
        <v>0</v>
      </c>
      <c r="H9" s="44">
        <v>0</v>
      </c>
      <c r="I9" s="44">
        <v>0</v>
      </c>
    </row>
    <row r="10" spans="1:9" ht="14.25">
      <c r="A10" s="43" t="str">
        <f>HLOOKUP(INDICE!$F$2,Nombres!$C$3:$D$636,35,FALSE)</f>
        <v>Resultados de operaciones financieras</v>
      </c>
      <c r="B10" s="44">
        <v>0.34600000000000003</v>
      </c>
      <c r="C10" s="44">
        <v>0.062000000000000006</v>
      </c>
      <c r="D10" s="44">
        <v>-0.006999999999999951</v>
      </c>
      <c r="E10" s="45">
        <v>0.06299999999999996</v>
      </c>
      <c r="F10" s="44">
        <v>0.04000000000000001</v>
      </c>
      <c r="G10" s="44">
        <v>0</v>
      </c>
      <c r="H10" s="44">
        <v>0</v>
      </c>
      <c r="I10" s="44">
        <v>0</v>
      </c>
    </row>
    <row r="11" spans="1:9" ht="14.25">
      <c r="A11" s="43" t="str">
        <f>HLOOKUP(INDICE!$F$2,Nombres!$C$3:$D$636,36,FALSE)</f>
        <v>Otros ingresos y cargas de explotación</v>
      </c>
      <c r="B11" s="44">
        <v>0.045</v>
      </c>
      <c r="C11" s="44">
        <v>-0.093</v>
      </c>
      <c r="D11" s="44">
        <v>-0.026000000000000023</v>
      </c>
      <c r="E11" s="45">
        <v>-0.286</v>
      </c>
      <c r="F11" s="44">
        <v>-0.5</v>
      </c>
      <c r="G11" s="44">
        <v>0</v>
      </c>
      <c r="H11" s="44">
        <v>0</v>
      </c>
      <c r="I11" s="44">
        <v>0</v>
      </c>
    </row>
    <row r="12" spans="1:9" ht="14.25">
      <c r="A12" s="41" t="str">
        <f>HLOOKUP(INDICE!$F$2,Nombres!$C$3:$D$636,37,FALSE)</f>
        <v>Margen bruto</v>
      </c>
      <c r="B12" s="50">
        <f aca="true" t="shared" si="0" ref="B12:I12">+SUM(B8:B11)</f>
        <v>39.641000000000005</v>
      </c>
      <c r="C12" s="50">
        <f t="shared" si="0"/>
        <v>33.009999999999984</v>
      </c>
      <c r="D12" s="50">
        <f t="shared" si="0"/>
        <v>26.84899999999999</v>
      </c>
      <c r="E12" s="280">
        <f t="shared" si="0"/>
        <v>31.629000000000005</v>
      </c>
      <c r="F12" s="50">
        <f t="shared" si="0"/>
        <v>28.801</v>
      </c>
      <c r="G12" s="50">
        <f t="shared" si="0"/>
        <v>0</v>
      </c>
      <c r="H12" s="50">
        <f t="shared" si="0"/>
        <v>0</v>
      </c>
      <c r="I12" s="50">
        <f t="shared" si="0"/>
        <v>0</v>
      </c>
    </row>
    <row r="13" spans="1:9" ht="14.25">
      <c r="A13" s="43" t="str">
        <f>HLOOKUP(INDICE!$F$2,Nombres!$C$3:$D$636,38,FALSE)</f>
        <v>Gastos de explotación</v>
      </c>
      <c r="B13" s="44">
        <v>-13.061000000000002</v>
      </c>
      <c r="C13" s="44">
        <v>-9.141</v>
      </c>
      <c r="D13" s="44">
        <v>-11.742999999999999</v>
      </c>
      <c r="E13" s="45">
        <v>-12.716000000000001</v>
      </c>
      <c r="F13" s="44">
        <v>-14.427000000000001</v>
      </c>
      <c r="G13" s="44">
        <v>0</v>
      </c>
      <c r="H13" s="44">
        <v>0</v>
      </c>
      <c r="I13" s="44">
        <v>0</v>
      </c>
    </row>
    <row r="14" spans="1:9" ht="14.25">
      <c r="A14" s="43" t="str">
        <f>HLOOKUP(INDICE!$F$2,Nombres!$C$3:$D$636,39,FALSE)</f>
        <v>  Gastos de administración</v>
      </c>
      <c r="B14" s="44">
        <v>-12.239</v>
      </c>
      <c r="C14" s="44">
        <v>-8.343</v>
      </c>
      <c r="D14" s="44">
        <v>-10.924</v>
      </c>
      <c r="E14" s="45">
        <v>-11.802</v>
      </c>
      <c r="F14" s="44">
        <v>-13.306000000000001</v>
      </c>
      <c r="G14" s="44">
        <v>0</v>
      </c>
      <c r="H14" s="44">
        <v>0</v>
      </c>
      <c r="I14" s="44">
        <v>0</v>
      </c>
    </row>
    <row r="15" spans="1:9" ht="14.25">
      <c r="A15" s="46" t="str">
        <f>HLOOKUP(INDICE!$F$2,Nombres!$C$3:$D$636,40,FALSE)</f>
        <v>  Gastos de personal</v>
      </c>
      <c r="B15" s="44">
        <v>-5.5200000000000005</v>
      </c>
      <c r="C15" s="44">
        <v>-4.043</v>
      </c>
      <c r="D15" s="44">
        <v>-4.703999999999999</v>
      </c>
      <c r="E15" s="45">
        <v>-3.5990000000000006</v>
      </c>
      <c r="F15" s="44">
        <v>-5.585</v>
      </c>
      <c r="G15" s="44">
        <v>0</v>
      </c>
      <c r="H15" s="44">
        <v>0</v>
      </c>
      <c r="I15" s="44">
        <v>0</v>
      </c>
    </row>
    <row r="16" spans="1:9" ht="14.25">
      <c r="A16" s="46" t="str">
        <f>HLOOKUP(INDICE!$F$2,Nombres!$C$3:$D$636,41,FALSE)</f>
        <v>  Otros gastos de administración</v>
      </c>
      <c r="B16" s="44">
        <v>-6.719</v>
      </c>
      <c r="C16" s="44">
        <v>-4.3</v>
      </c>
      <c r="D16" s="44">
        <v>-6.220000000000001</v>
      </c>
      <c r="E16" s="45">
        <v>-8.203</v>
      </c>
      <c r="F16" s="44">
        <v>-7.721</v>
      </c>
      <c r="G16" s="44">
        <v>0</v>
      </c>
      <c r="H16" s="44">
        <v>0</v>
      </c>
      <c r="I16" s="44">
        <v>0</v>
      </c>
    </row>
    <row r="17" spans="1:9" ht="14.25">
      <c r="A17" s="43" t="str">
        <f>HLOOKUP(INDICE!$F$2,Nombres!$C$3:$D$636,42,FALSE)</f>
        <v>  Amortización</v>
      </c>
      <c r="B17" s="44">
        <v>-0.822</v>
      </c>
      <c r="C17" s="44">
        <v>-0.798</v>
      </c>
      <c r="D17" s="44">
        <v>-0.8190000000000001</v>
      </c>
      <c r="E17" s="45">
        <v>-0.9139999999999999</v>
      </c>
      <c r="F17" s="44">
        <v>-1.121</v>
      </c>
      <c r="G17" s="44">
        <v>0</v>
      </c>
      <c r="H17" s="44">
        <v>0</v>
      </c>
      <c r="I17" s="44">
        <v>0</v>
      </c>
    </row>
    <row r="18" spans="1:9" ht="14.25">
      <c r="A18" s="41" t="str">
        <f>HLOOKUP(INDICE!$F$2,Nombres!$C$3:$D$636,43,FALSE)</f>
        <v>Margen neto</v>
      </c>
      <c r="B18" s="50">
        <f aca="true" t="shared" si="1" ref="B18:I18">+B12+B13</f>
        <v>26.580000000000005</v>
      </c>
      <c r="C18" s="50">
        <f t="shared" si="1"/>
        <v>23.868999999999986</v>
      </c>
      <c r="D18" s="50">
        <f t="shared" si="1"/>
        <v>15.105999999999991</v>
      </c>
      <c r="E18" s="280">
        <f t="shared" si="1"/>
        <v>18.913000000000004</v>
      </c>
      <c r="F18" s="50">
        <f t="shared" si="1"/>
        <v>14.373999999999997</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-18.37</v>
      </c>
      <c r="C19" s="44">
        <v>-23.144</v>
      </c>
      <c r="D19" s="44">
        <v>1.0580000000000003</v>
      </c>
      <c r="E19" s="45">
        <v>-8.671000000000003</v>
      </c>
      <c r="F19" s="44">
        <v>0.5200000000000006</v>
      </c>
      <c r="G19" s="44">
        <v>0</v>
      </c>
      <c r="H19" s="44">
        <v>0</v>
      </c>
      <c r="I19" s="44">
        <v>0</v>
      </c>
    </row>
    <row r="20" spans="1:9" ht="14.25">
      <c r="A20" s="43" t="str">
        <f>HLOOKUP(INDICE!$F$2,Nombres!$C$3:$D$636,45,FALSE)</f>
        <v>Provisiones o reversión de provisiones y otros resultados</v>
      </c>
      <c r="B20" s="44">
        <v>-0.256</v>
      </c>
      <c r="C20" s="44">
        <v>-0.2</v>
      </c>
      <c r="D20" s="44">
        <v>-0.13599999999999995</v>
      </c>
      <c r="E20" s="45">
        <v>-0.988</v>
      </c>
      <c r="F20" s="44">
        <v>0.455</v>
      </c>
      <c r="G20" s="44">
        <v>0</v>
      </c>
      <c r="H20" s="44">
        <v>0</v>
      </c>
      <c r="I20" s="44">
        <v>0</v>
      </c>
    </row>
    <row r="21" spans="1:9" ht="14.25">
      <c r="A21" s="41" t="str">
        <f>HLOOKUP(INDICE!$F$2,Nombres!$C$3:$D$636,46,FALSE)</f>
        <v>Resultado antes de impuestos</v>
      </c>
      <c r="B21" s="50">
        <f aca="true" t="shared" si="2" ref="B21:I21">+B18+B19+B20</f>
        <v>7.954000000000004</v>
      </c>
      <c r="C21" s="50">
        <f t="shared" si="2"/>
        <v>0.5249999999999873</v>
      </c>
      <c r="D21" s="50">
        <f t="shared" si="2"/>
        <v>16.02799999999999</v>
      </c>
      <c r="E21" s="280">
        <f t="shared" si="2"/>
        <v>9.254000000000001</v>
      </c>
      <c r="F21" s="50">
        <f t="shared" si="2"/>
        <v>15.348999999999998</v>
      </c>
      <c r="G21" s="50">
        <f t="shared" si="2"/>
        <v>0</v>
      </c>
      <c r="H21" s="50">
        <f t="shared" si="2"/>
        <v>0</v>
      </c>
      <c r="I21" s="50">
        <f t="shared" si="2"/>
        <v>0</v>
      </c>
    </row>
    <row r="22" spans="1:9" ht="14.25">
      <c r="A22" s="43" t="str">
        <f>HLOOKUP(INDICE!$F$2,Nombres!$C$3:$D$636,47,FALSE)</f>
        <v>Impuesto sobre beneficios</v>
      </c>
      <c r="B22" s="44">
        <v>-1.3370000000000002</v>
      </c>
      <c r="C22" s="44">
        <v>0.052000000000000074</v>
      </c>
      <c r="D22" s="44">
        <v>-4.55</v>
      </c>
      <c r="E22" s="45">
        <v>-1.7940000000000005</v>
      </c>
      <c r="F22" s="44">
        <v>-3.4979999999999998</v>
      </c>
      <c r="G22" s="44">
        <v>0</v>
      </c>
      <c r="H22" s="44">
        <v>0</v>
      </c>
      <c r="I22" s="44">
        <v>0</v>
      </c>
    </row>
    <row r="23" spans="1:9" ht="14.25">
      <c r="A23" s="41" t="str">
        <f>HLOOKUP(INDICE!$F$2,Nombres!$C$3:$D$636,48,FALSE)</f>
        <v>Resultado del ejercicio</v>
      </c>
      <c r="B23" s="50">
        <f aca="true" t="shared" si="3" ref="B23:I23">+B21+B22</f>
        <v>6.617000000000004</v>
      </c>
      <c r="C23" s="50">
        <f t="shared" si="3"/>
        <v>0.5769999999999873</v>
      </c>
      <c r="D23" s="50">
        <f t="shared" si="3"/>
        <v>11.47799999999999</v>
      </c>
      <c r="E23" s="280">
        <f t="shared" si="3"/>
        <v>7.460000000000001</v>
      </c>
      <c r="F23" s="50">
        <f t="shared" si="3"/>
        <v>11.850999999999999</v>
      </c>
      <c r="G23" s="50">
        <f t="shared" si="3"/>
        <v>0</v>
      </c>
      <c r="H23" s="50">
        <f t="shared" si="3"/>
        <v>0</v>
      </c>
      <c r="I23" s="50">
        <f t="shared" si="3"/>
        <v>0</v>
      </c>
    </row>
    <row r="24" spans="1:9" ht="14.25">
      <c r="A24" s="43" t="str">
        <f>HLOOKUP(INDICE!$F$2,Nombres!$C$3:$D$636,49,FALSE)</f>
        <v>Minoritarios</v>
      </c>
      <c r="B24" s="44">
        <v>0</v>
      </c>
      <c r="C24" s="44">
        <v>0</v>
      </c>
      <c r="D24" s="44">
        <v>0</v>
      </c>
      <c r="E24" s="45">
        <v>0</v>
      </c>
      <c r="F24" s="44">
        <v>0</v>
      </c>
      <c r="G24" s="44">
        <v>0</v>
      </c>
      <c r="H24" s="44">
        <v>0</v>
      </c>
      <c r="I24" s="44">
        <v>0</v>
      </c>
    </row>
    <row r="25" spans="1:9" ht="14.25">
      <c r="A25" s="47" t="str">
        <f>HLOOKUP(INDICE!$F$2,Nombres!$C$3:$D$636,50,FALSE)</f>
        <v>Resultado atribuido</v>
      </c>
      <c r="B25" s="51">
        <f aca="true" t="shared" si="4" ref="B25:I25">+B23+B24</f>
        <v>6.617000000000004</v>
      </c>
      <c r="C25" s="51">
        <f t="shared" si="4"/>
        <v>0.5769999999999873</v>
      </c>
      <c r="D25" s="51">
        <f t="shared" si="4"/>
        <v>11.47799999999999</v>
      </c>
      <c r="E25" s="80">
        <f t="shared" si="4"/>
        <v>7.460000000000001</v>
      </c>
      <c r="F25" s="51">
        <f t="shared" si="4"/>
        <v>11.850999999999999</v>
      </c>
      <c r="G25" s="51">
        <f t="shared" si="4"/>
        <v>0</v>
      </c>
      <c r="H25" s="51">
        <f t="shared" si="4"/>
        <v>0</v>
      </c>
      <c r="I25" s="51">
        <f t="shared" si="4"/>
        <v>0</v>
      </c>
    </row>
    <row r="26" spans="1:9" ht="14.25">
      <c r="A26" s="278"/>
      <c r="B26" s="279"/>
      <c r="C26" s="279"/>
      <c r="D26" s="279"/>
      <c r="E26" s="279"/>
      <c r="F26" s="279"/>
      <c r="G26" s="279"/>
      <c r="H26" s="279"/>
      <c r="I26" s="279"/>
    </row>
    <row r="27" spans="1:10" s="293" customFormat="1" ht="14.25">
      <c r="A27" s="41"/>
      <c r="B27" s="41"/>
      <c r="C27" s="41"/>
      <c r="D27" s="41"/>
      <c r="E27" s="41"/>
      <c r="F27" s="41"/>
      <c r="G27" s="41"/>
      <c r="H27" s="41"/>
      <c r="I27" s="41"/>
      <c r="J27" s="31"/>
    </row>
    <row r="28" spans="1:10" s="293" customFormat="1" ht="16.5">
      <c r="A28" s="33" t="str">
        <f>HLOOKUP(INDICE!$F$2,Nombres!$C$3:$D$636,51,FALSE)</f>
        <v>Balances</v>
      </c>
      <c r="B28" s="34"/>
      <c r="C28" s="34"/>
      <c r="D28" s="34"/>
      <c r="E28" s="34"/>
      <c r="F28" s="34"/>
      <c r="G28" s="34"/>
      <c r="H28" s="34"/>
      <c r="I28" s="34"/>
      <c r="J28" s="31"/>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8.73</v>
      </c>
      <c r="C31" s="44">
        <v>10.648</v>
      </c>
      <c r="D31" s="44">
        <v>24.927</v>
      </c>
      <c r="E31" s="45">
        <v>30.395000000000003</v>
      </c>
      <c r="F31" s="44">
        <v>20.195</v>
      </c>
      <c r="G31" s="44">
        <v>0</v>
      </c>
      <c r="H31" s="44">
        <v>0</v>
      </c>
      <c r="I31" s="44">
        <v>0</v>
      </c>
    </row>
    <row r="32" spans="1:9" ht="14.25">
      <c r="A32" s="43" t="str">
        <f>HLOOKUP(INDICE!$F$2,Nombres!$C$3:$D$636,53,FALSE)</f>
        <v>Activos financieros a valor razonable</v>
      </c>
      <c r="B32" s="58">
        <v>0</v>
      </c>
      <c r="C32" s="58">
        <v>0</v>
      </c>
      <c r="D32" s="58">
        <v>163.319</v>
      </c>
      <c r="E32" s="65">
        <v>0</v>
      </c>
      <c r="F32" s="44">
        <v>0</v>
      </c>
      <c r="G32" s="44">
        <v>0</v>
      </c>
      <c r="H32" s="44">
        <v>0</v>
      </c>
      <c r="I32" s="44">
        <v>0</v>
      </c>
    </row>
    <row r="33" spans="1:9" ht="14.25">
      <c r="A33" s="43" t="str">
        <f>HLOOKUP(INDICE!$F$2,Nombres!$C$3:$D$636,54,FALSE)</f>
        <v>Activos financieros a coste amortizado</v>
      </c>
      <c r="B33" s="44">
        <v>1715.863</v>
      </c>
      <c r="C33" s="44">
        <v>1664.4769999999999</v>
      </c>
      <c r="D33" s="44">
        <v>1604.7350000000001</v>
      </c>
      <c r="E33" s="45">
        <v>1774.347</v>
      </c>
      <c r="F33" s="44">
        <v>1543.154</v>
      </c>
      <c r="G33" s="44">
        <v>0</v>
      </c>
      <c r="H33" s="44">
        <v>0</v>
      </c>
      <c r="I33" s="44">
        <v>0</v>
      </c>
    </row>
    <row r="34" spans="1:9" ht="14.25">
      <c r="A34" s="43" t="str">
        <f>HLOOKUP(INDICE!$F$2,Nombres!$C$3:$D$636,55,FALSE)</f>
        <v>    de los que préstamos y anticipos a la clientela</v>
      </c>
      <c r="B34" s="44">
        <v>1632.586</v>
      </c>
      <c r="C34" s="44">
        <v>1509.729</v>
      </c>
      <c r="D34" s="44">
        <v>1503.2589999999998</v>
      </c>
      <c r="E34" s="45">
        <v>1563.711</v>
      </c>
      <c r="F34" s="44">
        <v>1498.221</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11.372</v>
      </c>
      <c r="C36" s="44">
        <v>10.92</v>
      </c>
      <c r="D36" s="44">
        <v>10.417</v>
      </c>
      <c r="E36" s="45">
        <v>10.311</v>
      </c>
      <c r="F36" s="44">
        <v>9.796000000000001</v>
      </c>
      <c r="G36" s="44">
        <v>0</v>
      </c>
      <c r="H36" s="44">
        <v>0</v>
      </c>
      <c r="I36" s="44">
        <v>0</v>
      </c>
    </row>
    <row r="37" spans="1:9" ht="14.25">
      <c r="A37" s="43" t="str">
        <f>HLOOKUP(INDICE!$F$2,Nombres!$C$3:$D$636,57,FALSE)</f>
        <v>Otros activos</v>
      </c>
      <c r="B37" s="58">
        <f>+B38-B36-B33-B32-B31</f>
        <v>188.924</v>
      </c>
      <c r="C37" s="58">
        <f aca="true" t="shared" si="5" ref="C37:I37">+C38-C36-C33-C32-C31</f>
        <v>162.15199999999973</v>
      </c>
      <c r="D37" s="58">
        <f t="shared" si="5"/>
        <v>162.2430094499997</v>
      </c>
      <c r="E37" s="65">
        <f t="shared" si="5"/>
        <v>185.94099999999978</v>
      </c>
      <c r="F37" s="44">
        <f t="shared" si="5"/>
        <v>191.50400000000008</v>
      </c>
      <c r="G37" s="44">
        <f t="shared" si="5"/>
        <v>0</v>
      </c>
      <c r="H37" s="44">
        <f t="shared" si="5"/>
        <v>0</v>
      </c>
      <c r="I37" s="44">
        <f t="shared" si="5"/>
        <v>0</v>
      </c>
    </row>
    <row r="38" spans="1:9" ht="14.25">
      <c r="A38" s="47" t="str">
        <f>HLOOKUP(INDICE!$F$2,Nombres!$C$3:$D$636,58,FALSE)</f>
        <v>Total activo / pasivo</v>
      </c>
      <c r="B38" s="47">
        <v>1924.8890000000001</v>
      </c>
      <c r="C38" s="47">
        <v>1848.1969999999997</v>
      </c>
      <c r="D38" s="47">
        <v>1965.6410094499997</v>
      </c>
      <c r="E38" s="47">
        <v>2000.9939999999997</v>
      </c>
      <c r="F38" s="51">
        <v>1764.6490000000001</v>
      </c>
      <c r="G38" s="51">
        <v>0</v>
      </c>
      <c r="H38" s="51">
        <v>0</v>
      </c>
      <c r="I38" s="51">
        <v>0</v>
      </c>
    </row>
    <row r="39" spans="1:9" ht="14.25">
      <c r="A39" s="43" t="str">
        <f>HLOOKUP(INDICE!$F$2,Nombres!$C$3:$D$636,59,FALSE)</f>
        <v>Pasivos financieros mantenidos para negociar y designados a valor razonable con cambios en resultados</v>
      </c>
      <c r="B39" s="58">
        <v>0</v>
      </c>
      <c r="C39" s="58">
        <v>0</v>
      </c>
      <c r="D39" s="58">
        <v>0</v>
      </c>
      <c r="E39" s="65">
        <v>0</v>
      </c>
      <c r="F39" s="44">
        <v>0</v>
      </c>
      <c r="G39" s="44">
        <v>0</v>
      </c>
      <c r="H39" s="44">
        <v>0</v>
      </c>
      <c r="I39" s="44">
        <v>0</v>
      </c>
    </row>
    <row r="40" spans="1:9" ht="15.75" customHeight="1">
      <c r="A40" s="43" t="str">
        <f>HLOOKUP(INDICE!$F$2,Nombres!$C$3:$D$636,60,FALSE)</f>
        <v>Depósitos de bancos centrales y entidades de crédito</v>
      </c>
      <c r="B40" s="58">
        <v>579.9309999999999</v>
      </c>
      <c r="C40" s="58">
        <v>587.071</v>
      </c>
      <c r="D40" s="58">
        <v>589.679</v>
      </c>
      <c r="E40" s="65">
        <v>552.606</v>
      </c>
      <c r="F40" s="44">
        <v>424.039</v>
      </c>
      <c r="G40" s="44">
        <v>0</v>
      </c>
      <c r="H40" s="44">
        <v>0</v>
      </c>
      <c r="I40" s="44">
        <v>0</v>
      </c>
    </row>
    <row r="41" spans="1:9" ht="14.25">
      <c r="A41" s="43" t="str">
        <f>HLOOKUP(INDICE!$F$2,Nombres!$C$3:$D$636,61,FALSE)</f>
        <v>Depósitos de la clientela</v>
      </c>
      <c r="B41" s="58">
        <v>4.079000000000001</v>
      </c>
      <c r="C41" s="58">
        <v>3.553</v>
      </c>
      <c r="D41" s="58">
        <v>4.577999999999999</v>
      </c>
      <c r="E41" s="65">
        <v>4.954</v>
      </c>
      <c r="F41" s="44">
        <v>5.29</v>
      </c>
      <c r="G41" s="44">
        <v>0</v>
      </c>
      <c r="H41" s="44">
        <v>0</v>
      </c>
      <c r="I41" s="44">
        <v>0</v>
      </c>
    </row>
    <row r="42" spans="1:9" ht="14.25">
      <c r="A42" s="43" t="str">
        <f>HLOOKUP(INDICE!$F$2,Nombres!$C$3:$D$636,62,FALSE)</f>
        <v>Valores representativos de deuda emitidos</v>
      </c>
      <c r="B42" s="44">
        <v>975.4596240000001</v>
      </c>
      <c r="C42" s="44">
        <v>936.1515776</v>
      </c>
      <c r="D42" s="44">
        <v>945.5361104</v>
      </c>
      <c r="E42" s="45">
        <v>983.9977366799999</v>
      </c>
      <c r="F42" s="44">
        <v>865.592976</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135.01140100000006</v>
      </c>
      <c r="C44" s="58">
        <f aca="true" t="shared" si="6" ref="C44:I44">+C38-C39-C40-C41-C42-C45</f>
        <v>89.77090739999966</v>
      </c>
      <c r="D44" s="58">
        <f t="shared" si="6"/>
        <v>147.55025384999965</v>
      </c>
      <c r="E44" s="65">
        <f t="shared" si="6"/>
        <v>252.80724048999986</v>
      </c>
      <c r="F44" s="44">
        <f t="shared" si="6"/>
        <v>252.86687400000014</v>
      </c>
      <c r="G44" s="44">
        <f t="shared" si="6"/>
        <v>0</v>
      </c>
      <c r="H44" s="44">
        <f t="shared" si="6"/>
        <v>0</v>
      </c>
      <c r="I44" s="44">
        <f t="shared" si="6"/>
        <v>0</v>
      </c>
    </row>
    <row r="45" spans="1:9" ht="14.25">
      <c r="A45" s="43" t="str">
        <f>HLOOKUP(INDICE!$F$2,Nombres!$C$3:$D$636,282,FALSE)</f>
        <v>Dotación de capital regulatorio</v>
      </c>
      <c r="B45" s="58">
        <v>230.407975</v>
      </c>
      <c r="C45" s="58">
        <v>231.65051499999998</v>
      </c>
      <c r="D45" s="58">
        <v>278.29764520000003</v>
      </c>
      <c r="E45" s="65">
        <v>206.62902283</v>
      </c>
      <c r="F45" s="44">
        <v>216.86015</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1633.3490000000002</v>
      </c>
      <c r="C51" s="44">
        <v>1526.683</v>
      </c>
      <c r="D51" s="44">
        <v>1524.5109999999997</v>
      </c>
      <c r="E51" s="45">
        <v>1560.565</v>
      </c>
      <c r="F51" s="288">
        <v>1560.821</v>
      </c>
      <c r="G51" s="44">
        <v>0</v>
      </c>
      <c r="H51" s="44">
        <v>0</v>
      </c>
      <c r="I51" s="44">
        <v>0</v>
      </c>
    </row>
    <row r="52" spans="1:9" ht="14.25">
      <c r="A52" s="43" t="str">
        <f>HLOOKUP(INDICE!$F$2,Nombres!$C$3:$D$636,67,FALSE)</f>
        <v>Depósitos de clientes en gestión (**)</v>
      </c>
      <c r="B52" s="44">
        <v>4.079</v>
      </c>
      <c r="C52" s="44">
        <v>3.553</v>
      </c>
      <c r="D52" s="44">
        <v>4.577999999999999</v>
      </c>
      <c r="E52" s="45">
        <v>4.954</v>
      </c>
      <c r="F52" s="288">
        <v>5.289999999999999</v>
      </c>
      <c r="G52" s="44">
        <v>0</v>
      </c>
      <c r="H52" s="44">
        <v>0</v>
      </c>
      <c r="I52" s="44">
        <v>0</v>
      </c>
    </row>
    <row r="53" spans="1:9" ht="14.25">
      <c r="A53" s="43" t="str">
        <f>HLOOKUP(INDICE!$F$2,Nombres!$C$3:$D$636,68,FALSE)</f>
        <v>Fondos de inversión</v>
      </c>
      <c r="B53" s="44">
        <v>0</v>
      </c>
      <c r="C53" s="44">
        <v>0</v>
      </c>
      <c r="D53" s="44">
        <v>0</v>
      </c>
      <c r="E53" s="45">
        <v>0</v>
      </c>
      <c r="F53" s="288">
        <v>0</v>
      </c>
      <c r="G53" s="44">
        <v>0</v>
      </c>
      <c r="H53" s="44">
        <v>0</v>
      </c>
      <c r="I53" s="44">
        <v>0</v>
      </c>
    </row>
    <row r="54" spans="1:9" ht="14.25">
      <c r="A54" s="43" t="str">
        <f>HLOOKUP(INDICE!$F$2,Nombres!$C$3:$D$636,69,FALSE)</f>
        <v>Fondos de pensiones</v>
      </c>
      <c r="B54" s="44">
        <v>0</v>
      </c>
      <c r="C54" s="44">
        <v>0</v>
      </c>
      <c r="D54" s="44">
        <v>0</v>
      </c>
      <c r="E54" s="45">
        <v>0</v>
      </c>
      <c r="F54" s="288">
        <v>0</v>
      </c>
      <c r="G54" s="44">
        <v>0</v>
      </c>
      <c r="H54" s="44">
        <v>0</v>
      </c>
      <c r="I54" s="44">
        <v>0</v>
      </c>
    </row>
    <row r="55" spans="1:9" ht="14.25">
      <c r="A55" s="43" t="str">
        <f>HLOOKUP(INDICE!$F$2,Nombres!$C$3:$D$636,70,FALSE)</f>
        <v>Otros recursos fuera de balance</v>
      </c>
      <c r="B55" s="44">
        <v>0</v>
      </c>
      <c r="C55" s="44">
        <v>0</v>
      </c>
      <c r="D55" s="44">
        <v>0</v>
      </c>
      <c r="E55" s="45">
        <v>0</v>
      </c>
      <c r="F55" s="288">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50">
        <v>38.52662387746888</v>
      </c>
      <c r="C64" s="50">
        <v>35.37461261931871</v>
      </c>
      <c r="D64" s="50">
        <v>30.86219187974026</v>
      </c>
      <c r="E64" s="280">
        <v>33.309476044945114</v>
      </c>
      <c r="F64" s="50">
        <v>33.449</v>
      </c>
      <c r="G64" s="50">
        <v>0</v>
      </c>
      <c r="H64" s="50">
        <v>0</v>
      </c>
      <c r="I64" s="50">
        <v>0</v>
      </c>
    </row>
    <row r="65" spans="1:9" ht="14.25">
      <c r="A65" s="43" t="str">
        <f>HLOOKUP(INDICE!$F$2,Nombres!$C$3:$D$636,34,FALSE)</f>
        <v>Comisiones netas</v>
      </c>
      <c r="B65" s="44">
        <v>1.2966666310809334</v>
      </c>
      <c r="C65" s="44">
        <v>-1.0144676747848798</v>
      </c>
      <c r="D65" s="44">
        <v>-2.61337373541292</v>
      </c>
      <c r="E65" s="45">
        <v>-0.1412506684590933</v>
      </c>
      <c r="F65" s="44">
        <v>-4.187999999999999</v>
      </c>
      <c r="G65" s="44">
        <v>0</v>
      </c>
      <c r="H65" s="44">
        <v>0</v>
      </c>
      <c r="I65" s="44">
        <v>0</v>
      </c>
    </row>
    <row r="66" spans="1:9" ht="14.25">
      <c r="A66" s="43" t="str">
        <f>HLOOKUP(INDICE!$F$2,Nombres!$C$3:$D$636,35,FALSE)</f>
        <v>Resultados de operaciones financieras</v>
      </c>
      <c r="B66" s="44">
        <v>0.35105372015180225</v>
      </c>
      <c r="C66" s="44">
        <v>0.06762691318925167</v>
      </c>
      <c r="D66" s="44">
        <v>-0.004502039443906314</v>
      </c>
      <c r="E66" s="45">
        <v>0.06602459056298</v>
      </c>
      <c r="F66" s="44">
        <v>0.039999999999999994</v>
      </c>
      <c r="G66" s="44">
        <v>0</v>
      </c>
      <c r="H66" s="44">
        <v>0</v>
      </c>
      <c r="I66" s="44">
        <v>0</v>
      </c>
    </row>
    <row r="67" spans="1:9" ht="14.25">
      <c r="A67" s="43" t="str">
        <f>HLOOKUP(INDICE!$F$2,Nombres!$C$3:$D$636,36,FALSE)</f>
        <v>Otros ingresos y cargas de explotación</v>
      </c>
      <c r="B67" s="44">
        <v>0.045657275742286396</v>
      </c>
      <c r="C67" s="44">
        <v>-0.09491382084123393</v>
      </c>
      <c r="D67" s="44">
        <v>-0.027175414872097202</v>
      </c>
      <c r="E67" s="45">
        <v>-0.2961394762480197</v>
      </c>
      <c r="F67" s="44">
        <v>-0.5</v>
      </c>
      <c r="G67" s="44">
        <v>0</v>
      </c>
      <c r="H67" s="44">
        <v>0</v>
      </c>
      <c r="I67" s="44">
        <v>0</v>
      </c>
    </row>
    <row r="68" spans="1:9" ht="14.25">
      <c r="A68" s="41" t="str">
        <f>HLOOKUP(INDICE!$F$2,Nombres!$C$3:$D$636,37,FALSE)</f>
        <v>Margen bruto</v>
      </c>
      <c r="B68" s="50">
        <f>+SUM(B64:B67)</f>
        <v>40.2200015044439</v>
      </c>
      <c r="C68" s="50">
        <f>+SUM(C64:C67)</f>
        <v>34.332858036881845</v>
      </c>
      <c r="D68" s="50">
        <f aca="true" t="shared" si="9" ref="D68:I68">+SUM(D64:D67)</f>
        <v>28.217140690011334</v>
      </c>
      <c r="E68" s="280">
        <f t="shared" si="9"/>
        <v>32.93811049080098</v>
      </c>
      <c r="F68" s="50">
        <f t="shared" si="9"/>
        <v>28.801</v>
      </c>
      <c r="G68" s="50">
        <f t="shared" si="9"/>
        <v>0</v>
      </c>
      <c r="H68" s="50">
        <f t="shared" si="9"/>
        <v>0</v>
      </c>
      <c r="I68" s="50">
        <f t="shared" si="9"/>
        <v>0</v>
      </c>
    </row>
    <row r="69" spans="1:9" ht="14.25">
      <c r="A69" s="43" t="str">
        <f>HLOOKUP(INDICE!$F$2,Nombres!$C$3:$D$636,38,FALSE)</f>
        <v>Gastos de explotación</v>
      </c>
      <c r="B69" s="44">
        <v>-13.25177063266673</v>
      </c>
      <c r="C69" s="44">
        <v>-9.531433831642286</v>
      </c>
      <c r="D69" s="44">
        <v>-12.277375011597897</v>
      </c>
      <c r="E69" s="45">
        <v>-13.229853261364669</v>
      </c>
      <c r="F69" s="44">
        <v>-14.427</v>
      </c>
      <c r="G69" s="44">
        <v>0</v>
      </c>
      <c r="H69" s="44">
        <v>0</v>
      </c>
      <c r="I69" s="44">
        <v>0</v>
      </c>
    </row>
    <row r="70" spans="1:9" ht="14.25">
      <c r="A70" s="43" t="str">
        <f>HLOOKUP(INDICE!$F$2,Nombres!$C$3:$D$636,39,FALSE)</f>
        <v>  Gastos de administración</v>
      </c>
      <c r="B70" s="44">
        <v>-12.417764395774299</v>
      </c>
      <c r="C70" s="44">
        <v>-8.703031671445238</v>
      </c>
      <c r="D70" s="44">
        <v>-11.420627322614699</v>
      </c>
      <c r="E70" s="45">
        <v>-12.278920387319223</v>
      </c>
      <c r="F70" s="44">
        <v>-13.306000000000001</v>
      </c>
      <c r="G70" s="44">
        <v>0</v>
      </c>
      <c r="H70" s="44">
        <v>0</v>
      </c>
      <c r="I70" s="44">
        <v>0</v>
      </c>
    </row>
    <row r="71" spans="1:9" ht="14.25">
      <c r="A71" s="46" t="str">
        <f>HLOOKUP(INDICE!$F$2,Nombres!$C$3:$D$636,40,FALSE)</f>
        <v>  Gastos de personal</v>
      </c>
      <c r="B71" s="44">
        <v>-5.600625824387134</v>
      </c>
      <c r="C71" s="44">
        <v>-4.212714608555265</v>
      </c>
      <c r="D71" s="44">
        <v>-4.922534876610228</v>
      </c>
      <c r="E71" s="45">
        <v>-3.7540171334746146</v>
      </c>
      <c r="F71" s="44">
        <v>-5.585000000000001</v>
      </c>
      <c r="G71" s="44">
        <v>0</v>
      </c>
      <c r="H71" s="44">
        <v>0</v>
      </c>
      <c r="I71" s="44">
        <v>0</v>
      </c>
    </row>
    <row r="72" spans="1:9" ht="14.25">
      <c r="A72" s="46" t="str">
        <f>HLOOKUP(INDICE!$F$2,Nombres!$C$3:$D$636,41,FALSE)</f>
        <v>  Otros gastos de administración</v>
      </c>
      <c r="B72" s="44">
        <v>-6.817138571387164</v>
      </c>
      <c r="C72" s="44">
        <v>-4.490317062889974</v>
      </c>
      <c r="D72" s="44">
        <v>-6.498092446004472</v>
      </c>
      <c r="E72" s="45">
        <v>-8.52490325384461</v>
      </c>
      <c r="F72" s="44">
        <v>-7.721</v>
      </c>
      <c r="G72" s="44">
        <v>0</v>
      </c>
      <c r="H72" s="44">
        <v>0</v>
      </c>
      <c r="I72" s="44">
        <v>0</v>
      </c>
    </row>
    <row r="73" spans="1:9" ht="14.25">
      <c r="A73" s="43" t="str">
        <f>HLOOKUP(INDICE!$F$2,Nombres!$C$3:$D$636,42,FALSE)</f>
        <v>  Amortización</v>
      </c>
      <c r="B73" s="44">
        <v>-0.8340062368924317</v>
      </c>
      <c r="C73" s="44">
        <v>-0.8284021601970468</v>
      </c>
      <c r="D73" s="44">
        <v>-0.8567476889831969</v>
      </c>
      <c r="E73" s="45">
        <v>-0.9509328740454448</v>
      </c>
      <c r="F73" s="44">
        <v>-1.121</v>
      </c>
      <c r="G73" s="44">
        <v>0</v>
      </c>
      <c r="H73" s="44">
        <v>0</v>
      </c>
      <c r="I73" s="44">
        <v>0</v>
      </c>
    </row>
    <row r="74" spans="1:9" ht="14.25">
      <c r="A74" s="41" t="str">
        <f>HLOOKUP(INDICE!$F$2,Nombres!$C$3:$D$636,43,FALSE)</f>
        <v>Margen neto</v>
      </c>
      <c r="B74" s="50">
        <f aca="true" t="shared" si="10" ref="B74:I74">+B68+B69</f>
        <v>26.96823087177717</v>
      </c>
      <c r="C74" s="50">
        <f t="shared" si="10"/>
        <v>24.80142420523956</v>
      </c>
      <c r="D74" s="50">
        <f t="shared" si="10"/>
        <v>15.939765678413437</v>
      </c>
      <c r="E74" s="280">
        <f t="shared" si="10"/>
        <v>19.708257229436313</v>
      </c>
      <c r="F74" s="50">
        <f t="shared" si="10"/>
        <v>14.373999999999999</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-18.63831456412892</v>
      </c>
      <c r="C75" s="44">
        <v>-23.962439878323305</v>
      </c>
      <c r="D75" s="44">
        <v>0.81519535341732</v>
      </c>
      <c r="E75" s="45">
        <v>-9.056987986337264</v>
      </c>
      <c r="F75" s="44">
        <v>0.5200000000000007</v>
      </c>
      <c r="G75" s="44">
        <v>0</v>
      </c>
      <c r="H75" s="44">
        <v>0</v>
      </c>
      <c r="I75" s="44">
        <v>0</v>
      </c>
    </row>
    <row r="76" spans="1:9" ht="14.25">
      <c r="A76" s="43" t="str">
        <f>HLOOKUP(INDICE!$F$2,Nombres!$C$3:$D$636,45,FALSE)</f>
        <v>Provisiones o reversión de provisiones y otros resultados</v>
      </c>
      <c r="B76" s="44">
        <v>-0.25973916866722935</v>
      </c>
      <c r="C76" s="44">
        <v>-0.20819800977277209</v>
      </c>
      <c r="D76" s="44">
        <v>-0.14351850132835592</v>
      </c>
      <c r="E76" s="45">
        <v>-1.02371895697087</v>
      </c>
      <c r="F76" s="44">
        <v>0.45499999999999996</v>
      </c>
      <c r="G76" s="44">
        <v>0</v>
      </c>
      <c r="H76" s="44">
        <v>0</v>
      </c>
      <c r="I76" s="44">
        <v>0</v>
      </c>
    </row>
    <row r="77" spans="1:9" ht="14.25">
      <c r="A77" s="41" t="str">
        <f>HLOOKUP(INDICE!$F$2,Nombres!$C$3:$D$636,46,FALSE)</f>
        <v>Resultado antes de impuestos</v>
      </c>
      <c r="B77" s="50">
        <f aca="true" t="shared" si="11" ref="B77:I77">+B74+B75+B76</f>
        <v>8.070177138981022</v>
      </c>
      <c r="C77" s="50">
        <f t="shared" si="11"/>
        <v>0.630786317143482</v>
      </c>
      <c r="D77" s="50">
        <f t="shared" si="11"/>
        <v>16.6114425305024</v>
      </c>
      <c r="E77" s="280">
        <f t="shared" si="11"/>
        <v>9.62755028612818</v>
      </c>
      <c r="F77" s="50">
        <f t="shared" si="11"/>
        <v>15.349</v>
      </c>
      <c r="G77" s="50">
        <f t="shared" si="11"/>
        <v>0</v>
      </c>
      <c r="H77" s="50">
        <f t="shared" si="11"/>
        <v>0</v>
      </c>
      <c r="I77" s="50">
        <f t="shared" si="11"/>
        <v>0</v>
      </c>
    </row>
    <row r="78" spans="1:9" ht="14.25">
      <c r="A78" s="43" t="str">
        <f>HLOOKUP(INDICE!$F$2,Nombres!$C$3:$D$636,47,FALSE)</f>
        <v>Impuesto sobre beneficios</v>
      </c>
      <c r="B78" s="44">
        <v>-1.3565283926097096</v>
      </c>
      <c r="C78" s="44">
        <v>0.03788963318996892</v>
      </c>
      <c r="D78" s="44">
        <v>-4.708124570729525</v>
      </c>
      <c r="E78" s="45">
        <v>-1.86864635572641</v>
      </c>
      <c r="F78" s="44">
        <v>-3.498</v>
      </c>
      <c r="G78" s="44">
        <v>0</v>
      </c>
      <c r="H78" s="44">
        <v>0</v>
      </c>
      <c r="I78" s="44">
        <v>0</v>
      </c>
    </row>
    <row r="79" spans="1:9" ht="14.25">
      <c r="A79" s="41" t="str">
        <f>HLOOKUP(INDICE!$F$2,Nombres!$C$3:$D$636,48,FALSE)</f>
        <v>Resultado del ejercicio</v>
      </c>
      <c r="B79" s="50">
        <f aca="true" t="shared" si="12" ref="B79:I79">+B77+B78</f>
        <v>6.713648746371312</v>
      </c>
      <c r="C79" s="50">
        <f t="shared" si="12"/>
        <v>0.668675950333451</v>
      </c>
      <c r="D79" s="50">
        <f t="shared" si="12"/>
        <v>11.903317959772878</v>
      </c>
      <c r="E79" s="280">
        <f t="shared" si="12"/>
        <v>7.75890393040177</v>
      </c>
      <c r="F79" s="50">
        <f t="shared" si="12"/>
        <v>11.850999999999999</v>
      </c>
      <c r="G79" s="50">
        <f t="shared" si="12"/>
        <v>0</v>
      </c>
      <c r="H79" s="50">
        <f t="shared" si="12"/>
        <v>0</v>
      </c>
      <c r="I79" s="50">
        <f t="shared" si="12"/>
        <v>0</v>
      </c>
    </row>
    <row r="80" spans="1:9" ht="14.25">
      <c r="A80" s="43" t="str">
        <f>HLOOKUP(INDICE!$F$2,Nombres!$C$3:$D$636,49,FALSE)</f>
        <v>Minoritarios</v>
      </c>
      <c r="B80" s="44">
        <v>0</v>
      </c>
      <c r="C80" s="44">
        <v>0</v>
      </c>
      <c r="D80" s="44">
        <v>0</v>
      </c>
      <c r="E80" s="45">
        <v>0</v>
      </c>
      <c r="F80" s="44">
        <v>0</v>
      </c>
      <c r="G80" s="44">
        <v>0</v>
      </c>
      <c r="H80" s="44">
        <v>0</v>
      </c>
      <c r="I80" s="44">
        <v>0</v>
      </c>
    </row>
    <row r="81" spans="1:9" ht="14.25">
      <c r="A81" s="47" t="str">
        <f>HLOOKUP(INDICE!$F$2,Nombres!$C$3:$D$636,50,FALSE)</f>
        <v>Resultado atribuido</v>
      </c>
      <c r="B81" s="51">
        <f aca="true" t="shared" si="13" ref="B81:I81">+B79+B80</f>
        <v>6.713648746371312</v>
      </c>
      <c r="C81" s="51">
        <f t="shared" si="13"/>
        <v>0.668675950333451</v>
      </c>
      <c r="D81" s="51">
        <f t="shared" si="13"/>
        <v>11.903317959772878</v>
      </c>
      <c r="E81" s="80">
        <f t="shared" si="13"/>
        <v>7.75890393040177</v>
      </c>
      <c r="F81" s="51">
        <f t="shared" si="13"/>
        <v>11.850999999999999</v>
      </c>
      <c r="G81" s="51">
        <f t="shared" si="13"/>
        <v>0</v>
      </c>
      <c r="H81" s="51">
        <f t="shared" si="13"/>
        <v>0</v>
      </c>
      <c r="I81" s="51">
        <f t="shared" si="13"/>
        <v>0</v>
      </c>
    </row>
    <row r="82" spans="1:9" ht="14.25">
      <c r="A82" s="278"/>
      <c r="B82" s="279"/>
      <c r="C82" s="279"/>
      <c r="D82" s="279"/>
      <c r="E82" s="279"/>
      <c r="F82" s="279"/>
      <c r="G82" s="279"/>
      <c r="H82" s="279"/>
      <c r="I82" s="279"/>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9.429776904136618</v>
      </c>
      <c r="C87" s="44">
        <v>11.339686095365218</v>
      </c>
      <c r="D87" s="44">
        <v>26.670695476416256</v>
      </c>
      <c r="E87" s="45">
        <v>30.891000326991133</v>
      </c>
      <c r="F87" s="44">
        <v>20.195</v>
      </c>
      <c r="G87" s="44">
        <v>0</v>
      </c>
      <c r="H87" s="44">
        <v>0</v>
      </c>
      <c r="I87" s="44">
        <v>0</v>
      </c>
    </row>
    <row r="88" spans="1:9" ht="14.25">
      <c r="A88" s="43" t="str">
        <f>HLOOKUP(INDICE!$F$2,Nombres!$C$3:$D$636,53,FALSE)</f>
        <v>Activos financieros a valor razonable</v>
      </c>
      <c r="B88" s="58">
        <v>0</v>
      </c>
      <c r="C88" s="58">
        <v>0</v>
      </c>
      <c r="D88" s="58">
        <v>174.74350361105732</v>
      </c>
      <c r="E88" s="65">
        <v>0</v>
      </c>
      <c r="F88" s="44">
        <v>0</v>
      </c>
      <c r="G88" s="44">
        <v>0</v>
      </c>
      <c r="H88" s="44">
        <v>0</v>
      </c>
      <c r="I88" s="44">
        <v>0</v>
      </c>
    </row>
    <row r="89" spans="1:9" ht="14.25">
      <c r="A89" s="43" t="str">
        <f>HLOOKUP(INDICE!$F$2,Nombres!$C$3:$D$636,54,FALSE)</f>
        <v>Activos financieros a coste amortizado</v>
      </c>
      <c r="B89" s="44">
        <v>1853.4026675902142</v>
      </c>
      <c r="C89" s="44">
        <v>1772.6001777756583</v>
      </c>
      <c r="D89" s="44">
        <v>1716.9895496989946</v>
      </c>
      <c r="E89" s="45">
        <v>1803.3016534691806</v>
      </c>
      <c r="F89" s="44">
        <v>1543.154</v>
      </c>
      <c r="G89" s="44">
        <v>0</v>
      </c>
      <c r="H89" s="44">
        <v>0</v>
      </c>
      <c r="I89" s="44">
        <v>0</v>
      </c>
    </row>
    <row r="90" spans="1:9" ht="14.25">
      <c r="A90" s="43" t="str">
        <f>HLOOKUP(INDICE!$F$2,Nombres!$C$3:$D$636,55,FALSE)</f>
        <v>    de los que préstamos y anticipos a la clientela</v>
      </c>
      <c r="B90" s="44">
        <v>1763.4503730603417</v>
      </c>
      <c r="C90" s="44">
        <v>1607.7998637368178</v>
      </c>
      <c r="D90" s="44">
        <v>1608.4150925174317</v>
      </c>
      <c r="E90" s="45">
        <v>1589.2283932330856</v>
      </c>
      <c r="F90" s="44">
        <v>1498.221</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12.283553602960094</v>
      </c>
      <c r="C92" s="44">
        <v>11.62935501140009</v>
      </c>
      <c r="D92" s="44">
        <v>11.145690808273285</v>
      </c>
      <c r="E92" s="45">
        <v>10.479259890495332</v>
      </c>
      <c r="F92" s="44">
        <v>9.796000000000001</v>
      </c>
      <c r="G92" s="44">
        <v>0</v>
      </c>
      <c r="H92" s="44">
        <v>0</v>
      </c>
      <c r="I92" s="44">
        <v>0</v>
      </c>
    </row>
    <row r="93" spans="1:9" ht="14.25">
      <c r="A93" s="43" t="str">
        <f>HLOOKUP(INDICE!$F$2,Nombres!$C$3:$D$636,57,FALSE)</f>
        <v>Otros activos</v>
      </c>
      <c r="B93" s="58">
        <f>+B94-B92-B89-B88-B87</f>
        <v>204.06771727801944</v>
      </c>
      <c r="C93" s="58">
        <f aca="true" t="shared" si="15" ref="C93:I93">+C94-C92-C89-C88-C87</f>
        <v>172.68527232679037</v>
      </c>
      <c r="D93" s="58">
        <f t="shared" si="15"/>
        <v>173.592245284963</v>
      </c>
      <c r="E93" s="65">
        <f t="shared" si="15"/>
        <v>188.97527526899378</v>
      </c>
      <c r="F93" s="44">
        <f t="shared" si="15"/>
        <v>191.50400000000008</v>
      </c>
      <c r="G93" s="44">
        <f t="shared" si="15"/>
        <v>0</v>
      </c>
      <c r="H93" s="44">
        <f t="shared" si="15"/>
        <v>0</v>
      </c>
      <c r="I93" s="44">
        <f t="shared" si="15"/>
        <v>0</v>
      </c>
    </row>
    <row r="94" spans="1:9" ht="14.25">
      <c r="A94" s="47" t="str">
        <f>HLOOKUP(INDICE!$F$2,Nombres!$C$3:$D$636,58,FALSE)</f>
        <v>Total activo / pasivo</v>
      </c>
      <c r="B94" s="47">
        <v>2079.1837153753304</v>
      </c>
      <c r="C94" s="47">
        <v>1968.254491209214</v>
      </c>
      <c r="D94" s="47">
        <v>2103.1416848797044</v>
      </c>
      <c r="E94" s="47">
        <v>2033.6471889556608</v>
      </c>
      <c r="F94" s="51">
        <v>1764.6490000000001</v>
      </c>
      <c r="G94" s="51">
        <v>0</v>
      </c>
      <c r="H94" s="51">
        <v>0</v>
      </c>
      <c r="I94" s="51">
        <v>0</v>
      </c>
    </row>
    <row r="95" spans="1:9" ht="14.25">
      <c r="A95" s="43" t="str">
        <f>HLOOKUP(INDICE!$F$2,Nombres!$C$3:$D$636,59,FALSE)</f>
        <v>Pasivos financieros mantenidos para negociar y designados a valor razonable con cambios en resultados</v>
      </c>
      <c r="B95" s="58">
        <v>0</v>
      </c>
      <c r="C95" s="58">
        <v>0</v>
      </c>
      <c r="D95" s="58">
        <v>0</v>
      </c>
      <c r="E95" s="65">
        <v>0</v>
      </c>
      <c r="F95" s="44">
        <v>0</v>
      </c>
      <c r="G95" s="44">
        <v>0</v>
      </c>
      <c r="H95" s="44">
        <v>0</v>
      </c>
      <c r="I95" s="44">
        <v>0</v>
      </c>
    </row>
    <row r="96" spans="1:9" ht="14.25">
      <c r="A96" s="43" t="str">
        <f>HLOOKUP(INDICE!$F$2,Nombres!$C$3:$D$636,60,FALSE)</f>
        <v>Depósitos de bancos centrales y entidades de crédito</v>
      </c>
      <c r="B96" s="58">
        <v>626.4169472844046</v>
      </c>
      <c r="C96" s="58">
        <v>625.2066919320205</v>
      </c>
      <c r="D96" s="58">
        <v>630.9282720679448</v>
      </c>
      <c r="E96" s="65">
        <v>561.6236922749551</v>
      </c>
      <c r="F96" s="44">
        <v>424.039</v>
      </c>
      <c r="G96" s="44">
        <v>0</v>
      </c>
      <c r="H96" s="44">
        <v>0</v>
      </c>
      <c r="I96" s="44">
        <v>0</v>
      </c>
    </row>
    <row r="97" spans="1:9" ht="14.25">
      <c r="A97" s="43" t="str">
        <f>HLOOKUP(INDICE!$F$2,Nombres!$C$3:$D$636,61,FALSE)</f>
        <v>Depósitos de la clientela</v>
      </c>
      <c r="B97" s="58">
        <v>4.4059633438686445</v>
      </c>
      <c r="C97" s="58">
        <v>3.7838002157055426</v>
      </c>
      <c r="D97" s="58">
        <v>4.898240618246624</v>
      </c>
      <c r="E97" s="65">
        <v>5.034841770683141</v>
      </c>
      <c r="F97" s="44">
        <v>5.29</v>
      </c>
      <c r="G97" s="44">
        <v>0</v>
      </c>
      <c r="H97" s="44">
        <v>0</v>
      </c>
      <c r="I97" s="44">
        <v>0</v>
      </c>
    </row>
    <row r="98" spans="1:9" ht="14.25">
      <c r="A98" s="43" t="str">
        <f>HLOOKUP(INDICE!$F$2,Nombres!$C$3:$D$636,62,FALSE)</f>
        <v>Valores representativos de deuda emitidos</v>
      </c>
      <c r="B98" s="44">
        <v>1053.6502443657491</v>
      </c>
      <c r="C98" s="44">
        <v>996.96328208724</v>
      </c>
      <c r="D98" s="44">
        <v>1011.6783272128014</v>
      </c>
      <c r="E98" s="45">
        <v>1000.0550881901765</v>
      </c>
      <c r="F98" s="44">
        <v>865.592976</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145.8336072101868</v>
      </c>
      <c r="C100" s="58">
        <f aca="true" t="shared" si="16" ref="C100:I100">+C94-C95-C96-C97-C98-C101</f>
        <v>95.6023582280335</v>
      </c>
      <c r="D100" s="58">
        <f t="shared" si="16"/>
        <v>157.8717008826278</v>
      </c>
      <c r="E100" s="65">
        <f t="shared" si="16"/>
        <v>256.9326714473541</v>
      </c>
      <c r="F100" s="44">
        <f t="shared" si="16"/>
        <v>252.86687400000014</v>
      </c>
      <c r="G100" s="44">
        <f t="shared" si="16"/>
        <v>0</v>
      </c>
      <c r="H100" s="44">
        <f t="shared" si="16"/>
        <v>0</v>
      </c>
      <c r="I100" s="44">
        <f t="shared" si="16"/>
        <v>0</v>
      </c>
    </row>
    <row r="101" spans="1:9" ht="14.25">
      <c r="A101" s="43" t="str">
        <f>HLOOKUP(INDICE!$F$2,Nombres!$C$3:$D$636,282,FALSE)</f>
        <v>Dotación de capital regulatorio</v>
      </c>
      <c r="B101" s="58">
        <v>248.8769531711211</v>
      </c>
      <c r="C101" s="58">
        <v>246.69835874621447</v>
      </c>
      <c r="D101" s="58">
        <v>297.76514409808385</v>
      </c>
      <c r="E101" s="65">
        <v>210.00089527249182</v>
      </c>
      <c r="F101" s="44">
        <v>216.86015</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1764.2745334014478</v>
      </c>
      <c r="C107" s="44">
        <v>1625.8551828634916</v>
      </c>
      <c r="D107" s="44">
        <v>1631.1537141030537</v>
      </c>
      <c r="E107" s="45">
        <v>1586.0310552818203</v>
      </c>
      <c r="F107" s="44">
        <v>1560.821</v>
      </c>
      <c r="G107" s="44">
        <v>0</v>
      </c>
      <c r="H107" s="44">
        <v>0</v>
      </c>
      <c r="I107" s="44">
        <v>0</v>
      </c>
    </row>
    <row r="108" spans="1:9" ht="14.25">
      <c r="A108" s="43" t="str">
        <f>HLOOKUP(INDICE!$F$2,Nombres!$C$3:$D$636,67,FALSE)</f>
        <v>Depósitos de clientes en gestión (**)</v>
      </c>
      <c r="B108" s="44">
        <v>4.4059633438686445</v>
      </c>
      <c r="C108" s="44">
        <v>3.783800215705542</v>
      </c>
      <c r="D108" s="44">
        <v>4.898240618246624</v>
      </c>
      <c r="E108" s="45">
        <v>5.034841770683141</v>
      </c>
      <c r="F108" s="44">
        <v>5.289999999999999</v>
      </c>
      <c r="G108" s="44">
        <v>0</v>
      </c>
      <c r="H108" s="44">
        <v>0</v>
      </c>
      <c r="I108" s="44">
        <v>0</v>
      </c>
    </row>
    <row r="109" spans="1:9" ht="14.25">
      <c r="A109" s="43" t="str">
        <f>HLOOKUP(INDICE!$F$2,Nombres!$C$3:$D$636,68,FALSE)</f>
        <v>Fondos de inversión</v>
      </c>
      <c r="B109" s="44">
        <v>0</v>
      </c>
      <c r="C109" s="44">
        <v>0</v>
      </c>
      <c r="D109" s="44">
        <v>0</v>
      </c>
      <c r="E109" s="45">
        <v>0</v>
      </c>
      <c r="F109" s="44">
        <v>0</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HLOOKUP(INDICE!$F$2,Nombres!$C$3:$D$636,81,FALSE)</f>
        <v>(Millones de pesos chilenos)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50">
        <v>33617.92847489838</v>
      </c>
      <c r="C120" s="50">
        <v>30867.516464607048</v>
      </c>
      <c r="D120" s="50">
        <v>26930.025389493356</v>
      </c>
      <c r="E120" s="280">
        <v>29065.499919659036</v>
      </c>
      <c r="F120" s="50">
        <v>29187.247061492388</v>
      </c>
      <c r="G120" s="50">
        <v>0</v>
      </c>
      <c r="H120" s="50">
        <v>0</v>
      </c>
      <c r="I120" s="50">
        <v>0</v>
      </c>
    </row>
    <row r="121" spans="1:9" ht="14.25">
      <c r="A121" s="43" t="str">
        <f>HLOOKUP(INDICE!$F$2,Nombres!$C$3:$D$636,34,FALSE)</f>
        <v>Comisiones netas</v>
      </c>
      <c r="B121" s="44">
        <v>1131.4577212398638</v>
      </c>
      <c r="C121" s="44">
        <v>-885.2138676744896</v>
      </c>
      <c r="D121" s="44">
        <v>-2280.402549538465</v>
      </c>
      <c r="E121" s="45">
        <v>-123.25385386457992</v>
      </c>
      <c r="F121" s="44">
        <v>-3654.404935679096</v>
      </c>
      <c r="G121" s="44">
        <v>0</v>
      </c>
      <c r="H121" s="44">
        <v>0</v>
      </c>
      <c r="I121" s="44">
        <v>0</v>
      </c>
    </row>
    <row r="122" spans="1:9" ht="14.25">
      <c r="A122" s="43" t="str">
        <f>HLOOKUP(INDICE!$F$2,Nombres!$C$3:$D$636,35,FALSE)</f>
        <v>Resultados de operaciones financieras</v>
      </c>
      <c r="B122" s="44">
        <v>306.32579933411034</v>
      </c>
      <c r="C122" s="44">
        <v>59.010536137426726</v>
      </c>
      <c r="D122" s="44">
        <v>-3.92843246524194</v>
      </c>
      <c r="E122" s="45">
        <v>57.61236619616653</v>
      </c>
      <c r="F122" s="44">
        <v>34.90358104755584</v>
      </c>
      <c r="G122" s="44">
        <v>0</v>
      </c>
      <c r="H122" s="44">
        <v>0</v>
      </c>
      <c r="I122" s="44">
        <v>0</v>
      </c>
    </row>
    <row r="123" spans="1:9" ht="14.25">
      <c r="A123" s="43" t="str">
        <f>HLOOKUP(INDICE!$F$2,Nombres!$C$3:$D$636,36,FALSE)</f>
        <v>Otros ingresos y cargas de explotación</v>
      </c>
      <c r="B123" s="44">
        <v>39.84006060703747</v>
      </c>
      <c r="C123" s="44">
        <v>-82.82080595663008</v>
      </c>
      <c r="D123" s="44">
        <v>-23.712982387229957</v>
      </c>
      <c r="E123" s="45">
        <v>-258.4082052650874</v>
      </c>
      <c r="F123" s="44">
        <v>-436.294763094448</v>
      </c>
      <c r="G123" s="44">
        <v>0</v>
      </c>
      <c r="H123" s="44">
        <v>0</v>
      </c>
      <c r="I123" s="44">
        <v>0</v>
      </c>
    </row>
    <row r="124" spans="1:9" ht="14.25">
      <c r="A124" s="41" t="str">
        <f>HLOOKUP(INDICE!$F$2,Nombres!$C$3:$D$636,37,FALSE)</f>
        <v>Margen bruto</v>
      </c>
      <c r="B124" s="50">
        <f aca="true" t="shared" si="19" ref="B124:I124">+SUM(B120:B123)</f>
        <v>35095.55205607939</v>
      </c>
      <c r="C124" s="50">
        <f t="shared" si="19"/>
        <v>29958.492327113352</v>
      </c>
      <c r="D124" s="50">
        <f t="shared" si="19"/>
        <v>24621.981425102418</v>
      </c>
      <c r="E124" s="280">
        <f t="shared" si="19"/>
        <v>28741.450226725538</v>
      </c>
      <c r="F124" s="50">
        <f t="shared" si="19"/>
        <v>25131.4509437664</v>
      </c>
      <c r="G124" s="50">
        <f t="shared" si="19"/>
        <v>0</v>
      </c>
      <c r="H124" s="50">
        <f t="shared" si="19"/>
        <v>0</v>
      </c>
      <c r="I124" s="50">
        <f t="shared" si="19"/>
        <v>0</v>
      </c>
    </row>
    <row r="125" spans="1:9" ht="14.25">
      <c r="A125" s="43" t="str">
        <f>HLOOKUP(INDICE!$F$2,Nombres!$C$3:$D$636,38,FALSE)</f>
        <v>Gastos de explotación</v>
      </c>
      <c r="B125" s="44">
        <v>-11563.356257522588</v>
      </c>
      <c r="C125" s="44">
        <v>-8317.029331053554</v>
      </c>
      <c r="D125" s="44">
        <v>-10713.108844213602</v>
      </c>
      <c r="E125" s="45">
        <v>-11544.231388882812</v>
      </c>
      <c r="F125" s="44">
        <v>-12588.849094327203</v>
      </c>
      <c r="G125" s="44">
        <v>0</v>
      </c>
      <c r="H125" s="44">
        <v>0</v>
      </c>
      <c r="I125" s="44">
        <v>0</v>
      </c>
    </row>
    <row r="126" spans="1:9" ht="14.25">
      <c r="A126" s="43" t="str">
        <f>HLOOKUP(INDICE!$F$2,Nombres!$C$3:$D$636,39,FALSE)</f>
        <v>  Gastos de administración</v>
      </c>
      <c r="B126" s="44">
        <v>-10835.611150434037</v>
      </c>
      <c r="C126" s="44">
        <v>-7594.174282593356</v>
      </c>
      <c r="D126" s="44">
        <v>-9965.519784220322</v>
      </c>
      <c r="E126" s="45">
        <v>-10714.457322882052</v>
      </c>
      <c r="F126" s="44">
        <v>-11610.676235469451</v>
      </c>
      <c r="G126" s="44">
        <v>0</v>
      </c>
      <c r="H126" s="44">
        <v>0</v>
      </c>
      <c r="I126" s="44">
        <v>0</v>
      </c>
    </row>
    <row r="127" spans="1:9" ht="14.25">
      <c r="A127" s="46" t="str">
        <f>HLOOKUP(INDICE!$F$2,Nombres!$C$3:$D$636,40,FALSE)</f>
        <v>  Gastos de personal</v>
      </c>
      <c r="B127" s="44">
        <v>-4887.047434463264</v>
      </c>
      <c r="C127" s="44">
        <v>-3675.970644248279</v>
      </c>
      <c r="D127" s="44">
        <v>-4295.3523756296345</v>
      </c>
      <c r="E127" s="45">
        <v>-3275.7160318036085</v>
      </c>
      <c r="F127" s="44">
        <v>-4873.412503764985</v>
      </c>
      <c r="G127" s="44">
        <v>0</v>
      </c>
      <c r="H127" s="44">
        <v>0</v>
      </c>
      <c r="I127" s="44">
        <v>0</v>
      </c>
    </row>
    <row r="128" spans="1:9" ht="14.25">
      <c r="A128" s="46" t="str">
        <f>HLOOKUP(INDICE!$F$2,Nombres!$C$3:$D$636,41,FALSE)</f>
        <v>  Otros gastos de administración</v>
      </c>
      <c r="B128" s="44">
        <v>-5948.563715970773</v>
      </c>
      <c r="C128" s="44">
        <v>-3918.2036383450777</v>
      </c>
      <c r="D128" s="44">
        <v>-5670.167408590687</v>
      </c>
      <c r="E128" s="45">
        <v>-7438.741291078444</v>
      </c>
      <c r="F128" s="44">
        <v>-6737.263731704466</v>
      </c>
      <c r="G128" s="44">
        <v>0</v>
      </c>
      <c r="H128" s="44">
        <v>0</v>
      </c>
      <c r="I128" s="44">
        <v>0</v>
      </c>
    </row>
    <row r="129" spans="1:9" ht="14.25">
      <c r="A129" s="43" t="str">
        <f>HLOOKUP(INDICE!$F$2,Nombres!$C$3:$D$636,42,FALSE)</f>
        <v>  Amortización</v>
      </c>
      <c r="B129" s="44">
        <v>-727.7451070885513</v>
      </c>
      <c r="C129" s="44">
        <v>-722.855048460199</v>
      </c>
      <c r="D129" s="44">
        <v>-747.5890599932793</v>
      </c>
      <c r="E129" s="45">
        <v>-829.7740660007596</v>
      </c>
      <c r="F129" s="44">
        <v>-978.1728588577524</v>
      </c>
      <c r="G129" s="44">
        <v>0</v>
      </c>
      <c r="H129" s="44">
        <v>0</v>
      </c>
      <c r="I129" s="44">
        <v>0</v>
      </c>
    </row>
    <row r="130" spans="1:9" ht="14.25">
      <c r="A130" s="41" t="str">
        <f>HLOOKUP(INDICE!$F$2,Nombres!$C$3:$D$636,43,FALSE)</f>
        <v>Margen neto</v>
      </c>
      <c r="B130" s="50">
        <f aca="true" t="shared" si="20" ref="B130:I130">+B124+B125</f>
        <v>23532.1957985568</v>
      </c>
      <c r="C130" s="50">
        <f t="shared" si="20"/>
        <v>21641.462996059796</v>
      </c>
      <c r="D130" s="50">
        <f t="shared" si="20"/>
        <v>13908.872580888816</v>
      </c>
      <c r="E130" s="280">
        <f t="shared" si="20"/>
        <v>17197.218837842724</v>
      </c>
      <c r="F130" s="50">
        <f t="shared" si="20"/>
        <v>12542.601849439196</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-16263.598074472859</v>
      </c>
      <c r="C131" s="44">
        <v>-20909.37405975604</v>
      </c>
      <c r="D131" s="44">
        <v>711.3309271898011</v>
      </c>
      <c r="E131" s="45">
        <v>-7903.032855696552</v>
      </c>
      <c r="F131" s="44">
        <v>453.746553618226</v>
      </c>
      <c r="G131" s="44">
        <v>0</v>
      </c>
      <c r="H131" s="44">
        <v>0</v>
      </c>
      <c r="I131" s="44">
        <v>0</v>
      </c>
    </row>
    <row r="132" spans="1:9" ht="14.25">
      <c r="A132" s="43" t="str">
        <f>HLOOKUP(INDICE!$F$2,Nombres!$C$3:$D$636,45,FALSE)</f>
        <v>Provisiones o reversión de provisiones y otros resultados</v>
      </c>
      <c r="B132" s="44">
        <v>-226.64567812003543</v>
      </c>
      <c r="C132" s="44">
        <v>-181.67140270109428</v>
      </c>
      <c r="D132" s="44">
        <v>-125.2327410734506</v>
      </c>
      <c r="E132" s="45">
        <v>-893.2864396138025</v>
      </c>
      <c r="F132" s="44">
        <v>397.02823441594774</v>
      </c>
      <c r="G132" s="44">
        <v>0</v>
      </c>
      <c r="H132" s="44">
        <v>0</v>
      </c>
      <c r="I132" s="44">
        <v>0</v>
      </c>
    </row>
    <row r="133" spans="1:9" ht="14.25">
      <c r="A133" s="41" t="str">
        <f>HLOOKUP(INDICE!$F$2,Nombres!$C$3:$D$636,46,FALSE)</f>
        <v>Resultado antes de impuestos</v>
      </c>
      <c r="B133" s="50">
        <f aca="true" t="shared" si="21" ref="B133:I133">+B130+B131+B132</f>
        <v>7041.952045963906</v>
      </c>
      <c r="C133" s="50">
        <f t="shared" si="21"/>
        <v>550.4175336026625</v>
      </c>
      <c r="D133" s="50">
        <f t="shared" si="21"/>
        <v>14494.970767005167</v>
      </c>
      <c r="E133" s="280">
        <f t="shared" si="21"/>
        <v>8400.899542532368</v>
      </c>
      <c r="F133" s="50">
        <f t="shared" si="21"/>
        <v>13393.37663747337</v>
      </c>
      <c r="G133" s="50">
        <f t="shared" si="21"/>
        <v>0</v>
      </c>
      <c r="H133" s="50">
        <f t="shared" si="21"/>
        <v>0</v>
      </c>
      <c r="I133" s="50">
        <f t="shared" si="21"/>
        <v>0</v>
      </c>
    </row>
    <row r="134" spans="1:9" ht="14.25">
      <c r="A134" s="43" t="str">
        <f>HLOOKUP(INDICE!$F$2,Nombres!$C$3:$D$636,47,FALSE)</f>
        <v>Impuesto sobre beneficios</v>
      </c>
      <c r="B134" s="44">
        <v>-1183.6924673690917</v>
      </c>
      <c r="C134" s="44">
        <v>33.06209707270621</v>
      </c>
      <c r="D134" s="44">
        <v>-4108.2601884111755</v>
      </c>
      <c r="E134" s="45">
        <v>-1630.5612381579149</v>
      </c>
      <c r="F134" s="44">
        <v>-3052.318162608758</v>
      </c>
      <c r="G134" s="44">
        <v>0</v>
      </c>
      <c r="H134" s="44">
        <v>0</v>
      </c>
      <c r="I134" s="44">
        <v>0</v>
      </c>
    </row>
    <row r="135" spans="1:9" ht="14.25">
      <c r="A135" s="41" t="str">
        <f>HLOOKUP(INDICE!$F$2,Nombres!$C$3:$D$636,48,FALSE)</f>
        <v>Resultado del ejercicio</v>
      </c>
      <c r="B135" s="50">
        <f aca="true" t="shared" si="22" ref="B135:I135">+B133+B134</f>
        <v>5858.259578594814</v>
      </c>
      <c r="C135" s="50">
        <f t="shared" si="22"/>
        <v>583.4796306753688</v>
      </c>
      <c r="D135" s="50">
        <f t="shared" si="22"/>
        <v>10386.710578593991</v>
      </c>
      <c r="E135" s="280">
        <f t="shared" si="22"/>
        <v>6770.338304374453</v>
      </c>
      <c r="F135" s="50">
        <f t="shared" si="22"/>
        <v>10341.05847486461</v>
      </c>
      <c r="G135" s="50">
        <f t="shared" si="22"/>
        <v>0</v>
      </c>
      <c r="H135" s="50">
        <f t="shared" si="22"/>
        <v>0</v>
      </c>
      <c r="I135" s="50">
        <f t="shared" si="22"/>
        <v>0</v>
      </c>
    </row>
    <row r="136" spans="1:9" ht="14.25">
      <c r="A136" s="43" t="str">
        <f>HLOOKUP(INDICE!$F$2,Nombres!$C$3:$D$636,49,FALSE)</f>
        <v>Minoritarios</v>
      </c>
      <c r="B136" s="44">
        <v>0</v>
      </c>
      <c r="C136" s="44">
        <v>0</v>
      </c>
      <c r="D136" s="44">
        <v>0</v>
      </c>
      <c r="E136" s="45">
        <v>0</v>
      </c>
      <c r="F136" s="44">
        <v>0</v>
      </c>
      <c r="G136" s="44">
        <v>0</v>
      </c>
      <c r="H136" s="44">
        <v>0</v>
      </c>
      <c r="I136" s="44">
        <v>0</v>
      </c>
    </row>
    <row r="137" spans="1:9" ht="14.25">
      <c r="A137" s="47" t="str">
        <f>HLOOKUP(INDICE!$F$2,Nombres!$C$3:$D$636,50,FALSE)</f>
        <v>Resultado atribuido</v>
      </c>
      <c r="B137" s="51">
        <f aca="true" t="shared" si="23" ref="B137:I137">+B135+B136</f>
        <v>5858.259578594814</v>
      </c>
      <c r="C137" s="51">
        <f t="shared" si="23"/>
        <v>583.4796306753688</v>
      </c>
      <c r="D137" s="51">
        <f t="shared" si="23"/>
        <v>10386.710578593991</v>
      </c>
      <c r="E137" s="80">
        <f t="shared" si="23"/>
        <v>6770.338304374453</v>
      </c>
      <c r="F137" s="51">
        <f t="shared" si="23"/>
        <v>10341.05847486461</v>
      </c>
      <c r="G137" s="51">
        <f t="shared" si="23"/>
        <v>0</v>
      </c>
      <c r="H137" s="51">
        <f t="shared" si="23"/>
        <v>0</v>
      </c>
      <c r="I137" s="51">
        <f t="shared" si="23"/>
        <v>0</v>
      </c>
    </row>
    <row r="138" spans="1:9" ht="14.25">
      <c r="A138" s="278"/>
      <c r="B138" s="279"/>
      <c r="C138" s="279"/>
      <c r="D138" s="279"/>
      <c r="E138" s="279"/>
      <c r="F138" s="279"/>
      <c r="G138" s="279"/>
      <c r="H138" s="279"/>
      <c r="I138" s="279"/>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HLOOKUP(INDICE!$F$2,Nombres!$C$3:$D$636,81,FALSE)</f>
        <v>(Millones de pesos chilenos)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8094.510825980325</v>
      </c>
      <c r="C143" s="44">
        <v>9733.974917464544</v>
      </c>
      <c r="D143" s="44">
        <v>22894.097650981723</v>
      </c>
      <c r="E143" s="45">
        <v>26516.80300755595</v>
      </c>
      <c r="F143" s="44">
        <v>17335.367293680392</v>
      </c>
      <c r="G143" s="44">
        <v>0</v>
      </c>
      <c r="H143" s="44">
        <v>0</v>
      </c>
      <c r="I143" s="44">
        <v>0</v>
      </c>
    </row>
    <row r="144" spans="1:9" ht="14.25">
      <c r="A144" s="43" t="str">
        <f>HLOOKUP(INDICE!$F$2,Nombres!$C$3:$D$636,53,FALSE)</f>
        <v>Activos financieros a valor razonable</v>
      </c>
      <c r="B144" s="58">
        <v>0</v>
      </c>
      <c r="C144" s="58">
        <v>0</v>
      </c>
      <c r="D144" s="58">
        <v>149999.64433187645</v>
      </c>
      <c r="E144" s="65">
        <v>0</v>
      </c>
      <c r="F144" s="44">
        <v>0</v>
      </c>
      <c r="G144" s="44">
        <v>0</v>
      </c>
      <c r="H144" s="44">
        <v>0</v>
      </c>
      <c r="I144" s="44">
        <v>0</v>
      </c>
    </row>
    <row r="145" spans="1:9" ht="14.25">
      <c r="A145" s="43" t="str">
        <f>HLOOKUP(INDICE!$F$2,Nombres!$C$3:$D$636,54,FALSE)</f>
        <v>Activos financieros a coste amortizado</v>
      </c>
      <c r="B145" s="44">
        <v>1590958.9495302497</v>
      </c>
      <c r="C145" s="44">
        <v>1521598.1751217728</v>
      </c>
      <c r="D145" s="44">
        <v>1473862.0689994046</v>
      </c>
      <c r="E145" s="45">
        <v>1547952.290378282</v>
      </c>
      <c r="F145" s="44">
        <v>1324641.8113747004</v>
      </c>
      <c r="G145" s="44">
        <v>0</v>
      </c>
      <c r="H145" s="44">
        <v>0</v>
      </c>
      <c r="I145" s="44">
        <v>0</v>
      </c>
    </row>
    <row r="146" spans="1:9" ht="14.25">
      <c r="A146" s="43" t="str">
        <f>HLOOKUP(INDICE!$F$2,Nombres!$C$3:$D$636,55,FALSE)</f>
        <v>    de los que préstamos y anticipos a la clientela</v>
      </c>
      <c r="B146" s="44">
        <v>1513743.9921356146</v>
      </c>
      <c r="C146" s="44">
        <v>1380133.7545237443</v>
      </c>
      <c r="D146" s="44">
        <v>1380661.8662782179</v>
      </c>
      <c r="E146" s="45">
        <v>1364192.0232850248</v>
      </c>
      <c r="F146" s="44">
        <v>1286071.3702453645</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10544.189818218587</v>
      </c>
      <c r="C148" s="44">
        <v>9982.626417985803</v>
      </c>
      <c r="D148" s="44">
        <v>9567.449561931908</v>
      </c>
      <c r="E148" s="45">
        <v>8995.385945415674</v>
      </c>
      <c r="F148" s="44">
        <v>8408.87635597391</v>
      </c>
      <c r="G148" s="44">
        <v>0</v>
      </c>
      <c r="H148" s="44">
        <v>0</v>
      </c>
      <c r="I148" s="44">
        <v>0</v>
      </c>
    </row>
    <row r="149" spans="1:9" ht="14.25">
      <c r="A149" s="43" t="str">
        <f>HLOOKUP(INDICE!$F$2,Nombres!$C$3:$D$636,57,FALSE)</f>
        <v>Otros activos</v>
      </c>
      <c r="B149" s="58">
        <f>+B150-B148-B145-B144-B143</f>
        <v>175171.51927691966</v>
      </c>
      <c r="C149" s="58">
        <f aca="true" t="shared" si="25" ref="C149:I149">+C150-C148-C145-C144-C143</f>
        <v>148232.86070780538</v>
      </c>
      <c r="D149" s="58">
        <f t="shared" si="25"/>
        <v>149011.40536516462</v>
      </c>
      <c r="E149" s="65">
        <f t="shared" si="25"/>
        <v>162216.18253094115</v>
      </c>
      <c r="F149" s="44">
        <f t="shared" si="25"/>
        <v>164386.83724728733</v>
      </c>
      <c r="G149" s="44">
        <f t="shared" si="25"/>
        <v>0</v>
      </c>
      <c r="H149" s="44">
        <f t="shared" si="25"/>
        <v>0</v>
      </c>
      <c r="I149" s="44">
        <f t="shared" si="25"/>
        <v>0</v>
      </c>
    </row>
    <row r="150" spans="1:9" ht="14.25">
      <c r="A150" s="47" t="str">
        <f>HLOOKUP(INDICE!$F$2,Nombres!$C$3:$D$636,58,FALSE)</f>
        <v>Total activo / pasivo</v>
      </c>
      <c r="B150" s="47">
        <v>1784769.1694513683</v>
      </c>
      <c r="C150" s="47">
        <v>1689547.6371650286</v>
      </c>
      <c r="D150" s="47">
        <v>1805334.6659093592</v>
      </c>
      <c r="E150" s="47">
        <v>1745680.6618621948</v>
      </c>
      <c r="F150" s="51">
        <v>1514772.892271642</v>
      </c>
      <c r="G150" s="51">
        <v>0</v>
      </c>
      <c r="H150" s="51">
        <v>0</v>
      </c>
      <c r="I150" s="51">
        <v>0</v>
      </c>
    </row>
    <row r="151" spans="1:9" ht="14.25">
      <c r="A151" s="43" t="str">
        <f>HLOOKUP(INDICE!$F$2,Nombres!$C$3:$D$636,59,FALSE)</f>
        <v>Pasivos financieros mantenidos para negociar y designados a valor razonable con cambios en resultados</v>
      </c>
      <c r="B151" s="58">
        <v>0</v>
      </c>
      <c r="C151" s="58">
        <v>0</v>
      </c>
      <c r="D151" s="58">
        <v>0</v>
      </c>
      <c r="E151" s="65">
        <v>0</v>
      </c>
      <c r="F151" s="44">
        <v>0</v>
      </c>
      <c r="G151" s="44">
        <v>0</v>
      </c>
      <c r="H151" s="44">
        <v>0</v>
      </c>
      <c r="I151" s="44">
        <v>0</v>
      </c>
    </row>
    <row r="152" spans="1:9" ht="14.25">
      <c r="A152" s="43" t="str">
        <f>HLOOKUP(INDICE!$F$2,Nombres!$C$3:$D$636,60,FALSE)</f>
        <v>Depósitos de bancos centrales y entidades de crédito</v>
      </c>
      <c r="B152" s="58">
        <v>537715.6652716604</v>
      </c>
      <c r="C152" s="58">
        <v>536676.7833180717</v>
      </c>
      <c r="D152" s="58">
        <v>541588.1818403038</v>
      </c>
      <c r="E152" s="65">
        <v>482097.2016053121</v>
      </c>
      <c r="F152" s="44">
        <v>363994.6428247061</v>
      </c>
      <c r="G152" s="44">
        <v>0</v>
      </c>
      <c r="H152" s="44">
        <v>0</v>
      </c>
      <c r="I152" s="44">
        <v>0</v>
      </c>
    </row>
    <row r="153" spans="1:9" ht="14.25">
      <c r="A153" s="43" t="str">
        <f>HLOOKUP(INDICE!$F$2,Nombres!$C$3:$D$636,61,FALSE)</f>
        <v>Depósitos de la clientela</v>
      </c>
      <c r="B153" s="58">
        <v>3782.07441685839</v>
      </c>
      <c r="C153" s="58">
        <v>3248.0102255589336</v>
      </c>
      <c r="D153" s="58">
        <v>4204.644724443147</v>
      </c>
      <c r="E153" s="65">
        <v>4321.903013634879</v>
      </c>
      <c r="F153" s="44">
        <v>4540.930576061861</v>
      </c>
      <c r="G153" s="44">
        <v>0</v>
      </c>
      <c r="H153" s="44">
        <v>0</v>
      </c>
      <c r="I153" s="44">
        <v>0</v>
      </c>
    </row>
    <row r="154" spans="1:9" ht="14.25">
      <c r="A154" s="43" t="str">
        <f>HLOOKUP(INDICE!$F$2,Nombres!$C$3:$D$636,62,FALSE)</f>
        <v>Valores representativos de deuda emitidos</v>
      </c>
      <c r="B154" s="44">
        <v>904452.2894358187</v>
      </c>
      <c r="C154" s="44">
        <v>855792.2591381727</v>
      </c>
      <c r="D154" s="44">
        <v>868423.6387863376</v>
      </c>
      <c r="E154" s="45">
        <v>858446.2623268454</v>
      </c>
      <c r="F154" s="44">
        <v>743024.1230893725</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125183.4189032387</v>
      </c>
      <c r="C156" s="58">
        <f aca="true" t="shared" si="26" ref="C156:I156">+C150-C151-C152-C153-C154-C157</f>
        <v>82064.96628001874</v>
      </c>
      <c r="D156" s="58">
        <f t="shared" si="26"/>
        <v>135516.9061687748</v>
      </c>
      <c r="E156" s="65">
        <f t="shared" si="26"/>
        <v>220550.74173242826</v>
      </c>
      <c r="F156" s="44">
        <f t="shared" si="26"/>
        <v>217060.66537235957</v>
      </c>
      <c r="G156" s="44">
        <f t="shared" si="26"/>
        <v>0</v>
      </c>
      <c r="H156" s="44">
        <f t="shared" si="26"/>
        <v>0</v>
      </c>
      <c r="I156" s="44">
        <f t="shared" si="26"/>
        <v>0</v>
      </c>
    </row>
    <row r="157" spans="1:9" ht="15.75" customHeight="1">
      <c r="A157" s="43" t="str">
        <f>HLOOKUP(INDICE!$F$2,Nombres!$C$3:$D$636,282,FALSE)</f>
        <v>Dotación de capital regulatorio</v>
      </c>
      <c r="B157" s="58">
        <v>213635.72142379198</v>
      </c>
      <c r="C157" s="58">
        <v>211765.61820320663</v>
      </c>
      <c r="D157" s="58">
        <v>255601.29438949996</v>
      </c>
      <c r="E157" s="65">
        <v>180264.55318397406</v>
      </c>
      <c r="F157" s="44">
        <v>186152.53040914203</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HLOOKUP(INDICE!$F$2,Nombres!$C$3:$D$636,81,FALSE)</f>
        <v>(Millones de pesos chilenos)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1514451.4505273928</v>
      </c>
      <c r="C163" s="44">
        <v>1395632.421949617</v>
      </c>
      <c r="D163" s="44">
        <v>1400180.6757329723</v>
      </c>
      <c r="E163" s="45">
        <v>1361447.43166595</v>
      </c>
      <c r="F163" s="44">
        <v>1339807.1460603876</v>
      </c>
      <c r="G163" s="44">
        <v>0</v>
      </c>
      <c r="H163" s="44">
        <v>0</v>
      </c>
      <c r="I163" s="44">
        <v>0</v>
      </c>
    </row>
    <row r="164" spans="1:9" ht="14.25">
      <c r="A164" s="43" t="str">
        <f>HLOOKUP(INDICE!$F$2,Nombres!$C$3:$D$636,67,FALSE)</f>
        <v>Depósitos de clientes en gestión (**)</v>
      </c>
      <c r="B164" s="44">
        <v>3782.07441685839</v>
      </c>
      <c r="C164" s="44">
        <v>3248.010225558934</v>
      </c>
      <c r="D164" s="44">
        <v>4204.644724443147</v>
      </c>
      <c r="E164" s="45">
        <v>4321.903013634879</v>
      </c>
      <c r="F164" s="44">
        <v>4540.93057606186</v>
      </c>
      <c r="G164" s="44">
        <v>0</v>
      </c>
      <c r="H164" s="44">
        <v>0</v>
      </c>
      <c r="I164" s="44">
        <v>0</v>
      </c>
    </row>
    <row r="165" spans="1:9" ht="14.25">
      <c r="A165" s="43" t="str">
        <f>HLOOKUP(INDICE!$F$2,Nombres!$C$3:$D$636,68,FALSE)</f>
        <v>Fondos de inversión</v>
      </c>
      <c r="B165" s="44">
        <v>0</v>
      </c>
      <c r="C165" s="44">
        <v>0</v>
      </c>
      <c r="D165" s="44">
        <v>0</v>
      </c>
      <c r="E165" s="45">
        <v>0</v>
      </c>
      <c r="F165" s="44">
        <v>0</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9" ht="14.25">
      <c r="A167" s="43" t="str">
        <f>HLOOKUP(INDICE!$F$2,Nombres!$C$3:$D$636,70,FALSE)</f>
        <v>Otros recursos fuera de balance</v>
      </c>
      <c r="B167" s="44">
        <v>0</v>
      </c>
      <c r="C167" s="44">
        <v>0</v>
      </c>
      <c r="D167" s="44">
        <v>0</v>
      </c>
      <c r="E167" s="45">
        <v>0</v>
      </c>
      <c r="F167" s="44">
        <v>0</v>
      </c>
      <c r="G167" s="44">
        <v>0</v>
      </c>
      <c r="H167" s="44">
        <v>0</v>
      </c>
      <c r="I167" s="44">
        <v>0</v>
      </c>
    </row>
    <row r="168" spans="1:9" ht="14.25">
      <c r="A168" s="62" t="str">
        <f>HLOOKUP(INDICE!$F$2,Nombres!$C$3:$D$636,71,FALSE)</f>
        <v>(*) No incluye las adquisiciones temporales de activos.</v>
      </c>
      <c r="B168" s="44"/>
      <c r="C168" s="58"/>
      <c r="D168" s="58"/>
      <c r="E168" s="58"/>
      <c r="F168" s="44"/>
      <c r="G168" s="44"/>
      <c r="H168" s="44"/>
      <c r="I168" s="44"/>
    </row>
    <row r="169" spans="1:9" ht="14.25">
      <c r="A169" s="62" t="str">
        <f>HLOOKUP(INDICE!$F$2,Nombres!$C$3:$D$636,72,FALSE)</f>
        <v>(**) No incluye las cesiones temporales de activos.</v>
      </c>
      <c r="B169" s="30"/>
      <c r="C169" s="30"/>
      <c r="D169" s="30"/>
      <c r="E169" s="30"/>
      <c r="F169" s="30"/>
      <c r="G169" s="30"/>
      <c r="H169" s="30"/>
      <c r="I169" s="30"/>
    </row>
    <row r="170" spans="1:9" ht="14.25">
      <c r="A170" s="30"/>
      <c r="B170" s="30"/>
      <c r="C170" s="30"/>
      <c r="D170" s="30"/>
      <c r="E170" s="30"/>
      <c r="F170" s="30"/>
      <c r="G170" s="30"/>
      <c r="H170" s="30"/>
      <c r="I170" s="30"/>
    </row>
    <row r="171" spans="1:9" ht="14.25">
      <c r="A171" s="30"/>
      <c r="B171" s="30"/>
      <c r="C171" s="30"/>
      <c r="D171" s="30"/>
      <c r="E171" s="30"/>
      <c r="F171" s="30"/>
      <c r="G171" s="30"/>
      <c r="H171" s="30"/>
      <c r="I171" s="30"/>
    </row>
    <row r="172" spans="1:9" ht="14.25">
      <c r="A172" s="73"/>
      <c r="B172" s="74"/>
      <c r="C172" s="75"/>
      <c r="D172" s="75"/>
      <c r="E172" s="75"/>
      <c r="F172" s="74"/>
      <c r="G172" s="74"/>
      <c r="H172" s="74"/>
      <c r="I172" s="74"/>
    </row>
    <row r="173" spans="1:10" ht="14.25">
      <c r="A173" s="73"/>
      <c r="B173" s="74"/>
      <c r="C173" s="75"/>
      <c r="D173" s="75"/>
      <c r="E173" s="75"/>
      <c r="F173" s="74"/>
      <c r="G173" s="74"/>
      <c r="H173" s="74"/>
      <c r="I173" s="74"/>
      <c r="J173" s="74"/>
    </row>
    <row r="174" spans="1:10" ht="14.25">
      <c r="A174" s="74"/>
      <c r="B174" s="74"/>
      <c r="C174" s="74"/>
      <c r="D174" s="74"/>
      <c r="E174" s="74"/>
      <c r="F174" s="74"/>
      <c r="G174" s="74"/>
      <c r="H174" s="74"/>
      <c r="I174" s="74"/>
      <c r="J174" s="74"/>
    </row>
    <row r="175" spans="1:10" ht="14.25">
      <c r="A175" s="74"/>
      <c r="B175" s="74"/>
      <c r="C175" s="74"/>
      <c r="D175" s="74"/>
      <c r="E175" s="74"/>
      <c r="F175" s="74"/>
      <c r="G175" s="74"/>
      <c r="H175" s="74"/>
      <c r="I175" s="74"/>
      <c r="J175" s="74"/>
    </row>
    <row r="176" spans="1:15" ht="14.25">
      <c r="A176" s="74"/>
      <c r="B176" s="74"/>
      <c r="C176" s="74"/>
      <c r="D176" s="74"/>
      <c r="E176" s="74"/>
      <c r="F176" s="74"/>
      <c r="G176" s="74"/>
      <c r="H176" s="74"/>
      <c r="I176" s="74"/>
      <c r="J176" s="74"/>
      <c r="K176" s="74"/>
      <c r="L176" s="74"/>
      <c r="M176" s="74"/>
      <c r="N176" s="74"/>
      <c r="O176" s="74"/>
    </row>
    <row r="177" spans="1:15" ht="14.25">
      <c r="A177" s="74"/>
      <c r="B177" s="74"/>
      <c r="C177" s="74"/>
      <c r="D177" s="74"/>
      <c r="E177" s="74"/>
      <c r="F177" s="74"/>
      <c r="G177" s="74"/>
      <c r="H177" s="74"/>
      <c r="I177" s="74"/>
      <c r="J177" s="74"/>
      <c r="K177" s="74"/>
      <c r="L177" s="74"/>
      <c r="M177" s="74"/>
      <c r="N177" s="74"/>
      <c r="O177" s="74"/>
    </row>
    <row r="178" spans="1:15" ht="14.25">
      <c r="A178" s="74"/>
      <c r="B178" s="74"/>
      <c r="C178" s="74"/>
      <c r="D178" s="74"/>
      <c r="E178" s="74"/>
      <c r="F178" s="74"/>
      <c r="G178" s="74"/>
      <c r="H178" s="74"/>
      <c r="I178" s="74"/>
      <c r="J178" s="74"/>
      <c r="K178" s="74"/>
      <c r="L178" s="74"/>
      <c r="M178" s="74"/>
      <c r="N178" s="74"/>
      <c r="O178" s="74"/>
    </row>
    <row r="179" spans="1:15" ht="14.25">
      <c r="A179" s="74"/>
      <c r="B179" s="74"/>
      <c r="C179" s="74"/>
      <c r="D179" s="74"/>
      <c r="E179" s="74"/>
      <c r="F179" s="74"/>
      <c r="G179" s="74"/>
      <c r="H179" s="74"/>
      <c r="I179" s="74"/>
      <c r="J179" s="74"/>
      <c r="K179" s="74"/>
      <c r="L179" s="74"/>
      <c r="M179" s="74"/>
      <c r="N179" s="74"/>
      <c r="O179" s="74"/>
    </row>
    <row r="180" spans="1:15" ht="14.25">
      <c r="A180" s="74"/>
      <c r="B180" s="74"/>
      <c r="C180" s="74"/>
      <c r="D180" s="74"/>
      <c r="E180" s="74"/>
      <c r="F180" s="74"/>
      <c r="G180" s="74"/>
      <c r="H180" s="74"/>
      <c r="I180" s="74"/>
      <c r="J180" s="74"/>
      <c r="K180" s="74"/>
      <c r="L180" s="74"/>
      <c r="M180" s="74"/>
      <c r="N180" s="74"/>
      <c r="O180" s="74"/>
    </row>
    <row r="181" spans="11:15" ht="14.25">
      <c r="K181" s="74"/>
      <c r="L181" s="74"/>
      <c r="M181" s="74"/>
      <c r="N181" s="74"/>
      <c r="O181" s="74"/>
    </row>
    <row r="182" spans="11:15" ht="14.25">
      <c r="K182" s="74"/>
      <c r="L182" s="74"/>
      <c r="M182" s="74"/>
      <c r="N182" s="74"/>
      <c r="O182" s="74"/>
    </row>
    <row r="183" spans="11:15" ht="14.25">
      <c r="K183" s="74"/>
      <c r="L183" s="74"/>
      <c r="M183" s="74"/>
      <c r="N183" s="74"/>
      <c r="O183" s="74"/>
    </row>
    <row r="997" ht="14.25">
      <c r="A997" s="31" t="s">
        <v>396</v>
      </c>
    </row>
  </sheetData>
  <sheetProtection/>
  <mergeCells count="6">
    <mergeCell ref="B6:E6"/>
    <mergeCell ref="F6:I6"/>
    <mergeCell ref="B62:E62"/>
    <mergeCell ref="F62:I62"/>
    <mergeCell ref="B118:E118"/>
    <mergeCell ref="F118:I118"/>
  </mergeCells>
  <conditionalFormatting sqref="G26:I26">
    <cfRule type="cellIs" priority="18" dxfId="115" operator="notBetween">
      <formula>0.5</formula>
      <formula>-0.5</formula>
    </cfRule>
  </conditionalFormatting>
  <conditionalFormatting sqref="B26">
    <cfRule type="cellIs" priority="17" dxfId="115" operator="notBetween">
      <formula>0.5</formula>
      <formula>-0.5</formula>
    </cfRule>
  </conditionalFormatting>
  <conditionalFormatting sqref="C26">
    <cfRule type="cellIs" priority="16" dxfId="115" operator="notBetween">
      <formula>0.5</formula>
      <formula>-0.5</formula>
    </cfRule>
  </conditionalFormatting>
  <conditionalFormatting sqref="D26">
    <cfRule type="cellIs" priority="15" dxfId="115" operator="notBetween">
      <formula>0.5</formula>
      <formula>-0.5</formula>
    </cfRule>
  </conditionalFormatting>
  <conditionalFormatting sqref="E26">
    <cfRule type="cellIs" priority="14" dxfId="115" operator="notBetween">
      <formula>0.5</formula>
      <formula>-0.5</formula>
    </cfRule>
  </conditionalFormatting>
  <conditionalFormatting sqref="F26:I26">
    <cfRule type="cellIs" priority="13" dxfId="115" operator="notBetween">
      <formula>0.5</formula>
      <formula>-0.5</formula>
    </cfRule>
  </conditionalFormatting>
  <conditionalFormatting sqref="G82:I82">
    <cfRule type="cellIs" priority="12" dxfId="115" operator="notBetween">
      <formula>0.5</formula>
      <formula>-0.5</formula>
    </cfRule>
  </conditionalFormatting>
  <conditionalFormatting sqref="B82">
    <cfRule type="cellIs" priority="11" dxfId="115" operator="notBetween">
      <formula>0.5</formula>
      <formula>-0.5</formula>
    </cfRule>
  </conditionalFormatting>
  <conditionalFormatting sqref="C82">
    <cfRule type="cellIs" priority="10" dxfId="115" operator="notBetween">
      <formula>0.5</formula>
      <formula>-0.5</formula>
    </cfRule>
  </conditionalFormatting>
  <conditionalFormatting sqref="D82">
    <cfRule type="cellIs" priority="9" dxfId="115" operator="notBetween">
      <formula>0.5</formula>
      <formula>-0.5</formula>
    </cfRule>
  </conditionalFormatting>
  <conditionalFormatting sqref="E82">
    <cfRule type="cellIs" priority="8" dxfId="115" operator="notBetween">
      <formula>0.5</formula>
      <formula>-0.5</formula>
    </cfRule>
  </conditionalFormatting>
  <conditionalFormatting sqref="F82:I82">
    <cfRule type="cellIs" priority="7" dxfId="115" operator="notBetween">
      <formula>0.5</formula>
      <formula>-0.5</formula>
    </cfRule>
  </conditionalFormatting>
  <conditionalFormatting sqref="G138:I138">
    <cfRule type="cellIs" priority="6" dxfId="115" operator="notBetween">
      <formula>0.5</formula>
      <formula>-0.5</formula>
    </cfRule>
  </conditionalFormatting>
  <conditionalFormatting sqref="B138">
    <cfRule type="cellIs" priority="5" dxfId="115" operator="notBetween">
      <formula>0.5</formula>
      <formula>-0.5</formula>
    </cfRule>
  </conditionalFormatting>
  <conditionalFormatting sqref="C138">
    <cfRule type="cellIs" priority="4" dxfId="115" operator="notBetween">
      <formula>0.5</formula>
      <formula>-0.5</formula>
    </cfRule>
  </conditionalFormatting>
  <conditionalFormatting sqref="D138">
    <cfRule type="cellIs" priority="3" dxfId="115" operator="notBetween">
      <formula>0.5</formula>
      <formula>-0.5</formula>
    </cfRule>
  </conditionalFormatting>
  <conditionalFormatting sqref="E138">
    <cfRule type="cellIs" priority="2" dxfId="115" operator="notBetween">
      <formula>0.5</formula>
      <formula>-0.5</formula>
    </cfRule>
  </conditionalFormatting>
  <conditionalFormatting sqref="F138:I138">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P18" sqref="P18"/>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209.53199999999998</v>
      </c>
      <c r="C8" s="41">
        <v>193.10299999999995</v>
      </c>
      <c r="D8" s="41">
        <v>184.44100000000006</v>
      </c>
      <c r="E8" s="42">
        <v>193.66700000000003</v>
      </c>
      <c r="F8" s="50">
        <v>200.88199999999998</v>
      </c>
      <c r="G8" s="50">
        <v>0</v>
      </c>
      <c r="H8" s="50">
        <v>0</v>
      </c>
      <c r="I8" s="50">
        <v>0</v>
      </c>
    </row>
    <row r="9" spans="1:9" ht="14.25">
      <c r="A9" s="43" t="str">
        <f>HLOOKUP(INDICE!$F$2,Nombres!$C$3:$D$636,34,FALSE)</f>
        <v>Comisiones netas</v>
      </c>
      <c r="B9" s="44">
        <v>17.594351990000003</v>
      </c>
      <c r="C9" s="44">
        <v>11.686391200000003</v>
      </c>
      <c r="D9" s="44">
        <v>21.649565540000005</v>
      </c>
      <c r="E9" s="45">
        <v>19.253311119999992</v>
      </c>
      <c r="F9" s="44">
        <v>21.442577080000007</v>
      </c>
      <c r="G9" s="44">
        <v>0</v>
      </c>
      <c r="H9" s="44">
        <v>0</v>
      </c>
      <c r="I9" s="44">
        <v>0</v>
      </c>
    </row>
    <row r="10" spans="1:9" ht="14.25">
      <c r="A10" s="43" t="str">
        <f>HLOOKUP(INDICE!$F$2,Nombres!$C$3:$D$636,35,FALSE)</f>
        <v>Resultados de operaciones financieras</v>
      </c>
      <c r="B10" s="44">
        <v>4.7974516400000065</v>
      </c>
      <c r="C10" s="44">
        <v>24.985644229999995</v>
      </c>
      <c r="D10" s="44">
        <v>27.707858250000008</v>
      </c>
      <c r="E10" s="45">
        <v>16.148772960000013</v>
      </c>
      <c r="F10" s="44">
        <v>7.323841200000001</v>
      </c>
      <c r="G10" s="44">
        <v>0</v>
      </c>
      <c r="H10" s="44">
        <v>0</v>
      </c>
      <c r="I10" s="44">
        <v>0</v>
      </c>
    </row>
    <row r="11" spans="1:9" ht="14.25">
      <c r="A11" s="43" t="str">
        <f>HLOOKUP(INDICE!$F$2,Nombres!$C$3:$D$636,36,FALSE)</f>
        <v>Otros ingresos y cargas de explotación</v>
      </c>
      <c r="B11" s="44">
        <v>-1.4140000000000015</v>
      </c>
      <c r="C11" s="44">
        <v>-1.8650000000000029</v>
      </c>
      <c r="D11" s="44">
        <v>-6.628000000000001</v>
      </c>
      <c r="E11" s="45">
        <v>-2.049999999999984</v>
      </c>
      <c r="F11" s="44">
        <v>-4.484</v>
      </c>
      <c r="G11" s="44">
        <v>0</v>
      </c>
      <c r="H11" s="44">
        <v>0</v>
      </c>
      <c r="I11" s="44">
        <v>0</v>
      </c>
    </row>
    <row r="12" spans="1:9" ht="14.25">
      <c r="A12" s="41" t="str">
        <f>HLOOKUP(INDICE!$F$2,Nombres!$C$3:$D$636,37,FALSE)</f>
        <v>Margen bruto</v>
      </c>
      <c r="B12" s="41">
        <f>+SUM(B8:B11)</f>
        <v>230.50980363000002</v>
      </c>
      <c r="C12" s="41">
        <f aca="true" t="shared" si="0" ref="C12:I12">+SUM(C8:C11)</f>
        <v>227.91003542999994</v>
      </c>
      <c r="D12" s="41">
        <f t="shared" si="0"/>
        <v>227.17042379000006</v>
      </c>
      <c r="E12" s="42">
        <f t="shared" si="0"/>
        <v>227.01908408000003</v>
      </c>
      <c r="F12" s="50">
        <f t="shared" si="0"/>
        <v>225.16441827999998</v>
      </c>
      <c r="G12" s="50">
        <f t="shared" si="0"/>
        <v>0</v>
      </c>
      <c r="H12" s="50">
        <f t="shared" si="0"/>
        <v>0</v>
      </c>
      <c r="I12" s="50">
        <f t="shared" si="0"/>
        <v>0</v>
      </c>
    </row>
    <row r="13" spans="1:9" ht="14.25">
      <c r="A13" s="43" t="str">
        <f>HLOOKUP(INDICE!$F$2,Nombres!$C$3:$D$636,38,FALSE)</f>
        <v>Gastos de explotación</v>
      </c>
      <c r="B13" s="44">
        <v>-90.68152578</v>
      </c>
      <c r="C13" s="44">
        <v>-72.55752534999999</v>
      </c>
      <c r="D13" s="44">
        <v>-76.05266968000001</v>
      </c>
      <c r="E13" s="45">
        <v>-82.28224011999998</v>
      </c>
      <c r="F13" s="44">
        <v>-80.53327744</v>
      </c>
      <c r="G13" s="44">
        <v>0</v>
      </c>
      <c r="H13" s="44">
        <v>0</v>
      </c>
      <c r="I13" s="44">
        <v>0</v>
      </c>
    </row>
    <row r="14" spans="1:9" ht="14.25">
      <c r="A14" s="43" t="str">
        <f>HLOOKUP(INDICE!$F$2,Nombres!$C$3:$D$636,39,FALSE)</f>
        <v>  Gastos de administración</v>
      </c>
      <c r="B14" s="44">
        <v>-83.10552578000001</v>
      </c>
      <c r="C14" s="44">
        <v>-65.39852535</v>
      </c>
      <c r="D14" s="44">
        <v>-69.11366968</v>
      </c>
      <c r="E14" s="45">
        <v>-75.31924011999998</v>
      </c>
      <c r="F14" s="44">
        <v>-73.43127744</v>
      </c>
      <c r="G14" s="44">
        <v>0</v>
      </c>
      <c r="H14" s="44">
        <v>0</v>
      </c>
      <c r="I14" s="44">
        <v>0</v>
      </c>
    </row>
    <row r="15" spans="1:9" ht="14.25">
      <c r="A15" s="46" t="str">
        <f>HLOOKUP(INDICE!$F$2,Nombres!$C$3:$D$636,40,FALSE)</f>
        <v>  Gastos de personal</v>
      </c>
      <c r="B15" s="44">
        <v>-42.254000000000005</v>
      </c>
      <c r="C15" s="44">
        <v>-32.894999999999996</v>
      </c>
      <c r="D15" s="44">
        <v>-34.292</v>
      </c>
      <c r="E15" s="45">
        <v>-36.596999999999994</v>
      </c>
      <c r="F15" s="44">
        <v>-37.051</v>
      </c>
      <c r="G15" s="44">
        <v>0</v>
      </c>
      <c r="H15" s="44">
        <v>0</v>
      </c>
      <c r="I15" s="44">
        <v>0</v>
      </c>
    </row>
    <row r="16" spans="1:9" ht="14.25">
      <c r="A16" s="46" t="str">
        <f>HLOOKUP(INDICE!$F$2,Nombres!$C$3:$D$636,41,FALSE)</f>
        <v>  Otros gastos de administración</v>
      </c>
      <c r="B16" s="44">
        <v>-40.85152578</v>
      </c>
      <c r="C16" s="44">
        <v>-32.503525350000004</v>
      </c>
      <c r="D16" s="44">
        <v>-34.82166968</v>
      </c>
      <c r="E16" s="45">
        <v>-38.722240119999995</v>
      </c>
      <c r="F16" s="44">
        <v>-36.38027744000001</v>
      </c>
      <c r="G16" s="44">
        <v>0</v>
      </c>
      <c r="H16" s="44">
        <v>0</v>
      </c>
      <c r="I16" s="44">
        <v>0</v>
      </c>
    </row>
    <row r="17" spans="1:9" ht="14.25">
      <c r="A17" s="43" t="str">
        <f>HLOOKUP(INDICE!$F$2,Nombres!$C$3:$D$636,42,FALSE)</f>
        <v>  Amortización</v>
      </c>
      <c r="B17" s="44">
        <v>-7.5760000000000005</v>
      </c>
      <c r="C17" s="44">
        <v>-7.158999999999999</v>
      </c>
      <c r="D17" s="44">
        <v>-6.939</v>
      </c>
      <c r="E17" s="45">
        <v>-6.963</v>
      </c>
      <c r="F17" s="44">
        <v>-7.102</v>
      </c>
      <c r="G17" s="44">
        <v>0</v>
      </c>
      <c r="H17" s="44">
        <v>0</v>
      </c>
      <c r="I17" s="44">
        <v>0</v>
      </c>
    </row>
    <row r="18" spans="1:9" ht="14.25">
      <c r="A18" s="41" t="str">
        <f>HLOOKUP(INDICE!$F$2,Nombres!$C$3:$D$636,43,FALSE)</f>
        <v>Margen neto</v>
      </c>
      <c r="B18" s="41">
        <f>+B12+B13</f>
        <v>139.82827785</v>
      </c>
      <c r="C18" s="41">
        <f aca="true" t="shared" si="1" ref="C18:I18">+C12+C13</f>
        <v>155.35251007999994</v>
      </c>
      <c r="D18" s="41">
        <f t="shared" si="1"/>
        <v>151.11775411000005</v>
      </c>
      <c r="E18" s="42">
        <f t="shared" si="1"/>
        <v>144.73684396000004</v>
      </c>
      <c r="F18" s="50">
        <f t="shared" si="1"/>
        <v>144.63114083999997</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-129.68</v>
      </c>
      <c r="C19" s="44">
        <v>-85.786</v>
      </c>
      <c r="D19" s="44">
        <v>-63.172</v>
      </c>
      <c r="E19" s="45">
        <v>-48.616999999999976</v>
      </c>
      <c r="F19" s="44">
        <v>-68.209</v>
      </c>
      <c r="G19" s="44">
        <v>0</v>
      </c>
      <c r="H19" s="44">
        <v>0</v>
      </c>
      <c r="I19" s="44">
        <v>0</v>
      </c>
    </row>
    <row r="20" spans="1:9" ht="14.25">
      <c r="A20" s="43" t="str">
        <f>HLOOKUP(INDICE!$F$2,Nombres!$C$3:$D$636,45,FALSE)</f>
        <v>Provisiones o reversión de provisiones y otros resultados</v>
      </c>
      <c r="B20" s="44">
        <v>-2.51</v>
      </c>
      <c r="C20" s="44">
        <v>-9.828</v>
      </c>
      <c r="D20" s="44">
        <v>-4.501</v>
      </c>
      <c r="E20" s="45">
        <v>-0.2080000000000003</v>
      </c>
      <c r="F20" s="44">
        <v>-7.4769999999999985</v>
      </c>
      <c r="G20" s="44">
        <v>0</v>
      </c>
      <c r="H20" s="44">
        <v>0</v>
      </c>
      <c r="I20" s="44">
        <v>0</v>
      </c>
    </row>
    <row r="21" spans="1:9" ht="14.25">
      <c r="A21" s="41" t="str">
        <f>HLOOKUP(INDICE!$F$2,Nombres!$C$3:$D$636,46,FALSE)</f>
        <v>Resultado antes de impuestos</v>
      </c>
      <c r="B21" s="41">
        <f>+B18+B19+B20</f>
        <v>7.63827785</v>
      </c>
      <c r="C21" s="41">
        <f aca="true" t="shared" si="2" ref="C21:I21">+C18+C19+C20</f>
        <v>59.73851007999994</v>
      </c>
      <c r="D21" s="41">
        <f t="shared" si="2"/>
        <v>83.44475411000005</v>
      </c>
      <c r="E21" s="42">
        <f t="shared" si="2"/>
        <v>95.91184396000007</v>
      </c>
      <c r="F21" s="50">
        <f t="shared" si="2"/>
        <v>68.94514083999997</v>
      </c>
      <c r="G21" s="50">
        <f t="shared" si="2"/>
        <v>0</v>
      </c>
      <c r="H21" s="50">
        <f t="shared" si="2"/>
        <v>0</v>
      </c>
      <c r="I21" s="50">
        <f t="shared" si="2"/>
        <v>0</v>
      </c>
    </row>
    <row r="22" spans="1:9" ht="14.25">
      <c r="A22" s="43" t="str">
        <f>HLOOKUP(INDICE!$F$2,Nombres!$C$3:$D$636,47,FALSE)</f>
        <v>Impuesto sobre beneficios</v>
      </c>
      <c r="B22" s="44">
        <v>0.4505506300000022</v>
      </c>
      <c r="C22" s="44">
        <v>-18.38248883</v>
      </c>
      <c r="D22" s="44">
        <v>-26.776504420000002</v>
      </c>
      <c r="E22" s="45">
        <v>-31.1591284</v>
      </c>
      <c r="F22" s="44">
        <v>-18.82366536</v>
      </c>
      <c r="G22" s="44">
        <v>0</v>
      </c>
      <c r="H22" s="44">
        <v>0</v>
      </c>
      <c r="I22" s="44">
        <v>0</v>
      </c>
    </row>
    <row r="23" spans="1:9" ht="14.25">
      <c r="A23" s="41" t="str">
        <f>HLOOKUP(INDICE!$F$2,Nombres!$C$3:$D$636,48,FALSE)</f>
        <v>Resultado del ejercicio</v>
      </c>
      <c r="B23" s="41">
        <f>+B21+B22</f>
        <v>8.088828480000002</v>
      </c>
      <c r="C23" s="41">
        <f aca="true" t="shared" si="3" ref="C23:I23">+C21+C22</f>
        <v>41.35602124999994</v>
      </c>
      <c r="D23" s="41">
        <f t="shared" si="3"/>
        <v>56.668249690000046</v>
      </c>
      <c r="E23" s="42">
        <f t="shared" si="3"/>
        <v>64.75271556000007</v>
      </c>
      <c r="F23" s="50">
        <f t="shared" si="3"/>
        <v>50.121475479999965</v>
      </c>
      <c r="G23" s="50">
        <f t="shared" si="3"/>
        <v>0</v>
      </c>
      <c r="H23" s="50">
        <f t="shared" si="3"/>
        <v>0</v>
      </c>
      <c r="I23" s="50">
        <f t="shared" si="3"/>
        <v>0</v>
      </c>
    </row>
    <row r="24" spans="1:9" ht="14.25">
      <c r="A24" s="43" t="str">
        <f>HLOOKUP(INDICE!$F$2,Nombres!$C$3:$D$636,49,FALSE)</f>
        <v>Minoritarios</v>
      </c>
      <c r="B24" s="44">
        <v>0.10030966000000019</v>
      </c>
      <c r="C24" s="44">
        <v>-1.5098544499999997</v>
      </c>
      <c r="D24" s="44">
        <v>-2.0975925699999998</v>
      </c>
      <c r="E24" s="45">
        <v>-2.4652730000000003</v>
      </c>
      <c r="F24" s="44">
        <v>-1.9025127199999998</v>
      </c>
      <c r="G24" s="44">
        <v>0</v>
      </c>
      <c r="H24" s="44">
        <v>0</v>
      </c>
      <c r="I24" s="44">
        <v>0</v>
      </c>
    </row>
    <row r="25" spans="1:9" ht="14.25">
      <c r="A25" s="47" t="str">
        <f>HLOOKUP(INDICE!$F$2,Nombres!$C$3:$D$636,50,FALSE)</f>
        <v>Resultado atribuido</v>
      </c>
      <c r="B25" s="47">
        <f>+B23+B24</f>
        <v>8.189138140000003</v>
      </c>
      <c r="C25" s="47">
        <f aca="true" t="shared" si="4" ref="C25:I25">+C23+C24</f>
        <v>39.84616679999994</v>
      </c>
      <c r="D25" s="47">
        <f t="shared" si="4"/>
        <v>54.57065712000005</v>
      </c>
      <c r="E25" s="47">
        <f t="shared" si="4"/>
        <v>62.287442560000066</v>
      </c>
      <c r="F25" s="51">
        <f t="shared" si="4"/>
        <v>48.21896275999997</v>
      </c>
      <c r="G25" s="51">
        <f t="shared" si="4"/>
        <v>0</v>
      </c>
      <c r="H25" s="51">
        <f t="shared" si="4"/>
        <v>0</v>
      </c>
      <c r="I25" s="51">
        <f t="shared" si="4"/>
        <v>0</v>
      </c>
    </row>
    <row r="26" spans="1:9" ht="14.25">
      <c r="A26" s="62"/>
      <c r="B26" s="63">
        <v>2.6645352591003757E-14</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1290.745</v>
      </c>
      <c r="C31" s="44">
        <v>2220.7889999999998</v>
      </c>
      <c r="D31" s="44">
        <v>1261.66</v>
      </c>
      <c r="E31" s="45">
        <v>1372.551</v>
      </c>
      <c r="F31" s="44">
        <v>850.8539999999999</v>
      </c>
      <c r="G31" s="44">
        <v>0</v>
      </c>
      <c r="H31" s="44">
        <v>0</v>
      </c>
      <c r="I31" s="44">
        <v>0</v>
      </c>
    </row>
    <row r="32" spans="1:9" ht="14.25">
      <c r="A32" s="43" t="str">
        <f>HLOOKUP(INDICE!$F$2,Nombres!$C$3:$D$636,53,FALSE)</f>
        <v>Activos financieros a valor razonable</v>
      </c>
      <c r="B32" s="58">
        <v>3441.6409999999996</v>
      </c>
      <c r="C32" s="58">
        <v>3078.967</v>
      </c>
      <c r="D32" s="58">
        <v>2668.4839999999995</v>
      </c>
      <c r="E32" s="65">
        <v>2334.08</v>
      </c>
      <c r="F32" s="44">
        <v>2339.992</v>
      </c>
      <c r="G32" s="44">
        <v>0</v>
      </c>
      <c r="H32" s="44">
        <v>0</v>
      </c>
      <c r="I32" s="44">
        <v>0</v>
      </c>
    </row>
    <row r="33" spans="1:9" ht="14.25">
      <c r="A33" s="43" t="str">
        <f>HLOOKUP(INDICE!$F$2,Nombres!$C$3:$D$636,54,FALSE)</f>
        <v>Activos financieros a coste amortizado</v>
      </c>
      <c r="B33" s="44">
        <v>11589.315</v>
      </c>
      <c r="C33" s="44">
        <v>12626.788999999999</v>
      </c>
      <c r="D33" s="44">
        <v>11589.310999999998</v>
      </c>
      <c r="E33" s="45">
        <v>12459.14</v>
      </c>
      <c r="F33" s="44">
        <v>12129.947000000002</v>
      </c>
      <c r="G33" s="44">
        <v>0</v>
      </c>
      <c r="H33" s="44">
        <v>0</v>
      </c>
      <c r="I33" s="44">
        <v>0</v>
      </c>
    </row>
    <row r="34" spans="1:9" ht="14.25">
      <c r="A34" s="43" t="str">
        <f>HLOOKUP(INDICE!$F$2,Nombres!$C$3:$D$636,55,FALSE)</f>
        <v>    de los que préstamos y anticipos a la clientela</v>
      </c>
      <c r="B34" s="44">
        <v>11068.159000000001</v>
      </c>
      <c r="C34" s="44">
        <v>11838.746000000001</v>
      </c>
      <c r="D34" s="44">
        <v>10816.897</v>
      </c>
      <c r="E34" s="45">
        <v>11608.973000000002</v>
      </c>
      <c r="F34" s="44">
        <v>11305.914999999997</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115.47800000000001</v>
      </c>
      <c r="C36" s="44">
        <v>121.30800000000002</v>
      </c>
      <c r="D36" s="44">
        <v>109.39600000000002</v>
      </c>
      <c r="E36" s="45">
        <v>114.90700000000001</v>
      </c>
      <c r="F36" s="44">
        <v>106.25500000000001</v>
      </c>
      <c r="G36" s="44">
        <v>0</v>
      </c>
      <c r="H36" s="44">
        <v>0</v>
      </c>
      <c r="I36" s="44">
        <v>0</v>
      </c>
    </row>
    <row r="37" spans="1:9" ht="14.25">
      <c r="A37" s="43" t="str">
        <f>HLOOKUP(INDICE!$F$2,Nombres!$C$3:$D$636,57,FALSE)</f>
        <v>Otros activos</v>
      </c>
      <c r="B37" s="58">
        <f>+B38-B36-B33-B32-B31</f>
        <v>662.8920000000007</v>
      </c>
      <c r="C37" s="58">
        <f aca="true" t="shared" si="5" ref="C37:I37">+C38-C36-C33-C32-C31</f>
        <v>477.54300000000103</v>
      </c>
      <c r="D37" s="58">
        <f t="shared" si="5"/>
        <v>475.19198299000413</v>
      </c>
      <c r="E37" s="65">
        <f t="shared" si="5"/>
        <v>540.8469999999993</v>
      </c>
      <c r="F37" s="44">
        <f t="shared" si="5"/>
        <v>665.5359999999977</v>
      </c>
      <c r="G37" s="44">
        <f t="shared" si="5"/>
        <v>0</v>
      </c>
      <c r="H37" s="44">
        <f t="shared" si="5"/>
        <v>0</v>
      </c>
      <c r="I37" s="44">
        <f t="shared" si="5"/>
        <v>0</v>
      </c>
    </row>
    <row r="38" spans="1:9" ht="14.25">
      <c r="A38" s="47" t="str">
        <f>HLOOKUP(INDICE!$F$2,Nombres!$C$3:$D$636,58,FALSE)</f>
        <v>Total activo / pasivo</v>
      </c>
      <c r="B38" s="47">
        <v>17100.071</v>
      </c>
      <c r="C38" s="47">
        <v>18525.396</v>
      </c>
      <c r="D38" s="47">
        <v>16104.042982990002</v>
      </c>
      <c r="E38" s="47">
        <v>16821.524999999998</v>
      </c>
      <c r="F38" s="51">
        <v>16092.583999999999</v>
      </c>
      <c r="G38" s="51">
        <v>0</v>
      </c>
      <c r="H38" s="51">
        <v>0</v>
      </c>
      <c r="I38" s="51">
        <v>0</v>
      </c>
    </row>
    <row r="39" spans="1:9" ht="14.25">
      <c r="A39" s="43" t="str">
        <f>HLOOKUP(INDICE!$F$2,Nombres!$C$3:$D$636,59,FALSE)</f>
        <v>Pasivos financieros mantenidos para negociar y designados a valor razonable con cambios en resultados</v>
      </c>
      <c r="B39" s="58">
        <v>1737.4940000000001</v>
      </c>
      <c r="C39" s="58">
        <v>1646.095</v>
      </c>
      <c r="D39" s="58">
        <v>1378.6170000000002</v>
      </c>
      <c r="E39" s="65">
        <v>1101.988</v>
      </c>
      <c r="F39" s="44">
        <v>953.83</v>
      </c>
      <c r="G39" s="44">
        <v>0</v>
      </c>
      <c r="H39" s="44">
        <v>0</v>
      </c>
      <c r="I39" s="44">
        <v>0</v>
      </c>
    </row>
    <row r="40" spans="1:9" ht="15.75" customHeight="1">
      <c r="A40" s="43" t="str">
        <f>HLOOKUP(INDICE!$F$2,Nombres!$C$3:$D$636,60,FALSE)</f>
        <v>Depósitos de bancos centrales y entidades de crédito</v>
      </c>
      <c r="B40" s="58">
        <v>541.9019999999999</v>
      </c>
      <c r="C40" s="58">
        <v>446.334</v>
      </c>
      <c r="D40" s="58">
        <v>603.055</v>
      </c>
      <c r="E40" s="65">
        <v>535.3389999999999</v>
      </c>
      <c r="F40" s="44">
        <v>395.64700000999994</v>
      </c>
      <c r="G40" s="44">
        <v>0</v>
      </c>
      <c r="H40" s="44">
        <v>0</v>
      </c>
      <c r="I40" s="44">
        <v>0</v>
      </c>
    </row>
    <row r="41" spans="1:9" ht="14.25">
      <c r="A41" s="43" t="str">
        <f>HLOOKUP(INDICE!$F$2,Nombres!$C$3:$D$636,61,FALSE)</f>
        <v>Depósitos de la clientela</v>
      </c>
      <c r="B41" s="58">
        <v>12007.403</v>
      </c>
      <c r="C41" s="58">
        <v>13573.682999999999</v>
      </c>
      <c r="D41" s="58">
        <v>11346.935</v>
      </c>
      <c r="E41" s="65">
        <v>12130.376</v>
      </c>
      <c r="F41" s="44">
        <v>11750.15199999</v>
      </c>
      <c r="G41" s="44">
        <v>0</v>
      </c>
      <c r="H41" s="44">
        <v>0</v>
      </c>
      <c r="I41" s="44">
        <v>0</v>
      </c>
    </row>
    <row r="42" spans="1:9" ht="14.25">
      <c r="A42" s="43" t="str">
        <f>HLOOKUP(INDICE!$F$2,Nombres!$C$3:$D$636,62,FALSE)</f>
        <v>Valores representativos de deuda emitidos</v>
      </c>
      <c r="B42" s="44">
        <v>699.0469594599999</v>
      </c>
      <c r="C42" s="44">
        <v>770.01702496</v>
      </c>
      <c r="D42" s="44">
        <v>738.85479696</v>
      </c>
      <c r="E42" s="45">
        <v>708.9437681899999</v>
      </c>
      <c r="F42" s="44">
        <v>786.25855903</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580.7363698899992</v>
      </c>
      <c r="C44" s="58">
        <f aca="true" t="shared" si="6" ref="C44:I44">+C38-C39-C40-C41-C42-C45</f>
        <v>508.8389396400014</v>
      </c>
      <c r="D44" s="58">
        <f t="shared" si="6"/>
        <v>621.2121822300023</v>
      </c>
      <c r="E44" s="65">
        <f t="shared" si="6"/>
        <v>857.0931387199985</v>
      </c>
      <c r="F44" s="44">
        <f t="shared" si="6"/>
        <v>725.8774128500002</v>
      </c>
      <c r="G44" s="44">
        <f t="shared" si="6"/>
        <v>0</v>
      </c>
      <c r="H44" s="44">
        <f t="shared" si="6"/>
        <v>0</v>
      </c>
      <c r="I44" s="44">
        <f t="shared" si="6"/>
        <v>0</v>
      </c>
    </row>
    <row r="45" spans="1:9" ht="14.25">
      <c r="A45" s="43" t="str">
        <f>HLOOKUP(INDICE!$F$2,Nombres!$C$3:$D$636,282,FALSE)</f>
        <v>Dotación de capital regulatorio</v>
      </c>
      <c r="B45" s="58">
        <v>1533.48867065</v>
      </c>
      <c r="C45" s="58">
        <v>1580.4280354</v>
      </c>
      <c r="D45" s="58">
        <v>1415.3690038</v>
      </c>
      <c r="E45" s="65">
        <v>1487.78509309</v>
      </c>
      <c r="F45" s="44">
        <v>1480.8190281199998</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11721.79893463</v>
      </c>
      <c r="C51" s="44">
        <v>12571.85612573</v>
      </c>
      <c r="D51" s="44">
        <v>11516.265511460002</v>
      </c>
      <c r="E51" s="45">
        <v>12358.36728401</v>
      </c>
      <c r="F51" s="44">
        <v>12036.97017208</v>
      </c>
      <c r="G51" s="44">
        <v>0</v>
      </c>
      <c r="H51" s="44">
        <v>0</v>
      </c>
      <c r="I51" s="44">
        <v>0</v>
      </c>
    </row>
    <row r="52" spans="1:9" ht="14.25">
      <c r="A52" s="43" t="str">
        <f>HLOOKUP(INDICE!$F$2,Nombres!$C$3:$D$636,67,FALSE)</f>
        <v>Depósitos de clientes en gestión (**)</v>
      </c>
      <c r="B52" s="44">
        <v>12015.3979488</v>
      </c>
      <c r="C52" s="44">
        <v>13582.158241539999</v>
      </c>
      <c r="D52" s="44">
        <v>11346.93488211</v>
      </c>
      <c r="E52" s="45">
        <v>12129.34187195</v>
      </c>
      <c r="F52" s="44">
        <v>11749.71156344</v>
      </c>
      <c r="G52" s="44">
        <v>0</v>
      </c>
      <c r="H52" s="44">
        <v>0</v>
      </c>
      <c r="I52" s="44">
        <v>0</v>
      </c>
    </row>
    <row r="53" spans="1:9" ht="14.25">
      <c r="A53" s="43" t="str">
        <f>HLOOKUP(INDICE!$F$2,Nombres!$C$3:$D$636,68,FALSE)</f>
        <v>Fondos de inversión</v>
      </c>
      <c r="B53" s="44">
        <v>688.7781286700001</v>
      </c>
      <c r="C53" s="44">
        <v>1140.1636230000001</v>
      </c>
      <c r="D53" s="44">
        <v>1506.0115078100002</v>
      </c>
      <c r="E53" s="45">
        <v>1566.60486917</v>
      </c>
      <c r="F53" s="44">
        <v>1130.8140225599998</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190.76407682168502</v>
      </c>
      <c r="C64" s="41">
        <v>191.39292820618465</v>
      </c>
      <c r="D64" s="41">
        <v>188.8162536392357</v>
      </c>
      <c r="E64" s="42">
        <v>197.49348602254565</v>
      </c>
      <c r="F64" s="50">
        <v>200.88199999999995</v>
      </c>
      <c r="G64" s="50">
        <v>0</v>
      </c>
      <c r="H64" s="50">
        <v>0</v>
      </c>
      <c r="I64" s="50">
        <v>0</v>
      </c>
    </row>
    <row r="65" spans="1:9" ht="14.25">
      <c r="A65" s="43" t="str">
        <f>HLOOKUP(INDICE!$F$2,Nombres!$C$3:$D$636,34,FALSE)</f>
        <v>Comisiones netas</v>
      </c>
      <c r="B65" s="44">
        <v>16.018413963729294</v>
      </c>
      <c r="C65" s="44">
        <v>11.773112164105083</v>
      </c>
      <c r="D65" s="44">
        <v>21.741829588443952</v>
      </c>
      <c r="E65" s="45">
        <v>19.546710165408037</v>
      </c>
      <c r="F65" s="44">
        <v>21.44257708</v>
      </c>
      <c r="G65" s="44">
        <v>0</v>
      </c>
      <c r="H65" s="44">
        <v>0</v>
      </c>
      <c r="I65" s="44">
        <v>0</v>
      </c>
    </row>
    <row r="66" spans="1:9" ht="14.25">
      <c r="A66" s="43" t="str">
        <f>HLOOKUP(INDICE!$F$2,Nombres!$C$3:$D$636,35,FALSE)</f>
        <v>Resultados de operaciones financieras</v>
      </c>
      <c r="B66" s="44">
        <v>4.36774064678082</v>
      </c>
      <c r="C66" s="44">
        <v>23.9005885301092</v>
      </c>
      <c r="D66" s="44">
        <v>27.645721845085752</v>
      </c>
      <c r="E66" s="45">
        <v>16.567778913101368</v>
      </c>
      <c r="F66" s="44">
        <v>7.3238411999999995</v>
      </c>
      <c r="G66" s="44">
        <v>0</v>
      </c>
      <c r="H66" s="44">
        <v>0</v>
      </c>
      <c r="I66" s="44">
        <v>0</v>
      </c>
    </row>
    <row r="67" spans="1:9" ht="14.25">
      <c r="A67" s="43" t="str">
        <f>HLOOKUP(INDICE!$F$2,Nombres!$C$3:$D$636,36,FALSE)</f>
        <v>Otros ingresos y cargas de explotación</v>
      </c>
      <c r="B67" s="44">
        <v>-1.28734706214737</v>
      </c>
      <c r="C67" s="44">
        <v>-1.8248831699148864</v>
      </c>
      <c r="D67" s="44">
        <v>-6.523033470788846</v>
      </c>
      <c r="E67" s="45">
        <v>-2.1337266899595155</v>
      </c>
      <c r="F67" s="44">
        <v>-4.484</v>
      </c>
      <c r="G67" s="44">
        <v>0</v>
      </c>
      <c r="H67" s="44">
        <v>0</v>
      </c>
      <c r="I67" s="44">
        <v>0</v>
      </c>
    </row>
    <row r="68" spans="1:9" ht="14.25">
      <c r="A68" s="41" t="str">
        <f>HLOOKUP(INDICE!$F$2,Nombres!$C$3:$D$636,37,FALSE)</f>
        <v>Margen bruto</v>
      </c>
      <c r="B68" s="41">
        <f>+SUM(B64:B67)</f>
        <v>209.86288437004777</v>
      </c>
      <c r="C68" s="41">
        <f aca="true" t="shared" si="9" ref="C68:I68">+SUM(C64:C67)</f>
        <v>225.241745730484</v>
      </c>
      <c r="D68" s="41">
        <f t="shared" si="9"/>
        <v>231.68077160197655</v>
      </c>
      <c r="E68" s="42">
        <f t="shared" si="9"/>
        <v>231.47424841109554</v>
      </c>
      <c r="F68" s="50">
        <f t="shared" si="9"/>
        <v>225.16441827999995</v>
      </c>
      <c r="G68" s="50">
        <f t="shared" si="9"/>
        <v>0</v>
      </c>
      <c r="H68" s="50">
        <f t="shared" si="9"/>
        <v>0</v>
      </c>
      <c r="I68" s="50">
        <f t="shared" si="9"/>
        <v>0</v>
      </c>
    </row>
    <row r="69" spans="1:9" ht="14.25">
      <c r="A69" s="43" t="str">
        <f>HLOOKUP(INDICE!$F$2,Nombres!$C$3:$D$636,38,FALSE)</f>
        <v>Gastos de explotación</v>
      </c>
      <c r="B69" s="44">
        <v>-82.5591200876407</v>
      </c>
      <c r="C69" s="44">
        <v>-72.37760146769378</v>
      </c>
      <c r="D69" s="44">
        <v>-77.79153441654118</v>
      </c>
      <c r="E69" s="45">
        <v>-83.78933679915666</v>
      </c>
      <c r="F69" s="44">
        <v>-80.53327744</v>
      </c>
      <c r="G69" s="44">
        <v>0</v>
      </c>
      <c r="H69" s="44">
        <v>0</v>
      </c>
      <c r="I69" s="44">
        <v>0</v>
      </c>
    </row>
    <row r="70" spans="1:9" ht="14.25">
      <c r="A70" s="43" t="str">
        <f>HLOOKUP(INDICE!$F$2,Nombres!$C$3:$D$636,39,FALSE)</f>
        <v>  Gastos de administración</v>
      </c>
      <c r="B70" s="44">
        <v>-75.66170753967147</v>
      </c>
      <c r="C70" s="44">
        <v>-65.28943534245857</v>
      </c>
      <c r="D70" s="44">
        <v>-70.69760309725598</v>
      </c>
      <c r="E70" s="45">
        <v>-76.68212956500764</v>
      </c>
      <c r="F70" s="44">
        <v>-73.43127744</v>
      </c>
      <c r="G70" s="44">
        <v>0</v>
      </c>
      <c r="H70" s="44">
        <v>0</v>
      </c>
      <c r="I70" s="44">
        <v>0</v>
      </c>
    </row>
    <row r="71" spans="1:9" ht="14.25">
      <c r="A71" s="46" t="str">
        <f>HLOOKUP(INDICE!$F$2,Nombres!$C$3:$D$636,40,FALSE)</f>
        <v>  Gastos de personal</v>
      </c>
      <c r="B71" s="44">
        <v>-38.46928059687055</v>
      </c>
      <c r="C71" s="44">
        <v>-32.85764520649822</v>
      </c>
      <c r="D71" s="44">
        <v>-35.11224800340697</v>
      </c>
      <c r="E71" s="45">
        <v>-37.3025522938582</v>
      </c>
      <c r="F71" s="44">
        <v>-37.051</v>
      </c>
      <c r="G71" s="44">
        <v>0</v>
      </c>
      <c r="H71" s="44">
        <v>0</v>
      </c>
      <c r="I71" s="44">
        <v>0</v>
      </c>
    </row>
    <row r="72" spans="1:9" ht="14.25">
      <c r="A72" s="46" t="str">
        <f>HLOOKUP(INDICE!$F$2,Nombres!$C$3:$D$636,41,FALSE)</f>
        <v>  Otros gastos de administración</v>
      </c>
      <c r="B72" s="44">
        <v>-37.192426942800935</v>
      </c>
      <c r="C72" s="44">
        <v>-32.431790135960355</v>
      </c>
      <c r="D72" s="44">
        <v>-35.58535509384901</v>
      </c>
      <c r="E72" s="45">
        <v>-39.37957727114943</v>
      </c>
      <c r="F72" s="44">
        <v>-36.38027744</v>
      </c>
      <c r="G72" s="44">
        <v>0</v>
      </c>
      <c r="H72" s="44">
        <v>0</v>
      </c>
      <c r="I72" s="44">
        <v>0</v>
      </c>
    </row>
    <row r="73" spans="1:9" ht="14.25">
      <c r="A73" s="43" t="str">
        <f>HLOOKUP(INDICE!$F$2,Nombres!$C$3:$D$636,42,FALSE)</f>
        <v>  Amortización</v>
      </c>
      <c r="B73" s="44">
        <v>-6.897412547969214</v>
      </c>
      <c r="C73" s="44">
        <v>-7.088166125235202</v>
      </c>
      <c r="D73" s="44">
        <v>-7.0939313192852085</v>
      </c>
      <c r="E73" s="45">
        <v>-7.107207234149018</v>
      </c>
      <c r="F73" s="44">
        <v>-7.102</v>
      </c>
      <c r="G73" s="44">
        <v>0</v>
      </c>
      <c r="H73" s="44">
        <v>0</v>
      </c>
      <c r="I73" s="44">
        <v>0</v>
      </c>
    </row>
    <row r="74" spans="1:9" ht="14.25">
      <c r="A74" s="41" t="str">
        <f>HLOOKUP(INDICE!$F$2,Nombres!$C$3:$D$636,43,FALSE)</f>
        <v>Margen neto</v>
      </c>
      <c r="B74" s="41">
        <f>+B68+B69</f>
        <v>127.30376428240707</v>
      </c>
      <c r="C74" s="41">
        <f aca="true" t="shared" si="10" ref="C74:I74">+C68+C69</f>
        <v>152.86414426279023</v>
      </c>
      <c r="D74" s="41">
        <f t="shared" si="10"/>
        <v>153.88923718543538</v>
      </c>
      <c r="E74" s="42">
        <f t="shared" si="10"/>
        <v>147.6849116119389</v>
      </c>
      <c r="F74" s="50">
        <f t="shared" si="10"/>
        <v>144.63114083999994</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-118.06447455393979</v>
      </c>
      <c r="C75" s="44">
        <v>-86.44293599242346</v>
      </c>
      <c r="D75" s="44">
        <v>-66.48790666722556</v>
      </c>
      <c r="E75" s="45">
        <v>-51.11398704326866</v>
      </c>
      <c r="F75" s="44">
        <v>-68.209</v>
      </c>
      <c r="G75" s="44">
        <v>0</v>
      </c>
      <c r="H75" s="44">
        <v>0</v>
      </c>
      <c r="I75" s="44">
        <v>0</v>
      </c>
    </row>
    <row r="76" spans="1:9" ht="14.25">
      <c r="A76" s="43" t="str">
        <f>HLOOKUP(INDICE!$F$2,Nombres!$C$3:$D$636,45,FALSE)</f>
        <v>Provisiones o reversión de provisiones y otros resultados</v>
      </c>
      <c r="B76" s="44">
        <v>-2.2851775997099697</v>
      </c>
      <c r="C76" s="44">
        <v>-9.425312367714263</v>
      </c>
      <c r="D76" s="44">
        <v>-4.666637870701299</v>
      </c>
      <c r="E76" s="45">
        <v>-0.40182835709425224</v>
      </c>
      <c r="F76" s="44">
        <v>-7.476999999999999</v>
      </c>
      <c r="G76" s="44">
        <v>0</v>
      </c>
      <c r="H76" s="44">
        <v>0</v>
      </c>
      <c r="I76" s="44">
        <v>0</v>
      </c>
    </row>
    <row r="77" spans="1:9" ht="14.25">
      <c r="A77" s="41" t="str">
        <f>HLOOKUP(INDICE!$F$2,Nombres!$C$3:$D$636,46,FALSE)</f>
        <v>Resultado antes de impuestos</v>
      </c>
      <c r="B77" s="41">
        <f>+B74+B75+B76</f>
        <v>6.954112128757314</v>
      </c>
      <c r="C77" s="41">
        <f aca="true" t="shared" si="11" ref="C77:I77">+C74+C75+C76</f>
        <v>56.995895902652514</v>
      </c>
      <c r="D77" s="41">
        <f t="shared" si="11"/>
        <v>82.73469264750852</v>
      </c>
      <c r="E77" s="42">
        <f t="shared" si="11"/>
        <v>96.169096211576</v>
      </c>
      <c r="F77" s="50">
        <f t="shared" si="11"/>
        <v>68.94514083999994</v>
      </c>
      <c r="G77" s="50">
        <f t="shared" si="11"/>
        <v>0</v>
      </c>
      <c r="H77" s="50">
        <f t="shared" si="11"/>
        <v>0</v>
      </c>
      <c r="I77" s="50">
        <f t="shared" si="11"/>
        <v>0</v>
      </c>
    </row>
    <row r="78" spans="1:9" ht="14.25">
      <c r="A78" s="43" t="str">
        <f>HLOOKUP(INDICE!$F$2,Nombres!$C$3:$D$636,47,FALSE)</f>
        <v>Impuesto sobre beneficios</v>
      </c>
      <c r="B78" s="44">
        <v>0.41019450486502507</v>
      </c>
      <c r="C78" s="44">
        <v>-17.430115268973584</v>
      </c>
      <c r="D78" s="44">
        <v>-26.46222664554997</v>
      </c>
      <c r="E78" s="45">
        <v>-31.192496268543263</v>
      </c>
      <c r="F78" s="44">
        <v>-18.82366536</v>
      </c>
      <c r="G78" s="44">
        <v>0</v>
      </c>
      <c r="H78" s="44">
        <v>0</v>
      </c>
      <c r="I78" s="44">
        <v>0</v>
      </c>
    </row>
    <row r="79" spans="1:9" ht="14.25">
      <c r="A79" s="41" t="str">
        <f>HLOOKUP(INDICE!$F$2,Nombres!$C$3:$D$636,48,FALSE)</f>
        <v>Resultado del ejercicio</v>
      </c>
      <c r="B79" s="41">
        <f>+B77+B78</f>
        <v>7.3643066336223395</v>
      </c>
      <c r="C79" s="41">
        <f aca="true" t="shared" si="12" ref="C79:I79">+C77+C78</f>
        <v>39.565780633678926</v>
      </c>
      <c r="D79" s="41">
        <f t="shared" si="12"/>
        <v>56.272466001958556</v>
      </c>
      <c r="E79" s="42">
        <f t="shared" si="12"/>
        <v>64.97659994303274</v>
      </c>
      <c r="F79" s="50">
        <f t="shared" si="12"/>
        <v>50.12147547999994</v>
      </c>
      <c r="G79" s="50">
        <f t="shared" si="12"/>
        <v>0</v>
      </c>
      <c r="H79" s="50">
        <f t="shared" si="12"/>
        <v>0</v>
      </c>
      <c r="I79" s="50">
        <f t="shared" si="12"/>
        <v>0</v>
      </c>
    </row>
    <row r="80" spans="1:9" ht="14.25">
      <c r="A80" s="43" t="str">
        <f>HLOOKUP(INDICE!$F$2,Nombres!$C$3:$D$636,49,FALSE)</f>
        <v>Minoritarios</v>
      </c>
      <c r="B80" s="44">
        <v>0.09132485580339544</v>
      </c>
      <c r="C80" s="44">
        <v>-1.4291802717484512</v>
      </c>
      <c r="D80" s="44">
        <v>-2.0730856666956052</v>
      </c>
      <c r="E80" s="45">
        <v>-2.467560226112599</v>
      </c>
      <c r="F80" s="44">
        <v>-1.90251272</v>
      </c>
      <c r="G80" s="44">
        <v>0</v>
      </c>
      <c r="H80" s="44">
        <v>0</v>
      </c>
      <c r="I80" s="44">
        <v>0</v>
      </c>
    </row>
    <row r="81" spans="1:9" ht="14.25">
      <c r="A81" s="47" t="str">
        <f>HLOOKUP(INDICE!$F$2,Nombres!$C$3:$D$636,50,FALSE)</f>
        <v>Resultado atribuido</v>
      </c>
      <c r="B81" s="47">
        <f>+B79+B80</f>
        <v>7.455631489425735</v>
      </c>
      <c r="C81" s="47">
        <f aca="true" t="shared" si="13" ref="C81:I81">+C79+C80</f>
        <v>38.136600361930476</v>
      </c>
      <c r="D81" s="47">
        <f t="shared" si="13"/>
        <v>54.19938033526295</v>
      </c>
      <c r="E81" s="47">
        <f t="shared" si="13"/>
        <v>62.50903971692014</v>
      </c>
      <c r="F81" s="51">
        <f t="shared" si="13"/>
        <v>48.21896275999994</v>
      </c>
      <c r="G81" s="51">
        <f t="shared" si="13"/>
        <v>0</v>
      </c>
      <c r="H81" s="51">
        <f t="shared" si="13"/>
        <v>0</v>
      </c>
      <c r="I81" s="51">
        <f t="shared" si="13"/>
        <v>0</v>
      </c>
    </row>
    <row r="82" spans="1:9" ht="14.25">
      <c r="A82" s="62"/>
      <c r="B82" s="63">
        <v>7.993605777301127E-15</v>
      </c>
      <c r="C82" s="63">
        <v>0</v>
      </c>
      <c r="D82" s="63">
        <v>0</v>
      </c>
      <c r="E82" s="63">
        <v>5.684341886080802E-14</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1311.9196458292506</v>
      </c>
      <c r="C87" s="44">
        <v>2133.4584878677797</v>
      </c>
      <c r="D87" s="44">
        <v>1307.7135365433335</v>
      </c>
      <c r="E87" s="45">
        <v>1319.4517178258498</v>
      </c>
      <c r="F87" s="44">
        <v>850.8539999999999</v>
      </c>
      <c r="G87" s="44">
        <v>0</v>
      </c>
      <c r="H87" s="44">
        <v>0</v>
      </c>
      <c r="I87" s="44">
        <v>0</v>
      </c>
    </row>
    <row r="88" spans="1:9" ht="14.25">
      <c r="A88" s="43" t="str">
        <f>HLOOKUP(INDICE!$F$2,Nombres!$C$3:$D$636,53,FALSE)</f>
        <v>Activos financieros a valor razonable</v>
      </c>
      <c r="B88" s="58">
        <v>3498.101051556603</v>
      </c>
      <c r="C88" s="58">
        <v>2957.8894167860135</v>
      </c>
      <c r="D88" s="58">
        <v>2765.8898981098723</v>
      </c>
      <c r="E88" s="65">
        <v>2243.7824645808855</v>
      </c>
      <c r="F88" s="44">
        <v>2339.992</v>
      </c>
      <c r="G88" s="44">
        <v>0</v>
      </c>
      <c r="H88" s="44">
        <v>0</v>
      </c>
      <c r="I88" s="44">
        <v>0</v>
      </c>
    </row>
    <row r="89" spans="1:9" ht="14.25">
      <c r="A89" s="43" t="str">
        <f>HLOOKUP(INDICE!$F$2,Nombres!$C$3:$D$636,54,FALSE)</f>
        <v>Activos financieros a coste amortizado</v>
      </c>
      <c r="B89" s="44">
        <v>11779.437480062772</v>
      </c>
      <c r="C89" s="44">
        <v>12130.251980969606</v>
      </c>
      <c r="D89" s="44">
        <v>12012.347917751658</v>
      </c>
      <c r="E89" s="45">
        <v>11977.138682375195</v>
      </c>
      <c r="F89" s="44">
        <v>12129.947000000002</v>
      </c>
      <c r="G89" s="44">
        <v>0</v>
      </c>
      <c r="H89" s="44">
        <v>0</v>
      </c>
      <c r="I89" s="44">
        <v>0</v>
      </c>
    </row>
    <row r="90" spans="1:9" ht="14.25">
      <c r="A90" s="43" t="str">
        <f>HLOOKUP(INDICE!$F$2,Nombres!$C$3:$D$636,55,FALSE)</f>
        <v>    de los que préstamos y anticipos a la clientela</v>
      </c>
      <c r="B90" s="44">
        <v>11249.731926338536</v>
      </c>
      <c r="C90" s="44">
        <v>11373.198056821575</v>
      </c>
      <c r="D90" s="44">
        <v>11211.739002817696</v>
      </c>
      <c r="E90" s="45">
        <v>11159.861722474361</v>
      </c>
      <c r="F90" s="44">
        <v>11305.914999999997</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117.37241427320672</v>
      </c>
      <c r="C92" s="44">
        <v>116.53767298300946</v>
      </c>
      <c r="D92" s="44">
        <v>113.38920948884368</v>
      </c>
      <c r="E92" s="45">
        <v>110.46164298464313</v>
      </c>
      <c r="F92" s="44">
        <v>106.25500000000001</v>
      </c>
      <c r="G92" s="44">
        <v>0</v>
      </c>
      <c r="H92" s="44">
        <v>0</v>
      </c>
      <c r="I92" s="44">
        <v>0</v>
      </c>
    </row>
    <row r="93" spans="1:9" ht="14.25">
      <c r="A93" s="43" t="str">
        <f>HLOOKUP(INDICE!$F$2,Nombres!$C$3:$D$636,57,FALSE)</f>
        <v>Otros activos</v>
      </c>
      <c r="B93" s="58">
        <f>+B94-B92-B89-B88-B87</f>
        <v>673.766729960643</v>
      </c>
      <c r="C93" s="58">
        <f aca="true" t="shared" si="15" ref="C93:I93">+C94-C92-C89-C88-C87</f>
        <v>458.76405487952525</v>
      </c>
      <c r="D93" s="58">
        <f t="shared" si="15"/>
        <v>492.53760015605735</v>
      </c>
      <c r="E93" s="65">
        <f t="shared" si="15"/>
        <v>519.923487892951</v>
      </c>
      <c r="F93" s="44">
        <f t="shared" si="15"/>
        <v>665.5359999999977</v>
      </c>
      <c r="G93" s="44">
        <f t="shared" si="15"/>
        <v>0</v>
      </c>
      <c r="H93" s="44">
        <f t="shared" si="15"/>
        <v>0</v>
      </c>
      <c r="I93" s="44">
        <f t="shared" si="15"/>
        <v>0</v>
      </c>
    </row>
    <row r="94" spans="1:9" ht="14.25">
      <c r="A94" s="47" t="str">
        <f>HLOOKUP(INDICE!$F$2,Nombres!$C$3:$D$636,58,FALSE)</f>
        <v>Total activo / pasivo</v>
      </c>
      <c r="B94" s="47">
        <v>17380.597321682475</v>
      </c>
      <c r="C94" s="47">
        <v>17796.901613485934</v>
      </c>
      <c r="D94" s="47">
        <v>16691.878162049765</v>
      </c>
      <c r="E94" s="47">
        <v>16170.757995659524</v>
      </c>
      <c r="F94" s="51">
        <v>16092.583999999999</v>
      </c>
      <c r="G94" s="51">
        <v>0</v>
      </c>
      <c r="H94" s="51">
        <v>0</v>
      </c>
      <c r="I94" s="51">
        <v>0</v>
      </c>
    </row>
    <row r="95" spans="1:9" ht="14.25">
      <c r="A95" s="43" t="str">
        <f>HLOOKUP(INDICE!$F$2,Nombres!$C$3:$D$636,59,FALSE)</f>
        <v>Pasivos financieros mantenidos para negociar y designados a valor razonable con cambios en resultados</v>
      </c>
      <c r="B95" s="58">
        <v>1765.9975542112873</v>
      </c>
      <c r="C95" s="58">
        <v>1581.363807901927</v>
      </c>
      <c r="D95" s="58">
        <v>1428.9397401905117</v>
      </c>
      <c r="E95" s="65">
        <v>1059.3558706550593</v>
      </c>
      <c r="F95" s="44">
        <v>953.83</v>
      </c>
      <c r="G95" s="44">
        <v>0</v>
      </c>
      <c r="H95" s="44">
        <v>0</v>
      </c>
      <c r="I95" s="44">
        <v>0</v>
      </c>
    </row>
    <row r="96" spans="1:9" ht="14.25">
      <c r="A96" s="43" t="str">
        <f>HLOOKUP(INDICE!$F$2,Nombres!$C$3:$D$636,60,FALSE)</f>
        <v>Depósitos de bancos centrales y entidades de crédito</v>
      </c>
      <c r="B96" s="58">
        <v>550.7918914380164</v>
      </c>
      <c r="C96" s="58">
        <v>428.7823204833857</v>
      </c>
      <c r="D96" s="58">
        <v>625.0679159045542</v>
      </c>
      <c r="E96" s="65">
        <v>514.6285734877412</v>
      </c>
      <c r="F96" s="44">
        <v>395.64700000999994</v>
      </c>
      <c r="G96" s="44">
        <v>0</v>
      </c>
      <c r="H96" s="44">
        <v>0</v>
      </c>
      <c r="I96" s="44">
        <v>0</v>
      </c>
    </row>
    <row r="97" spans="1:9" ht="14.25">
      <c r="A97" s="43" t="str">
        <f>HLOOKUP(INDICE!$F$2,Nombres!$C$3:$D$636,61,FALSE)</f>
        <v>Depósitos de la clientela</v>
      </c>
      <c r="B97" s="58">
        <v>12204.384205314822</v>
      </c>
      <c r="C97" s="58">
        <v>13039.910233694685</v>
      </c>
      <c r="D97" s="58">
        <v>11761.124627694728</v>
      </c>
      <c r="E97" s="65">
        <v>11661.09343191871</v>
      </c>
      <c r="F97" s="44">
        <v>11750.15199999</v>
      </c>
      <c r="G97" s="44">
        <v>0</v>
      </c>
      <c r="H97" s="44">
        <v>0</v>
      </c>
      <c r="I97" s="44">
        <v>0</v>
      </c>
    </row>
    <row r="98" spans="1:9" ht="14.25">
      <c r="A98" s="43" t="str">
        <f>HLOOKUP(INDICE!$F$2,Nombres!$C$3:$D$636,62,FALSE)</f>
        <v>Valores representativos de deuda emitidos</v>
      </c>
      <c r="B98" s="44">
        <v>710.5148108052153</v>
      </c>
      <c r="C98" s="44">
        <v>739.7368042185042</v>
      </c>
      <c r="D98" s="44">
        <v>765.8247226071749</v>
      </c>
      <c r="E98" s="45">
        <v>681.5171696936774</v>
      </c>
      <c r="F98" s="44">
        <v>786.25855903</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590.263338386947</v>
      </c>
      <c r="C100" s="58">
        <f aca="true" t="shared" si="16" ref="C100:I100">+C94-C95-C96-C97-C98-C101</f>
        <v>488.82931009321396</v>
      </c>
      <c r="D100" s="58">
        <f t="shared" si="16"/>
        <v>643.8878776911326</v>
      </c>
      <c r="E100" s="65">
        <f t="shared" si="16"/>
        <v>823.935150111618</v>
      </c>
      <c r="F100" s="44">
        <f t="shared" si="16"/>
        <v>725.8774128500002</v>
      </c>
      <c r="G100" s="44">
        <f t="shared" si="16"/>
        <v>0</v>
      </c>
      <c r="H100" s="44">
        <f t="shared" si="16"/>
        <v>0</v>
      </c>
      <c r="I100" s="44">
        <f t="shared" si="16"/>
        <v>0</v>
      </c>
    </row>
    <row r="101" spans="1:9" ht="14.25">
      <c r="A101" s="43" t="str">
        <f>HLOOKUP(INDICE!$F$2,Nombres!$C$3:$D$636,282,FALSE)</f>
        <v>Dotación de capital regulatorio</v>
      </c>
      <c r="B101" s="58">
        <v>1558.6455215261858</v>
      </c>
      <c r="C101" s="58">
        <v>1518.2791370942173</v>
      </c>
      <c r="D101" s="58">
        <v>1467.033277961664</v>
      </c>
      <c r="E101" s="65">
        <v>1430.2277997927163</v>
      </c>
      <c r="F101" s="44">
        <v>1480.8190281199998</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11914.0948109824</v>
      </c>
      <c r="C107" s="44">
        <v>12077.479292130503</v>
      </c>
      <c r="D107" s="44">
        <v>11936.636098285895</v>
      </c>
      <c r="E107" s="45">
        <v>11880.264516516887</v>
      </c>
      <c r="F107" s="44">
        <v>12036.97017208</v>
      </c>
      <c r="G107" s="44">
        <v>0</v>
      </c>
      <c r="H107" s="44">
        <v>0</v>
      </c>
      <c r="I107" s="44">
        <v>0</v>
      </c>
    </row>
    <row r="108" spans="1:9" ht="14.25">
      <c r="A108" s="43" t="str">
        <f>HLOOKUP(INDICE!$F$2,Nombres!$C$3:$D$636,67,FALSE)</f>
        <v>Depósitos de clientes en gestión (**)</v>
      </c>
      <c r="B108" s="44">
        <v>12212.510311089487</v>
      </c>
      <c r="C108" s="44">
        <v>13048.052194052127</v>
      </c>
      <c r="D108" s="44">
        <v>11761.124505501468</v>
      </c>
      <c r="E108" s="45">
        <v>11660.099310729755</v>
      </c>
      <c r="F108" s="44">
        <v>11749.71156344</v>
      </c>
      <c r="G108" s="44">
        <v>0</v>
      </c>
      <c r="H108" s="44">
        <v>0</v>
      </c>
      <c r="I108" s="44">
        <v>0</v>
      </c>
    </row>
    <row r="109" spans="1:9" ht="14.25">
      <c r="A109" s="43" t="str">
        <f>HLOOKUP(INDICE!$F$2,Nombres!$C$3:$D$636,68,FALSE)</f>
        <v>Fondos de inversión</v>
      </c>
      <c r="B109" s="44">
        <v>700.0775200521254</v>
      </c>
      <c r="C109" s="44">
        <v>1095.3277231864124</v>
      </c>
      <c r="D109" s="44">
        <v>1560.9844450590278</v>
      </c>
      <c r="E109" s="45">
        <v>1505.9983095569469</v>
      </c>
      <c r="F109" s="44">
        <v>1130.8140225599998</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HLOOKUP(INDICE!$F$2,Nombres!$C$3:$D$636,75,FALSE)</f>
        <v>(Millones de pesos colombianos)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817266.9058985682</v>
      </c>
      <c r="C120" s="41">
        <v>819961.015994362</v>
      </c>
      <c r="D120" s="41">
        <v>808922.088299362</v>
      </c>
      <c r="E120" s="42">
        <v>846096.880219433</v>
      </c>
      <c r="F120" s="50">
        <v>860613.8709447717</v>
      </c>
      <c r="G120" s="50">
        <v>0</v>
      </c>
      <c r="H120" s="50">
        <v>0</v>
      </c>
      <c r="I120" s="50">
        <v>0</v>
      </c>
    </row>
    <row r="121" spans="1:9" ht="14.25">
      <c r="A121" s="43" t="str">
        <f>HLOOKUP(INDICE!$F$2,Nombres!$C$3:$D$636,34,FALSE)</f>
        <v>Comisiones netas</v>
      </c>
      <c r="B121" s="44">
        <v>68625.70687130185</v>
      </c>
      <c r="C121" s="44">
        <v>50438.08620293231</v>
      </c>
      <c r="D121" s="44">
        <v>93145.82751830594</v>
      </c>
      <c r="E121" s="45">
        <v>83741.54926617283</v>
      </c>
      <c r="F121" s="44">
        <v>91863.777062407</v>
      </c>
      <c r="G121" s="44">
        <v>0</v>
      </c>
      <c r="H121" s="44">
        <v>0</v>
      </c>
      <c r="I121" s="44">
        <v>0</v>
      </c>
    </row>
    <row r="122" spans="1:9" ht="14.25">
      <c r="A122" s="43" t="str">
        <f>HLOOKUP(INDICE!$F$2,Nombres!$C$3:$D$636,35,FALSE)</f>
        <v>Resultados de operaciones financieras</v>
      </c>
      <c r="B122" s="44">
        <v>18712.170255716606</v>
      </c>
      <c r="C122" s="44">
        <v>102394.3310637862</v>
      </c>
      <c r="D122" s="44">
        <v>118439.14184527077</v>
      </c>
      <c r="E122" s="45">
        <v>70979.28307843079</v>
      </c>
      <c r="F122" s="44">
        <v>31376.625707215208</v>
      </c>
      <c r="G122" s="44">
        <v>0</v>
      </c>
      <c r="H122" s="44">
        <v>0</v>
      </c>
      <c r="I122" s="44">
        <v>0</v>
      </c>
    </row>
    <row r="123" spans="1:9" ht="14.25">
      <c r="A123" s="43" t="str">
        <f>HLOOKUP(INDICE!$F$2,Nombres!$C$3:$D$636,36,FALSE)</f>
        <v>Otros ingresos y cargas de explotación</v>
      </c>
      <c r="B123" s="44">
        <v>-5515.221564918846</v>
      </c>
      <c r="C123" s="44">
        <v>-7818.120931105885</v>
      </c>
      <c r="D123" s="44">
        <v>-27945.824342638512</v>
      </c>
      <c r="E123" s="45">
        <v>-9141.260970043295</v>
      </c>
      <c r="F123" s="44">
        <v>-19210.24580259236</v>
      </c>
      <c r="G123" s="44">
        <v>0</v>
      </c>
      <c r="H123" s="44">
        <v>0</v>
      </c>
      <c r="I123" s="44">
        <v>0</v>
      </c>
    </row>
    <row r="124" spans="1:9" ht="14.25">
      <c r="A124" s="41" t="str">
        <f>HLOOKUP(INDICE!$F$2,Nombres!$C$3:$D$636,37,FALSE)</f>
        <v>Margen bruto</v>
      </c>
      <c r="B124" s="41">
        <f>+SUM(B120:B123)</f>
        <v>899089.5614606679</v>
      </c>
      <c r="C124" s="41">
        <f aca="true" t="shared" si="19" ref="C124:I124">+SUM(C120:C123)</f>
        <v>964975.3123299745</v>
      </c>
      <c r="D124" s="41">
        <f t="shared" si="19"/>
        <v>992561.2333203002</v>
      </c>
      <c r="E124" s="42">
        <f t="shared" si="19"/>
        <v>991676.4515939933</v>
      </c>
      <c r="F124" s="50">
        <f t="shared" si="19"/>
        <v>964644.0279118015</v>
      </c>
      <c r="G124" s="50">
        <f t="shared" si="19"/>
        <v>0</v>
      </c>
      <c r="H124" s="50">
        <f t="shared" si="19"/>
        <v>0</v>
      </c>
      <c r="I124" s="50">
        <f t="shared" si="19"/>
        <v>0</v>
      </c>
    </row>
    <row r="125" spans="1:9" ht="14.25">
      <c r="A125" s="43" t="str">
        <f>HLOOKUP(INDICE!$F$2,Nombres!$C$3:$D$636,38,FALSE)</f>
        <v>Gastos de explotación</v>
      </c>
      <c r="B125" s="44">
        <v>-353697.8122500708</v>
      </c>
      <c r="C125" s="44">
        <v>-310078.3931303448</v>
      </c>
      <c r="D125" s="44">
        <v>-333272.6354822879</v>
      </c>
      <c r="E125" s="45">
        <v>-358968.2773300616</v>
      </c>
      <c r="F125" s="44">
        <v>-345018.74551979604</v>
      </c>
      <c r="G125" s="44">
        <v>0</v>
      </c>
      <c r="H125" s="44">
        <v>0</v>
      </c>
      <c r="I125" s="44">
        <v>0</v>
      </c>
    </row>
    <row r="126" spans="1:9" ht="14.25">
      <c r="A126" s="43" t="str">
        <f>HLOOKUP(INDICE!$F$2,Nombres!$C$3:$D$636,39,FALSE)</f>
        <v>  Gastos de administración</v>
      </c>
      <c r="B126" s="44">
        <v>-324148.08199842647</v>
      </c>
      <c r="C126" s="44">
        <v>-279711.44095474784</v>
      </c>
      <c r="D126" s="44">
        <v>-302880.98419991124</v>
      </c>
      <c r="E126" s="45">
        <v>-328519.7496900159</v>
      </c>
      <c r="F126" s="44">
        <v>-314592.5265880362</v>
      </c>
      <c r="G126" s="44">
        <v>0</v>
      </c>
      <c r="H126" s="44">
        <v>0</v>
      </c>
      <c r="I126" s="44">
        <v>0</v>
      </c>
    </row>
    <row r="127" spans="1:9" ht="14.25">
      <c r="A127" s="46" t="str">
        <f>HLOOKUP(INDICE!$F$2,Nombres!$C$3:$D$636,40,FALSE)</f>
        <v>  Gastos de personal</v>
      </c>
      <c r="B127" s="44">
        <v>-164809.17397742634</v>
      </c>
      <c r="C127" s="44">
        <v>-140767.93954308674</v>
      </c>
      <c r="D127" s="44">
        <v>-150427.05504617095</v>
      </c>
      <c r="E127" s="45">
        <v>-159810.70442218363</v>
      </c>
      <c r="F127" s="44">
        <v>-158733.01008738833</v>
      </c>
      <c r="G127" s="44">
        <v>0</v>
      </c>
      <c r="H127" s="44">
        <v>0</v>
      </c>
      <c r="I127" s="44">
        <v>0</v>
      </c>
    </row>
    <row r="128" spans="1:9" ht="14.25">
      <c r="A128" s="46" t="str">
        <f>HLOOKUP(INDICE!$F$2,Nombres!$C$3:$D$636,41,FALSE)</f>
        <v>  Otros gastos de administración</v>
      </c>
      <c r="B128" s="44">
        <v>-159338.90802100007</v>
      </c>
      <c r="C128" s="44">
        <v>-138943.5014116611</v>
      </c>
      <c r="D128" s="44">
        <v>-152453.9291537403</v>
      </c>
      <c r="E128" s="45">
        <v>-168709.0452678322</v>
      </c>
      <c r="F128" s="44">
        <v>-155859.51650064794</v>
      </c>
      <c r="G128" s="44">
        <v>0</v>
      </c>
      <c r="H128" s="44">
        <v>0</v>
      </c>
      <c r="I128" s="44">
        <v>0</v>
      </c>
    </row>
    <row r="129" spans="1:9" ht="14.25">
      <c r="A129" s="43" t="str">
        <f>HLOOKUP(INDICE!$F$2,Nombres!$C$3:$D$636,42,FALSE)</f>
        <v>  Amortización</v>
      </c>
      <c r="B129" s="44">
        <v>-29549.730251644385</v>
      </c>
      <c r="C129" s="44">
        <v>-30366.95217559697</v>
      </c>
      <c r="D129" s="44">
        <v>-30391.651282376704</v>
      </c>
      <c r="E129" s="45">
        <v>-30448.527640045744</v>
      </c>
      <c r="F129" s="44">
        <v>-30426.218931759788</v>
      </c>
      <c r="G129" s="44">
        <v>0</v>
      </c>
      <c r="H129" s="44">
        <v>0</v>
      </c>
      <c r="I129" s="44">
        <v>0</v>
      </c>
    </row>
    <row r="130" spans="1:9" ht="14.25">
      <c r="A130" s="41" t="str">
        <f>HLOOKUP(INDICE!$F$2,Nombres!$C$3:$D$636,43,FALSE)</f>
        <v>Margen neto</v>
      </c>
      <c r="B130" s="41">
        <f>+B124+B125</f>
        <v>545391.749210597</v>
      </c>
      <c r="C130" s="41">
        <f aca="true" t="shared" si="20" ref="C130:I130">+C124+C125</f>
        <v>654896.9191996297</v>
      </c>
      <c r="D130" s="41">
        <f t="shared" si="20"/>
        <v>659288.5978380123</v>
      </c>
      <c r="E130" s="42">
        <f t="shared" si="20"/>
        <v>632708.1742639318</v>
      </c>
      <c r="F130" s="50">
        <f t="shared" si="20"/>
        <v>619625.2823920054</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-505809.00462424033</v>
      </c>
      <c r="C131" s="44">
        <v>-370336.763673553</v>
      </c>
      <c r="D131" s="44">
        <v>-284845.9032063385</v>
      </c>
      <c r="E131" s="45">
        <v>-218981.32360653722</v>
      </c>
      <c r="F131" s="44">
        <v>-292219.3701938051</v>
      </c>
      <c r="G131" s="44">
        <v>0</v>
      </c>
      <c r="H131" s="44">
        <v>0</v>
      </c>
      <c r="I131" s="44">
        <v>0</v>
      </c>
    </row>
    <row r="132" spans="1:9" ht="14.25">
      <c r="A132" s="43" t="str">
        <f>HLOOKUP(INDICE!$F$2,Nombres!$C$3:$D$636,45,FALSE)</f>
        <v>Provisiones o reversión de provisiones y otros resultados</v>
      </c>
      <c r="B132" s="44">
        <v>-9790.103343667819</v>
      </c>
      <c r="C132" s="44">
        <v>-40379.69833853807</v>
      </c>
      <c r="D132" s="44">
        <v>-19992.69861013785</v>
      </c>
      <c r="E132" s="45">
        <v>-1721.5034590170483</v>
      </c>
      <c r="F132" s="44">
        <v>-32032.78498349309</v>
      </c>
      <c r="G132" s="44">
        <v>0</v>
      </c>
      <c r="H132" s="44">
        <v>0</v>
      </c>
      <c r="I132" s="44">
        <v>0</v>
      </c>
    </row>
    <row r="133" spans="1:9" ht="14.25">
      <c r="A133" s="41" t="str">
        <f>HLOOKUP(INDICE!$F$2,Nombres!$C$3:$D$636,46,FALSE)</f>
        <v>Resultado antes de impuestos</v>
      </c>
      <c r="B133" s="41">
        <f>+B130+B131+B132</f>
        <v>29792.641242688864</v>
      </c>
      <c r="C133" s="41">
        <f aca="true" t="shared" si="21" ref="C133:I133">+C130+C131+C132</f>
        <v>244180.45718753862</v>
      </c>
      <c r="D133" s="41">
        <f t="shared" si="21"/>
        <v>354449.9960215359</v>
      </c>
      <c r="E133" s="42">
        <f t="shared" si="21"/>
        <v>412005.3471983776</v>
      </c>
      <c r="F133" s="50">
        <f t="shared" si="21"/>
        <v>295373.12721470726</v>
      </c>
      <c r="G133" s="50">
        <f t="shared" si="21"/>
        <v>0</v>
      </c>
      <c r="H133" s="50">
        <f t="shared" si="21"/>
        <v>0</v>
      </c>
      <c r="I133" s="50">
        <f t="shared" si="21"/>
        <v>0</v>
      </c>
    </row>
    <row r="134" spans="1:9" ht="14.25">
      <c r="A134" s="43" t="str">
        <f>HLOOKUP(INDICE!$F$2,Nombres!$C$3:$D$636,47,FALSE)</f>
        <v>Impuesto sobre beneficios</v>
      </c>
      <c r="B134" s="44">
        <v>1757.345509663166</v>
      </c>
      <c r="C134" s="44">
        <v>-74673.68391714999</v>
      </c>
      <c r="D134" s="44">
        <v>-113368.83995203474</v>
      </c>
      <c r="E134" s="45">
        <v>-133634.14819695827</v>
      </c>
      <c r="F134" s="44">
        <v>-80643.89796417106</v>
      </c>
      <c r="G134" s="44">
        <v>0</v>
      </c>
      <c r="H134" s="44">
        <v>0</v>
      </c>
      <c r="I134" s="44">
        <v>0</v>
      </c>
    </row>
    <row r="135" spans="1:9" ht="14.25">
      <c r="A135" s="41" t="str">
        <f>HLOOKUP(INDICE!$F$2,Nombres!$C$3:$D$636,48,FALSE)</f>
        <v>Resultado del ejercicio</v>
      </c>
      <c r="B135" s="41">
        <f>+B133+B134</f>
        <v>31549.98675235203</v>
      </c>
      <c r="C135" s="41">
        <f aca="true" t="shared" si="22" ref="C135:I135">+C133+C134</f>
        <v>169506.77327038863</v>
      </c>
      <c r="D135" s="41">
        <f t="shared" si="22"/>
        <v>241081.15606950113</v>
      </c>
      <c r="E135" s="42">
        <f t="shared" si="22"/>
        <v>278371.19900141936</v>
      </c>
      <c r="F135" s="50">
        <f t="shared" si="22"/>
        <v>214729.22925053618</v>
      </c>
      <c r="G135" s="50">
        <f t="shared" si="22"/>
        <v>0</v>
      </c>
      <c r="H135" s="50">
        <f t="shared" si="22"/>
        <v>0</v>
      </c>
      <c r="I135" s="50">
        <f t="shared" si="22"/>
        <v>0</v>
      </c>
    </row>
    <row r="136" spans="1:9" ht="14.25">
      <c r="A136" s="43" t="str">
        <f>HLOOKUP(INDICE!$F$2,Nombres!$C$3:$D$636,49,FALSE)</f>
        <v>Minoritarios</v>
      </c>
      <c r="B136" s="44">
        <v>391.25176803513205</v>
      </c>
      <c r="C136" s="44">
        <v>-6122.860017061439</v>
      </c>
      <c r="D136" s="44">
        <v>-8881.46414519483</v>
      </c>
      <c r="E136" s="45">
        <v>-10571.462639679614</v>
      </c>
      <c r="F136" s="44">
        <v>-8150.699597180766</v>
      </c>
      <c r="G136" s="44">
        <v>0</v>
      </c>
      <c r="H136" s="44">
        <v>0</v>
      </c>
      <c r="I136" s="44">
        <v>0</v>
      </c>
    </row>
    <row r="137" spans="1:9" ht="14.25">
      <c r="A137" s="47" t="str">
        <f>HLOOKUP(INDICE!$F$2,Nombres!$C$3:$D$636,50,FALSE)</f>
        <v>Resultado atribuido</v>
      </c>
      <c r="B137" s="47">
        <f>+B135+B136</f>
        <v>31941.23852038716</v>
      </c>
      <c r="C137" s="47">
        <f aca="true" t="shared" si="23" ref="C137:I137">+C135+C136</f>
        <v>163383.9132533272</v>
      </c>
      <c r="D137" s="47">
        <f t="shared" si="23"/>
        <v>232199.6919243063</v>
      </c>
      <c r="E137" s="47">
        <f t="shared" si="23"/>
        <v>267799.73636173975</v>
      </c>
      <c r="F137" s="51">
        <f t="shared" si="23"/>
        <v>206578.52965335542</v>
      </c>
      <c r="G137" s="51">
        <f t="shared" si="23"/>
        <v>0</v>
      </c>
      <c r="H137" s="51">
        <f t="shared" si="23"/>
        <v>0</v>
      </c>
      <c r="I137" s="51">
        <f t="shared" si="23"/>
        <v>0</v>
      </c>
    </row>
    <row r="138" spans="1:9" ht="14.25">
      <c r="A138" s="62"/>
      <c r="B138" s="63">
        <v>5.093170329928398E-11</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HLOOKUP(INDICE!$F$2,Nombres!$C$3:$D$636,75,FALSE)</f>
        <v>(Millones de pesos colombianos)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5748211.327396308</v>
      </c>
      <c r="C143" s="44">
        <v>9347805.931162573</v>
      </c>
      <c r="D143" s="44">
        <v>5729782.146067682</v>
      </c>
      <c r="E143" s="45">
        <v>5781213.304085398</v>
      </c>
      <c r="F143" s="44">
        <v>3728039.759377931</v>
      </c>
      <c r="G143" s="44">
        <v>0</v>
      </c>
      <c r="H143" s="44">
        <v>0</v>
      </c>
      <c r="I143" s="44">
        <v>0</v>
      </c>
    </row>
    <row r="144" spans="1:9" ht="14.25">
      <c r="A144" s="43" t="str">
        <f>HLOOKUP(INDICE!$F$2,Nombres!$C$3:$D$636,53,FALSE)</f>
        <v>Activos financieros a valor razonable</v>
      </c>
      <c r="B144" s="58">
        <v>15327024.145769738</v>
      </c>
      <c r="C144" s="58">
        <v>12960072.291628709</v>
      </c>
      <c r="D144" s="58">
        <v>12118821.219874823</v>
      </c>
      <c r="E144" s="65">
        <v>9831193.411974963</v>
      </c>
      <c r="F144" s="44">
        <v>10252738.087411333</v>
      </c>
      <c r="G144" s="44">
        <v>0</v>
      </c>
      <c r="H144" s="44">
        <v>0</v>
      </c>
      <c r="I144" s="44">
        <v>0</v>
      </c>
    </row>
    <row r="145" spans="1:9" ht="14.25">
      <c r="A145" s="43" t="str">
        <f>HLOOKUP(INDICE!$F$2,Nombres!$C$3:$D$636,54,FALSE)</f>
        <v>Activos financieros a coste amortizado</v>
      </c>
      <c r="B145" s="44">
        <v>51611923.16047239</v>
      </c>
      <c r="C145" s="44">
        <v>53149026.36213451</v>
      </c>
      <c r="D145" s="44">
        <v>52632426.52776959</v>
      </c>
      <c r="E145" s="45">
        <v>52478156.31292574</v>
      </c>
      <c r="F145" s="44">
        <v>53147690.07978696</v>
      </c>
      <c r="G145" s="44">
        <v>0</v>
      </c>
      <c r="H145" s="44">
        <v>0</v>
      </c>
      <c r="I145" s="44">
        <v>0</v>
      </c>
    </row>
    <row r="146" spans="1:9" ht="14.25">
      <c r="A146" s="43" t="str">
        <f>HLOOKUP(INDICE!$F$2,Nombres!$C$3:$D$636,55,FALSE)</f>
        <v>    de los que préstamos y anticipos a la clientela</v>
      </c>
      <c r="B146" s="44">
        <v>49291003.98391889</v>
      </c>
      <c r="C146" s="44">
        <v>49831974.166085646</v>
      </c>
      <c r="D146" s="44">
        <v>49124536.964358926</v>
      </c>
      <c r="E146" s="45">
        <v>48897235.260743074</v>
      </c>
      <c r="F146" s="44">
        <v>49537171.63714026</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514270.4001681748</v>
      </c>
      <c r="C148" s="44">
        <v>510612.9586815629</v>
      </c>
      <c r="D148" s="44">
        <v>496817.8809276826</v>
      </c>
      <c r="E148" s="45">
        <v>483990.6692957426</v>
      </c>
      <c r="F148" s="44">
        <v>465559.1495517467</v>
      </c>
      <c r="G148" s="44">
        <v>0</v>
      </c>
      <c r="H148" s="44">
        <v>0</v>
      </c>
      <c r="I148" s="44">
        <v>0</v>
      </c>
    </row>
    <row r="149" spans="1:9" ht="14.25">
      <c r="A149" s="43" t="str">
        <f>HLOOKUP(INDICE!$F$2,Nombres!$C$3:$D$636,57,FALSE)</f>
        <v>Otros activos</v>
      </c>
      <c r="B149" s="58">
        <f>+B150-B148-B145-B144-B143</f>
        <v>2952127.107399541</v>
      </c>
      <c r="C149" s="58">
        <f aca="true" t="shared" si="25" ref="C149:I149">+C150-C148-C145-C144-C143</f>
        <v>2010087.0851689074</v>
      </c>
      <c r="D149" s="58">
        <f t="shared" si="25"/>
        <v>2158066.7851010663</v>
      </c>
      <c r="E149" s="65">
        <f t="shared" si="25"/>
        <v>2278058.7911667023</v>
      </c>
      <c r="F149" s="44">
        <f t="shared" si="25"/>
        <v>2916063.94198928</v>
      </c>
      <c r="G149" s="44">
        <f t="shared" si="25"/>
        <v>0</v>
      </c>
      <c r="H149" s="44">
        <f t="shared" si="25"/>
        <v>0</v>
      </c>
      <c r="I149" s="44">
        <f t="shared" si="25"/>
        <v>0</v>
      </c>
    </row>
    <row r="150" spans="1:9" ht="14.25">
      <c r="A150" s="47" t="str">
        <f>HLOOKUP(INDICE!$F$2,Nombres!$C$3:$D$636,58,FALSE)</f>
        <v>Total activo / pasivo</v>
      </c>
      <c r="B150" s="47">
        <v>76153556.14120616</v>
      </c>
      <c r="C150" s="47">
        <v>77977604.62877627</v>
      </c>
      <c r="D150" s="47">
        <v>73135914.55974084</v>
      </c>
      <c r="E150" s="47">
        <v>70852612.48944855</v>
      </c>
      <c r="F150" s="51">
        <v>70510091.01811725</v>
      </c>
      <c r="G150" s="51">
        <v>0</v>
      </c>
      <c r="H150" s="51">
        <v>0</v>
      </c>
      <c r="I150" s="51">
        <v>0</v>
      </c>
    </row>
    <row r="151" spans="1:9" ht="14.25">
      <c r="A151" s="43" t="str">
        <f>HLOOKUP(INDICE!$F$2,Nombres!$C$3:$D$636,59,FALSE)</f>
        <v>Pasivos financieros mantenidos para negociar y designados a valor razonable con cambios en resultados</v>
      </c>
      <c r="B151" s="58">
        <v>7737765.9352413695</v>
      </c>
      <c r="C151" s="58">
        <v>6928788.193861306</v>
      </c>
      <c r="D151" s="58">
        <v>6260938.0283637345</v>
      </c>
      <c r="E151" s="65">
        <v>4641596.331606228</v>
      </c>
      <c r="F151" s="44">
        <v>4179231.881953251</v>
      </c>
      <c r="G151" s="44">
        <v>0</v>
      </c>
      <c r="H151" s="44">
        <v>0</v>
      </c>
      <c r="I151" s="44">
        <v>0</v>
      </c>
    </row>
    <row r="152" spans="1:9" ht="14.25">
      <c r="A152" s="43" t="str">
        <f>HLOOKUP(INDICE!$F$2,Nombres!$C$3:$D$636,60,FALSE)</f>
        <v>Depósitos de bancos centrales y entidades de crédito</v>
      </c>
      <c r="B152" s="58">
        <v>2413309.53421374</v>
      </c>
      <c r="C152" s="58">
        <v>1878721.306922682</v>
      </c>
      <c r="D152" s="58">
        <v>2738751.939585027</v>
      </c>
      <c r="E152" s="65">
        <v>2254858.9808289623</v>
      </c>
      <c r="F152" s="44">
        <v>1733538.0061865845</v>
      </c>
      <c r="G152" s="44">
        <v>0</v>
      </c>
      <c r="H152" s="44">
        <v>0</v>
      </c>
      <c r="I152" s="44">
        <v>0</v>
      </c>
    </row>
    <row r="153" spans="1:9" ht="14.25">
      <c r="A153" s="43" t="str">
        <f>HLOOKUP(INDICE!$F$2,Nombres!$C$3:$D$636,61,FALSE)</f>
        <v>Depósitos de la clientela</v>
      </c>
      <c r="B153" s="58">
        <v>53473838.70339409</v>
      </c>
      <c r="C153" s="58">
        <v>57134718.54152763</v>
      </c>
      <c r="D153" s="58">
        <v>51531684.90369076</v>
      </c>
      <c r="E153" s="65">
        <v>51093395.52028173</v>
      </c>
      <c r="F153" s="44">
        <v>51483608.039330855</v>
      </c>
      <c r="G153" s="44">
        <v>0</v>
      </c>
      <c r="H153" s="44">
        <v>0</v>
      </c>
      <c r="I153" s="44">
        <v>0</v>
      </c>
    </row>
    <row r="154" spans="1:9" ht="14.25">
      <c r="A154" s="43" t="str">
        <f>HLOOKUP(INDICE!$F$2,Nombres!$C$3:$D$636,62,FALSE)</f>
        <v>Valores representativos de deuda emitidos</v>
      </c>
      <c r="B154" s="44">
        <v>3113139.815184192</v>
      </c>
      <c r="C154" s="44">
        <v>3241176.7678141627</v>
      </c>
      <c r="D154" s="44">
        <v>3355481.686157816</v>
      </c>
      <c r="E154" s="45">
        <v>2986085.868217984</v>
      </c>
      <c r="F154" s="44">
        <v>3445013.0918054557</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2586254.7440685406</v>
      </c>
      <c r="C156" s="58">
        <f aca="true" t="shared" si="26" ref="C156:I156">+C150-C151-C152-C153-C154-C157</f>
        <v>2141818.812130846</v>
      </c>
      <c r="D156" s="58">
        <f t="shared" si="26"/>
        <v>2821212.1099671805</v>
      </c>
      <c r="E156" s="65">
        <f t="shared" si="26"/>
        <v>3610094.0922474638</v>
      </c>
      <c r="F156" s="44">
        <f t="shared" si="26"/>
        <v>3180451.470568632</v>
      </c>
      <c r="G156" s="44">
        <f t="shared" si="26"/>
        <v>0</v>
      </c>
      <c r="H156" s="44">
        <f t="shared" si="26"/>
        <v>0</v>
      </c>
      <c r="I156" s="44">
        <f t="shared" si="26"/>
        <v>0</v>
      </c>
    </row>
    <row r="157" spans="1:9" ht="15.75" customHeight="1">
      <c r="A157" s="43" t="str">
        <f>HLOOKUP(INDICE!$F$2,Nombres!$C$3:$D$636,282,FALSE)</f>
        <v>Dotación de capital regulatorio</v>
      </c>
      <c r="B157" s="58">
        <v>6829247.409104228</v>
      </c>
      <c r="C157" s="58">
        <v>6652381.006519634</v>
      </c>
      <c r="D157" s="58">
        <v>6427845.891976318</v>
      </c>
      <c r="E157" s="65">
        <v>6266581.69626618</v>
      </c>
      <c r="F157" s="44">
        <v>6488248.5282724695</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HLOOKUP(INDICE!$F$2,Nombres!$C$3:$D$636,75,FALSE)</f>
        <v>(Millones de pesos colombianos)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52201927.88932139</v>
      </c>
      <c r="C163" s="44">
        <v>52917801.40203388</v>
      </c>
      <c r="D163" s="44">
        <v>52300693.14786749</v>
      </c>
      <c r="E163" s="45">
        <v>52053699.541286506</v>
      </c>
      <c r="F163" s="44">
        <v>52740309.599485286</v>
      </c>
      <c r="G163" s="44">
        <v>0</v>
      </c>
      <c r="H163" s="44">
        <v>0</v>
      </c>
      <c r="I163" s="44">
        <v>0</v>
      </c>
    </row>
    <row r="164" spans="1:9" ht="14.25">
      <c r="A164" s="43" t="str">
        <f>HLOOKUP(INDICE!$F$2,Nombres!$C$3:$D$636,67,FALSE)</f>
        <v>Depósitos de clientes en gestión (**)</v>
      </c>
      <c r="B164" s="44">
        <v>53509443.45511044</v>
      </c>
      <c r="C164" s="44">
        <v>57170392.76052621</v>
      </c>
      <c r="D164" s="44">
        <v>51531684.368297696</v>
      </c>
      <c r="E164" s="45">
        <v>51089039.7514682</v>
      </c>
      <c r="F164" s="44">
        <v>51481678.25470285</v>
      </c>
      <c r="G164" s="44">
        <v>0</v>
      </c>
      <c r="H164" s="44">
        <v>0</v>
      </c>
      <c r="I164" s="44">
        <v>0</v>
      </c>
    </row>
    <row r="165" spans="1:9" ht="14.25">
      <c r="A165" s="43" t="str">
        <f>HLOOKUP(INDICE!$F$2,Nombres!$C$3:$D$636,68,FALSE)</f>
        <v>Fondos de inversión</v>
      </c>
      <c r="B165" s="44">
        <v>3067408.5441227555</v>
      </c>
      <c r="C165" s="44">
        <v>4799207.974091734</v>
      </c>
      <c r="D165" s="44">
        <v>6839495.465673959</v>
      </c>
      <c r="E165" s="45">
        <v>6598572.229294627</v>
      </c>
      <c r="F165" s="44">
        <v>4954692.152314935</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5" operator="notBetween">
      <formula>0.5</formula>
      <formula>-0.5</formula>
    </cfRule>
  </conditionalFormatting>
  <conditionalFormatting sqref="B82:I82">
    <cfRule type="cellIs" priority="2" dxfId="115" operator="notBetween">
      <formula>0.5</formula>
      <formula>-0.5</formula>
    </cfRule>
  </conditionalFormatting>
  <conditionalFormatting sqref="B138:I138">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P18" sqref="P18"/>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83" t="str">
        <f>HLOOKUP(INDICE!$F$2,Nombres!$C$3:$D$636,17,FALSE)</f>
        <v>Perú</v>
      </c>
      <c r="B1" s="30"/>
      <c r="C1" s="30"/>
      <c r="D1" s="30"/>
      <c r="E1" s="30"/>
      <c r="F1" s="30"/>
      <c r="G1" s="30"/>
      <c r="H1" s="30"/>
      <c r="I1" s="30"/>
    </row>
    <row r="2" spans="1:9" ht="19.5">
      <c r="A2" s="32"/>
      <c r="B2" s="30"/>
      <c r="C2" s="30"/>
      <c r="D2" s="30"/>
      <c r="E2" s="30"/>
      <c r="F2" s="30"/>
      <c r="G2" s="30"/>
      <c r="H2" s="30"/>
      <c r="I2" s="30"/>
    </row>
    <row r="3" spans="1:9" ht="16.5">
      <c r="A3" s="9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4.25">
      <c r="A8" s="41" t="str">
        <f>HLOOKUP(INDICE!$F$2,Nombres!$C$3:$D$636,33,FALSE)</f>
        <v>Margen de intereses</v>
      </c>
      <c r="B8" s="41">
        <v>219.20199999999997</v>
      </c>
      <c r="C8" s="41">
        <v>203.419</v>
      </c>
      <c r="D8" s="41">
        <v>197.277</v>
      </c>
      <c r="E8" s="42">
        <v>187.60899999999995</v>
      </c>
      <c r="F8" s="50">
        <v>182.101</v>
      </c>
      <c r="G8" s="50">
        <v>0</v>
      </c>
      <c r="H8" s="244">
        <v>0</v>
      </c>
      <c r="I8" s="244">
        <v>0</v>
      </c>
      <c r="J8" s="87"/>
      <c r="K8" s="87"/>
      <c r="L8" s="87"/>
      <c r="M8" s="87"/>
      <c r="N8" s="87"/>
      <c r="O8" s="87"/>
    </row>
    <row r="9" spans="1:9" ht="14.25">
      <c r="A9" s="88" t="str">
        <f>HLOOKUP(INDICE!$F$2,Nombres!$C$3:$D$636,34,FALSE)</f>
        <v>Comisiones netas</v>
      </c>
      <c r="B9" s="44">
        <v>53.25286948</v>
      </c>
      <c r="C9" s="44">
        <v>45.76907599999999</v>
      </c>
      <c r="D9" s="44">
        <v>61.25642644999999</v>
      </c>
      <c r="E9" s="45">
        <v>57.49436593000001</v>
      </c>
      <c r="F9" s="44">
        <v>54.90512816999999</v>
      </c>
      <c r="G9" s="44">
        <v>0</v>
      </c>
      <c r="H9" s="44">
        <v>0</v>
      </c>
      <c r="I9" s="44">
        <v>0</v>
      </c>
    </row>
    <row r="10" spans="1:9" ht="14.25">
      <c r="A10" s="88" t="str">
        <f>HLOOKUP(INDICE!$F$2,Nombres!$C$3:$D$636,35,FALSE)</f>
        <v>Resultados de operaciones financieras</v>
      </c>
      <c r="B10" s="44">
        <v>37.0917533</v>
      </c>
      <c r="C10" s="44">
        <v>35.56265369999999</v>
      </c>
      <c r="D10" s="44">
        <v>43.15786289000003</v>
      </c>
      <c r="E10" s="45">
        <v>43.211782320000005</v>
      </c>
      <c r="F10" s="44">
        <v>33.87019303999999</v>
      </c>
      <c r="G10" s="44">
        <v>0</v>
      </c>
      <c r="H10" s="44">
        <v>0</v>
      </c>
      <c r="I10" s="44">
        <v>0</v>
      </c>
    </row>
    <row r="11" spans="1:9" ht="14.25">
      <c r="A11" s="88" t="str">
        <f>HLOOKUP(INDICE!$F$2,Nombres!$C$3:$D$636,36,FALSE)</f>
        <v>Otros ingresos y cargas de explotación</v>
      </c>
      <c r="B11" s="44">
        <v>-6.353000000000001</v>
      </c>
      <c r="C11" s="44">
        <v>-8.053999999999998</v>
      </c>
      <c r="D11" s="44">
        <v>-6.8309999999999995</v>
      </c>
      <c r="E11" s="45">
        <v>-9.733999999999998</v>
      </c>
      <c r="F11" s="44">
        <v>-8.507</v>
      </c>
      <c r="G11" s="44">
        <v>0</v>
      </c>
      <c r="H11" s="44">
        <v>0</v>
      </c>
      <c r="I11" s="44">
        <v>0</v>
      </c>
    </row>
    <row r="12" spans="1:9" ht="14.25">
      <c r="A12" s="41" t="str">
        <f>HLOOKUP(INDICE!$F$2,Nombres!$C$3:$D$636,37,FALSE)</f>
        <v>Margen bruto</v>
      </c>
      <c r="B12" s="41">
        <f aca="true" t="shared" si="0" ref="B12:I12">+SUM(B8:B11)</f>
        <v>303.19362277999994</v>
      </c>
      <c r="C12" s="41">
        <f t="shared" si="0"/>
        <v>276.6967297</v>
      </c>
      <c r="D12" s="41">
        <f t="shared" si="0"/>
        <v>294.86028934</v>
      </c>
      <c r="E12" s="42">
        <f t="shared" si="0"/>
        <v>278.58114825</v>
      </c>
      <c r="F12" s="50">
        <f t="shared" si="0"/>
        <v>262.36932120999995</v>
      </c>
      <c r="G12" s="50">
        <f t="shared" si="0"/>
        <v>0</v>
      </c>
      <c r="H12" s="50">
        <f t="shared" si="0"/>
        <v>0</v>
      </c>
      <c r="I12" s="50">
        <f t="shared" si="0"/>
        <v>0</v>
      </c>
    </row>
    <row r="13" spans="1:9" ht="14.25">
      <c r="A13" s="88" t="str">
        <f>HLOOKUP(INDICE!$F$2,Nombres!$C$3:$D$636,38,FALSE)</f>
        <v>Gastos de explotación</v>
      </c>
      <c r="B13" s="44">
        <v>-119.76099933</v>
      </c>
      <c r="C13" s="44">
        <v>-107.01099999999998</v>
      </c>
      <c r="D13" s="44">
        <v>-103.13842657</v>
      </c>
      <c r="E13" s="45">
        <v>-105.46067678</v>
      </c>
      <c r="F13" s="44">
        <v>-100.81222875</v>
      </c>
      <c r="G13" s="44">
        <v>0</v>
      </c>
      <c r="H13" s="44">
        <v>0</v>
      </c>
      <c r="I13" s="44">
        <v>0</v>
      </c>
    </row>
    <row r="14" spans="1:9" ht="14.25">
      <c r="A14" s="88" t="str">
        <f>HLOOKUP(INDICE!$F$2,Nombres!$C$3:$D$636,39,FALSE)</f>
        <v>  Gastos de administración</v>
      </c>
      <c r="B14" s="44">
        <v>-101.47299933000001</v>
      </c>
      <c r="C14" s="44">
        <v>-91.223</v>
      </c>
      <c r="D14" s="44">
        <v>-88.39842657</v>
      </c>
      <c r="E14" s="45">
        <v>-90.94667677999999</v>
      </c>
      <c r="F14" s="44">
        <v>-85.88322875</v>
      </c>
      <c r="G14" s="44">
        <v>0</v>
      </c>
      <c r="H14" s="44">
        <v>0</v>
      </c>
      <c r="I14" s="44">
        <v>0</v>
      </c>
    </row>
    <row r="15" spans="1:9" ht="14.25">
      <c r="A15" s="89" t="str">
        <f>HLOOKUP(INDICE!$F$2,Nombres!$C$3:$D$636,40,FALSE)</f>
        <v>  Gastos de personal</v>
      </c>
      <c r="B15" s="44">
        <v>-58.68299999999999</v>
      </c>
      <c r="C15" s="44">
        <v>-51.48700000000001</v>
      </c>
      <c r="D15" s="44">
        <v>-50.19099999999999</v>
      </c>
      <c r="E15" s="45">
        <v>-52.01820126000001</v>
      </c>
      <c r="F15" s="44">
        <v>-47.685</v>
      </c>
      <c r="G15" s="44">
        <v>0</v>
      </c>
      <c r="H15" s="44">
        <v>0</v>
      </c>
      <c r="I15" s="44">
        <v>0</v>
      </c>
    </row>
    <row r="16" spans="1:9" ht="14.25">
      <c r="A16" s="89" t="str">
        <f>HLOOKUP(INDICE!$F$2,Nombres!$C$3:$D$636,41,FALSE)</f>
        <v>  Otros gastos de administración</v>
      </c>
      <c r="B16" s="44">
        <v>-42.789999330000015</v>
      </c>
      <c r="C16" s="44">
        <v>-39.736</v>
      </c>
      <c r="D16" s="44">
        <v>-38.207426569999996</v>
      </c>
      <c r="E16" s="45">
        <v>-38.92847552</v>
      </c>
      <c r="F16" s="44">
        <v>-38.198228750000006</v>
      </c>
      <c r="G16" s="44">
        <v>0</v>
      </c>
      <c r="H16" s="44">
        <v>0</v>
      </c>
      <c r="I16" s="44">
        <v>0</v>
      </c>
    </row>
    <row r="17" spans="1:9" ht="14.25">
      <c r="A17" s="88" t="str">
        <f>HLOOKUP(INDICE!$F$2,Nombres!$C$3:$D$636,42,FALSE)</f>
        <v>  Amortización</v>
      </c>
      <c r="B17" s="44">
        <v>-18.288</v>
      </c>
      <c r="C17" s="44">
        <v>-15.788000000000002</v>
      </c>
      <c r="D17" s="44">
        <v>-14.740000000000002</v>
      </c>
      <c r="E17" s="45">
        <v>-14.514</v>
      </c>
      <c r="F17" s="44">
        <v>-14.929</v>
      </c>
      <c r="G17" s="44">
        <v>0</v>
      </c>
      <c r="H17" s="44">
        <v>0</v>
      </c>
      <c r="I17" s="44">
        <v>0</v>
      </c>
    </row>
    <row r="18" spans="1:9" ht="14.25">
      <c r="A18" s="41" t="str">
        <f>HLOOKUP(INDICE!$F$2,Nombres!$C$3:$D$636,43,FALSE)</f>
        <v>Margen neto</v>
      </c>
      <c r="B18" s="41">
        <f aca="true" t="shared" si="1" ref="B18:I18">+B12+B13</f>
        <v>183.43262344999994</v>
      </c>
      <c r="C18" s="41">
        <f t="shared" si="1"/>
        <v>169.68572970000002</v>
      </c>
      <c r="D18" s="41">
        <f t="shared" si="1"/>
        <v>191.72186277000003</v>
      </c>
      <c r="E18" s="42">
        <f t="shared" si="1"/>
        <v>173.12047147</v>
      </c>
      <c r="F18" s="50">
        <f t="shared" si="1"/>
        <v>161.55709245999995</v>
      </c>
      <c r="G18" s="50">
        <f t="shared" si="1"/>
        <v>0</v>
      </c>
      <c r="H18" s="50">
        <f t="shared" si="1"/>
        <v>0</v>
      </c>
      <c r="I18" s="50">
        <f t="shared" si="1"/>
        <v>0</v>
      </c>
    </row>
    <row r="19" spans="1:9" ht="14.25">
      <c r="A19" s="88" t="str">
        <f>HLOOKUP(INDICE!$F$2,Nombres!$C$3:$D$636,44,FALSE)</f>
        <v>Deterioro de activos financieros no valorados a valor razonable con cambios en resultados</v>
      </c>
      <c r="B19" s="44">
        <v>-96.36200000000001</v>
      </c>
      <c r="C19" s="44">
        <v>-139.38000000000002</v>
      </c>
      <c r="D19" s="44">
        <v>-40.41399999999998</v>
      </c>
      <c r="E19" s="45">
        <v>-73.531</v>
      </c>
      <c r="F19" s="44">
        <v>-66.37799999999997</v>
      </c>
      <c r="G19" s="44">
        <v>0</v>
      </c>
      <c r="H19" s="44">
        <v>0</v>
      </c>
      <c r="I19" s="44">
        <v>0</v>
      </c>
    </row>
    <row r="20" spans="1:9" ht="14.25">
      <c r="A20" s="88" t="str">
        <f>HLOOKUP(INDICE!$F$2,Nombres!$C$3:$D$636,45,FALSE)</f>
        <v>Provisiones o reversión de provisiones y otros resultados</v>
      </c>
      <c r="B20" s="44">
        <v>-3.584</v>
      </c>
      <c r="C20" s="44">
        <v>-22.791</v>
      </c>
      <c r="D20" s="44">
        <v>-18.483999999999995</v>
      </c>
      <c r="E20" s="45">
        <v>3.048999999999999</v>
      </c>
      <c r="F20" s="44">
        <v>-6.544999999999999</v>
      </c>
      <c r="G20" s="44">
        <v>0</v>
      </c>
      <c r="H20" s="44">
        <v>0</v>
      </c>
      <c r="I20" s="44">
        <v>0</v>
      </c>
    </row>
    <row r="21" spans="1:9" ht="14.25">
      <c r="A21" s="90" t="str">
        <f>HLOOKUP(INDICE!$F$2,Nombres!$C$3:$D$636,46,FALSE)</f>
        <v>Resultado antes de impuestos</v>
      </c>
      <c r="B21" s="41">
        <f aca="true" t="shared" si="2" ref="B21:I21">+B18+B19+B20</f>
        <v>83.48662344999993</v>
      </c>
      <c r="C21" s="41">
        <f t="shared" si="2"/>
        <v>7.5147297</v>
      </c>
      <c r="D21" s="41">
        <f t="shared" si="2"/>
        <v>132.82386277000006</v>
      </c>
      <c r="E21" s="42">
        <f t="shared" si="2"/>
        <v>102.63847147</v>
      </c>
      <c r="F21" s="50">
        <f t="shared" si="2"/>
        <v>88.63409245999998</v>
      </c>
      <c r="G21" s="50">
        <f t="shared" si="2"/>
        <v>0</v>
      </c>
      <c r="H21" s="50">
        <f t="shared" si="2"/>
        <v>0</v>
      </c>
      <c r="I21" s="50">
        <f t="shared" si="2"/>
        <v>0</v>
      </c>
    </row>
    <row r="22" spans="1:9" ht="14.25">
      <c r="A22" s="43" t="str">
        <f>HLOOKUP(INDICE!$F$2,Nombres!$C$3:$D$636,47,FALSE)</f>
        <v>Impuesto sobre beneficios</v>
      </c>
      <c r="B22" s="44">
        <v>-18.682028610000003</v>
      </c>
      <c r="C22" s="44">
        <v>-1.8973019799999982</v>
      </c>
      <c r="D22" s="44">
        <v>-39.41538393000001</v>
      </c>
      <c r="E22" s="45">
        <v>-30.93051554</v>
      </c>
      <c r="F22" s="44">
        <v>-27.43245745</v>
      </c>
      <c r="G22" s="44">
        <v>0</v>
      </c>
      <c r="H22" s="44">
        <v>0</v>
      </c>
      <c r="I22" s="44">
        <v>0</v>
      </c>
    </row>
    <row r="23" spans="1:9" ht="14.25">
      <c r="A23" s="90" t="str">
        <f>HLOOKUP(INDICE!$F$2,Nombres!$C$3:$D$636,48,FALSE)</f>
        <v>Resultado del ejercicio</v>
      </c>
      <c r="B23" s="41">
        <f aca="true" t="shared" si="3" ref="B23:I23">+B21+B22</f>
        <v>64.80459483999992</v>
      </c>
      <c r="C23" s="41">
        <f t="shared" si="3"/>
        <v>5.617427720000002</v>
      </c>
      <c r="D23" s="41">
        <f t="shared" si="3"/>
        <v>93.40847884000004</v>
      </c>
      <c r="E23" s="42">
        <f t="shared" si="3"/>
        <v>71.70795593</v>
      </c>
      <c r="F23" s="50">
        <f t="shared" si="3"/>
        <v>61.201635009999976</v>
      </c>
      <c r="G23" s="50">
        <f t="shared" si="3"/>
        <v>0</v>
      </c>
      <c r="H23" s="50">
        <f t="shared" si="3"/>
        <v>0</v>
      </c>
      <c r="I23" s="50">
        <f t="shared" si="3"/>
        <v>0</v>
      </c>
    </row>
    <row r="24" spans="1:9" ht="14.25">
      <c r="A24" s="88" t="str">
        <f>HLOOKUP(INDICE!$F$2,Nombres!$C$3:$D$636,49,FALSE)</f>
        <v>Minoritarios</v>
      </c>
      <c r="B24" s="44">
        <v>-35.001207810000004</v>
      </c>
      <c r="C24" s="44">
        <v>-3.0148977499999976</v>
      </c>
      <c r="D24" s="44">
        <v>-49.344258679999996</v>
      </c>
      <c r="E24" s="45">
        <v>-38.33356466999999</v>
      </c>
      <c r="F24" s="44">
        <v>-33.19100227</v>
      </c>
      <c r="G24" s="44">
        <v>0</v>
      </c>
      <c r="H24" s="44">
        <v>0</v>
      </c>
      <c r="I24" s="44">
        <v>0</v>
      </c>
    </row>
    <row r="25" spans="1:9" ht="14.25">
      <c r="A25" s="91" t="str">
        <f>HLOOKUP(INDICE!$F$2,Nombres!$C$3:$D$636,50,FALSE)</f>
        <v>Resultado atribuido</v>
      </c>
      <c r="B25" s="47">
        <f aca="true" t="shared" si="4" ref="B25:I25">+B23+B24</f>
        <v>29.803387029999918</v>
      </c>
      <c r="C25" s="47">
        <f t="shared" si="4"/>
        <v>2.6025299700000044</v>
      </c>
      <c r="D25" s="47">
        <f t="shared" si="4"/>
        <v>44.06422016000005</v>
      </c>
      <c r="E25" s="47">
        <f t="shared" si="4"/>
        <v>33.37439126000001</v>
      </c>
      <c r="F25" s="51">
        <f t="shared" si="4"/>
        <v>28.010632739999977</v>
      </c>
      <c r="G25" s="51">
        <f t="shared" si="4"/>
        <v>0</v>
      </c>
      <c r="H25" s="51">
        <f t="shared" si="4"/>
        <v>0</v>
      </c>
      <c r="I25" s="51">
        <f t="shared" si="4"/>
        <v>0</v>
      </c>
    </row>
    <row r="26" spans="1:9" ht="14.25">
      <c r="A26" s="92"/>
      <c r="B26" s="63">
        <v>-3.907985046680551E-14</v>
      </c>
      <c r="C26" s="63">
        <v>1.9539925233402755E-14</v>
      </c>
      <c r="D26" s="63">
        <v>0</v>
      </c>
      <c r="E26" s="63">
        <v>0</v>
      </c>
      <c r="F26" s="63">
        <v>-3.552713678800501E-14</v>
      </c>
      <c r="G26" s="63">
        <v>0</v>
      </c>
      <c r="H26" s="63">
        <v>0</v>
      </c>
      <c r="I26" s="63">
        <v>0</v>
      </c>
    </row>
    <row r="27" spans="1:9" ht="14.25">
      <c r="A27" s="90"/>
      <c r="B27" s="41"/>
      <c r="C27" s="41"/>
      <c r="D27" s="41"/>
      <c r="E27" s="41"/>
      <c r="F27" s="41"/>
      <c r="G27" s="41"/>
      <c r="H27" s="41"/>
      <c r="I27" s="41"/>
    </row>
    <row r="28" spans="1:9" ht="16.5">
      <c r="A28" s="93" t="str">
        <f>HLOOKUP(INDICE!$F$2,Nombres!$C$3:$D$636,51,FALSE)</f>
        <v>Balances</v>
      </c>
      <c r="B28" s="34"/>
      <c r="C28" s="34"/>
      <c r="D28" s="34"/>
      <c r="E28" s="34"/>
      <c r="F28" s="34"/>
      <c r="G28" s="34"/>
      <c r="H28" s="34"/>
      <c r="I28" s="34"/>
    </row>
    <row r="29" spans="1:9" ht="14.25">
      <c r="A29" s="84"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88" t="str">
        <f>HLOOKUP(INDICE!$F$2,Nombres!$C$3:$D$636,52,FALSE)</f>
        <v>Efectivo, saldos en efectivo en bancos centrales y otros depósitos a la vista</v>
      </c>
      <c r="B31" s="44">
        <v>3381.091</v>
      </c>
      <c r="C31" s="44">
        <v>3129.6730000000002</v>
      </c>
      <c r="D31" s="44">
        <v>2480.178</v>
      </c>
      <c r="E31" s="45">
        <v>2821.008</v>
      </c>
      <c r="F31" s="44">
        <v>3055.0239999999994</v>
      </c>
      <c r="G31" s="44">
        <v>0</v>
      </c>
      <c r="H31" s="44">
        <v>0</v>
      </c>
      <c r="I31" s="44">
        <v>0</v>
      </c>
    </row>
    <row r="32" spans="1:9" ht="14.25">
      <c r="A32" s="88" t="str">
        <f>HLOOKUP(INDICE!$F$2,Nombres!$C$3:$D$636,53,FALSE)</f>
        <v>Activos financieros a valor razonable</v>
      </c>
      <c r="B32" s="58">
        <v>2243.8010000000004</v>
      </c>
      <c r="C32" s="58">
        <v>3027.178</v>
      </c>
      <c r="D32" s="58">
        <v>2967.7070000000003</v>
      </c>
      <c r="E32" s="65">
        <v>2769.0370000000003</v>
      </c>
      <c r="F32" s="44">
        <v>2774.0229999999997</v>
      </c>
      <c r="G32" s="44">
        <v>0</v>
      </c>
      <c r="H32" s="44">
        <v>0</v>
      </c>
      <c r="I32" s="44">
        <v>0</v>
      </c>
    </row>
    <row r="33" spans="1:9" ht="14.25">
      <c r="A33" s="43" t="str">
        <f>HLOOKUP(INDICE!$F$2,Nombres!$C$3:$D$636,54,FALSE)</f>
        <v>Activos financieros a coste amortizado</v>
      </c>
      <c r="B33" s="44">
        <v>16307.016000000001</v>
      </c>
      <c r="C33" s="44">
        <v>17648.992000000002</v>
      </c>
      <c r="D33" s="44">
        <v>18860.053</v>
      </c>
      <c r="E33" s="45">
        <v>18001.387000000002</v>
      </c>
      <c r="F33" s="44">
        <v>17518.131999999998</v>
      </c>
      <c r="G33" s="44">
        <v>0</v>
      </c>
      <c r="H33" s="44">
        <v>0</v>
      </c>
      <c r="I33" s="44">
        <v>0</v>
      </c>
    </row>
    <row r="34" spans="1:9" ht="14.25">
      <c r="A34" s="88" t="str">
        <f>HLOOKUP(INDICE!$F$2,Nombres!$C$3:$D$636,55,FALSE)</f>
        <v>    de los que préstamos y anticipos a la clientela</v>
      </c>
      <c r="B34" s="44">
        <v>15505.136000000002</v>
      </c>
      <c r="C34" s="44">
        <v>16097.621000000001</v>
      </c>
      <c r="D34" s="44">
        <v>15923.884999999998</v>
      </c>
      <c r="E34" s="45">
        <v>15093.016</v>
      </c>
      <c r="F34" s="44">
        <v>15276.72</v>
      </c>
      <c r="G34" s="44">
        <v>0</v>
      </c>
      <c r="H34" s="44">
        <v>0</v>
      </c>
      <c r="I34" s="44">
        <v>0</v>
      </c>
    </row>
    <row r="35" spans="1:9" ht="14.25">
      <c r="A35" s="88"/>
      <c r="B35" s="44"/>
      <c r="C35" s="44"/>
      <c r="D35" s="44"/>
      <c r="E35" s="45"/>
      <c r="F35" s="44"/>
      <c r="G35" s="44"/>
      <c r="H35" s="44"/>
      <c r="I35" s="44"/>
    </row>
    <row r="36" spans="1:9" ht="14.25">
      <c r="A36" s="43" t="str">
        <f>HLOOKUP(INDICE!$F$2,Nombres!$C$3:$D$636,56,FALSE)</f>
        <v>Activos tangibles</v>
      </c>
      <c r="B36" s="44">
        <v>308.02099999999996</v>
      </c>
      <c r="C36" s="44">
        <v>288.18399999999997</v>
      </c>
      <c r="D36" s="44">
        <v>270.52299999999997</v>
      </c>
      <c r="E36" s="45">
        <v>266.389</v>
      </c>
      <c r="F36" s="44">
        <v>262.35299999999995</v>
      </c>
      <c r="G36" s="44">
        <v>0</v>
      </c>
      <c r="H36" s="44">
        <v>0</v>
      </c>
      <c r="I36" s="44">
        <v>0</v>
      </c>
    </row>
    <row r="37" spans="1:9" ht="14.25">
      <c r="A37" s="88" t="str">
        <f>HLOOKUP(INDICE!$F$2,Nombres!$C$3:$D$636,57,FALSE)</f>
        <v>Otros activos</v>
      </c>
      <c r="B37" s="58">
        <f aca="true" t="shared" si="5" ref="B37:I37">+B38-B36-B33-B32-B31</f>
        <v>420.6919999999968</v>
      </c>
      <c r="C37" s="58">
        <f t="shared" si="5"/>
        <v>464.5180000000023</v>
      </c>
      <c r="D37" s="58">
        <f t="shared" si="5"/>
        <v>376.17135819000214</v>
      </c>
      <c r="E37" s="65">
        <f t="shared" si="5"/>
        <v>347.228976209999</v>
      </c>
      <c r="F37" s="44">
        <f t="shared" si="5"/>
        <v>362.53500002000465</v>
      </c>
      <c r="G37" s="44">
        <f t="shared" si="5"/>
        <v>0</v>
      </c>
      <c r="H37" s="44">
        <f t="shared" si="5"/>
        <v>0</v>
      </c>
      <c r="I37" s="44">
        <f t="shared" si="5"/>
        <v>0</v>
      </c>
    </row>
    <row r="38" spans="1:9" ht="14.25">
      <c r="A38" s="91" t="str">
        <f>HLOOKUP(INDICE!$F$2,Nombres!$C$3:$D$636,58,FALSE)</f>
        <v>Total activo / pasivo</v>
      </c>
      <c r="B38" s="47">
        <v>22660.621</v>
      </c>
      <c r="C38" s="47">
        <v>24558.545000000006</v>
      </c>
      <c r="D38" s="47">
        <v>24954.632358190003</v>
      </c>
      <c r="E38" s="47">
        <v>24205.04997621</v>
      </c>
      <c r="F38" s="51">
        <v>23972.06700002</v>
      </c>
      <c r="G38" s="51">
        <v>0</v>
      </c>
      <c r="H38" s="51">
        <v>0</v>
      </c>
      <c r="I38" s="51">
        <v>0</v>
      </c>
    </row>
    <row r="39" spans="1:9" ht="14.25">
      <c r="A39" s="88" t="str">
        <f>HLOOKUP(INDICE!$F$2,Nombres!$C$3:$D$636,59,FALSE)</f>
        <v>Pasivos financieros mantenidos para negociar y designados a valor razonable con cambios en resultados</v>
      </c>
      <c r="B39" s="58">
        <v>250.91199999999998</v>
      </c>
      <c r="C39" s="58">
        <v>280.795</v>
      </c>
      <c r="D39" s="58">
        <v>226.805</v>
      </c>
      <c r="E39" s="65">
        <v>222.03099999999998</v>
      </c>
      <c r="F39" s="44">
        <v>265.115</v>
      </c>
      <c r="G39" s="44">
        <v>0</v>
      </c>
      <c r="H39" s="44">
        <v>0</v>
      </c>
      <c r="I39" s="44">
        <v>0</v>
      </c>
    </row>
    <row r="40" spans="1:9" ht="15.75" customHeight="1">
      <c r="A40" s="88" t="str">
        <f>HLOOKUP(INDICE!$F$2,Nombres!$C$3:$D$636,60,FALSE)</f>
        <v>Depósitos de bancos centrales y entidades de crédito</v>
      </c>
      <c r="B40" s="58">
        <v>2750.2699999999995</v>
      </c>
      <c r="C40" s="58">
        <v>3087.928</v>
      </c>
      <c r="D40" s="58">
        <v>4562.022</v>
      </c>
      <c r="E40" s="65">
        <v>4086.2529999999997</v>
      </c>
      <c r="F40" s="44">
        <v>4194.721</v>
      </c>
      <c r="G40" s="44">
        <v>0</v>
      </c>
      <c r="H40" s="44">
        <v>0</v>
      </c>
      <c r="I40" s="44">
        <v>0</v>
      </c>
    </row>
    <row r="41" spans="1:9" ht="14.25">
      <c r="A41" s="88" t="str">
        <f>HLOOKUP(INDICE!$F$2,Nombres!$C$3:$D$636,61,FALSE)</f>
        <v>Depósitos de la clientela</v>
      </c>
      <c r="B41" s="58">
        <v>14764.692</v>
      </c>
      <c r="C41" s="58">
        <v>16406.72</v>
      </c>
      <c r="D41" s="58">
        <v>15659.979</v>
      </c>
      <c r="E41" s="65">
        <v>15849.82</v>
      </c>
      <c r="F41" s="44">
        <v>15191.590000000002</v>
      </c>
      <c r="G41" s="44">
        <v>0</v>
      </c>
      <c r="H41" s="44">
        <v>0</v>
      </c>
      <c r="I41" s="44">
        <v>0</v>
      </c>
    </row>
    <row r="42" spans="1:9" ht="14.25">
      <c r="A42" s="43" t="str">
        <f>HLOOKUP(INDICE!$F$2,Nombres!$C$3:$D$636,62,FALSE)</f>
        <v>Valores representativos de deuda emitidos</v>
      </c>
      <c r="B42" s="44">
        <v>2104.8350432999996</v>
      </c>
      <c r="C42" s="44">
        <v>2020.28450636</v>
      </c>
      <c r="D42" s="44">
        <v>1511.43275094</v>
      </c>
      <c r="E42" s="45">
        <v>1303.1936730399998</v>
      </c>
      <c r="F42" s="44">
        <v>1330.2121669000003</v>
      </c>
      <c r="G42" s="44">
        <v>0</v>
      </c>
      <c r="H42" s="44">
        <v>0</v>
      </c>
      <c r="I42" s="44">
        <v>0</v>
      </c>
    </row>
    <row r="43" spans="1:9" ht="14.25">
      <c r="A43" s="43"/>
      <c r="B43" s="44"/>
      <c r="C43" s="44"/>
      <c r="D43" s="44"/>
      <c r="E43" s="45"/>
      <c r="F43" s="44"/>
      <c r="G43" s="44"/>
      <c r="H43" s="44"/>
      <c r="I43" s="44"/>
    </row>
    <row r="44" spans="1:9" ht="14.25">
      <c r="A44" s="88" t="str">
        <f>HLOOKUP(INDICE!$F$2,Nombres!$C$3:$D$636,63,FALSE)</f>
        <v>Otros pasivos</v>
      </c>
      <c r="B44" s="58">
        <f aca="true" t="shared" si="6" ref="B44:I44">+B38-B39-B40-B41-B42-B45</f>
        <v>498.06310791999977</v>
      </c>
      <c r="C44" s="58">
        <f t="shared" si="6"/>
        <v>541.0607535100066</v>
      </c>
      <c r="D44" s="58">
        <f t="shared" si="6"/>
        <v>1039.9663570800028</v>
      </c>
      <c r="E44" s="65">
        <f t="shared" si="6"/>
        <v>777.1711647500015</v>
      </c>
      <c r="F44" s="44">
        <f t="shared" si="6"/>
        <v>1075.1958847099995</v>
      </c>
      <c r="G44" s="44">
        <f t="shared" si="6"/>
        <v>0</v>
      </c>
      <c r="H44" s="44">
        <f t="shared" si="6"/>
        <v>0</v>
      </c>
      <c r="I44" s="44">
        <f t="shared" si="6"/>
        <v>0</v>
      </c>
    </row>
    <row r="45" spans="1:9" ht="14.25">
      <c r="A45" s="43" t="str">
        <f>HLOOKUP(INDICE!$F$2,Nombres!$C$3:$D$636,282,FALSE)</f>
        <v>Dotación de capital regulatorio</v>
      </c>
      <c r="B45" s="58">
        <v>2291.84884878</v>
      </c>
      <c r="C45" s="58">
        <v>2221.75674013</v>
      </c>
      <c r="D45" s="58">
        <v>1954.42725017</v>
      </c>
      <c r="E45" s="65">
        <v>1966.5811384200001</v>
      </c>
      <c r="F45" s="44">
        <v>1915.2329484099996</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Indicadores relevantes y de gestión</v>
      </c>
      <c r="B48" s="34"/>
      <c r="C48" s="34"/>
      <c r="D48" s="34"/>
      <c r="E48" s="34"/>
      <c r="F48" s="69"/>
      <c r="G48" s="69"/>
      <c r="H48" s="69"/>
      <c r="I48" s="69"/>
    </row>
    <row r="49" spans="1:9" ht="14.25">
      <c r="A49" s="84"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88" t="str">
        <f>HLOOKUP(INDICE!$F$2,Nombres!$C$3:$D$636,66,FALSE)</f>
        <v>Préstamos y anticipos a la clientela bruto (*)</v>
      </c>
      <c r="B51" s="44">
        <v>16297.387603329998</v>
      </c>
      <c r="C51" s="44">
        <v>16892.626638960002</v>
      </c>
      <c r="D51" s="44">
        <v>16798.6447358</v>
      </c>
      <c r="E51" s="45">
        <v>15968.36124162</v>
      </c>
      <c r="F51" s="44">
        <v>16203.4205379</v>
      </c>
      <c r="G51" s="44">
        <v>0</v>
      </c>
      <c r="H51" s="44">
        <v>0</v>
      </c>
      <c r="I51" s="44">
        <v>0</v>
      </c>
    </row>
    <row r="52" spans="1:9" ht="14.25">
      <c r="A52" s="88" t="str">
        <f>HLOOKUP(INDICE!$F$2,Nombres!$C$3:$D$636,67,FALSE)</f>
        <v>Depósitos de clientes en gestión (**)</v>
      </c>
      <c r="B52" s="44">
        <v>14764.69045178</v>
      </c>
      <c r="C52" s="44">
        <v>16406.719858620003</v>
      </c>
      <c r="D52" s="44">
        <v>15659.98047436</v>
      </c>
      <c r="E52" s="45">
        <v>15849.82414508</v>
      </c>
      <c r="F52" s="44">
        <v>15191.590106359998</v>
      </c>
      <c r="G52" s="44">
        <v>0</v>
      </c>
      <c r="H52" s="44">
        <v>0</v>
      </c>
      <c r="I52" s="44">
        <v>0</v>
      </c>
    </row>
    <row r="53" spans="1:9" ht="14.25">
      <c r="A53" s="43" t="str">
        <f>HLOOKUP(INDICE!$F$2,Nombres!$C$3:$D$636,68,FALSE)</f>
        <v>Fondos de inversión</v>
      </c>
      <c r="B53" s="44">
        <v>1860.64184488</v>
      </c>
      <c r="C53" s="44">
        <v>1887.0736063</v>
      </c>
      <c r="D53" s="44">
        <v>2043.50743651</v>
      </c>
      <c r="E53" s="45">
        <v>2145.97857369</v>
      </c>
      <c r="F53" s="44">
        <v>2325.87276861</v>
      </c>
      <c r="G53" s="44">
        <v>0</v>
      </c>
      <c r="H53" s="44">
        <v>0</v>
      </c>
      <c r="I53" s="44">
        <v>0</v>
      </c>
    </row>
    <row r="54" spans="1:9" ht="14.25">
      <c r="A54" s="88" t="str">
        <f>HLOOKUP(INDICE!$F$2,Nombres!$C$3:$D$636,69,FALSE)</f>
        <v>Fondos de pensiones</v>
      </c>
      <c r="B54" s="44">
        <v>0</v>
      </c>
      <c r="C54" s="44">
        <v>0</v>
      </c>
      <c r="D54" s="44">
        <v>0</v>
      </c>
      <c r="E54" s="45">
        <v>0</v>
      </c>
      <c r="F54" s="44">
        <v>0</v>
      </c>
      <c r="G54" s="44">
        <v>0</v>
      </c>
      <c r="H54" s="44">
        <v>0</v>
      </c>
      <c r="I54" s="44">
        <v>0</v>
      </c>
    </row>
    <row r="55" spans="1:9" ht="14.25">
      <c r="A55" s="88" t="str">
        <f>HLOOKUP(INDICE!$F$2,Nombres!$C$3:$D$636,70,FALSE)</f>
        <v>Otros recursos fuera de balance</v>
      </c>
      <c r="B55" s="44">
        <v>0</v>
      </c>
      <c r="C55" s="44">
        <v>0</v>
      </c>
      <c r="D55" s="44">
        <v>0</v>
      </c>
      <c r="E55" s="45">
        <v>0</v>
      </c>
      <c r="F55" s="44">
        <v>0</v>
      </c>
      <c r="G55" s="44">
        <v>0</v>
      </c>
      <c r="H55" s="44">
        <v>0</v>
      </c>
      <c r="I55" s="44">
        <v>0</v>
      </c>
    </row>
    <row r="56" spans="1:9" ht="14.25">
      <c r="A56" s="92" t="str">
        <f>HLOOKUP(INDICE!$F$2,Nombres!$C$3:$D$636,71,FALSE)</f>
        <v>(*) No incluye las adquisiciones temporales de activos.</v>
      </c>
      <c r="B56" s="58"/>
      <c r="C56" s="58"/>
      <c r="D56" s="58"/>
      <c r="E56" s="58"/>
      <c r="F56" s="58"/>
      <c r="G56" s="58"/>
      <c r="H56" s="58"/>
      <c r="I56" s="58"/>
    </row>
    <row r="57" spans="1:9" ht="14.25">
      <c r="A57" s="9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93" t="str">
        <f>HLOOKUP(INDICE!$F$2,Nombres!$C$3:$D$636,31,FALSE)</f>
        <v>Cuenta de resultados  </v>
      </c>
      <c r="B59" s="34"/>
      <c r="C59" s="34"/>
      <c r="D59" s="34"/>
      <c r="E59" s="34"/>
      <c r="F59" s="34"/>
      <c r="G59" s="34"/>
      <c r="H59" s="34"/>
      <c r="I59" s="34"/>
    </row>
    <row r="60" spans="1:9" ht="14.25">
      <c r="A60" s="84"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4.25">
      <c r="A64" s="41" t="str">
        <f>HLOOKUP(INDICE!$F$2,Nombres!$C$3:$D$636,33,FALSE)</f>
        <v>Margen de intereses</v>
      </c>
      <c r="B64" s="41">
        <v>186.51226389005765</v>
      </c>
      <c r="C64" s="41">
        <v>174.0680336395051</v>
      </c>
      <c r="D64" s="41">
        <v>186.2815593327831</v>
      </c>
      <c r="E64" s="42">
        <v>184.07800609243412</v>
      </c>
      <c r="F64" s="50">
        <v>182.101</v>
      </c>
      <c r="G64" s="50">
        <v>0</v>
      </c>
      <c r="H64" s="50">
        <v>0</v>
      </c>
      <c r="I64" s="50">
        <v>0</v>
      </c>
    </row>
    <row r="65" spans="1:9" ht="14.25">
      <c r="A65" s="88" t="str">
        <f>HLOOKUP(INDICE!$F$2,Nombres!$C$3:$D$636,34,FALSE)</f>
        <v>Comisiones netas</v>
      </c>
      <c r="B65" s="44">
        <v>45.31123459346429</v>
      </c>
      <c r="C65" s="44">
        <v>39.17430342555167</v>
      </c>
      <c r="D65" s="44">
        <v>56.908897982573805</v>
      </c>
      <c r="E65" s="45">
        <v>55.72927334913492</v>
      </c>
      <c r="F65" s="44">
        <v>54.90512817</v>
      </c>
      <c r="G65" s="44">
        <v>0</v>
      </c>
      <c r="H65" s="44">
        <v>0</v>
      </c>
      <c r="I65" s="44">
        <v>0</v>
      </c>
    </row>
    <row r="66" spans="1:9" ht="14.25">
      <c r="A66" s="88" t="str">
        <f>HLOOKUP(INDICE!$F$2,Nombres!$C$3:$D$636,35,FALSE)</f>
        <v>Resultados de operaciones financieras</v>
      </c>
      <c r="B66" s="44">
        <v>31.560236127565066</v>
      </c>
      <c r="C66" s="44">
        <v>30.42851429632288</v>
      </c>
      <c r="D66" s="44">
        <v>40.178562520319915</v>
      </c>
      <c r="E66" s="45">
        <v>41.778211898166504</v>
      </c>
      <c r="F66" s="44">
        <v>33.87019304</v>
      </c>
      <c r="G66" s="44">
        <v>0</v>
      </c>
      <c r="H66" s="44">
        <v>0</v>
      </c>
      <c r="I66" s="44">
        <v>0</v>
      </c>
    </row>
    <row r="67" spans="1:9" ht="14.25">
      <c r="A67" s="88" t="str">
        <f>HLOOKUP(INDICE!$F$2,Nombres!$C$3:$D$636,36,FALSE)</f>
        <v>Otros ingresos y cargas de explotación</v>
      </c>
      <c r="B67" s="44">
        <v>-5.405572998848261</v>
      </c>
      <c r="C67" s="44">
        <v>-6.886481457765138</v>
      </c>
      <c r="D67" s="44">
        <v>-6.443692579257829</v>
      </c>
      <c r="E67" s="45">
        <v>-9.29951387881489</v>
      </c>
      <c r="F67" s="44">
        <v>-8.506999999999998</v>
      </c>
      <c r="G67" s="44">
        <v>0</v>
      </c>
      <c r="H67" s="44">
        <v>0</v>
      </c>
      <c r="I67" s="44">
        <v>0</v>
      </c>
    </row>
    <row r="68" spans="1:9" ht="14.25">
      <c r="A68" s="41" t="str">
        <f>HLOOKUP(INDICE!$F$2,Nombres!$C$3:$D$636,37,FALSE)</f>
        <v>Margen bruto</v>
      </c>
      <c r="B68" s="41">
        <f aca="true" t="shared" si="9" ref="B68:I68">+SUM(B64:B67)</f>
        <v>257.97816161223875</v>
      </c>
      <c r="C68" s="41">
        <f t="shared" si="9"/>
        <v>236.7843699036145</v>
      </c>
      <c r="D68" s="41">
        <f t="shared" si="9"/>
        <v>276.925327256419</v>
      </c>
      <c r="E68" s="42">
        <f t="shared" si="9"/>
        <v>272.28597746092066</v>
      </c>
      <c r="F68" s="50">
        <f t="shared" si="9"/>
        <v>262.36932121</v>
      </c>
      <c r="G68" s="50">
        <f t="shared" si="9"/>
        <v>0</v>
      </c>
      <c r="H68" s="50">
        <f t="shared" si="9"/>
        <v>0</v>
      </c>
      <c r="I68" s="50">
        <f t="shared" si="9"/>
        <v>0</v>
      </c>
    </row>
    <row r="69" spans="1:9" ht="14.25">
      <c r="A69" s="88" t="str">
        <f>HLOOKUP(INDICE!$F$2,Nombres!$C$3:$D$636,38,FALSE)</f>
        <v>Gastos de explotación</v>
      </c>
      <c r="B69" s="44">
        <v>-101.90096400020977</v>
      </c>
      <c r="C69" s="44">
        <v>-91.58093820007186</v>
      </c>
      <c r="D69" s="44">
        <v>-97.55860463458694</v>
      </c>
      <c r="E69" s="45">
        <v>-103.04907273210813</v>
      </c>
      <c r="F69" s="44">
        <v>-100.81222875000002</v>
      </c>
      <c r="G69" s="44">
        <v>0</v>
      </c>
      <c r="H69" s="44">
        <v>0</v>
      </c>
      <c r="I69" s="44">
        <v>0</v>
      </c>
    </row>
    <row r="70" spans="1:9" ht="14.25">
      <c r="A70" s="88" t="str">
        <f>HLOOKUP(INDICE!$F$2,Nombres!$C$3:$D$636,39,FALSE)</f>
        <v>  Gastos de administración</v>
      </c>
      <c r="B70" s="44">
        <v>-86.34026527473567</v>
      </c>
      <c r="C70" s="44">
        <v>-78.06798886116349</v>
      </c>
      <c r="D70" s="44">
        <v>-83.56773498058305</v>
      </c>
      <c r="E70" s="45">
        <v>-88.78848797964753</v>
      </c>
      <c r="F70" s="44">
        <v>-85.88322875000001</v>
      </c>
      <c r="G70" s="44">
        <v>0</v>
      </c>
      <c r="H70" s="44">
        <v>0</v>
      </c>
      <c r="I70" s="44">
        <v>0</v>
      </c>
    </row>
    <row r="71" spans="1:9" ht="14.25">
      <c r="A71" s="89" t="str">
        <f>HLOOKUP(INDICE!$F$2,Nombres!$C$3:$D$636,40,FALSE)</f>
        <v>  Gastos de personal</v>
      </c>
      <c r="B71" s="44">
        <v>-49.93156623507201</v>
      </c>
      <c r="C71" s="44">
        <v>-44.06549349180369</v>
      </c>
      <c r="D71" s="44">
        <v>-47.47026913739333</v>
      </c>
      <c r="E71" s="45">
        <v>-50.77425450705783</v>
      </c>
      <c r="F71" s="44">
        <v>-47.685</v>
      </c>
      <c r="G71" s="44">
        <v>0</v>
      </c>
      <c r="H71" s="44">
        <v>0</v>
      </c>
      <c r="I71" s="44">
        <v>0</v>
      </c>
    </row>
    <row r="72" spans="1:9" ht="14.25">
      <c r="A72" s="89" t="str">
        <f>HLOOKUP(INDICE!$F$2,Nombres!$C$3:$D$636,41,FALSE)</f>
        <v>  Otros gastos de administración</v>
      </c>
      <c r="B72" s="44">
        <v>-36.40869903966366</v>
      </c>
      <c r="C72" s="44">
        <v>-34.0024953693598</v>
      </c>
      <c r="D72" s="44">
        <v>-36.097465843189696</v>
      </c>
      <c r="E72" s="45">
        <v>-38.01423347258971</v>
      </c>
      <c r="F72" s="44">
        <v>-38.198228750000006</v>
      </c>
      <c r="G72" s="44">
        <v>0</v>
      </c>
      <c r="H72" s="44">
        <v>0</v>
      </c>
      <c r="I72" s="44">
        <v>0</v>
      </c>
    </row>
    <row r="73" spans="1:9" ht="14.25">
      <c r="A73" s="88" t="str">
        <f>HLOOKUP(INDICE!$F$2,Nombres!$C$3:$D$636,42,FALSE)</f>
        <v>  Amortización</v>
      </c>
      <c r="B73" s="44">
        <v>-15.560698725474106</v>
      </c>
      <c r="C73" s="44">
        <v>-13.51294933890836</v>
      </c>
      <c r="D73" s="44">
        <v>-13.990869654003912</v>
      </c>
      <c r="E73" s="45">
        <v>-14.260584752460591</v>
      </c>
      <c r="F73" s="44">
        <v>-14.928999999999998</v>
      </c>
      <c r="G73" s="44">
        <v>0</v>
      </c>
      <c r="H73" s="44">
        <v>0</v>
      </c>
      <c r="I73" s="44">
        <v>0</v>
      </c>
    </row>
    <row r="74" spans="1:9" ht="14.25">
      <c r="A74" s="41" t="str">
        <f>HLOOKUP(INDICE!$F$2,Nombres!$C$3:$D$636,43,FALSE)</f>
        <v>Margen neto</v>
      </c>
      <c r="B74" s="41">
        <f aca="true" t="shared" si="10" ref="B74:I74">+B68+B69</f>
        <v>156.07719761202898</v>
      </c>
      <c r="C74" s="41">
        <f t="shared" si="10"/>
        <v>145.20343170354266</v>
      </c>
      <c r="D74" s="41">
        <f t="shared" si="10"/>
        <v>179.36672262183205</v>
      </c>
      <c r="E74" s="42">
        <f t="shared" si="10"/>
        <v>169.23690472881253</v>
      </c>
      <c r="F74" s="50">
        <f t="shared" si="10"/>
        <v>161.55709245999998</v>
      </c>
      <c r="G74" s="50">
        <f t="shared" si="10"/>
        <v>0</v>
      </c>
      <c r="H74" s="50">
        <f t="shared" si="10"/>
        <v>0</v>
      </c>
      <c r="I74" s="50">
        <f t="shared" si="10"/>
        <v>0</v>
      </c>
    </row>
    <row r="75" spans="1:9" ht="14.25">
      <c r="A75" s="88" t="str">
        <f>HLOOKUP(INDICE!$F$2,Nombres!$C$3:$D$636,44,FALSE)</f>
        <v>Deterioro de activos financieros no valorados a valor razonable con cambios en resultados</v>
      </c>
      <c r="B75" s="44">
        <v>-81.99147258224716</v>
      </c>
      <c r="C75" s="44">
        <v>-119.14363547015492</v>
      </c>
      <c r="D75" s="44">
        <v>-42.48429859785004</v>
      </c>
      <c r="E75" s="45">
        <v>-72.91056504914884</v>
      </c>
      <c r="F75" s="44">
        <v>-66.37799999999999</v>
      </c>
      <c r="G75" s="44">
        <v>0</v>
      </c>
      <c r="H75" s="44">
        <v>0</v>
      </c>
      <c r="I75" s="44">
        <v>0</v>
      </c>
    </row>
    <row r="76" spans="1:9" ht="14.25">
      <c r="A76" s="88" t="str">
        <f>HLOOKUP(INDICE!$F$2,Nombres!$C$3:$D$636,45,FALSE)</f>
        <v>Provisiones o reversión de provisiones y otros resultados</v>
      </c>
      <c r="B76" s="44">
        <v>-3.0495157607228345</v>
      </c>
      <c r="C76" s="44">
        <v>-19.453638004334316</v>
      </c>
      <c r="D76" s="44">
        <v>-17.070576166299254</v>
      </c>
      <c r="E76" s="45">
        <v>1.72811909437375</v>
      </c>
      <c r="F76" s="44">
        <v>-6.545</v>
      </c>
      <c r="G76" s="44">
        <v>0</v>
      </c>
      <c r="H76" s="44">
        <v>0</v>
      </c>
      <c r="I76" s="44">
        <v>0</v>
      </c>
    </row>
    <row r="77" spans="1:9" ht="14.25">
      <c r="A77" s="90" t="str">
        <f>HLOOKUP(INDICE!$F$2,Nombres!$C$3:$D$636,46,FALSE)</f>
        <v>Resultado antes de impuestos</v>
      </c>
      <c r="B77" s="41">
        <f aca="true" t="shared" si="11" ref="B77:I77">+B74+B75+B76</f>
        <v>71.03620926905899</v>
      </c>
      <c r="C77" s="41">
        <f t="shared" si="11"/>
        <v>6.6061582290534275</v>
      </c>
      <c r="D77" s="41">
        <f t="shared" si="11"/>
        <v>119.81184785768278</v>
      </c>
      <c r="E77" s="42">
        <f t="shared" si="11"/>
        <v>98.05445877403744</v>
      </c>
      <c r="F77" s="50">
        <f t="shared" si="11"/>
        <v>88.63409245999999</v>
      </c>
      <c r="G77" s="50">
        <f t="shared" si="11"/>
        <v>0</v>
      </c>
      <c r="H77" s="50">
        <f t="shared" si="11"/>
        <v>0</v>
      </c>
      <c r="I77" s="50">
        <f t="shared" si="11"/>
        <v>0</v>
      </c>
    </row>
    <row r="78" spans="1:9" ht="14.25">
      <c r="A78" s="43" t="str">
        <f>HLOOKUP(INDICE!$F$2,Nombres!$C$3:$D$636,47,FALSE)</f>
        <v>Impuesto sobre beneficios</v>
      </c>
      <c r="B78" s="44">
        <v>-15.895965593881112</v>
      </c>
      <c r="C78" s="44">
        <v>-1.6623222032265383</v>
      </c>
      <c r="D78" s="44">
        <v>-35.36787261046512</v>
      </c>
      <c r="E78" s="45">
        <v>-29.377615533921546</v>
      </c>
      <c r="F78" s="44">
        <v>-27.43245745</v>
      </c>
      <c r="G78" s="44">
        <v>0</v>
      </c>
      <c r="H78" s="44">
        <v>0</v>
      </c>
      <c r="I78" s="44">
        <v>0</v>
      </c>
    </row>
    <row r="79" spans="1:9" ht="14.25">
      <c r="A79" s="90" t="str">
        <f>HLOOKUP(INDICE!$F$2,Nombres!$C$3:$D$636,48,FALSE)</f>
        <v>Resultado del ejercicio</v>
      </c>
      <c r="B79" s="41">
        <f aca="true" t="shared" si="12" ref="B79:I79">+B77+B78</f>
        <v>55.14024367517787</v>
      </c>
      <c r="C79" s="41">
        <f t="shared" si="12"/>
        <v>4.943836025826889</v>
      </c>
      <c r="D79" s="41">
        <f t="shared" si="12"/>
        <v>84.44397524721765</v>
      </c>
      <c r="E79" s="42">
        <f t="shared" si="12"/>
        <v>68.6768432401159</v>
      </c>
      <c r="F79" s="50">
        <f t="shared" si="12"/>
        <v>61.20163500999999</v>
      </c>
      <c r="G79" s="50">
        <f t="shared" si="12"/>
        <v>0</v>
      </c>
      <c r="H79" s="50">
        <f t="shared" si="12"/>
        <v>0</v>
      </c>
      <c r="I79" s="50">
        <f t="shared" si="12"/>
        <v>0</v>
      </c>
    </row>
    <row r="80" spans="1:9" ht="14.25">
      <c r="A80" s="88" t="str">
        <f>HLOOKUP(INDICE!$F$2,Nombres!$C$3:$D$636,49,FALSE)</f>
        <v>Minoritarios</v>
      </c>
      <c r="B80" s="44">
        <v>-29.78145503932203</v>
      </c>
      <c r="C80" s="44">
        <v>-2.653891651306372</v>
      </c>
      <c r="D80" s="44">
        <v>-44.63225314750187</v>
      </c>
      <c r="E80" s="45">
        <v>-36.70813606474518</v>
      </c>
      <c r="F80" s="44">
        <v>-33.19100227</v>
      </c>
      <c r="G80" s="44">
        <v>0</v>
      </c>
      <c r="H80" s="44">
        <v>0</v>
      </c>
      <c r="I80" s="44">
        <v>0</v>
      </c>
    </row>
    <row r="81" spans="1:9" ht="14.25">
      <c r="A81" s="91" t="str">
        <f>HLOOKUP(INDICE!$F$2,Nombres!$C$3:$D$636,50,FALSE)</f>
        <v>Resultado atribuido</v>
      </c>
      <c r="B81" s="47">
        <f aca="true" t="shared" si="13" ref="B81:I81">+B79+B80</f>
        <v>25.35878863585584</v>
      </c>
      <c r="C81" s="47">
        <f t="shared" si="13"/>
        <v>2.289944374520517</v>
      </c>
      <c r="D81" s="47">
        <f t="shared" si="13"/>
        <v>39.81172209971578</v>
      </c>
      <c r="E81" s="47">
        <f t="shared" si="13"/>
        <v>31.968707175370717</v>
      </c>
      <c r="F81" s="51">
        <f t="shared" si="13"/>
        <v>28.01063273999999</v>
      </c>
      <c r="G81" s="51">
        <f t="shared" si="13"/>
        <v>0</v>
      </c>
      <c r="H81" s="51">
        <f t="shared" si="13"/>
        <v>0</v>
      </c>
      <c r="I81" s="51">
        <f t="shared" si="13"/>
        <v>0</v>
      </c>
    </row>
    <row r="82" spans="1:9" ht="14.25">
      <c r="A82" s="92"/>
      <c r="B82" s="63">
        <v>0</v>
      </c>
      <c r="C82" s="63">
        <v>-2.930988785010413E-14</v>
      </c>
      <c r="D82" s="63">
        <v>0</v>
      </c>
      <c r="E82" s="63">
        <v>3.197442310920451E-14</v>
      </c>
      <c r="F82" s="63">
        <v>0</v>
      </c>
      <c r="G82" s="63">
        <v>0</v>
      </c>
      <c r="H82" s="63">
        <v>0</v>
      </c>
      <c r="I82" s="63">
        <v>0</v>
      </c>
    </row>
    <row r="83" spans="1:9" ht="14.25">
      <c r="A83" s="90"/>
      <c r="B83" s="41"/>
      <c r="C83" s="41"/>
      <c r="D83" s="41"/>
      <c r="E83" s="41"/>
      <c r="F83" s="50"/>
      <c r="G83" s="50"/>
      <c r="H83" s="50"/>
      <c r="I83" s="50"/>
    </row>
    <row r="84" spans="1:9" ht="16.5">
      <c r="A84" s="93" t="str">
        <f>HLOOKUP(INDICE!$F$2,Nombres!$C$3:$D$636,51,FALSE)</f>
        <v>Balances</v>
      </c>
      <c r="B84" s="34"/>
      <c r="C84" s="34"/>
      <c r="D84" s="34"/>
      <c r="E84" s="34"/>
      <c r="F84" s="69"/>
      <c r="G84" s="69"/>
      <c r="H84" s="69"/>
      <c r="I84" s="69"/>
    </row>
    <row r="85" spans="1:9" ht="14.25">
      <c r="A85" s="84"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88" t="str">
        <f>HLOOKUP(INDICE!$F$2,Nombres!$C$3:$D$636,52,FALSE)</f>
        <v>Efectivo, saldos en efectivo en bancos centrales y otros depósitos a la vista</v>
      </c>
      <c r="B87" s="44">
        <v>2875.7125474822274</v>
      </c>
      <c r="C87" s="44">
        <v>2799.868222805194</v>
      </c>
      <c r="D87" s="44">
        <v>2368.641235170423</v>
      </c>
      <c r="E87" s="45">
        <v>2843.468601972837</v>
      </c>
      <c r="F87" s="44">
        <v>3055.0239999999994</v>
      </c>
      <c r="G87" s="44">
        <v>0</v>
      </c>
      <c r="H87" s="44">
        <v>0</v>
      </c>
      <c r="I87" s="44">
        <v>0</v>
      </c>
    </row>
    <row r="88" spans="1:9" ht="14.25">
      <c r="A88" s="88" t="str">
        <f>HLOOKUP(INDICE!$F$2,Nombres!$C$3:$D$636,53,FALSE)</f>
        <v>Activos financieros a valor razonable</v>
      </c>
      <c r="B88" s="58">
        <v>1908.4155646071545</v>
      </c>
      <c r="C88" s="58">
        <v>2708.1741405491825</v>
      </c>
      <c r="D88" s="58">
        <v>2834.2454348453666</v>
      </c>
      <c r="E88" s="65">
        <v>2791.0838137293686</v>
      </c>
      <c r="F88" s="44">
        <v>2774.0229999999997</v>
      </c>
      <c r="G88" s="44">
        <v>0</v>
      </c>
      <c r="H88" s="44">
        <v>0</v>
      </c>
      <c r="I88" s="44">
        <v>0</v>
      </c>
    </row>
    <row r="89" spans="1:9" ht="14.25">
      <c r="A89" s="43" t="str">
        <f>HLOOKUP(INDICE!$F$2,Nombres!$C$3:$D$636,54,FALSE)</f>
        <v>Activos financieros a coste amortizado</v>
      </c>
      <c r="B89" s="44">
        <v>13869.573614905199</v>
      </c>
      <c r="C89" s="44">
        <v>15789.142145311374</v>
      </c>
      <c r="D89" s="44">
        <v>18011.89238566734</v>
      </c>
      <c r="E89" s="45">
        <v>18144.71236042649</v>
      </c>
      <c r="F89" s="44">
        <v>17518.131999999998</v>
      </c>
      <c r="G89" s="44">
        <v>0</v>
      </c>
      <c r="H89" s="44">
        <v>0</v>
      </c>
      <c r="I89" s="44">
        <v>0</v>
      </c>
    </row>
    <row r="90" spans="1:9" ht="14.25">
      <c r="A90" s="88" t="str">
        <f>HLOOKUP(INDICE!$F$2,Nombres!$C$3:$D$636,55,FALSE)</f>
        <v>    de los que préstamos y anticipos a la clientela</v>
      </c>
      <c r="B90" s="44">
        <v>13187.55222666837</v>
      </c>
      <c r="C90" s="44">
        <v>14401.254540222435</v>
      </c>
      <c r="D90" s="44">
        <v>15207.76760180591</v>
      </c>
      <c r="E90" s="45">
        <v>15213.185182414822</v>
      </c>
      <c r="F90" s="44">
        <v>15276.72</v>
      </c>
      <c r="G90" s="44">
        <v>0</v>
      </c>
      <c r="H90" s="44">
        <v>0</v>
      </c>
      <c r="I90" s="44">
        <v>0</v>
      </c>
    </row>
    <row r="91" spans="1:9" ht="14.25">
      <c r="A91" s="88"/>
      <c r="B91" s="44"/>
      <c r="C91" s="44"/>
      <c r="D91" s="44"/>
      <c r="E91" s="45"/>
      <c r="F91" s="44"/>
      <c r="G91" s="44"/>
      <c r="H91" s="44"/>
      <c r="I91" s="44"/>
    </row>
    <row r="92" spans="1:9" ht="14.25">
      <c r="A92" s="43" t="str">
        <f>HLOOKUP(INDICE!$F$2,Nombres!$C$3:$D$636,56,FALSE)</f>
        <v>Activos tangibles</v>
      </c>
      <c r="B92" s="44">
        <v>261.98048339663825</v>
      </c>
      <c r="C92" s="44">
        <v>257.81518513943536</v>
      </c>
      <c r="D92" s="44">
        <v>258.357235997581</v>
      </c>
      <c r="E92" s="45">
        <v>268.5099643145082</v>
      </c>
      <c r="F92" s="44">
        <v>262.35299999999995</v>
      </c>
      <c r="G92" s="44">
        <v>0</v>
      </c>
      <c r="H92" s="44">
        <v>0</v>
      </c>
      <c r="I92" s="44">
        <v>0</v>
      </c>
    </row>
    <row r="93" spans="1:9" ht="14.25">
      <c r="A93" s="88" t="str">
        <f>HLOOKUP(INDICE!$F$2,Nombres!$C$3:$D$636,57,FALSE)</f>
        <v>Otros activos</v>
      </c>
      <c r="B93" s="58">
        <f aca="true" t="shared" si="15" ref="B93:I93">+B94-B92-B89-B88-B87</f>
        <v>357.8103230659526</v>
      </c>
      <c r="C93" s="58">
        <f t="shared" si="15"/>
        <v>415.567117434</v>
      </c>
      <c r="D93" s="58">
        <f t="shared" si="15"/>
        <v>359.2544529057586</v>
      </c>
      <c r="E93" s="65">
        <f t="shared" si="15"/>
        <v>349.9935808577311</v>
      </c>
      <c r="F93" s="44">
        <f t="shared" si="15"/>
        <v>362.53500002000465</v>
      </c>
      <c r="G93" s="44">
        <f t="shared" si="15"/>
        <v>0</v>
      </c>
      <c r="H93" s="44">
        <f t="shared" si="15"/>
        <v>0</v>
      </c>
      <c r="I93" s="44">
        <f t="shared" si="15"/>
        <v>0</v>
      </c>
    </row>
    <row r="94" spans="1:9" ht="14.25">
      <c r="A94" s="91" t="str">
        <f>HLOOKUP(INDICE!$F$2,Nombres!$C$3:$D$636,58,FALSE)</f>
        <v>Total activo / pasivo</v>
      </c>
      <c r="B94" s="47">
        <v>19273.49253345717</v>
      </c>
      <c r="C94" s="47">
        <v>21970.566811239187</v>
      </c>
      <c r="D94" s="47">
        <v>23832.390744586468</v>
      </c>
      <c r="E94" s="47">
        <v>24397.768321300933</v>
      </c>
      <c r="F94" s="51">
        <v>23972.06700002</v>
      </c>
      <c r="G94" s="51">
        <v>0</v>
      </c>
      <c r="H94" s="51">
        <v>0</v>
      </c>
      <c r="I94" s="51">
        <v>0</v>
      </c>
    </row>
    <row r="95" spans="1:9" ht="14.25">
      <c r="A95" s="88" t="str">
        <f>HLOOKUP(INDICE!$F$2,Nombres!$C$3:$D$636,59,FALSE)</f>
        <v>Pasivos financieros mantenidos para negociar y designados a valor razonable con cambios en resultados</v>
      </c>
      <c r="B95" s="58">
        <v>213.40768015822715</v>
      </c>
      <c r="C95" s="58">
        <v>251.20483757331337</v>
      </c>
      <c r="D95" s="58">
        <v>216.60529016176574</v>
      </c>
      <c r="E95" s="65">
        <v>223.79879006533514</v>
      </c>
      <c r="F95" s="44">
        <v>265.115</v>
      </c>
      <c r="G95" s="44">
        <v>0</v>
      </c>
      <c r="H95" s="44">
        <v>0</v>
      </c>
      <c r="I95" s="44">
        <v>0</v>
      </c>
    </row>
    <row r="96" spans="1:9" ht="14.25">
      <c r="A96" s="88" t="str">
        <f>HLOOKUP(INDICE!$F$2,Nombres!$C$3:$D$636,60,FALSE)</f>
        <v>Depósitos de bancos centrales y entidades de crédito</v>
      </c>
      <c r="B96" s="58">
        <v>2339.1816274581024</v>
      </c>
      <c r="C96" s="58">
        <v>2762.5223087237537</v>
      </c>
      <c r="D96" s="58">
        <v>4356.862057866268</v>
      </c>
      <c r="E96" s="65">
        <v>4118.787364380856</v>
      </c>
      <c r="F96" s="44">
        <v>4194.721</v>
      </c>
      <c r="G96" s="44">
        <v>0</v>
      </c>
      <c r="H96" s="44">
        <v>0</v>
      </c>
      <c r="I96" s="44">
        <v>0</v>
      </c>
    </row>
    <row r="97" spans="1:9" ht="14.25">
      <c r="A97" s="88" t="str">
        <f>HLOOKUP(INDICE!$F$2,Nombres!$C$3:$D$636,61,FALSE)</f>
        <v>Depósitos de la clientela</v>
      </c>
      <c r="B97" s="58">
        <v>12557.783876302194</v>
      </c>
      <c r="C97" s="58">
        <v>14677.78070375481</v>
      </c>
      <c r="D97" s="58">
        <v>14955.72979088714</v>
      </c>
      <c r="E97" s="65">
        <v>15976.014785112664</v>
      </c>
      <c r="F97" s="44">
        <v>15191.590000000002</v>
      </c>
      <c r="G97" s="44">
        <v>0</v>
      </c>
      <c r="H97" s="44">
        <v>0</v>
      </c>
      <c r="I97" s="44">
        <v>0</v>
      </c>
    </row>
    <row r="98" spans="1:9" ht="14.25">
      <c r="A98" s="43" t="str">
        <f>HLOOKUP(INDICE!$F$2,Nombres!$C$3:$D$636,62,FALSE)</f>
        <v>Valores representativos de deuda emitidos</v>
      </c>
      <c r="B98" s="44">
        <v>1790.2211281500872</v>
      </c>
      <c r="C98" s="44">
        <v>1807.3870306524168</v>
      </c>
      <c r="D98" s="44">
        <v>1443.4616943072442</v>
      </c>
      <c r="E98" s="45">
        <v>1313.569579235116</v>
      </c>
      <c r="F98" s="44">
        <v>1330.2121669000003</v>
      </c>
      <c r="G98" s="44">
        <v>0</v>
      </c>
      <c r="H98" s="44">
        <v>0</v>
      </c>
      <c r="I98" s="44">
        <v>0</v>
      </c>
    </row>
    <row r="99" spans="1:9" ht="14.25">
      <c r="A99" s="43"/>
      <c r="B99" s="44"/>
      <c r="C99" s="44"/>
      <c r="D99" s="44"/>
      <c r="E99" s="45"/>
      <c r="F99" s="44"/>
      <c r="G99" s="44"/>
      <c r="H99" s="44"/>
      <c r="I99" s="44"/>
    </row>
    <row r="100" spans="1:9" ht="14.25">
      <c r="A100" s="88" t="str">
        <f>HLOOKUP(INDICE!$F$2,Nombres!$C$3:$D$636,63,FALSE)</f>
        <v>Otros pasivos</v>
      </c>
      <c r="B100" s="58">
        <f aca="true" t="shared" si="16" ref="B100:I100">+B94-B95-B96-B97-B98-B101</f>
        <v>423.6166163180833</v>
      </c>
      <c r="C100" s="58">
        <f t="shared" si="16"/>
        <v>484.0437995789607</v>
      </c>
      <c r="D100" s="58">
        <f t="shared" si="16"/>
        <v>993.1977449076903</v>
      </c>
      <c r="E100" s="65">
        <f t="shared" si="16"/>
        <v>783.3589289095571</v>
      </c>
      <c r="F100" s="44">
        <f t="shared" si="16"/>
        <v>1075.1958847099995</v>
      </c>
      <c r="G100" s="44">
        <f t="shared" si="16"/>
        <v>0</v>
      </c>
      <c r="H100" s="44">
        <f t="shared" si="16"/>
        <v>0</v>
      </c>
      <c r="I100" s="44">
        <f t="shared" si="16"/>
        <v>0</v>
      </c>
    </row>
    <row r="101" spans="1:9" ht="14.25">
      <c r="A101" s="43" t="str">
        <f>HLOOKUP(INDICE!$F$2,Nombres!$C$3:$D$636,282,FALSE)</f>
        <v>Dotación de capital regulatorio</v>
      </c>
      <c r="B101" s="58">
        <v>1949.2816050704764</v>
      </c>
      <c r="C101" s="58">
        <v>1987.6281309559317</v>
      </c>
      <c r="D101" s="58">
        <v>1866.5341664563603</v>
      </c>
      <c r="E101" s="65">
        <v>1982.2388735974046</v>
      </c>
      <c r="F101" s="44">
        <v>1915.2329484099996</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Indicadores relevantes y de gestión</v>
      </c>
      <c r="B104" s="34"/>
      <c r="C104" s="34"/>
      <c r="D104" s="34"/>
      <c r="E104" s="34"/>
      <c r="F104" s="69"/>
      <c r="G104" s="69"/>
      <c r="H104" s="69"/>
      <c r="I104" s="69"/>
    </row>
    <row r="105" spans="1:9" ht="14.25">
      <c r="A105" s="84"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88" t="str">
        <f>HLOOKUP(INDICE!$F$2,Nombres!$C$3:$D$636,66,FALSE)</f>
        <v>Préstamos y anticipos a la clientela bruto (*)</v>
      </c>
      <c r="B107" s="44">
        <v>13861.384393995126</v>
      </c>
      <c r="C107" s="44">
        <v>15112.482526492897</v>
      </c>
      <c r="D107" s="44">
        <v>16043.188277693956</v>
      </c>
      <c r="E107" s="45">
        <v>16095.499841016566</v>
      </c>
      <c r="F107" s="44">
        <v>16203.4205379</v>
      </c>
      <c r="G107" s="44">
        <v>0</v>
      </c>
      <c r="H107" s="44">
        <v>0</v>
      </c>
      <c r="I107" s="44">
        <v>0</v>
      </c>
    </row>
    <row r="108" spans="1:9" ht="14.25">
      <c r="A108" s="88" t="str">
        <f>HLOOKUP(INDICE!$F$2,Nombres!$C$3:$D$636,67,FALSE)</f>
        <v>Depósitos de clientes en gestión (**)</v>
      </c>
      <c r="B108" s="44">
        <v>12557.782559497742</v>
      </c>
      <c r="C108" s="44">
        <v>14677.780577273426</v>
      </c>
      <c r="D108" s="44">
        <v>14955.731198943295</v>
      </c>
      <c r="E108" s="45">
        <v>15976.018963195405</v>
      </c>
      <c r="F108" s="44">
        <v>15191.590106359998</v>
      </c>
      <c r="G108" s="44">
        <v>0</v>
      </c>
      <c r="H108" s="44">
        <v>0</v>
      </c>
      <c r="I108" s="44">
        <v>0</v>
      </c>
    </row>
    <row r="109" spans="1:9" ht="14.25">
      <c r="A109" s="43" t="str">
        <f>HLOOKUP(INDICE!$F$2,Nombres!$C$3:$D$636,68,FALSE)</f>
        <v>Fondos de inversión</v>
      </c>
      <c r="B109" s="44">
        <v>1582.527976825201</v>
      </c>
      <c r="C109" s="44">
        <v>1688.2138882796285</v>
      </c>
      <c r="D109" s="44">
        <v>1951.608303313307</v>
      </c>
      <c r="E109" s="45">
        <v>2163.064654475977</v>
      </c>
      <c r="F109" s="44">
        <v>2325.87276861</v>
      </c>
      <c r="G109" s="44">
        <v>0</v>
      </c>
      <c r="H109" s="44">
        <v>0</v>
      </c>
      <c r="I109" s="44">
        <v>0</v>
      </c>
    </row>
    <row r="110" spans="1:9" ht="14.25">
      <c r="A110" s="88" t="str">
        <f>HLOOKUP(INDICE!$F$2,Nombres!$C$3:$D$636,69,FALSE)</f>
        <v>Fondos de pensiones</v>
      </c>
      <c r="B110" s="44">
        <v>0</v>
      </c>
      <c r="C110" s="44">
        <v>0</v>
      </c>
      <c r="D110" s="44">
        <v>0</v>
      </c>
      <c r="E110" s="45">
        <v>0</v>
      </c>
      <c r="F110" s="44">
        <v>0</v>
      </c>
      <c r="G110" s="44">
        <v>0</v>
      </c>
      <c r="H110" s="44">
        <v>0</v>
      </c>
      <c r="I110" s="44">
        <v>0</v>
      </c>
    </row>
    <row r="111" spans="1:9" ht="14.25">
      <c r="A111" s="88" t="str">
        <f>HLOOKUP(INDICE!$F$2,Nombres!$C$3:$D$636,70,FALSE)</f>
        <v>Otros recursos fuera de balance</v>
      </c>
      <c r="B111" s="44">
        <v>0</v>
      </c>
      <c r="C111" s="44">
        <v>0</v>
      </c>
      <c r="D111" s="44">
        <v>0</v>
      </c>
      <c r="E111" s="45">
        <v>0</v>
      </c>
      <c r="F111" s="44">
        <v>0</v>
      </c>
      <c r="G111" s="44">
        <v>0</v>
      </c>
      <c r="H111" s="44">
        <v>0</v>
      </c>
      <c r="I111" s="44">
        <v>0</v>
      </c>
    </row>
    <row r="112" spans="1:9" ht="14.25">
      <c r="A112" s="92" t="str">
        <f>HLOOKUP(INDICE!$F$2,Nombres!$C$3:$D$636,71,FALSE)</f>
        <v>(*) No incluye las adquisiciones temporales de activos.</v>
      </c>
      <c r="B112" s="58"/>
      <c r="C112" s="58"/>
      <c r="D112" s="58"/>
      <c r="E112" s="58"/>
      <c r="F112" s="58"/>
      <c r="G112" s="58"/>
      <c r="H112" s="58"/>
      <c r="I112" s="58"/>
    </row>
    <row r="113" spans="1:9" ht="14.25">
      <c r="A113" s="9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93" t="str">
        <f>HLOOKUP(INDICE!$F$2,Nombres!$C$3:$D$636,31,FALSE)</f>
        <v>Cuenta de resultados  </v>
      </c>
      <c r="B115" s="34"/>
      <c r="C115" s="34"/>
      <c r="D115" s="34"/>
      <c r="E115" s="34"/>
      <c r="F115" s="34"/>
      <c r="G115" s="34"/>
      <c r="H115" s="34"/>
      <c r="I115" s="34"/>
    </row>
    <row r="116" spans="1:9" ht="14.25">
      <c r="A116" s="84" t="str">
        <f>HLOOKUP(INDICE!$F$2,Nombres!$C$3:$D$636,79,FALSE)</f>
        <v>(Millones de soles peruanos)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85" t="str">
        <f aca="true" t="shared" si="18" ref="B119:I119">+B$7</f>
        <v>1er Trim.</v>
      </c>
      <c r="C119" s="85" t="str">
        <f t="shared" si="18"/>
        <v>2º Trim.</v>
      </c>
      <c r="D119" s="85" t="str">
        <f t="shared" si="18"/>
        <v>3er Trim.</v>
      </c>
      <c r="E119" s="86" t="str">
        <f t="shared" si="18"/>
        <v>4º Trim.</v>
      </c>
      <c r="F119" s="85" t="str">
        <f t="shared" si="18"/>
        <v>1er Trim.</v>
      </c>
      <c r="G119" s="85" t="str">
        <f t="shared" si="18"/>
        <v>2º Trim.</v>
      </c>
      <c r="H119" s="85" t="str">
        <f t="shared" si="18"/>
        <v>3er Trim.</v>
      </c>
      <c r="I119" s="85" t="str">
        <f t="shared" si="18"/>
        <v>4º Trim.</v>
      </c>
    </row>
    <row r="120" spans="1:9" ht="14.25">
      <c r="A120" s="41" t="str">
        <f>HLOOKUP(INDICE!$F$2,Nombres!$C$3:$D$636,33,FALSE)</f>
        <v>Margen de intereses</v>
      </c>
      <c r="B120" s="41">
        <v>822.6164431567416</v>
      </c>
      <c r="C120" s="41">
        <v>767.7308918636254</v>
      </c>
      <c r="D120" s="41">
        <v>821.5989156313824</v>
      </c>
      <c r="E120" s="42">
        <v>811.8800955866535</v>
      </c>
      <c r="F120" s="50">
        <v>803.1604667218405</v>
      </c>
      <c r="G120" s="50">
        <v>0</v>
      </c>
      <c r="H120" s="50">
        <v>0</v>
      </c>
      <c r="I120" s="50">
        <v>0</v>
      </c>
    </row>
    <row r="121" spans="1:9" ht="14.25">
      <c r="A121" s="88" t="str">
        <f>HLOOKUP(INDICE!$F$2,Nombres!$C$3:$D$636,34,FALSE)</f>
        <v>Comisiones netas</v>
      </c>
      <c r="B121" s="44">
        <v>199.84619702159569</v>
      </c>
      <c r="C121" s="44">
        <v>172.77912709303683</v>
      </c>
      <c r="D121" s="44">
        <v>250.99794654784762</v>
      </c>
      <c r="E121" s="45">
        <v>245.79518615032453</v>
      </c>
      <c r="F121" s="44">
        <v>242.16027570655672</v>
      </c>
      <c r="G121" s="44">
        <v>0</v>
      </c>
      <c r="H121" s="44">
        <v>0</v>
      </c>
      <c r="I121" s="44">
        <v>0</v>
      </c>
    </row>
    <row r="122" spans="1:9" ht="14.25">
      <c r="A122" s="88" t="str">
        <f>HLOOKUP(INDICE!$F$2,Nombres!$C$3:$D$636,35,FALSE)</f>
        <v>Resultados de operaciones financieras</v>
      </c>
      <c r="B122" s="44">
        <v>139.19711576579294</v>
      </c>
      <c r="C122" s="44">
        <v>134.20563173121997</v>
      </c>
      <c r="D122" s="44">
        <v>177.20843392421122</v>
      </c>
      <c r="E122" s="45">
        <v>184.26372269748856</v>
      </c>
      <c r="F122" s="44">
        <v>149.38523154713724</v>
      </c>
      <c r="G122" s="44">
        <v>0</v>
      </c>
      <c r="H122" s="44">
        <v>0</v>
      </c>
      <c r="I122" s="44">
        <v>0</v>
      </c>
    </row>
    <row r="123" spans="1:9" ht="14.25">
      <c r="A123" s="88" t="str">
        <f>HLOOKUP(INDICE!$F$2,Nombres!$C$3:$D$636,36,FALSE)</f>
        <v>Otros ingresos y cargas de explotación</v>
      </c>
      <c r="B123" s="44">
        <v>-23.841398634021502</v>
      </c>
      <c r="C123" s="44">
        <v>-30.372977972059193</v>
      </c>
      <c r="D123" s="44">
        <v>-28.42004788204776</v>
      </c>
      <c r="E123" s="45">
        <v>-41.01571055181028</v>
      </c>
      <c r="F123" s="44">
        <v>-37.52031065399257</v>
      </c>
      <c r="G123" s="44">
        <v>0</v>
      </c>
      <c r="H123" s="44">
        <v>0</v>
      </c>
      <c r="I123" s="44">
        <v>0</v>
      </c>
    </row>
    <row r="124" spans="1:9" ht="14.25">
      <c r="A124" s="41" t="str">
        <f>HLOOKUP(INDICE!$F$2,Nombres!$C$3:$D$636,37,FALSE)</f>
        <v>Margen bruto</v>
      </c>
      <c r="B124" s="41">
        <f aca="true" t="shared" si="19" ref="B124:I124">+SUM(B120:B123)</f>
        <v>1137.8183573101087</v>
      </c>
      <c r="C124" s="41">
        <f t="shared" si="19"/>
        <v>1044.3426727158228</v>
      </c>
      <c r="D124" s="41">
        <f t="shared" si="19"/>
        <v>1221.3852482213933</v>
      </c>
      <c r="E124" s="42">
        <f t="shared" si="19"/>
        <v>1200.923293882656</v>
      </c>
      <c r="F124" s="50">
        <f t="shared" si="19"/>
        <v>1157.185663321542</v>
      </c>
      <c r="G124" s="50">
        <f t="shared" si="19"/>
        <v>0</v>
      </c>
      <c r="H124" s="50">
        <f t="shared" si="19"/>
        <v>0</v>
      </c>
      <c r="I124" s="50">
        <f t="shared" si="19"/>
        <v>0</v>
      </c>
    </row>
    <row r="125" spans="1:9" ht="14.25">
      <c r="A125" s="88" t="str">
        <f>HLOOKUP(INDICE!$F$2,Nombres!$C$3:$D$636,38,FALSE)</f>
        <v>Gastos de explotación</v>
      </c>
      <c r="B125" s="44">
        <v>-449.43644354404404</v>
      </c>
      <c r="C125" s="44">
        <v>-403.91974271197734</v>
      </c>
      <c r="D125" s="44">
        <v>-430.28437203006257</v>
      </c>
      <c r="E125" s="45">
        <v>-454.5002023644728</v>
      </c>
      <c r="F125" s="44">
        <v>-444.63455277081937</v>
      </c>
      <c r="G125" s="44">
        <v>0</v>
      </c>
      <c r="H125" s="44">
        <v>0</v>
      </c>
      <c r="I125" s="44">
        <v>0</v>
      </c>
    </row>
    <row r="126" spans="1:9" ht="14.25">
      <c r="A126" s="88" t="str">
        <f>HLOOKUP(INDICE!$F$2,Nombres!$C$3:$D$636,39,FALSE)</f>
        <v>  Gastos de administración</v>
      </c>
      <c r="B126" s="44">
        <v>-380.8056394799821</v>
      </c>
      <c r="C126" s="44">
        <v>-344.3205823678484</v>
      </c>
      <c r="D126" s="44">
        <v>-368.57733362195813</v>
      </c>
      <c r="E126" s="45">
        <v>-391.6035795808933</v>
      </c>
      <c r="F126" s="44">
        <v>-378.78986983283244</v>
      </c>
      <c r="G126" s="44">
        <v>0</v>
      </c>
      <c r="H126" s="44">
        <v>0</v>
      </c>
      <c r="I126" s="44">
        <v>0</v>
      </c>
    </row>
    <row r="127" spans="1:9" ht="14.25">
      <c r="A127" s="89" t="str">
        <f>HLOOKUP(INDICE!$F$2,Nombres!$C$3:$D$636,40,FALSE)</f>
        <v>  Gastos de personal</v>
      </c>
      <c r="B127" s="44">
        <v>-220.22427137419857</v>
      </c>
      <c r="C127" s="44">
        <v>-194.3518284864185</v>
      </c>
      <c r="D127" s="44">
        <v>-209.36866637635285</v>
      </c>
      <c r="E127" s="45">
        <v>-223.94096653693327</v>
      </c>
      <c r="F127" s="44">
        <v>-210.3157415699583</v>
      </c>
      <c r="G127" s="44">
        <v>0</v>
      </c>
      <c r="H127" s="44">
        <v>0</v>
      </c>
      <c r="I127" s="44">
        <v>0</v>
      </c>
    </row>
    <row r="128" spans="1:9" ht="14.25">
      <c r="A128" s="89" t="str">
        <f>HLOOKUP(INDICE!$F$2,Nombres!$C$3:$D$636,41,FALSE)</f>
        <v>  Otros gastos de administración</v>
      </c>
      <c r="B128" s="44">
        <v>-160.5813681057836</v>
      </c>
      <c r="C128" s="44">
        <v>-149.96875388142985</v>
      </c>
      <c r="D128" s="44">
        <v>-159.2086672456053</v>
      </c>
      <c r="E128" s="45">
        <v>-167.66261304396</v>
      </c>
      <c r="F128" s="44">
        <v>-168.47412826287413</v>
      </c>
      <c r="G128" s="44">
        <v>0</v>
      </c>
      <c r="H128" s="44">
        <v>0</v>
      </c>
      <c r="I128" s="44">
        <v>0</v>
      </c>
    </row>
    <row r="129" spans="1:9" ht="14.25">
      <c r="A129" s="88" t="str">
        <f>HLOOKUP(INDICE!$F$2,Nombres!$C$3:$D$636,42,FALSE)</f>
        <v>  Amortización</v>
      </c>
      <c r="B129" s="44">
        <v>-68.63080406406189</v>
      </c>
      <c r="C129" s="44">
        <v>-59.599160344128975</v>
      </c>
      <c r="D129" s="44">
        <v>-61.70703840810442</v>
      </c>
      <c r="E129" s="45">
        <v>-62.8966227835795</v>
      </c>
      <c r="F129" s="44">
        <v>-65.84468293798695</v>
      </c>
      <c r="G129" s="44">
        <v>0</v>
      </c>
      <c r="H129" s="44">
        <v>0</v>
      </c>
      <c r="I129" s="44">
        <v>0</v>
      </c>
    </row>
    <row r="130" spans="1:9" ht="14.25">
      <c r="A130" s="41" t="str">
        <f>HLOOKUP(INDICE!$F$2,Nombres!$C$3:$D$636,43,FALSE)</f>
        <v>Margen neto</v>
      </c>
      <c r="B130" s="41">
        <f aca="true" t="shared" si="20" ref="B130:I130">+B124+B125</f>
        <v>688.3819137660646</v>
      </c>
      <c r="C130" s="41">
        <f t="shared" si="20"/>
        <v>640.4229300038455</v>
      </c>
      <c r="D130" s="41">
        <f t="shared" si="20"/>
        <v>791.1008761913308</v>
      </c>
      <c r="E130" s="42">
        <f t="shared" si="20"/>
        <v>746.4230915181832</v>
      </c>
      <c r="F130" s="50">
        <f t="shared" si="20"/>
        <v>712.5511105507227</v>
      </c>
      <c r="G130" s="50">
        <f t="shared" si="20"/>
        <v>0</v>
      </c>
      <c r="H130" s="50">
        <f t="shared" si="20"/>
        <v>0</v>
      </c>
      <c r="I130" s="50">
        <f t="shared" si="20"/>
        <v>0</v>
      </c>
    </row>
    <row r="131" spans="1:9" ht="14.25">
      <c r="A131" s="88" t="str">
        <f>HLOOKUP(INDICE!$F$2,Nombres!$C$3:$D$636,44,FALSE)</f>
        <v>Deterioro de activos financieros no valorados a valor razonable con cambios en resultados</v>
      </c>
      <c r="B131" s="44">
        <v>-361.6251936363261</v>
      </c>
      <c r="C131" s="44">
        <v>-525.4856254009944</v>
      </c>
      <c r="D131" s="44">
        <v>-187.37793362034995</v>
      </c>
      <c r="E131" s="45">
        <v>-321.5736511816382</v>
      </c>
      <c r="F131" s="44">
        <v>-292.76162931594195</v>
      </c>
      <c r="G131" s="44">
        <v>0</v>
      </c>
      <c r="H131" s="44">
        <v>0</v>
      </c>
      <c r="I131" s="44">
        <v>0</v>
      </c>
    </row>
    <row r="132" spans="1:9" ht="14.25">
      <c r="A132" s="88" t="str">
        <f>HLOOKUP(INDICE!$F$2,Nombres!$C$3:$D$636,45,FALSE)</f>
        <v>Provisiones o reversión de provisiones y otros resultados</v>
      </c>
      <c r="B132" s="44">
        <v>-13.449956352012133</v>
      </c>
      <c r="C132" s="44">
        <v>-85.8006983981356</v>
      </c>
      <c r="D132" s="44">
        <v>-75.2901517341236</v>
      </c>
      <c r="E132" s="45">
        <v>7.621907284353988</v>
      </c>
      <c r="F132" s="44">
        <v>-28.866866489994273</v>
      </c>
      <c r="G132" s="44">
        <v>0</v>
      </c>
      <c r="H132" s="44">
        <v>0</v>
      </c>
      <c r="I132" s="44">
        <v>0</v>
      </c>
    </row>
    <row r="133" spans="1:9" ht="14.25">
      <c r="A133" s="90" t="str">
        <f>HLOOKUP(INDICE!$F$2,Nombres!$C$3:$D$636,46,FALSE)</f>
        <v>Resultado antes de impuestos</v>
      </c>
      <c r="B133" s="41">
        <f aca="true" t="shared" si="21" ref="B133:I133">+B130+B131+B132</f>
        <v>313.30676377772636</v>
      </c>
      <c r="C133" s="41">
        <f t="shared" si="21"/>
        <v>29.136606204715505</v>
      </c>
      <c r="D133" s="41">
        <f t="shared" si="21"/>
        <v>528.4327908368573</v>
      </c>
      <c r="E133" s="42">
        <f t="shared" si="21"/>
        <v>432.47134762089905</v>
      </c>
      <c r="F133" s="50">
        <f t="shared" si="21"/>
        <v>390.9226147447865</v>
      </c>
      <c r="G133" s="50">
        <f t="shared" si="21"/>
        <v>0</v>
      </c>
      <c r="H133" s="50">
        <f t="shared" si="21"/>
        <v>0</v>
      </c>
      <c r="I133" s="50">
        <f t="shared" si="21"/>
        <v>0</v>
      </c>
    </row>
    <row r="134" spans="1:9" ht="14.25">
      <c r="A134" s="43" t="str">
        <f>HLOOKUP(INDICE!$F$2,Nombres!$C$3:$D$636,47,FALSE)</f>
        <v>Impuesto sobre beneficios</v>
      </c>
      <c r="B134" s="44">
        <v>-70.10950596304181</v>
      </c>
      <c r="C134" s="44">
        <v>-7.331708648417695</v>
      </c>
      <c r="D134" s="44">
        <v>-155.99078024162293</v>
      </c>
      <c r="E134" s="45">
        <v>-129.570619619877</v>
      </c>
      <c r="F134" s="44">
        <v>-120.99145709726491</v>
      </c>
      <c r="G134" s="44">
        <v>0</v>
      </c>
      <c r="H134" s="44">
        <v>0</v>
      </c>
      <c r="I134" s="44">
        <v>0</v>
      </c>
    </row>
    <row r="135" spans="1:9" ht="14.25">
      <c r="A135" s="90" t="str">
        <f>HLOOKUP(INDICE!$F$2,Nombres!$C$3:$D$636,48,FALSE)</f>
        <v>Resultado del ejercicio</v>
      </c>
      <c r="B135" s="41">
        <f aca="true" t="shared" si="22" ref="B135:I135">+B133+B134</f>
        <v>243.19725781468455</v>
      </c>
      <c r="C135" s="41">
        <f t="shared" si="22"/>
        <v>21.80489755629781</v>
      </c>
      <c r="D135" s="41">
        <f t="shared" si="22"/>
        <v>372.44201059523436</v>
      </c>
      <c r="E135" s="42">
        <f t="shared" si="22"/>
        <v>302.90072800102206</v>
      </c>
      <c r="F135" s="50">
        <f t="shared" si="22"/>
        <v>269.93115764752156</v>
      </c>
      <c r="G135" s="50">
        <f t="shared" si="22"/>
        <v>0</v>
      </c>
      <c r="H135" s="50">
        <f t="shared" si="22"/>
        <v>0</v>
      </c>
      <c r="I135" s="50">
        <f t="shared" si="22"/>
        <v>0</v>
      </c>
    </row>
    <row r="136" spans="1:9" ht="14.25">
      <c r="A136" s="88" t="str">
        <f>HLOOKUP(INDICE!$F$2,Nombres!$C$3:$D$636,49,FALSE)</f>
        <v>Minoritarios</v>
      </c>
      <c r="B136" s="44">
        <v>-131.35176264291465</v>
      </c>
      <c r="C136" s="44">
        <v>-11.70504751370077</v>
      </c>
      <c r="D136" s="44">
        <v>-196.85153441658724</v>
      </c>
      <c r="E136" s="45">
        <v>-161.90204169252</v>
      </c>
      <c r="F136" s="44">
        <v>-146.38964571385588</v>
      </c>
      <c r="G136" s="44">
        <v>0</v>
      </c>
      <c r="H136" s="44">
        <v>0</v>
      </c>
      <c r="I136" s="44">
        <v>0</v>
      </c>
    </row>
    <row r="137" spans="1:9" ht="14.25">
      <c r="A137" s="91" t="str">
        <f>HLOOKUP(INDICE!$F$2,Nombres!$C$3:$D$636,50,FALSE)</f>
        <v>Resultado atribuido</v>
      </c>
      <c r="B137" s="47">
        <f aca="true" t="shared" si="23" ref="B137:I137">+B135+B136</f>
        <v>111.8454951717699</v>
      </c>
      <c r="C137" s="47">
        <f t="shared" si="23"/>
        <v>10.09985004259704</v>
      </c>
      <c r="D137" s="47">
        <f t="shared" si="23"/>
        <v>175.59047617864712</v>
      </c>
      <c r="E137" s="47">
        <f t="shared" si="23"/>
        <v>140.99868630850207</v>
      </c>
      <c r="F137" s="51">
        <f t="shared" si="23"/>
        <v>123.54151193366567</v>
      </c>
      <c r="G137" s="51">
        <f t="shared" si="23"/>
        <v>0</v>
      </c>
      <c r="H137" s="51">
        <f t="shared" si="23"/>
        <v>0</v>
      </c>
      <c r="I137" s="51">
        <f t="shared" si="23"/>
        <v>0</v>
      </c>
    </row>
    <row r="138" spans="1:9" ht="14.25">
      <c r="A138" s="92"/>
      <c r="B138" s="63">
        <v>-3.410605131648481E-13</v>
      </c>
      <c r="C138" s="63">
        <v>-4.263256414560601E-14</v>
      </c>
      <c r="D138" s="63">
        <v>0</v>
      </c>
      <c r="E138" s="63">
        <v>-3.410605131648481E-13</v>
      </c>
      <c r="F138" s="63">
        <v>0</v>
      </c>
      <c r="G138" s="63">
        <v>0</v>
      </c>
      <c r="H138" s="63">
        <v>0</v>
      </c>
      <c r="I138" s="63">
        <v>0</v>
      </c>
    </row>
    <row r="139" spans="1:9" ht="14.25">
      <c r="A139" s="90"/>
      <c r="B139" s="41"/>
      <c r="C139" s="41"/>
      <c r="D139" s="41"/>
      <c r="E139" s="41"/>
      <c r="F139" s="50"/>
      <c r="G139" s="50"/>
      <c r="H139" s="50"/>
      <c r="I139" s="50"/>
    </row>
    <row r="140" spans="1:9" ht="16.5">
      <c r="A140" s="93" t="str">
        <f>HLOOKUP(INDICE!$F$2,Nombres!$C$3:$D$636,51,FALSE)</f>
        <v>Balances</v>
      </c>
      <c r="B140" s="34"/>
      <c r="C140" s="34"/>
      <c r="D140" s="34"/>
      <c r="E140" s="34"/>
      <c r="F140" s="69"/>
      <c r="G140" s="69"/>
      <c r="H140" s="69"/>
      <c r="I140" s="69"/>
    </row>
    <row r="141" spans="1:9" ht="14.25">
      <c r="A141" s="84" t="str">
        <f>HLOOKUP(INDICE!$F$2,Nombres!$C$3:$D$636,79,FALSE)</f>
        <v>(Millones de soles peruanos)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88" t="str">
        <f>HLOOKUP(INDICE!$F$2,Nombres!$C$3:$D$636,52,FALSE)</f>
        <v>Efectivo, saldos en efectivo en bancos centrales y otros depósitos a la vista</v>
      </c>
      <c r="B143" s="44">
        <v>12687.30730110878</v>
      </c>
      <c r="C143" s="44">
        <v>12352.691014420088</v>
      </c>
      <c r="D143" s="44">
        <v>10450.167998535244</v>
      </c>
      <c r="E143" s="45">
        <v>12545.050786063142</v>
      </c>
      <c r="F143" s="44">
        <v>13478.40845017633</v>
      </c>
      <c r="G143" s="44">
        <v>0</v>
      </c>
      <c r="H143" s="44">
        <v>0</v>
      </c>
      <c r="I143" s="44">
        <v>0</v>
      </c>
    </row>
    <row r="144" spans="1:9" ht="14.25">
      <c r="A144" s="88" t="str">
        <f>HLOOKUP(INDICE!$F$2,Nombres!$C$3:$D$636,53,FALSE)</f>
        <v>Activos financieros a valor razonable</v>
      </c>
      <c r="B144" s="58">
        <v>8419.706186415917</v>
      </c>
      <c r="C144" s="58">
        <v>11948.14745171466</v>
      </c>
      <c r="D144" s="58">
        <v>12504.359251807346</v>
      </c>
      <c r="E144" s="65">
        <v>12313.935229353452</v>
      </c>
      <c r="F144" s="44">
        <v>12238.664915294772</v>
      </c>
      <c r="G144" s="44">
        <v>0</v>
      </c>
      <c r="H144" s="44">
        <v>0</v>
      </c>
      <c r="I144" s="44">
        <v>0</v>
      </c>
    </row>
    <row r="145" spans="1:9" ht="14.25">
      <c r="A145" s="43" t="str">
        <f>HLOOKUP(INDICE!$F$2,Nombres!$C$3:$D$636,54,FALSE)</f>
        <v>Activos financieros a coste amortizado</v>
      </c>
      <c r="B145" s="44">
        <v>61190.93604877764</v>
      </c>
      <c r="C145" s="44">
        <v>69659.84781540181</v>
      </c>
      <c r="D145" s="44">
        <v>79466.36181406281</v>
      </c>
      <c r="E145" s="45">
        <v>80052.34800276243</v>
      </c>
      <c r="F145" s="44">
        <v>77287.94876246613</v>
      </c>
      <c r="G145" s="44">
        <v>0</v>
      </c>
      <c r="H145" s="44">
        <v>0</v>
      </c>
      <c r="I145" s="44">
        <v>0</v>
      </c>
    </row>
    <row r="146" spans="1:9" ht="14.25">
      <c r="A146" s="88" t="str">
        <f>HLOOKUP(INDICE!$F$2,Nombres!$C$3:$D$636,55,FALSE)</f>
        <v>    de los que préstamos y anticipos a la clientela</v>
      </c>
      <c r="B146" s="44">
        <v>58181.937480382694</v>
      </c>
      <c r="C146" s="44">
        <v>63536.650084606306</v>
      </c>
      <c r="D146" s="44">
        <v>67094.89135028025</v>
      </c>
      <c r="E146" s="45">
        <v>67118.79308206981</v>
      </c>
      <c r="F146" s="44">
        <v>67399.10126368164</v>
      </c>
      <c r="G146" s="44">
        <v>0</v>
      </c>
      <c r="H146" s="44">
        <v>0</v>
      </c>
      <c r="I146" s="44">
        <v>0</v>
      </c>
    </row>
    <row r="147" spans="1:9" ht="14.25">
      <c r="A147" s="88"/>
      <c r="B147" s="44"/>
      <c r="C147" s="44"/>
      <c r="D147" s="44"/>
      <c r="E147" s="45"/>
      <c r="F147" s="44"/>
      <c r="G147" s="44"/>
      <c r="H147" s="44"/>
      <c r="I147" s="44"/>
    </row>
    <row r="148" spans="1:9" ht="14.25">
      <c r="A148" s="43" t="str">
        <f>HLOOKUP(INDICE!$F$2,Nombres!$C$3:$D$636,56,FALSE)</f>
        <v>Activos tangibles</v>
      </c>
      <c r="B148" s="44">
        <v>1155.8272410280667</v>
      </c>
      <c r="C148" s="44">
        <v>1137.450432457205</v>
      </c>
      <c r="D148" s="44">
        <v>1139.8418974233905</v>
      </c>
      <c r="E148" s="45">
        <v>1184.634546888408</v>
      </c>
      <c r="F148" s="44">
        <v>1157.4707406976545</v>
      </c>
      <c r="G148" s="44">
        <v>0</v>
      </c>
      <c r="H148" s="44">
        <v>0</v>
      </c>
      <c r="I148" s="44">
        <v>0</v>
      </c>
    </row>
    <row r="149" spans="1:9" ht="14.25">
      <c r="A149" s="88" t="str">
        <f>HLOOKUP(INDICE!$F$2,Nombres!$C$3:$D$636,57,FALSE)</f>
        <v>Otros activos</v>
      </c>
      <c r="B149" s="58">
        <f aca="true" t="shared" si="25" ref="B149:I149">+B150-B148-B145-B144-B143</f>
        <v>1578.6172815573864</v>
      </c>
      <c r="C149" s="58">
        <f t="shared" si="25"/>
        <v>1833.4335007639493</v>
      </c>
      <c r="D149" s="58">
        <f t="shared" si="25"/>
        <v>1584.9886134473836</v>
      </c>
      <c r="E149" s="65">
        <f t="shared" si="25"/>
        <v>1544.130729493554</v>
      </c>
      <c r="F149" s="44">
        <f t="shared" si="25"/>
        <v>1599.462003491417</v>
      </c>
      <c r="G149" s="44">
        <f t="shared" si="25"/>
        <v>0</v>
      </c>
      <c r="H149" s="44">
        <f t="shared" si="25"/>
        <v>0</v>
      </c>
      <c r="I149" s="44">
        <f t="shared" si="25"/>
        <v>0</v>
      </c>
    </row>
    <row r="150" spans="1:9" ht="14.25">
      <c r="A150" s="91" t="str">
        <f>HLOOKUP(INDICE!$F$2,Nombres!$C$3:$D$636,58,FALSE)</f>
        <v>Total activo / pasivo</v>
      </c>
      <c r="B150" s="47">
        <v>85032.39405888779</v>
      </c>
      <c r="C150" s="47">
        <v>96931.57021475771</v>
      </c>
      <c r="D150" s="47">
        <v>105145.71957527618</v>
      </c>
      <c r="E150" s="47">
        <v>107640.09929456099</v>
      </c>
      <c r="F150" s="51">
        <v>105761.9548721263</v>
      </c>
      <c r="G150" s="51">
        <v>0</v>
      </c>
      <c r="H150" s="51">
        <v>0</v>
      </c>
      <c r="I150" s="51">
        <v>0</v>
      </c>
    </row>
    <row r="151" spans="1:9" ht="14.25">
      <c r="A151" s="88" t="str">
        <f>HLOOKUP(INDICE!$F$2,Nombres!$C$3:$D$636,59,FALSE)</f>
        <v>Pasivos financieros mantenidos para negociar y designados a valor razonable con cambios en resultados</v>
      </c>
      <c r="B151" s="58">
        <v>941.5297161584251</v>
      </c>
      <c r="C151" s="58">
        <v>1108.2863524061743</v>
      </c>
      <c r="D151" s="58">
        <v>955.6371973736507</v>
      </c>
      <c r="E151" s="65">
        <v>987.3740773086731</v>
      </c>
      <c r="F151" s="44">
        <v>1169.6563615436403</v>
      </c>
      <c r="G151" s="44">
        <v>0</v>
      </c>
      <c r="H151" s="44">
        <v>0</v>
      </c>
      <c r="I151" s="44">
        <v>0</v>
      </c>
    </row>
    <row r="152" spans="1:9" ht="14.25">
      <c r="A152" s="88" t="str">
        <f>HLOOKUP(INDICE!$F$2,Nombres!$C$3:$D$636,60,FALSE)</f>
        <v>Depósitos de bancos centrales y entidades de crédito</v>
      </c>
      <c r="B152" s="58">
        <v>10320.195656082738</v>
      </c>
      <c r="C152" s="58">
        <v>12187.925210964913</v>
      </c>
      <c r="D152" s="58">
        <v>19221.96564642286</v>
      </c>
      <c r="E152" s="65">
        <v>18171.60795350558</v>
      </c>
      <c r="F152" s="44">
        <v>18506.618269621486</v>
      </c>
      <c r="G152" s="44">
        <v>0</v>
      </c>
      <c r="H152" s="44">
        <v>0</v>
      </c>
      <c r="I152" s="44">
        <v>0</v>
      </c>
    </row>
    <row r="153" spans="1:9" ht="14.25">
      <c r="A153" s="88" t="str">
        <f>HLOOKUP(INDICE!$F$2,Nombres!$C$3:$D$636,61,FALSE)</f>
        <v>Depósitos de la clientela</v>
      </c>
      <c r="B153" s="58">
        <v>55403.47320146733</v>
      </c>
      <c r="C153" s="58">
        <v>64756.651164548595</v>
      </c>
      <c r="D153" s="58">
        <v>65982.93001693183</v>
      </c>
      <c r="E153" s="65">
        <v>70484.30803810529</v>
      </c>
      <c r="F153" s="44">
        <v>67023.51766389208</v>
      </c>
      <c r="G153" s="44">
        <v>0</v>
      </c>
      <c r="H153" s="44">
        <v>0</v>
      </c>
      <c r="I153" s="44">
        <v>0</v>
      </c>
    </row>
    <row r="154" spans="1:9" ht="14.25">
      <c r="A154" s="43" t="str">
        <f>HLOOKUP(INDICE!$F$2,Nombres!$C$3:$D$636,62,FALSE)</f>
        <v>Valores representativos de deuda emitidos</v>
      </c>
      <c r="B154" s="44">
        <v>7898.246161517009</v>
      </c>
      <c r="C154" s="44">
        <v>7973.9801149466075</v>
      </c>
      <c r="D154" s="44">
        <v>6368.3841102579245</v>
      </c>
      <c r="E154" s="45">
        <v>5795.315295937822</v>
      </c>
      <c r="F154" s="44">
        <v>5868.74044553245</v>
      </c>
      <c r="G154" s="44">
        <v>0</v>
      </c>
      <c r="H154" s="44">
        <v>0</v>
      </c>
      <c r="I154" s="44">
        <v>0</v>
      </c>
    </row>
    <row r="155" spans="1:9" ht="14.25">
      <c r="A155" s="43"/>
      <c r="B155" s="44"/>
      <c r="C155" s="44"/>
      <c r="D155" s="44"/>
      <c r="E155" s="45"/>
      <c r="F155" s="44"/>
      <c r="G155" s="44"/>
      <c r="H155" s="44"/>
      <c r="I155" s="44"/>
    </row>
    <row r="156" spans="1:9" ht="15.75" customHeight="1">
      <c r="A156" s="88" t="str">
        <f>HLOOKUP(INDICE!$F$2,Nombres!$C$3:$D$636,63,FALSE)</f>
        <v>Otros pasivos</v>
      </c>
      <c r="B156" s="58">
        <f aca="true" t="shared" si="26" ref="B156:I156">+B150-B151-B152-B153-B154-B157</f>
        <v>1868.9469480491316</v>
      </c>
      <c r="C156" s="58">
        <f t="shared" si="26"/>
        <v>2135.544610615374</v>
      </c>
      <c r="D156" s="58">
        <f t="shared" si="26"/>
        <v>4381.872246391495</v>
      </c>
      <c r="E156" s="65">
        <f t="shared" si="26"/>
        <v>3456.087941350259</v>
      </c>
      <c r="F156" s="44">
        <f t="shared" si="26"/>
        <v>4743.638445416505</v>
      </c>
      <c r="G156" s="44">
        <f t="shared" si="26"/>
        <v>0</v>
      </c>
      <c r="H156" s="44">
        <f t="shared" si="26"/>
        <v>0</v>
      </c>
      <c r="I156" s="44">
        <f t="shared" si="26"/>
        <v>0</v>
      </c>
    </row>
    <row r="157" spans="1:9" ht="15.75" customHeight="1">
      <c r="A157" s="43" t="str">
        <f>HLOOKUP(INDICE!$F$2,Nombres!$C$3:$D$636,282,FALSE)</f>
        <v>Dotación de capital regulatorio</v>
      </c>
      <c r="B157" s="58">
        <v>8600.00237561315</v>
      </c>
      <c r="C157" s="58">
        <v>8769.182761276055</v>
      </c>
      <c r="D157" s="58">
        <v>8234.930357898413</v>
      </c>
      <c r="E157" s="65">
        <v>8745.405988353372</v>
      </c>
      <c r="F157" s="44">
        <v>8449.783686120132</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3" t="str">
        <f>HLOOKUP(INDICE!$F$2,Nombres!$C$3:$D$636,65,FALSE)</f>
        <v>Indicadores relevantes y de gestión</v>
      </c>
      <c r="B160" s="34"/>
      <c r="C160" s="34"/>
      <c r="D160" s="34"/>
      <c r="E160" s="34"/>
      <c r="F160" s="69"/>
      <c r="G160" s="69"/>
      <c r="H160" s="69"/>
      <c r="I160" s="69"/>
    </row>
    <row r="161" spans="1:9" ht="14.25">
      <c r="A161" s="84" t="str">
        <f>HLOOKUP(INDICE!$F$2,Nombres!$C$3:$D$636,79,FALSE)</f>
        <v>(Millones de soles peruanos)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88" t="str">
        <f>HLOOKUP(INDICE!$F$2,Nombres!$C$3:$D$636,66,FALSE)</f>
        <v>Préstamos y anticipos a la clientela bruto (*)</v>
      </c>
      <c r="B163" s="44">
        <v>61154.8061642613</v>
      </c>
      <c r="C163" s="44">
        <v>66674.50474635356</v>
      </c>
      <c r="D163" s="44">
        <v>70780.66962807495</v>
      </c>
      <c r="E163" s="45">
        <v>71011.46212500113</v>
      </c>
      <c r="F163" s="44">
        <v>71487.59561292877</v>
      </c>
      <c r="G163" s="44">
        <v>0</v>
      </c>
      <c r="H163" s="44">
        <v>0</v>
      </c>
      <c r="I163" s="44">
        <v>0</v>
      </c>
    </row>
    <row r="164" spans="1:9" ht="14.25">
      <c r="A164" s="88" t="str">
        <f>HLOOKUP(INDICE!$F$2,Nombres!$C$3:$D$636,67,FALSE)</f>
        <v>Depósitos de clientes en gestión (**)</v>
      </c>
      <c r="B164" s="44">
        <v>55403.46739188016</v>
      </c>
      <c r="C164" s="44">
        <v>64756.65060652754</v>
      </c>
      <c r="D164" s="44">
        <v>65982.93622911083</v>
      </c>
      <c r="E164" s="45">
        <v>70484.3264713175</v>
      </c>
      <c r="F164" s="44">
        <v>67023.51813313995</v>
      </c>
      <c r="G164" s="44">
        <v>0</v>
      </c>
      <c r="H164" s="44">
        <v>0</v>
      </c>
      <c r="I164" s="44">
        <v>0</v>
      </c>
    </row>
    <row r="165" spans="1:9" ht="14.25">
      <c r="A165" s="43" t="str">
        <f>HLOOKUP(INDICE!$F$2,Nombres!$C$3:$D$636,68,FALSE)</f>
        <v>Fondos de inversión</v>
      </c>
      <c r="B165" s="44">
        <v>6981.92827797138</v>
      </c>
      <c r="C165" s="44">
        <v>7448.202154056133</v>
      </c>
      <c r="D165" s="44">
        <v>8610.267496036815</v>
      </c>
      <c r="E165" s="45">
        <v>9543.188176972342</v>
      </c>
      <c r="F165" s="44">
        <v>10261.478527981464</v>
      </c>
      <c r="G165" s="44">
        <v>0</v>
      </c>
      <c r="H165" s="44">
        <v>0</v>
      </c>
      <c r="I165" s="44">
        <v>0</v>
      </c>
    </row>
    <row r="166" spans="1:9" ht="14.25">
      <c r="A166" s="88" t="str">
        <f>HLOOKUP(INDICE!$F$2,Nombres!$C$3:$D$636,69,FALSE)</f>
        <v>Fondos de pensiones</v>
      </c>
      <c r="B166" s="44">
        <v>0</v>
      </c>
      <c r="C166" s="44">
        <v>0</v>
      </c>
      <c r="D166" s="44">
        <v>0</v>
      </c>
      <c r="E166" s="45">
        <v>0</v>
      </c>
      <c r="F166" s="44">
        <v>0</v>
      </c>
      <c r="G166" s="44">
        <v>0</v>
      </c>
      <c r="H166" s="44">
        <v>0</v>
      </c>
      <c r="I166" s="44">
        <v>0</v>
      </c>
    </row>
    <row r="167" spans="1:15" ht="14.25">
      <c r="A167" s="88"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9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9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sheetData>
  <sheetProtection/>
  <mergeCells count="6">
    <mergeCell ref="B118:E118"/>
    <mergeCell ref="F118:I118"/>
    <mergeCell ref="B6:E6"/>
    <mergeCell ref="F6:I6"/>
    <mergeCell ref="B62:E62"/>
    <mergeCell ref="F62:I62"/>
  </mergeCells>
  <conditionalFormatting sqref="B26:I26">
    <cfRule type="cellIs" priority="3" dxfId="115" operator="notBetween">
      <formula>0.5</formula>
      <formula>-0.5</formula>
    </cfRule>
  </conditionalFormatting>
  <conditionalFormatting sqref="B82:I82">
    <cfRule type="cellIs" priority="2" dxfId="115" operator="notBetween">
      <formula>0.5</formula>
      <formula>-0.5</formula>
    </cfRule>
  </conditionalFormatting>
  <conditionalFormatting sqref="B138:I138">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P18" sqref="P18"/>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83"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4" ht="14.25">
      <c r="A8" s="41" t="str">
        <f>HLOOKUP(INDICE!$F$2,Nombres!$C$3:$D$636,33,FALSE)</f>
        <v>Margen de intereses</v>
      </c>
      <c r="B8" s="41">
        <v>64.93846999</v>
      </c>
      <c r="C8" s="41">
        <v>79.95420902999997</v>
      </c>
      <c r="D8" s="41">
        <v>75.15565635</v>
      </c>
      <c r="E8" s="42">
        <v>70.71576833000003</v>
      </c>
      <c r="F8" s="50">
        <v>72.44060585999999</v>
      </c>
      <c r="G8" s="244">
        <v>0</v>
      </c>
      <c r="H8" s="244">
        <v>0</v>
      </c>
      <c r="I8" s="244">
        <v>0</v>
      </c>
      <c r="J8" s="87"/>
      <c r="K8" s="87"/>
      <c r="L8" s="87"/>
      <c r="M8" s="87"/>
      <c r="N8" s="87"/>
    </row>
    <row r="9" spans="1:9" ht="14.25">
      <c r="A9" s="88" t="str">
        <f>HLOOKUP(INDICE!$F$2,Nombres!$C$3:$D$636,34,FALSE)</f>
        <v>Comisiones netas</v>
      </c>
      <c r="B9" s="44">
        <v>83.70778100000001</v>
      </c>
      <c r="C9" s="44">
        <v>96.51713118</v>
      </c>
      <c r="D9" s="44">
        <v>82.93294128000001</v>
      </c>
      <c r="E9" s="45">
        <v>68.69284372</v>
      </c>
      <c r="F9" s="44">
        <v>72.68694468000001</v>
      </c>
      <c r="G9" s="44">
        <v>0</v>
      </c>
      <c r="H9" s="44">
        <v>0</v>
      </c>
      <c r="I9" s="44">
        <v>0</v>
      </c>
    </row>
    <row r="10" spans="1:9" ht="14.25">
      <c r="A10" s="88" t="str">
        <f>HLOOKUP(INDICE!$F$2,Nombres!$C$3:$D$636,35,FALSE)</f>
        <v>Resultados de operaciones financieras</v>
      </c>
      <c r="B10" s="44">
        <v>49.90112140000001</v>
      </c>
      <c r="C10" s="44">
        <v>53.663314760000006</v>
      </c>
      <c r="D10" s="44">
        <v>29.362716579999997</v>
      </c>
      <c r="E10" s="45">
        <v>38.26450062</v>
      </c>
      <c r="F10" s="44">
        <v>64.59993851</v>
      </c>
      <c r="G10" s="44">
        <v>0</v>
      </c>
      <c r="H10" s="44">
        <v>0</v>
      </c>
      <c r="I10" s="44">
        <v>0</v>
      </c>
    </row>
    <row r="11" spans="1:9" ht="14.25">
      <c r="A11" s="88" t="str">
        <f>HLOOKUP(INDICE!$F$2,Nombres!$C$3:$D$636,36,FALSE)</f>
        <v>Otros ingresos y cargas de explotación</v>
      </c>
      <c r="B11" s="44">
        <v>12.05052473</v>
      </c>
      <c r="C11" s="44">
        <v>10.087501880000001</v>
      </c>
      <c r="D11" s="44">
        <v>11.783548949999998</v>
      </c>
      <c r="E11" s="45">
        <v>11.14637806</v>
      </c>
      <c r="F11" s="44">
        <v>8.416999220000001</v>
      </c>
      <c r="G11" s="44">
        <v>0</v>
      </c>
      <c r="H11" s="44">
        <v>0</v>
      </c>
      <c r="I11" s="44">
        <v>0</v>
      </c>
    </row>
    <row r="12" spans="1:9" ht="14.25">
      <c r="A12" s="41" t="str">
        <f>HLOOKUP(INDICE!$F$2,Nombres!$C$3:$D$636,37,FALSE)</f>
        <v>Margen bruto</v>
      </c>
      <c r="B12" s="41">
        <f aca="true" t="shared" si="0" ref="B12:I12">+SUM(B8:B11)</f>
        <v>210.59789712000003</v>
      </c>
      <c r="C12" s="41">
        <f t="shared" si="0"/>
        <v>240.22215684999998</v>
      </c>
      <c r="D12" s="41">
        <f t="shared" si="0"/>
        <v>199.23486316000003</v>
      </c>
      <c r="E12" s="42">
        <f t="shared" si="0"/>
        <v>188.81949073000004</v>
      </c>
      <c r="F12" s="50">
        <f t="shared" si="0"/>
        <v>218.14448827000004</v>
      </c>
      <c r="G12" s="50">
        <f t="shared" si="0"/>
        <v>0</v>
      </c>
      <c r="H12" s="50">
        <f t="shared" si="0"/>
        <v>0</v>
      </c>
      <c r="I12" s="50">
        <f t="shared" si="0"/>
        <v>0</v>
      </c>
    </row>
    <row r="13" spans="1:9" ht="14.25">
      <c r="A13" s="88" t="str">
        <f>HLOOKUP(INDICE!$F$2,Nombres!$C$3:$D$636,38,FALSE)</f>
        <v>Gastos de explotación</v>
      </c>
      <c r="B13" s="44">
        <v>-124.66857150999999</v>
      </c>
      <c r="C13" s="44">
        <v>-105.52319539999999</v>
      </c>
      <c r="D13" s="44">
        <v>-110.92420679000001</v>
      </c>
      <c r="E13" s="45">
        <v>-125.45134300999999</v>
      </c>
      <c r="F13" s="44">
        <v>-114.83214407</v>
      </c>
      <c r="G13" s="44">
        <v>0</v>
      </c>
      <c r="H13" s="44">
        <v>0</v>
      </c>
      <c r="I13" s="44">
        <v>0</v>
      </c>
    </row>
    <row r="14" spans="1:9" ht="14.25">
      <c r="A14" s="88" t="str">
        <f>HLOOKUP(INDICE!$F$2,Nombres!$C$3:$D$636,39,FALSE)</f>
        <v>  Gastos de administración</v>
      </c>
      <c r="B14" s="44">
        <v>-119.36771676000001</v>
      </c>
      <c r="C14" s="44">
        <v>-100.28532064999999</v>
      </c>
      <c r="D14" s="44">
        <v>-105.96999603999998</v>
      </c>
      <c r="E14" s="45">
        <v>-120.6703809</v>
      </c>
      <c r="F14" s="44">
        <v>-110.03722214</v>
      </c>
      <c r="G14" s="44">
        <v>0</v>
      </c>
      <c r="H14" s="44">
        <v>0</v>
      </c>
      <c r="I14" s="44">
        <v>0</v>
      </c>
    </row>
    <row r="15" spans="1:9" ht="14.25">
      <c r="A15" s="89" t="str">
        <f>HLOOKUP(INDICE!$F$2,Nombres!$C$3:$D$636,40,FALSE)</f>
        <v>  Gastos de personal</v>
      </c>
      <c r="B15" s="44">
        <v>-73.26202813999998</v>
      </c>
      <c r="C15" s="44">
        <v>-55.51775033</v>
      </c>
      <c r="D15" s="44">
        <v>-56.576993529999996</v>
      </c>
      <c r="E15" s="45">
        <v>-71.96828531</v>
      </c>
      <c r="F15" s="44">
        <v>-63.98054628999999</v>
      </c>
      <c r="G15" s="44">
        <v>0</v>
      </c>
      <c r="H15" s="44">
        <v>0</v>
      </c>
      <c r="I15" s="44">
        <v>0</v>
      </c>
    </row>
    <row r="16" spans="1:9" ht="14.25">
      <c r="A16" s="89" t="str">
        <f>HLOOKUP(INDICE!$F$2,Nombres!$C$3:$D$636,41,FALSE)</f>
        <v>  Otros gastos de administración</v>
      </c>
      <c r="B16" s="44">
        <v>-46.105688619999995</v>
      </c>
      <c r="C16" s="44">
        <v>-44.767570320000004</v>
      </c>
      <c r="D16" s="44">
        <v>-49.393002509999995</v>
      </c>
      <c r="E16" s="45">
        <v>-48.702095590000006</v>
      </c>
      <c r="F16" s="44">
        <v>-46.05667584999999</v>
      </c>
      <c r="G16" s="44">
        <v>0</v>
      </c>
      <c r="H16" s="44">
        <v>0</v>
      </c>
      <c r="I16" s="44">
        <v>0</v>
      </c>
    </row>
    <row r="17" spans="1:9" ht="14.25">
      <c r="A17" s="88" t="str">
        <f>HLOOKUP(INDICE!$F$2,Nombres!$C$3:$D$636,42,FALSE)</f>
        <v>  Amortización</v>
      </c>
      <c r="B17" s="44">
        <v>-5.300854749999999</v>
      </c>
      <c r="C17" s="44">
        <v>-5.23787475</v>
      </c>
      <c r="D17" s="44">
        <v>-4.95421075</v>
      </c>
      <c r="E17" s="45">
        <v>-4.780962110000001</v>
      </c>
      <c r="F17" s="44">
        <v>-4.794921930000001</v>
      </c>
      <c r="G17" s="44">
        <v>0</v>
      </c>
      <c r="H17" s="44">
        <v>0</v>
      </c>
      <c r="I17" s="44">
        <v>0</v>
      </c>
    </row>
    <row r="18" spans="1:9" ht="14.25">
      <c r="A18" s="41" t="str">
        <f>HLOOKUP(INDICE!$F$2,Nombres!$C$3:$D$636,43,FALSE)</f>
        <v>Margen neto</v>
      </c>
      <c r="B18" s="41">
        <f aca="true" t="shared" si="1" ref="B18:I18">+B12+B13</f>
        <v>85.92932561000003</v>
      </c>
      <c r="C18" s="41">
        <f t="shared" si="1"/>
        <v>134.69896144999998</v>
      </c>
      <c r="D18" s="41">
        <f t="shared" si="1"/>
        <v>88.31065637000002</v>
      </c>
      <c r="E18" s="42">
        <f t="shared" si="1"/>
        <v>63.36814772000005</v>
      </c>
      <c r="F18" s="50">
        <f t="shared" si="1"/>
        <v>103.31234420000004</v>
      </c>
      <c r="G18" s="50">
        <f t="shared" si="1"/>
        <v>0</v>
      </c>
      <c r="H18" s="50">
        <f t="shared" si="1"/>
        <v>0</v>
      </c>
      <c r="I18" s="50">
        <f t="shared" si="1"/>
        <v>0</v>
      </c>
    </row>
    <row r="19" spans="1:9" ht="14.25">
      <c r="A19" s="88" t="str">
        <f>HLOOKUP(INDICE!$F$2,Nombres!$C$3:$D$636,44,FALSE)</f>
        <v>Deterioro de activos financieros no valorados a valor razonable con cambios en resultados</v>
      </c>
      <c r="B19" s="44">
        <v>-9.131852000000004</v>
      </c>
      <c r="C19" s="44">
        <v>-65.189352</v>
      </c>
      <c r="D19" s="44">
        <v>-25.472357000000002</v>
      </c>
      <c r="E19" s="45">
        <v>15.160934450000006</v>
      </c>
      <c r="F19" s="44">
        <v>1.822051</v>
      </c>
      <c r="G19" s="44">
        <v>0</v>
      </c>
      <c r="H19" s="44">
        <v>0</v>
      </c>
      <c r="I19" s="44">
        <v>0</v>
      </c>
    </row>
    <row r="20" spans="1:9" ht="14.25">
      <c r="A20" s="88" t="str">
        <f>HLOOKUP(INDICE!$F$2,Nombres!$C$3:$D$636,45,FALSE)</f>
        <v>Provisiones o reversión de provisiones y otros resultados</v>
      </c>
      <c r="B20" s="44">
        <v>11.101726999999999</v>
      </c>
      <c r="C20" s="44">
        <v>-17.054603</v>
      </c>
      <c r="D20" s="44">
        <v>-5.040946</v>
      </c>
      <c r="E20" s="45">
        <v>2.948495000000001</v>
      </c>
      <c r="F20" s="44">
        <v>-12.404064000000002</v>
      </c>
      <c r="G20" s="44">
        <v>0</v>
      </c>
      <c r="H20" s="44">
        <v>0</v>
      </c>
      <c r="I20" s="44">
        <v>0</v>
      </c>
    </row>
    <row r="21" spans="1:9" ht="14.25">
      <c r="A21" s="90" t="str">
        <f>HLOOKUP(INDICE!$F$2,Nombres!$C$3:$D$636,46,FALSE)</f>
        <v>Resultado antes de impuestos</v>
      </c>
      <c r="B21" s="41">
        <f aca="true" t="shared" si="2" ref="B21:I21">+B18+B19+B20</f>
        <v>87.89920061000002</v>
      </c>
      <c r="C21" s="41">
        <f t="shared" si="2"/>
        <v>52.455006449999985</v>
      </c>
      <c r="D21" s="41">
        <f t="shared" si="2"/>
        <v>57.79735337000002</v>
      </c>
      <c r="E21" s="42">
        <f t="shared" si="2"/>
        <v>81.47757717000007</v>
      </c>
      <c r="F21" s="50">
        <f t="shared" si="2"/>
        <v>92.73033120000004</v>
      </c>
      <c r="G21" s="50">
        <f t="shared" si="2"/>
        <v>0</v>
      </c>
      <c r="H21" s="50">
        <f t="shared" si="2"/>
        <v>0</v>
      </c>
      <c r="I21" s="50">
        <f t="shared" si="2"/>
        <v>0</v>
      </c>
    </row>
    <row r="22" spans="1:9" ht="14.25">
      <c r="A22" s="43" t="str">
        <f>HLOOKUP(INDICE!$F$2,Nombres!$C$3:$D$636,47,FALSE)</f>
        <v>Impuesto sobre beneficios</v>
      </c>
      <c r="B22" s="44">
        <v>-19.84192226</v>
      </c>
      <c r="C22" s="44">
        <v>-11.469910320000002</v>
      </c>
      <c r="D22" s="44">
        <v>-10.14419638</v>
      </c>
      <c r="E22" s="45">
        <v>-16.0063562</v>
      </c>
      <c r="F22" s="44">
        <v>-17.32033964</v>
      </c>
      <c r="G22" s="44">
        <v>0</v>
      </c>
      <c r="H22" s="44">
        <v>0</v>
      </c>
      <c r="I22" s="44">
        <v>0</v>
      </c>
    </row>
    <row r="23" spans="1:9" ht="14.25">
      <c r="A23" s="90" t="str">
        <f>HLOOKUP(INDICE!$F$2,Nombres!$C$3:$D$636,48,FALSE)</f>
        <v>Resultado del ejercicio</v>
      </c>
      <c r="B23" s="41">
        <f aca="true" t="shared" si="3" ref="B23:I23">+B21+B22</f>
        <v>68.05727835000002</v>
      </c>
      <c r="C23" s="41">
        <f t="shared" si="3"/>
        <v>40.98509612999998</v>
      </c>
      <c r="D23" s="41">
        <f t="shared" si="3"/>
        <v>47.653156990000014</v>
      </c>
      <c r="E23" s="42">
        <f t="shared" si="3"/>
        <v>65.47122097000008</v>
      </c>
      <c r="F23" s="50">
        <f t="shared" si="3"/>
        <v>75.40999156000004</v>
      </c>
      <c r="G23" s="50">
        <f t="shared" si="3"/>
        <v>0</v>
      </c>
      <c r="H23" s="50">
        <f t="shared" si="3"/>
        <v>0</v>
      </c>
      <c r="I23" s="50">
        <f t="shared" si="3"/>
        <v>0</v>
      </c>
    </row>
    <row r="24" spans="1:9" ht="14.25">
      <c r="A24" s="88" t="str">
        <f>HLOOKUP(INDICE!$F$2,Nombres!$C$3:$D$636,49,FALSE)</f>
        <v>Minoritarios</v>
      </c>
      <c r="B24" s="44">
        <v>0</v>
      </c>
      <c r="C24" s="44">
        <v>0</v>
      </c>
      <c r="D24" s="44">
        <v>0</v>
      </c>
      <c r="E24" s="45">
        <v>0</v>
      </c>
      <c r="F24" s="44">
        <v>0</v>
      </c>
      <c r="G24" s="44">
        <v>0</v>
      </c>
      <c r="H24" s="44">
        <v>0</v>
      </c>
      <c r="I24" s="44">
        <v>0</v>
      </c>
    </row>
    <row r="25" spans="1:9" ht="14.25">
      <c r="A25" s="91" t="str">
        <f>HLOOKUP(INDICE!$F$2,Nombres!$C$3:$D$636,50,FALSE)</f>
        <v>Resultado atribuido</v>
      </c>
      <c r="B25" s="47">
        <f aca="true" t="shared" si="4" ref="B25:I25">+B23+B24</f>
        <v>68.05727835000002</v>
      </c>
      <c r="C25" s="47">
        <f t="shared" si="4"/>
        <v>40.98509612999998</v>
      </c>
      <c r="D25" s="47">
        <f t="shared" si="4"/>
        <v>47.653156990000014</v>
      </c>
      <c r="E25" s="47">
        <f t="shared" si="4"/>
        <v>65.47122097000008</v>
      </c>
      <c r="F25" s="51">
        <f t="shared" si="4"/>
        <v>75.40999156000004</v>
      </c>
      <c r="G25" s="51">
        <f t="shared" si="4"/>
        <v>0</v>
      </c>
      <c r="H25" s="51">
        <f t="shared" si="4"/>
        <v>0</v>
      </c>
      <c r="I25" s="51">
        <f t="shared" si="4"/>
        <v>0</v>
      </c>
    </row>
    <row r="26" spans="1:9" ht="23.25" customHeight="1">
      <c r="A26" s="9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93" t="str">
        <f>HLOOKUP(INDICE!$F$2,Nombres!$C$3:$D$636,51,FALSE)</f>
        <v>Balances</v>
      </c>
      <c r="B28" s="34"/>
      <c r="C28" s="34"/>
      <c r="D28" s="34"/>
      <c r="E28" s="34"/>
      <c r="F28" s="34"/>
      <c r="G28" s="34"/>
      <c r="H28" s="34"/>
      <c r="I28" s="34"/>
    </row>
    <row r="29" spans="1:9" ht="14.25">
      <c r="A29" s="84"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88" t="str">
        <f>HLOOKUP(INDICE!$F$2,Nombres!$C$3:$D$636,52,FALSE)</f>
        <v>Efectivo, saldos en efectivo en bancos centrales y otros depósitos a la vista</v>
      </c>
      <c r="B31" s="44">
        <v>6202.221257000002</v>
      </c>
      <c r="C31" s="44">
        <v>3308.841176</v>
      </c>
      <c r="D31" s="44">
        <v>5058.705266</v>
      </c>
      <c r="E31" s="45">
        <v>6121.427863000002</v>
      </c>
      <c r="F31" s="44">
        <v>5508.754659000004</v>
      </c>
      <c r="G31" s="44">
        <v>0</v>
      </c>
      <c r="H31" s="44">
        <v>0</v>
      </c>
      <c r="I31" s="44">
        <v>0</v>
      </c>
    </row>
    <row r="32" spans="1:9" ht="14.25">
      <c r="A32" s="88" t="str">
        <f>HLOOKUP(INDICE!$F$2,Nombres!$C$3:$D$636,53,FALSE)</f>
        <v>Activos financieros a valor razonable</v>
      </c>
      <c r="B32" s="58">
        <v>951.69119339</v>
      </c>
      <c r="C32" s="58">
        <v>887.94594839</v>
      </c>
      <c r="D32" s="58">
        <v>823.4329333899999</v>
      </c>
      <c r="E32" s="65">
        <v>1469.63681939</v>
      </c>
      <c r="F32" s="44">
        <v>2144.63786839</v>
      </c>
      <c r="G32" s="44">
        <v>0</v>
      </c>
      <c r="H32" s="44">
        <v>0</v>
      </c>
      <c r="I32" s="44">
        <v>0</v>
      </c>
    </row>
    <row r="33" spans="1:9" ht="14.25">
      <c r="A33" s="43" t="str">
        <f>HLOOKUP(INDICE!$F$2,Nombres!$C$3:$D$636,54,FALSE)</f>
        <v>Activos financieros a coste amortizado</v>
      </c>
      <c r="B33" s="44">
        <v>34212.100122</v>
      </c>
      <c r="C33" s="44">
        <v>34230.28191799999</v>
      </c>
      <c r="D33" s="44">
        <v>30259.825950000002</v>
      </c>
      <c r="E33" s="45">
        <v>27213.156282</v>
      </c>
      <c r="F33" s="44">
        <v>27950.021301</v>
      </c>
      <c r="G33" s="44">
        <v>0</v>
      </c>
      <c r="H33" s="44">
        <v>0</v>
      </c>
      <c r="I33" s="44">
        <v>0</v>
      </c>
    </row>
    <row r="34" spans="1:9" ht="14.25">
      <c r="A34" s="88" t="str">
        <f>HLOOKUP(INDICE!$F$2,Nombres!$C$3:$D$636,55,FALSE)</f>
        <v>    de los que préstamos y anticipos a la clientela</v>
      </c>
      <c r="B34" s="44">
        <v>30816.043758</v>
      </c>
      <c r="C34" s="44">
        <v>30796.114730000005</v>
      </c>
      <c r="D34" s="44">
        <v>27076.811182999998</v>
      </c>
      <c r="E34" s="45">
        <v>24015.194186</v>
      </c>
      <c r="F34" s="44">
        <v>24449.966155000006</v>
      </c>
      <c r="G34" s="44">
        <v>0</v>
      </c>
      <c r="H34" s="44">
        <v>0</v>
      </c>
      <c r="I34" s="44">
        <v>0</v>
      </c>
    </row>
    <row r="35" spans="1:9" ht="14.25">
      <c r="A35" s="88"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82.25715100000001</v>
      </c>
      <c r="C36" s="44">
        <v>81.524617</v>
      </c>
      <c r="D36" s="44">
        <v>77.215672</v>
      </c>
      <c r="E36" s="45">
        <v>75.050525</v>
      </c>
      <c r="F36" s="44">
        <v>72.698882</v>
      </c>
      <c r="G36" s="44">
        <v>0</v>
      </c>
      <c r="H36" s="44">
        <v>0</v>
      </c>
      <c r="I36" s="44">
        <v>0</v>
      </c>
    </row>
    <row r="37" spans="1:9" ht="14.25">
      <c r="A37" s="88" t="str">
        <f>HLOOKUP(INDICE!$F$2,Nombres!$C$3:$D$636,57,FALSE)</f>
        <v>Otros activos</v>
      </c>
      <c r="B37" s="58">
        <f>+B38-B36-B33-B32-B31-B35</f>
        <v>720.100978999988</v>
      </c>
      <c r="C37" s="58">
        <f aca="true" t="shared" si="5" ref="C37:I37">+C38-C36-C33-C32-C31</f>
        <v>524.3265359999941</v>
      </c>
      <c r="D37" s="58">
        <f t="shared" si="5"/>
        <v>421.3027209999964</v>
      </c>
      <c r="E37" s="65">
        <f t="shared" si="5"/>
        <v>293.0149710000087</v>
      </c>
      <c r="F37" s="44">
        <f t="shared" si="5"/>
        <v>338.7671179999943</v>
      </c>
      <c r="G37" s="44">
        <f t="shared" si="5"/>
        <v>0</v>
      </c>
      <c r="H37" s="44">
        <f t="shared" si="5"/>
        <v>0</v>
      </c>
      <c r="I37" s="44">
        <f t="shared" si="5"/>
        <v>0</v>
      </c>
    </row>
    <row r="38" spans="1:9" ht="14.25">
      <c r="A38" s="91" t="str">
        <f>HLOOKUP(INDICE!$F$2,Nombres!$C$3:$D$636,58,FALSE)</f>
        <v>Total activo / pasivo</v>
      </c>
      <c r="B38" s="47">
        <v>42168.37070238999</v>
      </c>
      <c r="C38" s="47">
        <v>39032.92019538999</v>
      </c>
      <c r="D38" s="47">
        <v>36640.48254239</v>
      </c>
      <c r="E38" s="71">
        <v>35172.28646039001</v>
      </c>
      <c r="F38" s="47">
        <v>36014.879828389996</v>
      </c>
      <c r="G38" s="47">
        <v>0</v>
      </c>
      <c r="H38" s="47">
        <v>0</v>
      </c>
      <c r="I38" s="47">
        <v>0</v>
      </c>
    </row>
    <row r="39" spans="1:9" ht="14.25">
      <c r="A39" s="88" t="str">
        <f>HLOOKUP(INDICE!$F$2,Nombres!$C$3:$D$636,59,FALSE)</f>
        <v>Pasivos financieros mantenidos para negociar y designados a valor razonable con cambios en resultados</v>
      </c>
      <c r="B39" s="58">
        <v>438.9661890000001</v>
      </c>
      <c r="C39" s="58">
        <v>291.003285</v>
      </c>
      <c r="D39" s="58">
        <v>207.70747899999998</v>
      </c>
      <c r="E39" s="65">
        <v>848.626516</v>
      </c>
      <c r="F39" s="44">
        <v>1508.999037</v>
      </c>
      <c r="G39" s="44">
        <v>0</v>
      </c>
      <c r="H39" s="44">
        <v>0</v>
      </c>
      <c r="I39" s="44">
        <v>0</v>
      </c>
    </row>
    <row r="40" spans="1:9" ht="14.25">
      <c r="A40" s="88" t="str">
        <f>HLOOKUP(INDICE!$F$2,Nombres!$C$3:$D$636,60,FALSE)</f>
        <v>Depósitos de bancos centrales y entidades de crédito</v>
      </c>
      <c r="B40" s="58">
        <v>1441.5881160000001</v>
      </c>
      <c r="C40" s="58">
        <v>1941.1155410000001</v>
      </c>
      <c r="D40" s="58">
        <v>1831.530121</v>
      </c>
      <c r="E40" s="65">
        <v>1700.0089240000002</v>
      </c>
      <c r="F40" s="44">
        <v>1552.9310349999998</v>
      </c>
      <c r="G40" s="44">
        <v>0</v>
      </c>
      <c r="H40" s="44">
        <v>0</v>
      </c>
      <c r="I40" s="44">
        <v>0</v>
      </c>
    </row>
    <row r="41" spans="1:9" ht="15.75" customHeight="1">
      <c r="A41" s="88" t="str">
        <f>HLOOKUP(INDICE!$F$2,Nombres!$C$3:$D$636,61,FALSE)</f>
        <v>Depósitos de la clientela</v>
      </c>
      <c r="B41" s="58">
        <v>9352.503787</v>
      </c>
      <c r="C41" s="58">
        <v>9382.881924</v>
      </c>
      <c r="D41" s="58">
        <v>9209.631687000001</v>
      </c>
      <c r="E41" s="65">
        <v>9333.238973</v>
      </c>
      <c r="F41" s="44">
        <v>6764.373215</v>
      </c>
      <c r="G41" s="44">
        <v>0</v>
      </c>
      <c r="H41" s="44">
        <v>0</v>
      </c>
      <c r="I41" s="44">
        <v>0</v>
      </c>
    </row>
    <row r="42" spans="1:9" ht="14.25">
      <c r="A42" s="43" t="str">
        <f>HLOOKUP(INDICE!$F$2,Nombres!$C$3:$D$636,62,FALSE)</f>
        <v>Valores representativos de deuda emitidos</v>
      </c>
      <c r="B42" s="44">
        <v>1669.47207076</v>
      </c>
      <c r="C42" s="44">
        <v>1318.05595697</v>
      </c>
      <c r="D42" s="44">
        <v>1280.4504984299997</v>
      </c>
      <c r="E42" s="45">
        <v>1511.1520558899997</v>
      </c>
      <c r="F42" s="44">
        <v>1127.30962477</v>
      </c>
      <c r="G42" s="44">
        <v>0</v>
      </c>
      <c r="H42" s="44">
        <v>0</v>
      </c>
      <c r="I42" s="44">
        <v>0</v>
      </c>
    </row>
    <row r="43" spans="1:9" ht="14.25">
      <c r="A43" s="88" t="str">
        <f>HLOOKUP(INDICE!$F$2,Nombres!$C$3:$D$636,122,FALSE)</f>
        <v>Posiciones inter-áreas pasivo</v>
      </c>
      <c r="B43" s="44">
        <v>25529.535976959996</v>
      </c>
      <c r="C43" s="44">
        <v>21817.558847259992</v>
      </c>
      <c r="D43" s="44">
        <v>20358.716725079998</v>
      </c>
      <c r="E43" s="45">
        <v>18131.87499315001</v>
      </c>
      <c r="F43" s="44">
        <v>21499.376987039996</v>
      </c>
      <c r="G43" s="44">
        <v>0</v>
      </c>
      <c r="H43" s="44">
        <v>0</v>
      </c>
      <c r="I43" s="44">
        <v>0</v>
      </c>
    </row>
    <row r="44" spans="1:9" ht="14.25">
      <c r="A44" s="43" t="str">
        <f>HLOOKUP(INDICE!$F$2,Nombres!$C$3:$D$636,63,FALSE)</f>
        <v>Otros pasivos</v>
      </c>
      <c r="B44" s="58">
        <f aca="true" t="shared" si="6" ref="B44:I44">+B38-B39-B40-B41-B42-B45-B43</f>
        <v>592.9758993799951</v>
      </c>
      <c r="C44" s="58">
        <f t="shared" si="6"/>
        <v>854.8760110700023</v>
      </c>
      <c r="D44" s="58">
        <f t="shared" si="6"/>
        <v>608.0598491099954</v>
      </c>
      <c r="E44" s="65">
        <f t="shared" si="6"/>
        <v>608.231388250002</v>
      </c>
      <c r="F44" s="58">
        <f t="shared" si="6"/>
        <v>563.060551159997</v>
      </c>
      <c r="G44" s="58">
        <f t="shared" si="6"/>
        <v>0</v>
      </c>
      <c r="H44" s="58">
        <f t="shared" si="6"/>
        <v>0</v>
      </c>
      <c r="I44" s="58">
        <f t="shared" si="6"/>
        <v>0</v>
      </c>
    </row>
    <row r="45" spans="1:9" ht="14.25">
      <c r="A45" s="43" t="str">
        <f>HLOOKUP(INDICE!$F$2,Nombres!$C$3:$D$636,282,FALSE)</f>
        <v>Dotación de capital regulatorio</v>
      </c>
      <c r="B45" s="58">
        <v>3143.3286632900003</v>
      </c>
      <c r="C45" s="58">
        <v>3427.42863009</v>
      </c>
      <c r="D45" s="58">
        <v>3144.3861827700002</v>
      </c>
      <c r="E45" s="65">
        <v>3039.1536100999997</v>
      </c>
      <c r="F45" s="58">
        <v>2998.8293784199996</v>
      </c>
      <c r="G45" s="58">
        <v>0</v>
      </c>
      <c r="H45" s="58">
        <v>0</v>
      </c>
      <c r="I45" s="58">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Indicadores relevantes y de gestión</v>
      </c>
      <c r="B48" s="34"/>
      <c r="C48" s="34"/>
      <c r="D48" s="34"/>
      <c r="E48" s="34"/>
      <c r="F48" s="69"/>
      <c r="G48" s="69"/>
      <c r="H48" s="69"/>
      <c r="I48" s="69"/>
    </row>
    <row r="49" spans="1:9" ht="14.25">
      <c r="A49" s="84"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88" t="str">
        <f>HLOOKUP(INDICE!$F$2,Nombres!$C$3:$D$636,66,FALSE)</f>
        <v>Préstamos y anticipos a la clientela bruto (*)</v>
      </c>
      <c r="B51" s="44">
        <v>31159.538962</v>
      </c>
      <c r="C51" s="44">
        <v>31147.586980000004</v>
      </c>
      <c r="D51" s="44">
        <v>27447.170533</v>
      </c>
      <c r="E51" s="45">
        <v>24348.612419</v>
      </c>
      <c r="F51" s="44">
        <v>24763.71064</v>
      </c>
      <c r="G51" s="44">
        <v>0</v>
      </c>
      <c r="H51" s="44">
        <v>0</v>
      </c>
      <c r="I51" s="44">
        <v>0</v>
      </c>
    </row>
    <row r="52" spans="1:9" ht="14.25">
      <c r="A52" s="88" t="str">
        <f>HLOOKUP(INDICE!$F$2,Nombres!$C$3:$D$636,67,FALSE)</f>
        <v>Depósitos de clientes en gestión (**)</v>
      </c>
      <c r="B52" s="44">
        <v>9352.503787000001</v>
      </c>
      <c r="C52" s="44">
        <v>9382.881924000001</v>
      </c>
      <c r="D52" s="44">
        <v>9209.631687000001</v>
      </c>
      <c r="E52" s="45">
        <v>9333.238973</v>
      </c>
      <c r="F52" s="44">
        <v>6764.373215</v>
      </c>
      <c r="G52" s="44">
        <v>0</v>
      </c>
      <c r="H52" s="44">
        <v>0</v>
      </c>
      <c r="I52" s="44">
        <v>0</v>
      </c>
    </row>
    <row r="53" spans="1:9" ht="14.25">
      <c r="A53" s="43" t="str">
        <f>HLOOKUP(INDICE!$F$2,Nombres!$C$3:$D$636,68,FALSE)</f>
        <v>Fondos de inversión</v>
      </c>
      <c r="B53" s="44">
        <v>0</v>
      </c>
      <c r="C53" s="44">
        <v>0</v>
      </c>
      <c r="D53" s="44">
        <v>0</v>
      </c>
      <c r="E53" s="45">
        <v>0</v>
      </c>
      <c r="F53" s="44">
        <v>0</v>
      </c>
      <c r="G53" s="44">
        <v>0</v>
      </c>
      <c r="H53" s="44">
        <v>0</v>
      </c>
      <c r="I53" s="44">
        <v>0</v>
      </c>
    </row>
    <row r="54" spans="1:9" ht="14.25">
      <c r="A54" s="88" t="str">
        <f>HLOOKUP(INDICE!$F$2,Nombres!$C$3:$D$636,69,FALSE)</f>
        <v>Fondos de pensiones</v>
      </c>
      <c r="B54" s="44">
        <v>494.78505432</v>
      </c>
      <c r="C54" s="44">
        <v>517.96026945</v>
      </c>
      <c r="D54" s="44">
        <v>529.31975174</v>
      </c>
      <c r="E54" s="45">
        <v>569.33256496</v>
      </c>
      <c r="F54" s="44">
        <v>529.59826012</v>
      </c>
      <c r="G54" s="44">
        <v>0</v>
      </c>
      <c r="H54" s="44">
        <v>0</v>
      </c>
      <c r="I54" s="44">
        <v>0</v>
      </c>
    </row>
    <row r="55" spans="1:9" ht="14.25">
      <c r="A55" s="88" t="str">
        <f>HLOOKUP(INDICE!$F$2,Nombres!$C$3:$D$636,70,FALSE)</f>
        <v>Otros recursos fuera de balance</v>
      </c>
      <c r="B55" s="44">
        <v>0</v>
      </c>
      <c r="C55" s="44">
        <v>0</v>
      </c>
      <c r="D55" s="44">
        <v>0</v>
      </c>
      <c r="E55" s="45">
        <v>0</v>
      </c>
      <c r="F55" s="44">
        <v>0</v>
      </c>
      <c r="G55" s="44">
        <v>0</v>
      </c>
      <c r="H55" s="44">
        <v>0</v>
      </c>
      <c r="I55" s="44">
        <v>0</v>
      </c>
    </row>
    <row r="56" spans="1:9" ht="14.25">
      <c r="A56" s="92" t="str">
        <f>HLOOKUP(INDICE!$F$2,Nombres!$C$3:$D$636,71,FALSE)</f>
        <v>(*) No incluye las adquisiciones temporales de activos.</v>
      </c>
      <c r="B56" s="58"/>
      <c r="C56" s="58"/>
      <c r="D56" s="58"/>
      <c r="E56" s="58"/>
      <c r="F56" s="44"/>
      <c r="G56" s="44"/>
      <c r="H56" s="44"/>
      <c r="I56" s="44"/>
    </row>
    <row r="57" spans="1:9" ht="14.25">
      <c r="A57" s="92" t="str">
        <f>HLOOKUP(INDICE!$F$2,Nombres!$C$3:$D$636,72,FALSE)</f>
        <v>(**) No incluye las cesiones temporales de activos.</v>
      </c>
      <c r="B57" s="30"/>
      <c r="C57" s="30"/>
      <c r="D57" s="30"/>
      <c r="E57" s="30"/>
      <c r="F57" s="70"/>
      <c r="G57" s="70"/>
      <c r="H57" s="70"/>
      <c r="I57" s="70"/>
    </row>
    <row r="58" spans="1:9" ht="14.25">
      <c r="A58" s="62"/>
      <c r="B58" s="30"/>
      <c r="C58" s="30"/>
      <c r="D58" s="30"/>
      <c r="E58" s="30"/>
      <c r="F58" s="70"/>
      <c r="G58" s="70"/>
      <c r="H58" s="70"/>
      <c r="I58" s="70"/>
    </row>
    <row r="59" spans="1:9" ht="16.5">
      <c r="A59" s="93" t="str">
        <f>HLOOKUP(INDICE!$F$2,Nombres!$C$3:$D$636,31,FALSE)</f>
        <v>Cuenta de resultados  </v>
      </c>
      <c r="B59" s="34"/>
      <c r="C59" s="34"/>
      <c r="D59" s="34"/>
      <c r="E59" s="34"/>
      <c r="F59" s="69"/>
      <c r="G59" s="69"/>
      <c r="H59" s="69"/>
      <c r="I59" s="69"/>
    </row>
    <row r="60" spans="1:9" ht="14.25">
      <c r="A60" s="84" t="str">
        <f>HLOOKUP(INDICE!$F$2,Nombres!$C$3:$D$636,73,FALSE)</f>
        <v>(Millones de euros constantes)</v>
      </c>
      <c r="B60" s="30"/>
      <c r="C60" s="36"/>
      <c r="D60" s="36"/>
      <c r="E60" s="36"/>
      <c r="F60" s="70"/>
      <c r="G60" s="70"/>
      <c r="H60" s="70"/>
      <c r="I60" s="7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4.25">
      <c r="A64" s="41" t="str">
        <f>HLOOKUP(INDICE!$F$2,Nombres!$C$3:$D$636,33,FALSE)</f>
        <v>Margen de intereses</v>
      </c>
      <c r="B64" s="41">
        <v>63.73510619937534</v>
      </c>
      <c r="C64" s="41">
        <v>79.1579687539311</v>
      </c>
      <c r="D64" s="41">
        <v>76.99738085568183</v>
      </c>
      <c r="E64" s="42">
        <v>74.41264104077081</v>
      </c>
      <c r="F64" s="50">
        <v>72.44060586</v>
      </c>
      <c r="G64" s="50">
        <v>0</v>
      </c>
      <c r="H64" s="50">
        <v>0</v>
      </c>
      <c r="I64" s="50">
        <v>0</v>
      </c>
    </row>
    <row r="65" spans="1:9" ht="14.25">
      <c r="A65" s="88" t="str">
        <f>HLOOKUP(INDICE!$F$2,Nombres!$C$3:$D$636,34,FALSE)</f>
        <v>Comisiones netas</v>
      </c>
      <c r="B65" s="44">
        <v>79.98318914160433</v>
      </c>
      <c r="C65" s="44">
        <v>92.2812626051001</v>
      </c>
      <c r="D65" s="44">
        <v>82.62036987778457</v>
      </c>
      <c r="E65" s="45">
        <v>70.36583550626221</v>
      </c>
      <c r="F65" s="44">
        <v>72.68694468000001</v>
      </c>
      <c r="G65" s="44">
        <v>0</v>
      </c>
      <c r="H65" s="44">
        <v>0</v>
      </c>
      <c r="I65" s="44">
        <v>0</v>
      </c>
    </row>
    <row r="66" spans="1:9" ht="14.25">
      <c r="A66" s="88" t="str">
        <f>HLOOKUP(INDICE!$F$2,Nombres!$C$3:$D$636,35,FALSE)</f>
        <v>Resultados de operaciones financieras</v>
      </c>
      <c r="B66" s="44">
        <v>48.9561892000109</v>
      </c>
      <c r="C66" s="44">
        <v>53.351190193609256</v>
      </c>
      <c r="D66" s="44">
        <v>30.383209121832238</v>
      </c>
      <c r="E66" s="45">
        <v>39.82140737643607</v>
      </c>
      <c r="F66" s="44">
        <v>64.59993851</v>
      </c>
      <c r="G66" s="44">
        <v>0</v>
      </c>
      <c r="H66" s="44">
        <v>0</v>
      </c>
      <c r="I66" s="44">
        <v>0</v>
      </c>
    </row>
    <row r="67" spans="1:9" ht="14.25">
      <c r="A67" s="88" t="str">
        <f>HLOOKUP(INDICE!$F$2,Nombres!$C$3:$D$636,36,FALSE)</f>
        <v>Otros ingresos y cargas de explotación</v>
      </c>
      <c r="B67" s="44">
        <v>11.252522691170277</v>
      </c>
      <c r="C67" s="44">
        <v>9.613968387191926</v>
      </c>
      <c r="D67" s="44">
        <v>11.78502032032181</v>
      </c>
      <c r="E67" s="45">
        <v>11.472172053155706</v>
      </c>
      <c r="F67" s="44">
        <v>8.416999220000001</v>
      </c>
      <c r="G67" s="44">
        <v>0</v>
      </c>
      <c r="H67" s="44">
        <v>0</v>
      </c>
      <c r="I67" s="44">
        <v>0</v>
      </c>
    </row>
    <row r="68" spans="1:9" ht="14.25">
      <c r="A68" s="41" t="str">
        <f>HLOOKUP(INDICE!$F$2,Nombres!$C$3:$D$636,37,FALSE)</f>
        <v>Margen bruto</v>
      </c>
      <c r="B68" s="41">
        <f aca="true" t="shared" si="9" ref="B68:I68">+SUM(B64:B67)</f>
        <v>203.92700723216083</v>
      </c>
      <c r="C68" s="41">
        <f t="shared" si="9"/>
        <v>234.40438993983238</v>
      </c>
      <c r="D68" s="41">
        <f t="shared" si="9"/>
        <v>201.78598017562044</v>
      </c>
      <c r="E68" s="42">
        <f t="shared" si="9"/>
        <v>196.0720559766248</v>
      </c>
      <c r="F68" s="50">
        <f t="shared" si="9"/>
        <v>218.14448827000004</v>
      </c>
      <c r="G68" s="50">
        <f t="shared" si="9"/>
        <v>0</v>
      </c>
      <c r="H68" s="50">
        <f t="shared" si="9"/>
        <v>0</v>
      </c>
      <c r="I68" s="50">
        <f t="shared" si="9"/>
        <v>0</v>
      </c>
    </row>
    <row r="69" spans="1:9" ht="14.25">
      <c r="A69" s="88" t="str">
        <f>HLOOKUP(INDICE!$F$2,Nombres!$C$3:$D$636,38,FALSE)</f>
        <v>Gastos de explotación</v>
      </c>
      <c r="B69" s="44">
        <v>-120.38213298992311</v>
      </c>
      <c r="C69" s="44">
        <v>-102.52509641039367</v>
      </c>
      <c r="D69" s="44">
        <v>-111.22895585210526</v>
      </c>
      <c r="E69" s="45">
        <v>-127.80447402669782</v>
      </c>
      <c r="F69" s="44">
        <v>-114.83214407</v>
      </c>
      <c r="G69" s="44">
        <v>0</v>
      </c>
      <c r="H69" s="44">
        <v>0</v>
      </c>
      <c r="I69" s="44">
        <v>0</v>
      </c>
    </row>
    <row r="70" spans="1:9" ht="14.25">
      <c r="A70" s="88" t="str">
        <f>HLOOKUP(INDICE!$F$2,Nombres!$C$3:$D$636,39,FALSE)</f>
        <v>  Gastos de administración</v>
      </c>
      <c r="B70" s="44">
        <v>-115.16710335726191</v>
      </c>
      <c r="C70" s="44">
        <v>-97.35060184918204</v>
      </c>
      <c r="D70" s="44">
        <v>-106.24718967814087</v>
      </c>
      <c r="E70" s="45">
        <v>-122.93998636115563</v>
      </c>
      <c r="F70" s="44">
        <v>-110.03722214</v>
      </c>
      <c r="G70" s="44">
        <v>0</v>
      </c>
      <c r="H70" s="44">
        <v>0</v>
      </c>
      <c r="I70" s="44">
        <v>0</v>
      </c>
    </row>
    <row r="71" spans="1:9" ht="14.25">
      <c r="A71" s="89" t="str">
        <f>HLOOKUP(INDICE!$F$2,Nombres!$C$3:$D$636,40,FALSE)</f>
        <v>  Gastos de personal</v>
      </c>
      <c r="B71" s="44">
        <v>-70.16849287159133</v>
      </c>
      <c r="C71" s="44">
        <v>-53.4123867878169</v>
      </c>
      <c r="D71" s="44">
        <v>-56.52808489921109</v>
      </c>
      <c r="E71" s="45">
        <v>-73.1054338688925</v>
      </c>
      <c r="F71" s="44">
        <v>-63.98054629000001</v>
      </c>
      <c r="G71" s="44">
        <v>0</v>
      </c>
      <c r="H71" s="44">
        <v>0</v>
      </c>
      <c r="I71" s="44">
        <v>0</v>
      </c>
    </row>
    <row r="72" spans="1:9" ht="14.25">
      <c r="A72" s="89" t="str">
        <f>HLOOKUP(INDICE!$F$2,Nombres!$C$3:$D$636,41,FALSE)</f>
        <v>  Otros gastos de administración</v>
      </c>
      <c r="B72" s="44">
        <v>-44.99861048567059</v>
      </c>
      <c r="C72" s="44">
        <v>-43.938215061365156</v>
      </c>
      <c r="D72" s="44">
        <v>-49.719104778929776</v>
      </c>
      <c r="E72" s="45">
        <v>-49.83455249226313</v>
      </c>
      <c r="F72" s="44">
        <v>-46.05667584999999</v>
      </c>
      <c r="G72" s="44">
        <v>0</v>
      </c>
      <c r="H72" s="44">
        <v>0</v>
      </c>
      <c r="I72" s="44">
        <v>0</v>
      </c>
    </row>
    <row r="73" spans="1:9" ht="14.25">
      <c r="A73" s="88" t="str">
        <f>HLOOKUP(INDICE!$F$2,Nombres!$C$3:$D$636,42,FALSE)</f>
        <v>  Amortización</v>
      </c>
      <c r="B73" s="44">
        <v>-5.215029632661192</v>
      </c>
      <c r="C73" s="44">
        <v>-5.174494561211636</v>
      </c>
      <c r="D73" s="44">
        <v>-4.981766173964392</v>
      </c>
      <c r="E73" s="45">
        <v>-4.864487665542201</v>
      </c>
      <c r="F73" s="44">
        <v>-4.79492193</v>
      </c>
      <c r="G73" s="44">
        <v>0</v>
      </c>
      <c r="H73" s="44">
        <v>0</v>
      </c>
      <c r="I73" s="44">
        <v>0</v>
      </c>
    </row>
    <row r="74" spans="1:9" ht="14.25">
      <c r="A74" s="41" t="str">
        <f>HLOOKUP(INDICE!$F$2,Nombres!$C$3:$D$636,43,FALSE)</f>
        <v>Margen neto</v>
      </c>
      <c r="B74" s="41">
        <f aca="true" t="shared" si="10" ref="B74:I74">+B68+B69</f>
        <v>83.54487424223773</v>
      </c>
      <c r="C74" s="41">
        <f t="shared" si="10"/>
        <v>131.8792935294387</v>
      </c>
      <c r="D74" s="41">
        <f t="shared" si="10"/>
        <v>90.55702432351518</v>
      </c>
      <c r="E74" s="42">
        <f t="shared" si="10"/>
        <v>68.26758194992698</v>
      </c>
      <c r="F74" s="50">
        <f t="shared" si="10"/>
        <v>103.31234420000004</v>
      </c>
      <c r="G74" s="50">
        <f t="shared" si="10"/>
        <v>0</v>
      </c>
      <c r="H74" s="50">
        <f t="shared" si="10"/>
        <v>0</v>
      </c>
      <c r="I74" s="50">
        <f t="shared" si="10"/>
        <v>0</v>
      </c>
    </row>
    <row r="75" spans="1:9" ht="14.25">
      <c r="A75" s="88" t="str">
        <f>HLOOKUP(INDICE!$F$2,Nombres!$C$3:$D$636,44,FALSE)</f>
        <v>Deterioro de activos financieros no valorados a valor razonable con cambios en resultados</v>
      </c>
      <c r="B75" s="44">
        <v>-8.121823636723946</v>
      </c>
      <c r="C75" s="44">
        <v>-64.40170130567978</v>
      </c>
      <c r="D75" s="44">
        <v>-27.194990549825587</v>
      </c>
      <c r="E75" s="45">
        <v>12.909636141722434</v>
      </c>
      <c r="F75" s="44">
        <v>1.8220509999999983</v>
      </c>
      <c r="G75" s="44">
        <v>0</v>
      </c>
      <c r="H75" s="44">
        <v>0</v>
      </c>
      <c r="I75" s="44">
        <v>0</v>
      </c>
    </row>
    <row r="76" spans="1:9" ht="14.25">
      <c r="A76" s="88" t="str">
        <f>HLOOKUP(INDICE!$F$2,Nombres!$C$3:$D$636,45,FALSE)</f>
        <v>Provisiones o reversión de provisiones y otros resultados</v>
      </c>
      <c r="B76" s="44">
        <v>10.343981749516118</v>
      </c>
      <c r="C76" s="44">
        <v>-16.369863767426224</v>
      </c>
      <c r="D76" s="44">
        <v>-4.963693609724471</v>
      </c>
      <c r="E76" s="45">
        <v>2.6772678514503667</v>
      </c>
      <c r="F76" s="44">
        <v>-12.404064000000005</v>
      </c>
      <c r="G76" s="44">
        <v>0</v>
      </c>
      <c r="H76" s="44">
        <v>0</v>
      </c>
      <c r="I76" s="44">
        <v>0</v>
      </c>
    </row>
    <row r="77" spans="1:9" ht="14.25">
      <c r="A77" s="90" t="str">
        <f>HLOOKUP(INDICE!$F$2,Nombres!$C$3:$D$636,46,FALSE)</f>
        <v>Resultado antes de impuestos</v>
      </c>
      <c r="B77" s="41">
        <f aca="true" t="shared" si="11" ref="B77:I77">+B74+B75+B76</f>
        <v>85.7670323550299</v>
      </c>
      <c r="C77" s="41">
        <f t="shared" si="11"/>
        <v>51.10772845633271</v>
      </c>
      <c r="D77" s="41">
        <f t="shared" si="11"/>
        <v>58.398340163965116</v>
      </c>
      <c r="E77" s="42">
        <f t="shared" si="11"/>
        <v>83.85448594309977</v>
      </c>
      <c r="F77" s="50">
        <f t="shared" si="11"/>
        <v>92.73033120000004</v>
      </c>
      <c r="G77" s="50">
        <f t="shared" si="11"/>
        <v>0</v>
      </c>
      <c r="H77" s="50">
        <f t="shared" si="11"/>
        <v>0</v>
      </c>
      <c r="I77" s="50">
        <f t="shared" si="11"/>
        <v>0</v>
      </c>
    </row>
    <row r="78" spans="1:9" ht="14.25">
      <c r="A78" s="43" t="str">
        <f>HLOOKUP(INDICE!$F$2,Nombres!$C$3:$D$636,47,FALSE)</f>
        <v>Impuesto sobre beneficios</v>
      </c>
      <c r="B78" s="44">
        <v>-19.389510023156248</v>
      </c>
      <c r="C78" s="44">
        <v>-11.175056885697057</v>
      </c>
      <c r="D78" s="44">
        <v>-10.323257986854072</v>
      </c>
      <c r="E78" s="45">
        <v>-16.388019675682486</v>
      </c>
      <c r="F78" s="44">
        <v>-17.320339640000004</v>
      </c>
      <c r="G78" s="44">
        <v>0</v>
      </c>
      <c r="H78" s="44">
        <v>0</v>
      </c>
      <c r="I78" s="44">
        <v>0</v>
      </c>
    </row>
    <row r="79" spans="1:9" ht="14.25">
      <c r="A79" s="90" t="str">
        <f>HLOOKUP(INDICE!$F$2,Nombres!$C$3:$D$636,48,FALSE)</f>
        <v>Resultado del ejercicio</v>
      </c>
      <c r="B79" s="41">
        <f aca="true" t="shared" si="12" ref="B79:I79">+B77+B78</f>
        <v>66.37752233187365</v>
      </c>
      <c r="C79" s="41">
        <f t="shared" si="12"/>
        <v>39.93267157063565</v>
      </c>
      <c r="D79" s="41">
        <f t="shared" si="12"/>
        <v>48.07508217711104</v>
      </c>
      <c r="E79" s="42">
        <f t="shared" si="12"/>
        <v>67.46646626741729</v>
      </c>
      <c r="F79" s="50">
        <f t="shared" si="12"/>
        <v>75.40999156000004</v>
      </c>
      <c r="G79" s="50">
        <f t="shared" si="12"/>
        <v>0</v>
      </c>
      <c r="H79" s="50">
        <f t="shared" si="12"/>
        <v>0</v>
      </c>
      <c r="I79" s="50">
        <f t="shared" si="12"/>
        <v>0</v>
      </c>
    </row>
    <row r="80" spans="1:9" ht="14.25">
      <c r="A80" s="88" t="str">
        <f>HLOOKUP(INDICE!$F$2,Nombres!$C$3:$D$636,49,FALSE)</f>
        <v>Minoritarios</v>
      </c>
      <c r="B80" s="44">
        <v>0</v>
      </c>
      <c r="C80" s="44">
        <v>0</v>
      </c>
      <c r="D80" s="44">
        <v>0</v>
      </c>
      <c r="E80" s="45">
        <v>0</v>
      </c>
      <c r="F80" s="44">
        <v>0</v>
      </c>
      <c r="G80" s="44">
        <v>0</v>
      </c>
      <c r="H80" s="44">
        <v>0</v>
      </c>
      <c r="I80" s="44">
        <v>0</v>
      </c>
    </row>
    <row r="81" spans="1:9" ht="14.25">
      <c r="A81" s="91" t="str">
        <f>HLOOKUP(INDICE!$F$2,Nombres!$C$3:$D$636,50,FALSE)</f>
        <v>Resultado atribuido</v>
      </c>
      <c r="B81" s="47">
        <f aca="true" t="shared" si="13" ref="B81:I81">+B79+B80</f>
        <v>66.37752233187365</v>
      </c>
      <c r="C81" s="47">
        <f t="shared" si="13"/>
        <v>39.93267157063565</v>
      </c>
      <c r="D81" s="47">
        <f t="shared" si="13"/>
        <v>48.07508217711104</v>
      </c>
      <c r="E81" s="47">
        <f t="shared" si="13"/>
        <v>67.46646626741729</v>
      </c>
      <c r="F81" s="51">
        <f t="shared" si="13"/>
        <v>75.40999156000004</v>
      </c>
      <c r="G81" s="51">
        <f t="shared" si="13"/>
        <v>0</v>
      </c>
      <c r="H81" s="51">
        <f t="shared" si="13"/>
        <v>0</v>
      </c>
      <c r="I81" s="51">
        <f t="shared" si="13"/>
        <v>0</v>
      </c>
    </row>
    <row r="82" spans="1:9" ht="14.25">
      <c r="A82" s="9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93" t="str">
        <f>HLOOKUP(INDICE!$F$2,Nombres!$C$3:$D$636,51,FALSE)</f>
        <v>Balances</v>
      </c>
      <c r="B84" s="34"/>
      <c r="C84" s="34"/>
      <c r="D84" s="34"/>
      <c r="E84" s="34"/>
      <c r="F84" s="69"/>
      <c r="G84" s="69"/>
      <c r="H84" s="69"/>
      <c r="I84" s="69"/>
    </row>
    <row r="85" spans="1:9" ht="14.25">
      <c r="A85" s="84"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88" t="str">
        <f>HLOOKUP(INDICE!$F$2,Nombres!$C$3:$D$636,52,FALSE)</f>
        <v>Efectivo, saldos en efectivo en bancos centrales y otros depósitos a la vista</v>
      </c>
      <c r="B87" s="44">
        <v>5807.056986624862</v>
      </c>
      <c r="C87" s="44">
        <v>3166.87297684483</v>
      </c>
      <c r="D87" s="44">
        <v>5047.487592959384</v>
      </c>
      <c r="E87" s="45">
        <v>6390.247635487437</v>
      </c>
      <c r="F87" s="44">
        <v>5508.754659000004</v>
      </c>
      <c r="G87" s="44">
        <v>0</v>
      </c>
      <c r="H87" s="44">
        <v>0</v>
      </c>
      <c r="I87" s="44">
        <v>0</v>
      </c>
    </row>
    <row r="88" spans="1:9" ht="14.25">
      <c r="A88" s="88" t="str">
        <f>HLOOKUP(INDICE!$F$2,Nombres!$C$3:$D$636,53,FALSE)</f>
        <v>Activos financieros a valor razonable</v>
      </c>
      <c r="B88" s="58">
        <v>920.4163988543619</v>
      </c>
      <c r="C88" s="58">
        <v>868.4235376656118</v>
      </c>
      <c r="D88" s="58">
        <v>822.383727544676</v>
      </c>
      <c r="E88" s="65">
        <v>1514.6378370620391</v>
      </c>
      <c r="F88" s="44">
        <v>2144.63786839</v>
      </c>
      <c r="G88" s="44">
        <v>0</v>
      </c>
      <c r="H88" s="44">
        <v>0</v>
      </c>
      <c r="I88" s="44">
        <v>0</v>
      </c>
    </row>
    <row r="89" spans="1:9" ht="14.25">
      <c r="A89" s="43" t="str">
        <f>HLOOKUP(INDICE!$F$2,Nombres!$C$3:$D$636,54,FALSE)</f>
        <v>Activos financieros a coste amortizado</v>
      </c>
      <c r="B89" s="44">
        <v>33588.789807605455</v>
      </c>
      <c r="C89" s="44">
        <v>33814.48217009396</v>
      </c>
      <c r="D89" s="44">
        <v>30230.89786210587</v>
      </c>
      <c r="E89" s="45">
        <v>27441.76523209834</v>
      </c>
      <c r="F89" s="44">
        <v>27950.021301</v>
      </c>
      <c r="G89" s="44">
        <v>0</v>
      </c>
      <c r="H89" s="44">
        <v>0</v>
      </c>
      <c r="I89" s="44">
        <v>0</v>
      </c>
    </row>
    <row r="90" spans="1:9" ht="14.25">
      <c r="A90" s="88" t="str">
        <f>HLOOKUP(INDICE!$F$2,Nombres!$C$3:$D$636,55,FALSE)</f>
        <v>    de los que préstamos y anticipos a la clientela</v>
      </c>
      <c r="B90" s="44">
        <v>30236.33650218339</v>
      </c>
      <c r="C90" s="44">
        <v>30409.31387276715</v>
      </c>
      <c r="D90" s="44">
        <v>27057.59654979202</v>
      </c>
      <c r="E90" s="45">
        <v>24243.094252694376</v>
      </c>
      <c r="F90" s="44">
        <v>24449.966155000006</v>
      </c>
      <c r="G90" s="44">
        <v>0</v>
      </c>
      <c r="H90" s="44">
        <v>0</v>
      </c>
      <c r="I90" s="44">
        <v>0</v>
      </c>
    </row>
    <row r="91" spans="1:9" ht="14.25">
      <c r="A91" s="88"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81.11759597055732</v>
      </c>
      <c r="C92" s="44">
        <v>80.76644244506709</v>
      </c>
      <c r="D92" s="44">
        <v>77.09081005070055</v>
      </c>
      <c r="E92" s="45">
        <v>75.42854363054573</v>
      </c>
      <c r="F92" s="44">
        <v>72.698882</v>
      </c>
      <c r="G92" s="44">
        <v>0</v>
      </c>
      <c r="H92" s="44">
        <v>0</v>
      </c>
      <c r="I92" s="44">
        <v>0</v>
      </c>
    </row>
    <row r="93" spans="1:9" ht="14.25">
      <c r="A93" s="88" t="str">
        <f>HLOOKUP(INDICE!$F$2,Nombres!$C$3:$D$636,57,FALSE)</f>
        <v>Otros activos</v>
      </c>
      <c r="B93" s="58">
        <f>+B94-B92-B89-B88-B87-B91</f>
        <v>689.3809523717327</v>
      </c>
      <c r="C93" s="58">
        <f aca="true" t="shared" si="15" ref="C93:I93">+C94-C92-C89-C88-C87</f>
        <v>511.0194297192256</v>
      </c>
      <c r="D93" s="58">
        <f t="shared" si="15"/>
        <v>420.7343283921464</v>
      </c>
      <c r="E93" s="65">
        <f t="shared" si="15"/>
        <v>297.0584859668952</v>
      </c>
      <c r="F93" s="44">
        <f t="shared" si="15"/>
        <v>338.7671179999943</v>
      </c>
      <c r="G93" s="44">
        <f t="shared" si="15"/>
        <v>0</v>
      </c>
      <c r="H93" s="44">
        <f t="shared" si="15"/>
        <v>0</v>
      </c>
      <c r="I93" s="44">
        <f t="shared" si="15"/>
        <v>0</v>
      </c>
    </row>
    <row r="94" spans="1:9" ht="14.25">
      <c r="A94" s="91" t="str">
        <f>HLOOKUP(INDICE!$F$2,Nombres!$C$3:$D$636,58,FALSE)</f>
        <v>Total activo / pasivo</v>
      </c>
      <c r="B94" s="47">
        <v>41086.76174142697</v>
      </c>
      <c r="C94" s="47">
        <v>38441.564556768695</v>
      </c>
      <c r="D94" s="47">
        <v>36598.59432105278</v>
      </c>
      <c r="E94" s="71">
        <v>35719.137734245254</v>
      </c>
      <c r="F94" s="51">
        <v>36014.879828389996</v>
      </c>
      <c r="G94" s="51">
        <v>0</v>
      </c>
      <c r="H94" s="51">
        <v>0</v>
      </c>
      <c r="I94" s="51">
        <v>0</v>
      </c>
    </row>
    <row r="95" spans="1:9" ht="14.25">
      <c r="A95" s="88" t="str">
        <f>HLOOKUP(INDICE!$F$2,Nombres!$C$3:$D$636,59,FALSE)</f>
        <v>Pasivos financieros mantenidos para negociar y designados a valor razonable con cambios en resultados</v>
      </c>
      <c r="B95" s="58">
        <v>412.99783435631576</v>
      </c>
      <c r="C95" s="58">
        <v>280.0336999367714</v>
      </c>
      <c r="D95" s="58">
        <v>207.4604986371575</v>
      </c>
      <c r="E95" s="65">
        <v>885.9741758074339</v>
      </c>
      <c r="F95" s="44">
        <v>1508.999037</v>
      </c>
      <c r="G95" s="44">
        <v>0</v>
      </c>
      <c r="H95" s="44">
        <v>0</v>
      </c>
      <c r="I95" s="44">
        <v>0</v>
      </c>
    </row>
    <row r="96" spans="1:9" ht="14.25">
      <c r="A96" s="88" t="str">
        <f>HLOOKUP(INDICE!$F$2,Nombres!$C$3:$D$636,60,FALSE)</f>
        <v>Depósitos de bancos centrales y entidades de crédito</v>
      </c>
      <c r="B96" s="58">
        <v>1397.9349318279349</v>
      </c>
      <c r="C96" s="58">
        <v>1901.1760216208727</v>
      </c>
      <c r="D96" s="58">
        <v>1830.0711520847308</v>
      </c>
      <c r="E96" s="65">
        <v>1739.3185549702816</v>
      </c>
      <c r="F96" s="44">
        <v>1552.9310349999998</v>
      </c>
      <c r="G96" s="44">
        <v>0</v>
      </c>
      <c r="H96" s="44">
        <v>0</v>
      </c>
      <c r="I96" s="44">
        <v>0</v>
      </c>
    </row>
    <row r="97" spans="1:9" ht="14.25">
      <c r="A97" s="88" t="str">
        <f>HLOOKUP(INDICE!$F$2,Nombres!$C$3:$D$636,61,FALSE)</f>
        <v>Depósitos de la clientela</v>
      </c>
      <c r="B97" s="58">
        <v>9028.067844406914</v>
      </c>
      <c r="C97" s="58">
        <v>9130.498075974629</v>
      </c>
      <c r="D97" s="58">
        <v>9181.698452893488</v>
      </c>
      <c r="E97" s="65">
        <v>9532.664625351368</v>
      </c>
      <c r="F97" s="44">
        <v>6764.373215</v>
      </c>
      <c r="G97" s="44">
        <v>0</v>
      </c>
      <c r="H97" s="44">
        <v>0</v>
      </c>
      <c r="I97" s="44">
        <v>0</v>
      </c>
    </row>
    <row r="98" spans="1:9" ht="14.25">
      <c r="A98" s="43" t="str">
        <f>HLOOKUP(INDICE!$F$2,Nombres!$C$3:$D$636,62,FALSE)</f>
        <v>Valores representativos de deuda emitidos</v>
      </c>
      <c r="B98" s="44">
        <v>1649.1769108750977</v>
      </c>
      <c r="C98" s="44">
        <v>1302.9949114431886</v>
      </c>
      <c r="D98" s="44">
        <v>1279.8107987669905</v>
      </c>
      <c r="E98" s="45">
        <v>1523.7808147017727</v>
      </c>
      <c r="F98" s="44">
        <v>1127.30962477</v>
      </c>
      <c r="G98" s="44">
        <v>0</v>
      </c>
      <c r="H98" s="44">
        <v>0</v>
      </c>
      <c r="I98" s="44">
        <v>0</v>
      </c>
    </row>
    <row r="99" spans="1:9" ht="14.25">
      <c r="A99" s="88" t="str">
        <f>HLOOKUP(INDICE!$F$2,Nombres!$C$3:$D$636,122,FALSE)</f>
        <v>Posiciones inter-áreas pasivo</v>
      </c>
      <c r="B99" s="44">
        <v>24940.424812968755</v>
      </c>
      <c r="C99" s="44">
        <v>21614.372878512633</v>
      </c>
      <c r="D99" s="44">
        <v>20350.017762807696</v>
      </c>
      <c r="E99" s="45">
        <v>18341.515257861767</v>
      </c>
      <c r="F99" s="44">
        <v>21499.376987039996</v>
      </c>
      <c r="G99" s="44">
        <v>0</v>
      </c>
      <c r="H99" s="44">
        <v>0</v>
      </c>
      <c r="I99" s="44">
        <v>0</v>
      </c>
    </row>
    <row r="100" spans="1:9" ht="14.25">
      <c r="A100" s="43" t="str">
        <f>HLOOKUP(INDICE!$F$2,Nombres!$C$3:$D$636,63,FALSE)</f>
        <v>Otros pasivos</v>
      </c>
      <c r="B100" s="58">
        <f aca="true" t="shared" si="16" ref="B100:I100">+B94-B95-B96-B97-B98-B101-B99</f>
        <v>578.0904683567423</v>
      </c>
      <c r="C100" s="58">
        <f t="shared" si="16"/>
        <v>832.8839950580441</v>
      </c>
      <c r="D100" s="58">
        <f t="shared" si="16"/>
        <v>607.0433307999374</v>
      </c>
      <c r="E100" s="65">
        <f t="shared" si="16"/>
        <v>616.2937942107746</v>
      </c>
      <c r="F100" s="58">
        <f t="shared" si="16"/>
        <v>563.060551159997</v>
      </c>
      <c r="G100" s="58">
        <f t="shared" si="16"/>
        <v>0</v>
      </c>
      <c r="H100" s="58">
        <f t="shared" si="16"/>
        <v>0</v>
      </c>
      <c r="I100" s="58">
        <f t="shared" si="16"/>
        <v>0</v>
      </c>
    </row>
    <row r="101" spans="1:9" ht="14.25">
      <c r="A101" s="43" t="str">
        <f>HLOOKUP(INDICE!$F$2,Nombres!$C$3:$D$636,282,FALSE)</f>
        <v>Dotación de capital regulatorio</v>
      </c>
      <c r="B101" s="58">
        <v>3080.0689386352187</v>
      </c>
      <c r="C101" s="58">
        <v>3379.60497422256</v>
      </c>
      <c r="D101" s="58">
        <v>3142.492325062777</v>
      </c>
      <c r="E101" s="65">
        <v>3079.5905113418607</v>
      </c>
      <c r="F101" s="58">
        <v>2998.8293784199996</v>
      </c>
      <c r="G101" s="58">
        <v>0</v>
      </c>
      <c r="H101" s="58">
        <v>0</v>
      </c>
      <c r="I101" s="58">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Indicadores relevantes y de gestión</v>
      </c>
      <c r="B104" s="34"/>
      <c r="C104" s="34"/>
      <c r="D104" s="34"/>
      <c r="E104" s="34"/>
      <c r="F104" s="69"/>
      <c r="G104" s="69"/>
      <c r="H104" s="69"/>
      <c r="I104" s="69"/>
    </row>
    <row r="105" spans="1:9" ht="14.25">
      <c r="A105" s="84"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88" t="str">
        <f>HLOOKUP(INDICE!$F$2,Nombres!$C$3:$D$636,66,FALSE)</f>
        <v>Préstamos y anticipos a la clientela bruto (*)</v>
      </c>
      <c r="B107" s="44">
        <v>30578.257357373426</v>
      </c>
      <c r="C107" s="44">
        <v>30758.60808125347</v>
      </c>
      <c r="D107" s="44">
        <v>27427.868426385565</v>
      </c>
      <c r="E107" s="45">
        <v>24578.94781850511</v>
      </c>
      <c r="F107" s="44">
        <v>24763.71064</v>
      </c>
      <c r="G107" s="44">
        <v>0</v>
      </c>
      <c r="H107" s="44">
        <v>0</v>
      </c>
      <c r="I107" s="44">
        <v>0</v>
      </c>
    </row>
    <row r="108" spans="1:9" ht="14.25">
      <c r="A108" s="88" t="str">
        <f>HLOOKUP(INDICE!$F$2,Nombres!$C$3:$D$636,67,FALSE)</f>
        <v>Depósitos de clientes en gestión (**)</v>
      </c>
      <c r="B108" s="44">
        <v>9028.067844406913</v>
      </c>
      <c r="C108" s="44">
        <v>9130.498075974629</v>
      </c>
      <c r="D108" s="44">
        <v>9181.698452893486</v>
      </c>
      <c r="E108" s="45">
        <v>9532.664625351368</v>
      </c>
      <c r="F108" s="44">
        <v>6764.373215</v>
      </c>
      <c r="G108" s="44">
        <v>0</v>
      </c>
      <c r="H108" s="44">
        <v>0</v>
      </c>
      <c r="I108" s="44">
        <v>0</v>
      </c>
    </row>
    <row r="109" spans="1:9" ht="14.25">
      <c r="A109" s="43" t="str">
        <f>HLOOKUP(INDICE!$F$2,Nombres!$C$3:$D$636,68,FALSE)</f>
        <v>Fondos de inversión</v>
      </c>
      <c r="B109" s="44">
        <v>0</v>
      </c>
      <c r="C109" s="44">
        <v>0</v>
      </c>
      <c r="D109" s="44">
        <v>0</v>
      </c>
      <c r="E109" s="45">
        <v>0</v>
      </c>
      <c r="F109" s="44">
        <v>0</v>
      </c>
      <c r="G109" s="44">
        <v>0</v>
      </c>
      <c r="H109" s="44">
        <v>0</v>
      </c>
      <c r="I109" s="44">
        <v>0</v>
      </c>
    </row>
    <row r="110" spans="1:9" ht="14.25">
      <c r="A110" s="88" t="str">
        <f>HLOOKUP(INDICE!$F$2,Nombres!$C$3:$D$636,69,FALSE)</f>
        <v>Fondos de pensiones</v>
      </c>
      <c r="B110" s="44">
        <v>494.78505432</v>
      </c>
      <c r="C110" s="44">
        <v>517.96026945</v>
      </c>
      <c r="D110" s="44">
        <v>529.31975174</v>
      </c>
      <c r="E110" s="45">
        <v>569.33256496</v>
      </c>
      <c r="F110" s="44">
        <v>529.59826012</v>
      </c>
      <c r="G110" s="44">
        <v>0</v>
      </c>
      <c r="H110" s="44">
        <v>0</v>
      </c>
      <c r="I110" s="44">
        <v>0</v>
      </c>
    </row>
    <row r="111" spans="1:9" ht="14.25">
      <c r="A111" s="88" t="str">
        <f>HLOOKUP(INDICE!$F$2,Nombres!$C$3:$D$636,70,FALSE)</f>
        <v>Otros recursos fuera de balance</v>
      </c>
      <c r="B111" s="44">
        <v>0</v>
      </c>
      <c r="C111" s="44">
        <v>0</v>
      </c>
      <c r="D111" s="44">
        <v>0</v>
      </c>
      <c r="E111" s="45">
        <v>0</v>
      </c>
      <c r="F111" s="44">
        <v>0</v>
      </c>
      <c r="G111" s="44">
        <v>0</v>
      </c>
      <c r="H111" s="44">
        <v>0</v>
      </c>
      <c r="I111" s="44">
        <v>0</v>
      </c>
    </row>
    <row r="112" spans="1:9" ht="14.25">
      <c r="A112" s="92" t="str">
        <f>HLOOKUP(INDICE!$F$2,Nombres!$C$3:$D$636,71,FALSE)</f>
        <v>(*) No incluye las adquisiciones temporales de activos.</v>
      </c>
      <c r="B112" s="58"/>
      <c r="C112" s="58"/>
      <c r="D112" s="58"/>
      <c r="E112" s="58"/>
      <c r="F112" s="58"/>
      <c r="G112" s="58"/>
      <c r="H112" s="58"/>
      <c r="I112" s="58"/>
    </row>
    <row r="113" spans="1:9" ht="14.25">
      <c r="A113" s="9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396</v>
      </c>
    </row>
  </sheetData>
  <sheetProtection/>
  <mergeCells count="4">
    <mergeCell ref="B6:E6"/>
    <mergeCell ref="B62:E62"/>
    <mergeCell ref="F6:I6"/>
    <mergeCell ref="F62:I62"/>
  </mergeCells>
  <conditionalFormatting sqref="B26:I26">
    <cfRule type="cellIs" priority="2" dxfId="115" operator="notBetween">
      <formula>0.5</formula>
      <formula>-0.5</formula>
    </cfRule>
  </conditionalFormatting>
  <conditionalFormatting sqref="B82:I82">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5"/>
  <sheetViews>
    <sheetView showGridLines="0" zoomScalePageLayoutView="0" workbookViewId="0" topLeftCell="A1">
      <selection activeCell="A1" sqref="A1"/>
    </sheetView>
  </sheetViews>
  <sheetFormatPr defaultColWidth="11.421875" defaultRowHeight="15"/>
  <cols>
    <col min="1" max="1" width="96.7109375" style="31" customWidth="1"/>
    <col min="2" max="2" width="10.421875" style="31" customWidth="1"/>
    <col min="3" max="6" width="11.421875" style="31" customWidth="1"/>
    <col min="7" max="9" width="0" style="31" hidden="1" customWidth="1"/>
    <col min="10" max="16384" width="11.421875" style="31" customWidth="1"/>
  </cols>
  <sheetData>
    <row r="1" spans="1:9" ht="16.5">
      <c r="A1" s="83"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6.5">
      <c r="A3" s="9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4.25">
      <c r="A8" s="41" t="str">
        <f>HLOOKUP(INDICE!$F$2,Nombres!$C$3:$D$636,33,FALSE)</f>
        <v>Margen de intereses</v>
      </c>
      <c r="B8" s="41">
        <v>-47.055076810000074</v>
      </c>
      <c r="C8" s="41">
        <v>-32.26434003999989</v>
      </c>
      <c r="D8" s="41">
        <v>-35.99118196999993</v>
      </c>
      <c r="E8" s="42">
        <v>-48.589085819999795</v>
      </c>
      <c r="F8" s="50">
        <v>-43.85290882999996</v>
      </c>
      <c r="G8" s="50">
        <v>0</v>
      </c>
      <c r="H8" s="244">
        <v>0</v>
      </c>
      <c r="I8" s="244">
        <v>0</v>
      </c>
      <c r="J8" s="87"/>
      <c r="K8" s="87"/>
      <c r="L8" s="87"/>
      <c r="M8" s="87"/>
      <c r="N8" s="87"/>
      <c r="O8" s="87"/>
    </row>
    <row r="9" spans="1:9" ht="14.25">
      <c r="A9" s="88" t="str">
        <f>HLOOKUP(INDICE!$F$2,Nombres!$C$3:$D$636,34,FALSE)</f>
        <v>Comisiones netas</v>
      </c>
      <c r="B9" s="44">
        <v>-8.573050729999979</v>
      </c>
      <c r="C9" s="44">
        <v>-29.27252246000003</v>
      </c>
      <c r="D9" s="44">
        <v>-15.310159790000004</v>
      </c>
      <c r="E9" s="45">
        <v>-12.417189980000023</v>
      </c>
      <c r="F9" s="44">
        <v>-2.8937995999999706</v>
      </c>
      <c r="G9" s="44">
        <v>0</v>
      </c>
      <c r="H9" s="44">
        <v>0</v>
      </c>
      <c r="I9" s="44">
        <v>0</v>
      </c>
    </row>
    <row r="10" spans="1:9" ht="14.25">
      <c r="A10" s="88" t="str">
        <f>HLOOKUP(INDICE!$F$2,Nombres!$C$3:$D$636,35,FALSE)</f>
        <v>Resultados de operaciones financieras</v>
      </c>
      <c r="B10" s="44">
        <v>208.42607193000003</v>
      </c>
      <c r="C10" s="44">
        <v>6.726411070000005</v>
      </c>
      <c r="D10" s="44">
        <v>0.7390275400000341</v>
      </c>
      <c r="E10" s="45">
        <v>-71.59923100000002</v>
      </c>
      <c r="F10" s="44">
        <v>46.397079110000014</v>
      </c>
      <c r="G10" s="44">
        <v>0</v>
      </c>
      <c r="H10" s="44">
        <v>0</v>
      </c>
      <c r="I10" s="44">
        <v>0</v>
      </c>
    </row>
    <row r="11" spans="1:9" ht="14.25">
      <c r="A11" s="88" t="str">
        <f>HLOOKUP(INDICE!$F$2,Nombres!$C$3:$D$636,36,FALSE)</f>
        <v>Otros ingresos y cargas de explotación</v>
      </c>
      <c r="B11" s="44">
        <v>-25.304007719999994</v>
      </c>
      <c r="C11" s="44">
        <v>33.239516950000116</v>
      </c>
      <c r="D11" s="44">
        <v>-22.827044260000047</v>
      </c>
      <c r="E11" s="45">
        <v>37.181960630000106</v>
      </c>
      <c r="F11" s="44">
        <v>-17.859285009999983</v>
      </c>
      <c r="G11" s="44">
        <v>0</v>
      </c>
      <c r="H11" s="44">
        <v>0</v>
      </c>
      <c r="I11" s="44">
        <v>0</v>
      </c>
    </row>
    <row r="12" spans="1:9" ht="14.25">
      <c r="A12" s="41" t="str">
        <f>HLOOKUP(INDICE!$F$2,Nombres!$C$3:$D$636,37,FALSE)</f>
        <v>Margen bruto</v>
      </c>
      <c r="B12" s="41">
        <f aca="true" t="shared" si="0" ref="B12:I12">+SUM(B8:B11)</f>
        <v>127.49393667000001</v>
      </c>
      <c r="C12" s="41">
        <f t="shared" si="0"/>
        <v>-21.570934479999792</v>
      </c>
      <c r="D12" s="41">
        <f t="shared" si="0"/>
        <v>-73.38935847999994</v>
      </c>
      <c r="E12" s="42">
        <f t="shared" si="0"/>
        <v>-95.42354616999972</v>
      </c>
      <c r="F12" s="50">
        <f t="shared" si="0"/>
        <v>-18.208914329999903</v>
      </c>
      <c r="G12" s="50">
        <f t="shared" si="0"/>
        <v>0</v>
      </c>
      <c r="H12" s="50">
        <f t="shared" si="0"/>
        <v>0</v>
      </c>
      <c r="I12" s="50">
        <f t="shared" si="0"/>
        <v>0</v>
      </c>
    </row>
    <row r="13" spans="1:9" ht="14.25">
      <c r="A13" s="88" t="str">
        <f>HLOOKUP(INDICE!$F$2,Nombres!$C$3:$D$636,38,FALSE)</f>
        <v>Gastos de explotación</v>
      </c>
      <c r="B13" s="44">
        <v>-210.8873681600001</v>
      </c>
      <c r="C13" s="44">
        <v>-202.13295829999993</v>
      </c>
      <c r="D13" s="44">
        <v>-205.24954835000005</v>
      </c>
      <c r="E13" s="45">
        <v>-217.25676457000006</v>
      </c>
      <c r="F13" s="44">
        <v>-212.17693998999997</v>
      </c>
      <c r="G13" s="44">
        <v>0</v>
      </c>
      <c r="H13" s="44">
        <v>0</v>
      </c>
      <c r="I13" s="44">
        <v>0</v>
      </c>
    </row>
    <row r="14" spans="1:9" ht="14.25">
      <c r="A14" s="88" t="str">
        <f>HLOOKUP(INDICE!$F$2,Nombres!$C$3:$D$636,39,FALSE)</f>
        <v>  Gastos de administración</v>
      </c>
      <c r="B14" s="44">
        <v>-163.30462440000002</v>
      </c>
      <c r="C14" s="44">
        <v>-154.00741253999993</v>
      </c>
      <c r="D14" s="44">
        <v>-156.57168757000005</v>
      </c>
      <c r="E14" s="45">
        <v>-168.10472323000016</v>
      </c>
      <c r="F14" s="44">
        <v>-165.11286656000001</v>
      </c>
      <c r="G14" s="44">
        <v>0</v>
      </c>
      <c r="H14" s="44">
        <v>0</v>
      </c>
      <c r="I14" s="44">
        <v>0</v>
      </c>
    </row>
    <row r="15" spans="1:9" ht="14.25">
      <c r="A15" s="89" t="str">
        <f>HLOOKUP(INDICE!$F$2,Nombres!$C$3:$D$636,40,FALSE)</f>
        <v>  Gastos de personal</v>
      </c>
      <c r="B15" s="44">
        <v>-116.80718312000002</v>
      </c>
      <c r="C15" s="44">
        <v>-115.15472833000001</v>
      </c>
      <c r="D15" s="44">
        <v>-125.39259477999998</v>
      </c>
      <c r="E15" s="45">
        <v>-135.6019537200001</v>
      </c>
      <c r="F15" s="44">
        <v>-129.45738859</v>
      </c>
      <c r="G15" s="44">
        <v>0</v>
      </c>
      <c r="H15" s="44">
        <v>0</v>
      </c>
      <c r="I15" s="44">
        <v>0</v>
      </c>
    </row>
    <row r="16" spans="1:9" ht="14.25">
      <c r="A16" s="89" t="str">
        <f>HLOOKUP(INDICE!$F$2,Nombres!$C$3:$D$636,41,FALSE)</f>
        <v>  Otros gastos de administración</v>
      </c>
      <c r="B16" s="44">
        <v>-46.49744128000002</v>
      </c>
      <c r="C16" s="44">
        <v>-38.85268420999994</v>
      </c>
      <c r="D16" s="44">
        <v>-31.179092789999988</v>
      </c>
      <c r="E16" s="45">
        <v>-32.50276951000003</v>
      </c>
      <c r="F16" s="44">
        <v>-35.655477969999964</v>
      </c>
      <c r="G16" s="44">
        <v>0</v>
      </c>
      <c r="H16" s="44">
        <v>0</v>
      </c>
      <c r="I16" s="44">
        <v>0</v>
      </c>
    </row>
    <row r="17" spans="1:9" ht="14.25">
      <c r="A17" s="88" t="str">
        <f>HLOOKUP(INDICE!$F$2,Nombres!$C$3:$D$636,42,FALSE)</f>
        <v>  Amortización</v>
      </c>
      <c r="B17" s="44">
        <v>-47.58274375999999</v>
      </c>
      <c r="C17" s="44">
        <v>-48.12554576000001</v>
      </c>
      <c r="D17" s="44">
        <v>-48.677860779999996</v>
      </c>
      <c r="E17" s="45">
        <v>-49.152041340000004</v>
      </c>
      <c r="F17" s="44">
        <v>-47.06407342999999</v>
      </c>
      <c r="G17" s="44">
        <v>0</v>
      </c>
      <c r="H17" s="44">
        <v>0</v>
      </c>
      <c r="I17" s="44">
        <v>0</v>
      </c>
    </row>
    <row r="18" spans="1:9" ht="14.25">
      <c r="A18" s="41" t="str">
        <f>HLOOKUP(INDICE!$F$2,Nombres!$C$3:$D$636,43,FALSE)</f>
        <v>Margen neto</v>
      </c>
      <c r="B18" s="41">
        <f aca="true" t="shared" si="1" ref="B18:I18">+B12+B13</f>
        <v>-83.3934314900001</v>
      </c>
      <c r="C18" s="41">
        <f t="shared" si="1"/>
        <v>-223.7038927799997</v>
      </c>
      <c r="D18" s="41">
        <f t="shared" si="1"/>
        <v>-278.63890683</v>
      </c>
      <c r="E18" s="42">
        <f t="shared" si="1"/>
        <v>-312.68031073999975</v>
      </c>
      <c r="F18" s="50">
        <f t="shared" si="1"/>
        <v>-230.38585431999988</v>
      </c>
      <c r="G18" s="50">
        <f t="shared" si="1"/>
        <v>0</v>
      </c>
      <c r="H18" s="50">
        <f t="shared" si="1"/>
        <v>0</v>
      </c>
      <c r="I18" s="50">
        <f t="shared" si="1"/>
        <v>0</v>
      </c>
    </row>
    <row r="19" spans="1:9" ht="14.25">
      <c r="A19" s="88" t="str">
        <f>HLOOKUP(INDICE!$F$2,Nombres!$C$3:$D$636,44,FALSE)</f>
        <v>Deterioro de activos financieros no valorados a valor razonable con cambios en resultados</v>
      </c>
      <c r="B19" s="44">
        <v>-0.0251740800000037</v>
      </c>
      <c r="C19" s="44">
        <v>0.44119642000001424</v>
      </c>
      <c r="D19" s="44">
        <v>-0.0011676399999749434</v>
      </c>
      <c r="E19" s="45">
        <v>4.054889259999961</v>
      </c>
      <c r="F19" s="44">
        <v>-0.0005037100000008419</v>
      </c>
      <c r="G19" s="44">
        <v>0</v>
      </c>
      <c r="H19" s="44">
        <v>0</v>
      </c>
      <c r="I19" s="44">
        <v>0</v>
      </c>
    </row>
    <row r="20" spans="1:9" ht="14.25">
      <c r="A20" s="88" t="str">
        <f>HLOOKUP(INDICE!$F$2,Nombres!$C$3:$D$636,45,FALSE)</f>
        <v>Provisiones o reversión de provisiones y otros resultados</v>
      </c>
      <c r="B20" s="44">
        <v>-24.602517879999915</v>
      </c>
      <c r="C20" s="44">
        <v>-84.41909953000001</v>
      </c>
      <c r="D20" s="44">
        <v>-122.92274500999997</v>
      </c>
      <c r="E20" s="45">
        <v>-56.99554261000023</v>
      </c>
      <c r="F20" s="44">
        <v>8.925271209999982</v>
      </c>
      <c r="G20" s="44">
        <v>0</v>
      </c>
      <c r="H20" s="44">
        <v>0</v>
      </c>
      <c r="I20" s="44">
        <v>0</v>
      </c>
    </row>
    <row r="21" spans="1:9" ht="14.25">
      <c r="A21" s="90" t="str">
        <f>HLOOKUP(INDICE!$F$2,Nombres!$C$3:$D$636,46,FALSE)</f>
        <v>Resultado antes de impuestos</v>
      </c>
      <c r="B21" s="41">
        <f aca="true" t="shared" si="2" ref="B21:I21">+B18+B19+B20</f>
        <v>-108.02112345</v>
      </c>
      <c r="C21" s="41">
        <f t="shared" si="2"/>
        <v>-307.6817958899997</v>
      </c>
      <c r="D21" s="41">
        <f t="shared" si="2"/>
        <v>-401.5628194799999</v>
      </c>
      <c r="E21" s="42">
        <f t="shared" si="2"/>
        <v>-365.62096409000003</v>
      </c>
      <c r="F21" s="50">
        <f t="shared" si="2"/>
        <v>-221.4610868199999</v>
      </c>
      <c r="G21" s="50">
        <f t="shared" si="2"/>
        <v>0</v>
      </c>
      <c r="H21" s="50">
        <f t="shared" si="2"/>
        <v>0</v>
      </c>
      <c r="I21" s="50">
        <f t="shared" si="2"/>
        <v>0</v>
      </c>
    </row>
    <row r="22" spans="1:9" ht="14.25">
      <c r="A22" s="43" t="str">
        <f>HLOOKUP(INDICE!$F$2,Nombres!$C$3:$D$636,47,FALSE)</f>
        <v>Impuesto sobre beneficios</v>
      </c>
      <c r="B22" s="44">
        <v>30.897878089999992</v>
      </c>
      <c r="C22" s="44">
        <v>35.28298148000006</v>
      </c>
      <c r="D22" s="44">
        <v>106.83870416999999</v>
      </c>
      <c r="E22" s="45">
        <v>94.76312492999998</v>
      </c>
      <c r="F22" s="44">
        <v>10.872089020000002</v>
      </c>
      <c r="G22" s="44">
        <v>0</v>
      </c>
      <c r="H22" s="44">
        <v>0</v>
      </c>
      <c r="I22" s="44">
        <v>0</v>
      </c>
    </row>
    <row r="23" spans="1:9" ht="14.25">
      <c r="A23" s="90" t="str">
        <f>HLOOKUP(INDICE!$F$2,Nombres!$C$3:$D$636,99,FALSE)</f>
        <v>Resultado después de impuestos de operaciones continuadas</v>
      </c>
      <c r="B23" s="41">
        <f aca="true" t="shared" si="3" ref="B23:I23">+B21+B22</f>
        <v>-77.12324536000001</v>
      </c>
      <c r="C23" s="41">
        <f t="shared" si="3"/>
        <v>-272.39881440999966</v>
      </c>
      <c r="D23" s="41">
        <f t="shared" si="3"/>
        <v>-294.72411530999995</v>
      </c>
      <c r="E23" s="42">
        <f t="shared" si="3"/>
        <v>-270.85783916</v>
      </c>
      <c r="F23" s="50">
        <f t="shared" si="3"/>
        <v>-210.5889977999999</v>
      </c>
      <c r="G23" s="50">
        <f t="shared" si="3"/>
        <v>0</v>
      </c>
      <c r="H23" s="50">
        <f t="shared" si="3"/>
        <v>0</v>
      </c>
      <c r="I23" s="50">
        <f t="shared" si="3"/>
        <v>0</v>
      </c>
    </row>
    <row r="24" spans="1:9" ht="14.25">
      <c r="A24" s="43" t="str">
        <f>HLOOKUP(INDICE!$F$2,Nombres!$C$3:$D$636,302,FALSE)</f>
        <v>Operaciones Corporativas y Discontinuadas</v>
      </c>
      <c r="B24" s="44">
        <v>-2223.7850000000003</v>
      </c>
      <c r="C24" s="44">
        <v>119.91999999999999</v>
      </c>
      <c r="D24" s="44">
        <v>73.239</v>
      </c>
      <c r="E24" s="45">
        <v>606.3115058600002</v>
      </c>
      <c r="F24" s="44">
        <v>177.04100000000003</v>
      </c>
      <c r="G24" s="44">
        <v>0</v>
      </c>
      <c r="H24" s="44">
        <v>0</v>
      </c>
      <c r="I24" s="44">
        <v>0</v>
      </c>
    </row>
    <row r="25" spans="1:9" ht="14.25">
      <c r="A25" s="90" t="str">
        <f>HLOOKUP(INDICE!$F$2,Nombres!$C$3:$D$636,48,FALSE)</f>
        <v>Resultado del ejercicio</v>
      </c>
      <c r="B25" s="41">
        <f aca="true" t="shared" si="4" ref="B25:I25">+B23+B24</f>
        <v>-2300.9082453600004</v>
      </c>
      <c r="C25" s="41">
        <f t="shared" si="4"/>
        <v>-152.47881440999967</v>
      </c>
      <c r="D25" s="41">
        <f t="shared" si="4"/>
        <v>-221.48511530999994</v>
      </c>
      <c r="E25" s="42">
        <f t="shared" si="4"/>
        <v>335.4536667000002</v>
      </c>
      <c r="F25" s="50">
        <f t="shared" si="4"/>
        <v>-33.54799779999988</v>
      </c>
      <c r="G25" s="50">
        <f t="shared" si="4"/>
        <v>0</v>
      </c>
      <c r="H25" s="50">
        <f t="shared" si="4"/>
        <v>0</v>
      </c>
      <c r="I25" s="50">
        <f t="shared" si="4"/>
        <v>0</v>
      </c>
    </row>
    <row r="26" spans="1:9" ht="14.25">
      <c r="A26" s="88" t="str">
        <f>HLOOKUP(INDICE!$F$2,Nombres!$C$3:$D$636,49,FALSE)</f>
        <v>Minoritarios</v>
      </c>
      <c r="B26" s="44">
        <v>-0.28234462999999976</v>
      </c>
      <c r="C26" s="44">
        <v>-0.51301793</v>
      </c>
      <c r="D26" s="44">
        <v>0.75410717</v>
      </c>
      <c r="E26" s="45">
        <v>0.1258005299999999</v>
      </c>
      <c r="F26" s="44">
        <v>-0.6575781699999999</v>
      </c>
      <c r="G26" s="44">
        <v>0</v>
      </c>
      <c r="H26" s="44">
        <v>0</v>
      </c>
      <c r="I26" s="44">
        <v>0</v>
      </c>
    </row>
    <row r="27" spans="1:9" ht="14.25">
      <c r="A27" s="91" t="str">
        <f>HLOOKUP(INDICE!$F$2,Nombres!$C$3:$D$636,50,FALSE)</f>
        <v>Resultado atribuido</v>
      </c>
      <c r="B27" s="47">
        <f aca="true" t="shared" si="5" ref="B27:I27">+B25+B26</f>
        <v>-2301.1905899900003</v>
      </c>
      <c r="C27" s="47">
        <f t="shared" si="5"/>
        <v>-152.99183233999966</v>
      </c>
      <c r="D27" s="47">
        <f t="shared" si="5"/>
        <v>-220.73100813999994</v>
      </c>
      <c r="E27" s="47">
        <f t="shared" si="5"/>
        <v>335.5794672300002</v>
      </c>
      <c r="F27" s="47">
        <f t="shared" si="5"/>
        <v>-34.20557596999988</v>
      </c>
      <c r="G27" s="47">
        <f t="shared" si="5"/>
        <v>0</v>
      </c>
      <c r="H27" s="47">
        <f t="shared" si="5"/>
        <v>0</v>
      </c>
      <c r="I27" s="47">
        <f t="shared" si="5"/>
        <v>0</v>
      </c>
    </row>
    <row r="28" spans="1:9" ht="14.25">
      <c r="A28" s="283" t="s">
        <v>5</v>
      </c>
      <c r="B28" s="48"/>
      <c r="C28" s="48"/>
      <c r="D28" s="48"/>
      <c r="E28" s="48"/>
      <c r="F28" s="48"/>
      <c r="G28" s="48"/>
      <c r="H28" s="48" t="s">
        <v>427</v>
      </c>
      <c r="I28" s="48"/>
    </row>
    <row r="29" spans="1:9" ht="14.25">
      <c r="A29" s="47" t="str">
        <f>HLOOKUP(INDICE!$F$2,Nombres!$C$3:$D$636,301,FALSE)</f>
        <v>Resultado Atribuido sin Operaciones Corporativas y Discontinuadas</v>
      </c>
      <c r="B29" s="47">
        <f aca="true" t="shared" si="6" ref="B29:I29">+B27-B24</f>
        <v>-77.40558998999995</v>
      </c>
      <c r="C29" s="47">
        <f t="shared" si="6"/>
        <v>-272.91183233999965</v>
      </c>
      <c r="D29" s="47">
        <f t="shared" si="6"/>
        <v>-293.97000813999995</v>
      </c>
      <c r="E29" s="47">
        <f t="shared" si="6"/>
        <v>-270.73203863000003</v>
      </c>
      <c r="F29" s="47">
        <f t="shared" si="6"/>
        <v>-211.2465759699999</v>
      </c>
      <c r="G29" s="47">
        <f t="shared" si="6"/>
        <v>0</v>
      </c>
      <c r="H29" s="47">
        <f t="shared" si="6"/>
        <v>0</v>
      </c>
      <c r="I29" s="47">
        <f t="shared" si="6"/>
        <v>0</v>
      </c>
    </row>
    <row r="30" spans="1:9" ht="14.25">
      <c r="A30" s="48"/>
      <c r="B30" s="63">
        <v>0</v>
      </c>
      <c r="C30" s="63">
        <v>0</v>
      </c>
      <c r="D30" s="63">
        <v>0</v>
      </c>
      <c r="E30" s="63">
        <v>0</v>
      </c>
      <c r="F30" s="63">
        <v>-7.105427357601002E-14</v>
      </c>
      <c r="G30" s="63">
        <v>0</v>
      </c>
      <c r="H30" s="63">
        <v>0</v>
      </c>
      <c r="I30" s="63">
        <v>0</v>
      </c>
    </row>
    <row r="31" spans="1:9" ht="14.25">
      <c r="A31" s="41"/>
      <c r="B31" s="63">
        <v>5.115907697472721E-13</v>
      </c>
      <c r="C31" s="63">
        <v>0</v>
      </c>
      <c r="D31" s="63">
        <v>0</v>
      </c>
      <c r="E31" s="63">
        <v>0</v>
      </c>
      <c r="F31" s="63">
        <v>0</v>
      </c>
      <c r="G31" s="63">
        <v>0</v>
      </c>
      <c r="H31" s="63">
        <v>0</v>
      </c>
      <c r="I31" s="63">
        <v>0</v>
      </c>
    </row>
    <row r="32" spans="1:9" ht="14.25">
      <c r="A32" s="41"/>
      <c r="B32" s="41"/>
      <c r="C32" s="41"/>
      <c r="D32" s="41"/>
      <c r="E32" s="41"/>
      <c r="F32" s="41"/>
      <c r="G32" s="41"/>
      <c r="H32" s="41"/>
      <c r="I32" s="41"/>
    </row>
    <row r="33" spans="1:9" ht="16.5">
      <c r="A33" s="93" t="str">
        <f>HLOOKUP(INDICE!$F$2,Nombres!$C$3:$D$636,51,FALSE)</f>
        <v>Balances</v>
      </c>
      <c r="B33" s="34"/>
      <c r="C33" s="34"/>
      <c r="D33" s="34"/>
      <c r="E33" s="34"/>
      <c r="F33" s="81"/>
      <c r="G33" s="81"/>
      <c r="H33" s="81"/>
      <c r="I33" s="81"/>
    </row>
    <row r="34" spans="1:9" ht="14.25">
      <c r="A34" s="84" t="str">
        <f>HLOOKUP(INDICE!$F$2,Nombres!$C$3:$D$636,32,FALSE)</f>
        <v>(Millones de euros)</v>
      </c>
      <c r="B34" s="30"/>
      <c r="C34" s="52"/>
      <c r="D34" s="52"/>
      <c r="E34" s="52"/>
      <c r="F34" s="79"/>
      <c r="G34" s="77"/>
      <c r="H34" s="77"/>
      <c r="I34" s="77"/>
    </row>
    <row r="35" spans="1:9" ht="14.25">
      <c r="A35" s="30"/>
      <c r="B35" s="53">
        <f>+España!B30</f>
        <v>43921</v>
      </c>
      <c r="C35" s="53">
        <f>+España!C30</f>
        <v>44012</v>
      </c>
      <c r="D35" s="53">
        <f>+España!D30</f>
        <v>44104</v>
      </c>
      <c r="E35" s="68">
        <f>+España!E30</f>
        <v>44196</v>
      </c>
      <c r="F35" s="53">
        <f>+España!F30</f>
        <v>44286</v>
      </c>
      <c r="G35" s="53">
        <f>+España!G30</f>
        <v>44377</v>
      </c>
      <c r="H35" s="53">
        <f>+España!H30</f>
        <v>44469</v>
      </c>
      <c r="I35" s="53">
        <f>+España!I30</f>
        <v>44561</v>
      </c>
    </row>
    <row r="36" spans="1:9" ht="14.25">
      <c r="A36" s="88" t="str">
        <f>HLOOKUP(INDICE!$F$2,Nombres!$C$3:$D$636,52,FALSE)</f>
        <v>Efectivo, saldos en efectivo en bancos centrales y otros depósitos a la vista</v>
      </c>
      <c r="B36" s="44">
        <v>830.3840019999981</v>
      </c>
      <c r="C36" s="44">
        <v>889.8779950000022</v>
      </c>
      <c r="D36" s="44">
        <v>821.1040000000008</v>
      </c>
      <c r="E36" s="45">
        <v>873.8519959999968</v>
      </c>
      <c r="F36" s="44">
        <v>923.0540969999975</v>
      </c>
      <c r="G36" s="44">
        <v>0</v>
      </c>
      <c r="H36" s="44">
        <v>0</v>
      </c>
      <c r="I36" s="44">
        <v>0</v>
      </c>
    </row>
    <row r="37" spans="1:9" ht="14.25">
      <c r="A37" s="88" t="str">
        <f>HLOOKUP(INDICE!$F$2,Nombres!$C$3:$D$636,53,FALSE)</f>
        <v>Activos financieros a valor razonable</v>
      </c>
      <c r="B37" s="58">
        <v>1780.8215814000012</v>
      </c>
      <c r="C37" s="58">
        <v>1879.5348080600006</v>
      </c>
      <c r="D37" s="58">
        <v>1450.3653814600002</v>
      </c>
      <c r="E37" s="65">
        <v>1464.46171155</v>
      </c>
      <c r="F37" s="58">
        <v>1679.5687306799996</v>
      </c>
      <c r="G37" s="58">
        <v>0</v>
      </c>
      <c r="H37" s="58">
        <v>0</v>
      </c>
      <c r="I37" s="58">
        <v>0</v>
      </c>
    </row>
    <row r="38" spans="1:9" ht="14.25">
      <c r="A38" s="43" t="str">
        <f>HLOOKUP(INDICE!$F$2,Nombres!$C$3:$D$636,54,FALSE)</f>
        <v>Activos financieros a coste amortizado</v>
      </c>
      <c r="B38" s="44">
        <v>1881.9313669999974</v>
      </c>
      <c r="C38" s="44">
        <v>1918.4545914300309</v>
      </c>
      <c r="D38" s="44">
        <v>1915.1642939999856</v>
      </c>
      <c r="E38" s="45">
        <v>1717.801835</v>
      </c>
      <c r="F38" s="44">
        <v>1782.3869010000071</v>
      </c>
      <c r="G38" s="44">
        <v>0</v>
      </c>
      <c r="H38" s="44">
        <v>0</v>
      </c>
      <c r="I38" s="44">
        <v>0</v>
      </c>
    </row>
    <row r="39" spans="1:9" ht="14.25">
      <c r="A39" s="88" t="str">
        <f>HLOOKUP(INDICE!$F$2,Nombres!$C$3:$D$636,55,FALSE)</f>
        <v>    de los que préstamos y anticipos a la clientela</v>
      </c>
      <c r="B39" s="44">
        <v>354.7427700000073</v>
      </c>
      <c r="C39" s="44">
        <v>427.70760743001824</v>
      </c>
      <c r="D39" s="44">
        <v>288.2759780000109</v>
      </c>
      <c r="E39" s="45">
        <v>504.5246399999926</v>
      </c>
      <c r="F39" s="44">
        <v>668.7451439999999</v>
      </c>
      <c r="G39" s="44">
        <v>0</v>
      </c>
      <c r="H39" s="44">
        <v>0</v>
      </c>
      <c r="I39" s="44">
        <v>0</v>
      </c>
    </row>
    <row r="40" spans="1:9" ht="14.25">
      <c r="A40" s="88" t="str">
        <f>HLOOKUP(INDICE!$F$2,Nombres!$C$3:$D$636,121,FALSE)</f>
        <v>Posiciones inter-áreas activo</v>
      </c>
      <c r="B40" s="44">
        <v>1.199805410578847E-07</v>
      </c>
      <c r="C40" s="44">
        <v>0.01766683997993823</v>
      </c>
      <c r="D40" s="44">
        <v>0.2936261699651368</v>
      </c>
      <c r="E40" s="45">
        <v>0</v>
      </c>
      <c r="F40" s="44">
        <v>-1.129992597270757E-06</v>
      </c>
      <c r="G40" s="44">
        <v>0</v>
      </c>
      <c r="H40" s="44">
        <v>0</v>
      </c>
      <c r="I40" s="44">
        <v>0</v>
      </c>
    </row>
    <row r="41" spans="1:9" ht="14.25">
      <c r="A41" s="43" t="str">
        <f>HLOOKUP(INDICE!$F$2,Nombres!$C$3:$D$636,56,FALSE)</f>
        <v>Activos tangibles</v>
      </c>
      <c r="B41" s="44">
        <v>2176.688747</v>
      </c>
      <c r="C41" s="44">
        <v>2126.2533180000005</v>
      </c>
      <c r="D41" s="44">
        <v>2121.074613</v>
      </c>
      <c r="E41" s="45">
        <v>2062.7604020000003</v>
      </c>
      <c r="F41" s="44">
        <v>2038.8515439999996</v>
      </c>
      <c r="G41" s="44">
        <v>0</v>
      </c>
      <c r="H41" s="44">
        <v>0</v>
      </c>
      <c r="I41" s="44">
        <v>0</v>
      </c>
    </row>
    <row r="42" spans="1:9" ht="14.25">
      <c r="A42" s="88" t="str">
        <f>HLOOKUP(INDICE!$F$2,Nombres!$C$3:$D$636,57,FALSE)</f>
        <v>Otros activos</v>
      </c>
      <c r="B42" s="44">
        <v>102340.09597659</v>
      </c>
      <c r="C42" s="44">
        <v>106743.53107094001</v>
      </c>
      <c r="D42" s="44">
        <v>103677.47378254</v>
      </c>
      <c r="E42" s="45">
        <v>99297.51923184999</v>
      </c>
      <c r="F42" s="44">
        <v>102929.1741058</v>
      </c>
      <c r="G42" s="44">
        <v>0</v>
      </c>
      <c r="H42" s="44">
        <v>0</v>
      </c>
      <c r="I42" s="44">
        <v>0</v>
      </c>
    </row>
    <row r="43" spans="1:9" ht="14.25">
      <c r="A43" s="91" t="str">
        <f>HLOOKUP(INDICE!$F$2,Nombres!$C$3:$D$636,58,FALSE)</f>
        <v>Total activo / pasivo</v>
      </c>
      <c r="B43" s="51">
        <f aca="true" t="shared" si="7" ref="B43:I43">+B36+B37+B38+B40+B41+B42</f>
        <v>109009.92167410998</v>
      </c>
      <c r="C43" s="51">
        <f t="shared" si="7"/>
        <v>113557.66945027003</v>
      </c>
      <c r="D43" s="51">
        <f t="shared" si="7"/>
        <v>109985.47569716995</v>
      </c>
      <c r="E43" s="80">
        <f t="shared" si="7"/>
        <v>105416.3951764</v>
      </c>
      <c r="F43" s="51">
        <f t="shared" si="7"/>
        <v>109353.03537735001</v>
      </c>
      <c r="G43" s="51">
        <f t="shared" si="7"/>
        <v>0</v>
      </c>
      <c r="H43" s="51">
        <f t="shared" si="7"/>
        <v>0</v>
      </c>
      <c r="I43" s="51">
        <f t="shared" si="7"/>
        <v>0</v>
      </c>
    </row>
    <row r="44" spans="1:9" ht="15.75" customHeight="1">
      <c r="A44" s="88" t="str">
        <f>HLOOKUP(INDICE!$F$2,Nombres!$C$3:$D$636,59,FALSE)</f>
        <v>Pasivos financieros mantenidos para negociar y designados a valor razonable con cambios en resultados</v>
      </c>
      <c r="B44" s="44">
        <v>181.39863200000005</v>
      </c>
      <c r="C44" s="44">
        <v>110.11049999999999</v>
      </c>
      <c r="D44" s="44">
        <v>90.95825199999996</v>
      </c>
      <c r="E44" s="45">
        <v>71.54622399999997</v>
      </c>
      <c r="F44" s="44">
        <v>60.11018000000022</v>
      </c>
      <c r="G44" s="44">
        <v>0</v>
      </c>
      <c r="H44" s="44">
        <v>0</v>
      </c>
      <c r="I44" s="44">
        <v>0</v>
      </c>
    </row>
    <row r="45" spans="1:9" ht="14.25">
      <c r="A45" s="88" t="str">
        <f>HLOOKUP(INDICE!$F$2,Nombres!$C$3:$D$636,60,FALSE)</f>
        <v>Depósitos de bancos centrales y entidades de crédito</v>
      </c>
      <c r="B45" s="44">
        <v>882.6989400000007</v>
      </c>
      <c r="C45" s="44">
        <v>897.9802210000012</v>
      </c>
      <c r="D45" s="44">
        <v>887.829414999998</v>
      </c>
      <c r="E45" s="45">
        <v>845.2698359999996</v>
      </c>
      <c r="F45" s="44">
        <v>858.9708349999993</v>
      </c>
      <c r="G45" s="44">
        <v>0</v>
      </c>
      <c r="H45" s="44">
        <v>0</v>
      </c>
      <c r="I45" s="44">
        <v>0</v>
      </c>
    </row>
    <row r="46" spans="1:9" ht="14.25">
      <c r="A46" s="88" t="str">
        <f>HLOOKUP(INDICE!$F$2,Nombres!$C$3:$D$636,61,FALSE)</f>
        <v>Depósitos de la clientela</v>
      </c>
      <c r="B46" s="44">
        <v>323.06331100000085</v>
      </c>
      <c r="C46" s="44">
        <v>308.4758510000023</v>
      </c>
      <c r="D46" s="44">
        <v>297.6699890000037</v>
      </c>
      <c r="E46" s="45">
        <v>362.7727920000083</v>
      </c>
      <c r="F46" s="44">
        <v>176.72810500000043</v>
      </c>
      <c r="G46" s="44">
        <v>0</v>
      </c>
      <c r="H46" s="44">
        <v>0</v>
      </c>
      <c r="I46" s="44">
        <v>0</v>
      </c>
    </row>
    <row r="47" spans="1:9" ht="14.25">
      <c r="A47" s="43" t="str">
        <f>HLOOKUP(INDICE!$F$2,Nombres!$C$3:$D$636,62,FALSE)</f>
        <v>Valores representativos de deuda emitidos</v>
      </c>
      <c r="B47" s="44">
        <v>2575.3184890700004</v>
      </c>
      <c r="C47" s="44">
        <v>2296.0677641100006</v>
      </c>
      <c r="D47" s="44">
        <v>4161.2864997</v>
      </c>
      <c r="E47" s="45">
        <v>4344.0197249799985</v>
      </c>
      <c r="F47" s="44">
        <v>3383.116619570001</v>
      </c>
      <c r="G47" s="44">
        <v>0</v>
      </c>
      <c r="H47" s="44">
        <v>0</v>
      </c>
      <c r="I47" s="44">
        <v>0</v>
      </c>
    </row>
    <row r="48" spans="1:9" ht="14.25">
      <c r="A48" s="88" t="str">
        <f>HLOOKUP(INDICE!$F$2,Nombres!$C$3:$D$636,122,FALSE)</f>
        <v>Posiciones inter-áreas pasivo</v>
      </c>
      <c r="B48" s="44">
        <v>4897.194646269985</v>
      </c>
      <c r="C48" s="44">
        <v>4857.093192460088</v>
      </c>
      <c r="D48" s="44">
        <v>1332.2403736899869</v>
      </c>
      <c r="E48" s="45">
        <v>63.86956714997359</v>
      </c>
      <c r="F48" s="44">
        <v>495.6647034899943</v>
      </c>
      <c r="G48" s="44">
        <v>0</v>
      </c>
      <c r="H48" s="44">
        <v>0</v>
      </c>
      <c r="I48" s="44">
        <v>0</v>
      </c>
    </row>
    <row r="49" spans="1:9" ht="14.25">
      <c r="A49" s="43" t="str">
        <f>HLOOKUP(INDICE!$F$2,Nombres!$C$3:$D$636,63,FALSE)</f>
        <v>Otros pasivos</v>
      </c>
      <c r="B49" s="44">
        <f aca="true" t="shared" si="8" ref="B49:I49">+B43-B44-B45-B46-B47-B48-B51-B50</f>
        <v>86761.56249852997</v>
      </c>
      <c r="C49" s="44">
        <f t="shared" si="8"/>
        <v>91099.97897047995</v>
      </c>
      <c r="D49" s="44">
        <f t="shared" si="8"/>
        <v>88154.75219911998</v>
      </c>
      <c r="E49" s="45">
        <f t="shared" si="8"/>
        <v>83707.30302859002</v>
      </c>
      <c r="F49" s="44">
        <f t="shared" si="8"/>
        <v>87418.23253749</v>
      </c>
      <c r="G49" s="44">
        <f t="shared" si="8"/>
        <v>0</v>
      </c>
      <c r="H49" s="44">
        <f t="shared" si="8"/>
        <v>0</v>
      </c>
      <c r="I49" s="44">
        <f t="shared" si="8"/>
        <v>0</v>
      </c>
    </row>
    <row r="50" spans="1:9" ht="14.25">
      <c r="A50" s="43" t="str">
        <f>HLOOKUP(INDICE!$F$2,Nombres!$C$3:$D$636,282,FALSE)</f>
        <v>Dotación de capital regulatorio</v>
      </c>
      <c r="B50" s="44">
        <f>-España!B45-Mexico!B45-Turquia!B45-AdS!B45-'Resto de Negocios'!B45</f>
        <v>-35785.5598368</v>
      </c>
      <c r="C50" s="44">
        <f>-España!C45-Mexico!C45-Turquia!C45-AdS!C45-'Resto de Negocios'!C45</f>
        <v>-35566.85705479</v>
      </c>
      <c r="D50" s="44">
        <f>-España!D45-Mexico!D45-Turquia!D45-AdS!D45-'Resto de Negocios'!D45</f>
        <v>-33460.786026320005</v>
      </c>
      <c r="E50" s="45">
        <f>-España!E45-Mexico!E45-Turquia!E45-AdS!E45-'Resto de Negocios'!E45</f>
        <v>-33998.21599224</v>
      </c>
      <c r="F50" s="44">
        <f>-España!F45-Mexico!F45-Turquia!F45-AdS!F45-'Resto de Negocios'!F45</f>
        <v>-33751.07960414</v>
      </c>
      <c r="G50" s="44">
        <v>0</v>
      </c>
      <c r="H50" s="44">
        <v>0</v>
      </c>
      <c r="I50" s="44">
        <v>0</v>
      </c>
    </row>
    <row r="51" spans="1:9" ht="14.25">
      <c r="A51" s="88" t="str">
        <f>HLOOKUP(INDICE!$F$2,Nombres!$C$3:$D$636,150,FALSE)</f>
        <v>Patrimonio neto</v>
      </c>
      <c r="B51" s="44">
        <v>49174.24499404001</v>
      </c>
      <c r="C51" s="44">
        <v>49554.82000600999</v>
      </c>
      <c r="D51" s="44">
        <v>48521.524994980005</v>
      </c>
      <c r="E51" s="45">
        <v>50019.82999592</v>
      </c>
      <c r="F51" s="44">
        <v>50711.29200094001</v>
      </c>
      <c r="G51" s="44">
        <v>0</v>
      </c>
      <c r="H51" s="44">
        <v>0</v>
      </c>
      <c r="I51" s="44">
        <v>0</v>
      </c>
    </row>
    <row r="52" spans="1:9" ht="14.25">
      <c r="A52" s="43"/>
      <c r="B52" s="58"/>
      <c r="C52" s="58"/>
      <c r="D52" s="58"/>
      <c r="E52" s="58"/>
      <c r="F52" s="58"/>
      <c r="G52" s="58"/>
      <c r="H52" s="58"/>
      <c r="I52" s="58"/>
    </row>
    <row r="53" spans="1:9" ht="14.25">
      <c r="A53" s="43"/>
      <c r="B53" s="58"/>
      <c r="C53" s="58"/>
      <c r="D53" s="58"/>
      <c r="E53" s="58"/>
      <c r="F53" s="58"/>
      <c r="G53" s="58"/>
      <c r="H53" s="58"/>
      <c r="I53" s="58"/>
    </row>
    <row r="54" spans="1:9" ht="14.25">
      <c r="A54" s="43"/>
      <c r="B54" s="58"/>
      <c r="C54" s="58"/>
      <c r="D54" s="58"/>
      <c r="E54" s="58"/>
      <c r="F54" s="44"/>
      <c r="G54" s="44"/>
      <c r="H54" s="44"/>
      <c r="I54" s="44"/>
    </row>
    <row r="55" spans="1:9" ht="14.25">
      <c r="A55" s="43"/>
      <c r="B55" s="30"/>
      <c r="C55" s="284"/>
      <c r="D55" s="30"/>
      <c r="E55" s="30"/>
      <c r="F55" s="70"/>
      <c r="G55" s="44"/>
      <c r="H55" s="44"/>
      <c r="I55" s="44"/>
    </row>
    <row r="56" spans="1:9" ht="14.25">
      <c r="A56" s="43"/>
      <c r="B56" s="30"/>
      <c r="C56" s="53"/>
      <c r="D56" s="53"/>
      <c r="E56" s="53"/>
      <c r="F56" s="53"/>
      <c r="G56" s="53"/>
      <c r="H56" s="53"/>
      <c r="I56" s="53"/>
    </row>
    <row r="57" spans="1:9" ht="14.25">
      <c r="A57" s="43"/>
      <c r="B57" s="44"/>
      <c r="C57" s="44"/>
      <c r="D57" s="44"/>
      <c r="E57" s="44"/>
      <c r="F57" s="44"/>
      <c r="G57" s="44"/>
      <c r="H57" s="44"/>
      <c r="I57" s="44"/>
    </row>
    <row r="58" spans="1:9" ht="14.25">
      <c r="A58" s="41"/>
      <c r="B58" s="44"/>
      <c r="C58" s="44"/>
      <c r="D58" s="44"/>
      <c r="E58" s="44"/>
      <c r="F58" s="44"/>
      <c r="G58" s="44"/>
      <c r="H58" s="44"/>
      <c r="I58" s="44"/>
    </row>
    <row r="59" spans="1:9" ht="14.25">
      <c r="A59" s="43"/>
      <c r="B59" s="44"/>
      <c r="C59" s="44"/>
      <c r="D59" s="44"/>
      <c r="E59" s="44"/>
      <c r="F59" s="44"/>
      <c r="G59" s="44"/>
      <c r="H59" s="44"/>
      <c r="I59" s="44"/>
    </row>
    <row r="60" spans="1:9" ht="14.25">
      <c r="A60" s="43"/>
      <c r="B60" s="44"/>
      <c r="D60" s="44"/>
      <c r="E60" s="44"/>
      <c r="F60" s="44"/>
      <c r="G60" s="44"/>
      <c r="H60" s="44"/>
      <c r="I60" s="44"/>
    </row>
    <row r="61" spans="1:9" ht="14.25">
      <c r="A61" s="43"/>
      <c r="B61" s="44"/>
      <c r="D61" s="44"/>
      <c r="E61" s="44"/>
      <c r="F61" s="44"/>
      <c r="G61" s="44"/>
      <c r="H61" s="44"/>
      <c r="I61" s="44"/>
    </row>
    <row r="62" spans="1:9" ht="14.25">
      <c r="A62" s="62"/>
      <c r="B62" s="58"/>
      <c r="D62" s="58"/>
      <c r="E62" s="58"/>
      <c r="F62" s="44"/>
      <c r="G62" s="44"/>
      <c r="H62" s="44"/>
      <c r="I62" s="44"/>
    </row>
    <row r="63" spans="1:9" ht="14.25">
      <c r="A63" s="62"/>
      <c r="B63" s="58"/>
      <c r="D63" s="30"/>
      <c r="E63" s="30"/>
      <c r="F63" s="70"/>
      <c r="G63" s="70"/>
      <c r="H63" s="70"/>
      <c r="I63" s="70"/>
    </row>
    <row r="64" spans="1:9" ht="14.25">
      <c r="A64" s="62"/>
      <c r="B64" s="58"/>
      <c r="D64" s="30"/>
      <c r="E64" s="30"/>
      <c r="F64" s="70"/>
      <c r="G64" s="70"/>
      <c r="H64" s="70"/>
      <c r="I64" s="70"/>
    </row>
    <row r="65" spans="2:9" ht="14.25">
      <c r="B65" s="54"/>
      <c r="C65" s="54"/>
      <c r="D65" s="54"/>
      <c r="E65" s="74"/>
      <c r="F65" s="94"/>
      <c r="G65" s="82"/>
      <c r="H65" s="82"/>
      <c r="I65" s="82"/>
    </row>
    <row r="66" spans="2:9" ht="14.25">
      <c r="B66" s="54"/>
      <c r="F66" s="82"/>
      <c r="G66" s="82"/>
      <c r="H66" s="82"/>
      <c r="I66" s="82"/>
    </row>
    <row r="67" spans="2:9" ht="14.25">
      <c r="B67" s="54"/>
      <c r="F67" s="82"/>
      <c r="G67" s="82"/>
      <c r="H67" s="82"/>
      <c r="I67" s="82"/>
    </row>
    <row r="68" spans="2:9" ht="14.25">
      <c r="B68" s="54"/>
      <c r="F68" s="82"/>
      <c r="G68" s="82"/>
      <c r="H68" s="82"/>
      <c r="I68" s="82"/>
    </row>
    <row r="69" spans="2:9" ht="14.25">
      <c r="B69" s="54"/>
      <c r="F69" s="82"/>
      <c r="G69" s="82"/>
      <c r="H69" s="82"/>
      <c r="I69" s="82"/>
    </row>
    <row r="70" spans="2:9" ht="14.25">
      <c r="B70" s="54"/>
      <c r="F70" s="82"/>
      <c r="G70" s="82"/>
      <c r="H70" s="82"/>
      <c r="I70" s="82"/>
    </row>
    <row r="71" spans="2:9" ht="14.25">
      <c r="B71" s="54"/>
      <c r="F71" s="82"/>
      <c r="G71" s="82"/>
      <c r="H71" s="82"/>
      <c r="I71" s="82"/>
    </row>
    <row r="72" spans="2:9" ht="14.25">
      <c r="B72" s="54"/>
      <c r="F72" s="82"/>
      <c r="G72" s="82"/>
      <c r="H72" s="82"/>
      <c r="I72" s="82"/>
    </row>
    <row r="73" spans="6:9" ht="14.25">
      <c r="F73" s="82"/>
      <c r="G73" s="82"/>
      <c r="H73" s="82"/>
      <c r="I73" s="82"/>
    </row>
    <row r="74" spans="6:9" ht="14.25">
      <c r="F74" s="82"/>
      <c r="G74" s="82"/>
      <c r="H74" s="82"/>
      <c r="I74" s="82"/>
    </row>
    <row r="75" spans="6:9" ht="14.25">
      <c r="F75" s="82"/>
      <c r="G75" s="82"/>
      <c r="H75" s="82"/>
      <c r="I75" s="82"/>
    </row>
    <row r="76" spans="6:9" ht="14.25">
      <c r="F76" s="82"/>
      <c r="G76" s="82"/>
      <c r="H76" s="82"/>
      <c r="I76" s="82"/>
    </row>
    <row r="77" spans="6:9" ht="14.25">
      <c r="F77" s="82"/>
      <c r="G77" s="82"/>
      <c r="H77" s="82"/>
      <c r="I77" s="82"/>
    </row>
    <row r="78" spans="6:9" ht="14.25">
      <c r="F78" s="82"/>
      <c r="G78" s="82"/>
      <c r="H78" s="82"/>
      <c r="I78" s="82"/>
    </row>
    <row r="79" spans="6:9" ht="14.25">
      <c r="F79" s="82"/>
      <c r="G79" s="82"/>
      <c r="H79" s="82"/>
      <c r="I79" s="82"/>
    </row>
    <row r="80" spans="6:9" ht="14.25">
      <c r="F80" s="82"/>
      <c r="G80" s="82"/>
      <c r="H80" s="82"/>
      <c r="I80" s="82"/>
    </row>
    <row r="81" spans="6:9" ht="14.25">
      <c r="F81" s="82"/>
      <c r="G81" s="82"/>
      <c r="H81" s="82"/>
      <c r="I81" s="82"/>
    </row>
    <row r="82" spans="6:9" ht="14.25">
      <c r="F82" s="82"/>
      <c r="G82" s="82"/>
      <c r="H82" s="82"/>
      <c r="I82" s="82"/>
    </row>
    <row r="83" spans="6:9" ht="14.25">
      <c r="F83" s="82"/>
      <c r="G83" s="82"/>
      <c r="H83" s="82"/>
      <c r="I83" s="82"/>
    </row>
    <row r="84" spans="6:9" ht="14.25">
      <c r="F84" s="82"/>
      <c r="G84" s="82"/>
      <c r="H84" s="82"/>
      <c r="I84" s="82"/>
    </row>
    <row r="85" spans="6:9" ht="14.25">
      <c r="F85" s="82"/>
      <c r="G85" s="82"/>
      <c r="H85" s="82"/>
      <c r="I85" s="82"/>
    </row>
    <row r="86" spans="6:9" ht="14.25">
      <c r="F86" s="82"/>
      <c r="G86" s="82"/>
      <c r="H86" s="82"/>
      <c r="I86" s="82"/>
    </row>
    <row r="87" spans="6:9" ht="14.25">
      <c r="F87" s="82"/>
      <c r="G87" s="82"/>
      <c r="H87" s="82"/>
      <c r="I87" s="82"/>
    </row>
    <row r="88" spans="6:9" ht="14.25">
      <c r="F88" s="82"/>
      <c r="G88" s="82"/>
      <c r="H88" s="82"/>
      <c r="I88" s="82"/>
    </row>
    <row r="89" spans="6:9" ht="14.25">
      <c r="F89" s="82"/>
      <c r="G89" s="82"/>
      <c r="H89" s="82"/>
      <c r="I89" s="82"/>
    </row>
    <row r="90" spans="6:9" ht="14.25">
      <c r="F90" s="82"/>
      <c r="G90" s="82"/>
      <c r="H90" s="82"/>
      <c r="I90" s="82"/>
    </row>
    <row r="91" spans="6:9" ht="14.25">
      <c r="F91" s="82"/>
      <c r="G91" s="82"/>
      <c r="H91" s="82"/>
      <c r="I91" s="82"/>
    </row>
    <row r="92" spans="6:9" ht="14.25">
      <c r="F92" s="82"/>
      <c r="G92" s="82"/>
      <c r="H92" s="82"/>
      <c r="I92" s="82"/>
    </row>
    <row r="93" spans="6:9" ht="14.25">
      <c r="F93" s="82"/>
      <c r="G93" s="82"/>
      <c r="H93" s="82"/>
      <c r="I93" s="82"/>
    </row>
    <row r="94" spans="6:9" ht="14.25">
      <c r="F94" s="82"/>
      <c r="G94" s="82"/>
      <c r="H94" s="82"/>
      <c r="I94" s="82"/>
    </row>
    <row r="95" spans="6:9" ht="14.25">
      <c r="F95" s="82"/>
      <c r="G95" s="82"/>
      <c r="H95" s="82"/>
      <c r="I95" s="82"/>
    </row>
    <row r="96" spans="6:9" ht="14.25">
      <c r="F96" s="82"/>
      <c r="G96" s="82"/>
      <c r="H96" s="82"/>
      <c r="I96" s="82"/>
    </row>
    <row r="97" spans="6:9" ht="14.25">
      <c r="F97" s="82"/>
      <c r="G97" s="82"/>
      <c r="H97" s="82"/>
      <c r="I97" s="82"/>
    </row>
    <row r="98" spans="6:9" ht="14.25">
      <c r="F98" s="82"/>
      <c r="G98" s="82"/>
      <c r="H98" s="82"/>
      <c r="I98" s="82"/>
    </row>
    <row r="99" spans="6:9" ht="14.25">
      <c r="F99" s="82"/>
      <c r="G99" s="82"/>
      <c r="H99" s="82"/>
      <c r="I99" s="82"/>
    </row>
    <row r="100" spans="6:9" ht="14.25">
      <c r="F100" s="82"/>
      <c r="G100" s="82"/>
      <c r="H100" s="82"/>
      <c r="I100" s="82"/>
    </row>
    <row r="101" spans="6:9" ht="14.25">
      <c r="F101" s="82"/>
      <c r="G101" s="82"/>
      <c r="H101" s="82"/>
      <c r="I101" s="82"/>
    </row>
    <row r="102" spans="6:9" ht="14.25">
      <c r="F102" s="82"/>
      <c r="G102" s="82"/>
      <c r="H102" s="82"/>
      <c r="I102" s="82"/>
    </row>
    <row r="103" spans="6:9" ht="14.25">
      <c r="F103" s="82"/>
      <c r="G103" s="82"/>
      <c r="H103" s="82"/>
      <c r="I103" s="82"/>
    </row>
    <row r="104" spans="6:9" ht="14.25">
      <c r="F104" s="82"/>
      <c r="G104" s="82"/>
      <c r="H104" s="82"/>
      <c r="I104" s="82"/>
    </row>
    <row r="105" spans="6:9" ht="14.25">
      <c r="F105" s="82"/>
      <c r="G105" s="82"/>
      <c r="H105" s="82"/>
      <c r="I105" s="82"/>
    </row>
    <row r="106" spans="6:9" ht="14.25">
      <c r="F106" s="82"/>
      <c r="G106" s="82"/>
      <c r="H106" s="82"/>
      <c r="I106" s="82"/>
    </row>
    <row r="107" spans="6:9" ht="14.25">
      <c r="F107" s="82"/>
      <c r="G107" s="82"/>
      <c r="H107" s="82"/>
      <c r="I107" s="82"/>
    </row>
    <row r="108" spans="6:9" ht="14.25">
      <c r="F108" s="82"/>
      <c r="G108" s="82"/>
      <c r="H108" s="82"/>
      <c r="I108" s="82"/>
    </row>
    <row r="109" spans="6:9" ht="14.25">
      <c r="F109" s="82"/>
      <c r="G109" s="82"/>
      <c r="H109" s="82"/>
      <c r="I109" s="82"/>
    </row>
    <row r="110" spans="6:9" ht="14.25">
      <c r="F110" s="82"/>
      <c r="G110" s="82"/>
      <c r="H110" s="82"/>
      <c r="I110" s="82"/>
    </row>
    <row r="119" spans="6:9" ht="14.25">
      <c r="F119" s="82"/>
      <c r="G119" s="82"/>
      <c r="H119" s="82"/>
      <c r="I119" s="82"/>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sheetData>
  <sheetProtection/>
  <mergeCells count="2">
    <mergeCell ref="B6:E6"/>
    <mergeCell ref="F6:I6"/>
  </mergeCells>
  <conditionalFormatting sqref="B31:I31">
    <cfRule type="cellIs" priority="2" dxfId="115" operator="notBetween">
      <formula>0.5</formula>
      <formula>-0.5</formula>
    </cfRule>
  </conditionalFormatting>
  <conditionalFormatting sqref="B30:I30">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P18" sqref="P18"/>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HLOOKUP(INDICE!$F$2,Nombres!$C$3:$D$636,280,FALSE)</f>
        <v>Corporate &amp; Investment Banking (*)</v>
      </c>
      <c r="B1" s="30"/>
      <c r="C1" s="30"/>
      <c r="D1" s="30"/>
      <c r="E1" s="30"/>
      <c r="F1" s="30"/>
      <c r="G1" s="30"/>
      <c r="H1" s="30"/>
      <c r="I1" s="30"/>
    </row>
    <row r="2" spans="1:9" ht="14.25">
      <c r="A2" s="305" t="str">
        <f>HLOOKUP(INDICE!$F$2,Nombres!$C$3:$D$636,281,FALSE)</f>
        <v>(*) No incluye el negocio de CIB vendido a PNC.</v>
      </c>
      <c r="B2" s="305"/>
      <c r="C2" s="305"/>
      <c r="D2" s="305"/>
      <c r="E2" s="305"/>
      <c r="F2" s="305"/>
      <c r="G2" s="305"/>
      <c r="H2" s="305"/>
      <c r="I2" s="305"/>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357.56602584</v>
      </c>
      <c r="C8" s="41">
        <v>394.77856554999994</v>
      </c>
      <c r="D8" s="41">
        <v>358.52760286</v>
      </c>
      <c r="E8" s="42">
        <v>370.95510364000006</v>
      </c>
      <c r="F8" s="50">
        <v>381.29258699</v>
      </c>
      <c r="G8" s="50">
        <v>0</v>
      </c>
      <c r="H8" s="50">
        <v>0</v>
      </c>
      <c r="I8" s="50">
        <v>0</v>
      </c>
    </row>
    <row r="9" spans="1:9" ht="14.25">
      <c r="A9" s="43" t="str">
        <f>HLOOKUP(INDICE!$F$2,Nombres!$C$3:$D$636,34,FALSE)</f>
        <v>Comisiones netas</v>
      </c>
      <c r="B9" s="44">
        <v>184.48124925</v>
      </c>
      <c r="C9" s="44">
        <v>199.18133853</v>
      </c>
      <c r="D9" s="44">
        <v>195.67699916000004</v>
      </c>
      <c r="E9" s="45">
        <v>171.61122332000002</v>
      </c>
      <c r="F9" s="44">
        <v>192.20334071999997</v>
      </c>
      <c r="G9" s="44">
        <v>0</v>
      </c>
      <c r="H9" s="44">
        <v>0</v>
      </c>
      <c r="I9" s="44">
        <v>0</v>
      </c>
    </row>
    <row r="10" spans="1:9" ht="14.25">
      <c r="A10" s="43" t="str">
        <f>HLOOKUP(INDICE!$F$2,Nombres!$C$3:$D$636,35,FALSE)</f>
        <v>Resultados de operaciones financieras</v>
      </c>
      <c r="B10" s="44">
        <v>171.79554944</v>
      </c>
      <c r="C10" s="44">
        <v>220.95454060000006</v>
      </c>
      <c r="D10" s="44">
        <v>201.53798054</v>
      </c>
      <c r="E10" s="45">
        <v>144.56472738</v>
      </c>
      <c r="F10" s="44">
        <v>272.72820229999996</v>
      </c>
      <c r="G10" s="44">
        <v>0</v>
      </c>
      <c r="H10" s="44">
        <v>0</v>
      </c>
      <c r="I10" s="44">
        <v>0</v>
      </c>
    </row>
    <row r="11" spans="1:9" ht="14.25">
      <c r="A11" s="43" t="str">
        <f>HLOOKUP(INDICE!$F$2,Nombres!$C$3:$D$636,36,FALSE)</f>
        <v>Otros ingresos y cargas de explotación</v>
      </c>
      <c r="B11" s="44">
        <v>-11.649163249999999</v>
      </c>
      <c r="C11" s="44">
        <v>-8.8943631</v>
      </c>
      <c r="D11" s="44">
        <v>-8.124054129999998</v>
      </c>
      <c r="E11" s="45">
        <v>-9.119876120000004</v>
      </c>
      <c r="F11" s="44">
        <v>-10.777639520000001</v>
      </c>
      <c r="G11" s="44">
        <v>0</v>
      </c>
      <c r="H11" s="44">
        <v>0</v>
      </c>
      <c r="I11" s="44">
        <v>0</v>
      </c>
    </row>
    <row r="12" spans="1:9" ht="14.25">
      <c r="A12" s="41" t="str">
        <f>HLOOKUP(INDICE!$F$2,Nombres!$C$3:$D$636,37,FALSE)</f>
        <v>Margen bruto</v>
      </c>
      <c r="B12" s="41">
        <f>+SUM(B8:B11)</f>
        <v>702.1936612799999</v>
      </c>
      <c r="C12" s="41">
        <f aca="true" t="shared" si="0" ref="C12:I12">+SUM(C8:C11)</f>
        <v>806.02008158</v>
      </c>
      <c r="D12" s="41">
        <f t="shared" si="0"/>
        <v>747.6185284300001</v>
      </c>
      <c r="E12" s="42">
        <f t="shared" si="0"/>
        <v>678.0111782200001</v>
      </c>
      <c r="F12" s="50">
        <f t="shared" si="0"/>
        <v>835.44649049</v>
      </c>
      <c r="G12" s="50">
        <f t="shared" si="0"/>
        <v>0</v>
      </c>
      <c r="H12" s="50">
        <f t="shared" si="0"/>
        <v>0</v>
      </c>
      <c r="I12" s="50">
        <f t="shared" si="0"/>
        <v>0</v>
      </c>
    </row>
    <row r="13" spans="1:9" ht="14.25">
      <c r="A13" s="43" t="str">
        <f>HLOOKUP(INDICE!$F$2,Nombres!$C$3:$D$636,38,FALSE)</f>
        <v>Gastos de explotación</v>
      </c>
      <c r="B13" s="44">
        <v>-253.82480341000002</v>
      </c>
      <c r="C13" s="44">
        <v>-197.58986168</v>
      </c>
      <c r="D13" s="44">
        <v>-219.17793269999999</v>
      </c>
      <c r="E13" s="45">
        <v>-251.79492152000003</v>
      </c>
      <c r="F13" s="44">
        <v>-231.51141617000002</v>
      </c>
      <c r="G13" s="44">
        <v>0</v>
      </c>
      <c r="H13" s="44">
        <v>0</v>
      </c>
      <c r="I13" s="44">
        <v>0</v>
      </c>
    </row>
    <row r="14" spans="1:9" ht="14.25">
      <c r="A14" s="43" t="str">
        <f>HLOOKUP(INDICE!$F$2,Nombres!$C$3:$D$636,39,FALSE)</f>
        <v>  Gastos de administración</v>
      </c>
      <c r="B14" s="44">
        <v>-224.32390685</v>
      </c>
      <c r="C14" s="44">
        <v>-168.29633151</v>
      </c>
      <c r="D14" s="44">
        <v>-190.31110582999997</v>
      </c>
      <c r="E14" s="45">
        <v>-224.27593569000004</v>
      </c>
      <c r="F14" s="44">
        <v>-204.50501931999997</v>
      </c>
      <c r="G14" s="44">
        <v>0</v>
      </c>
      <c r="H14" s="44">
        <v>0</v>
      </c>
      <c r="I14" s="44">
        <v>0</v>
      </c>
    </row>
    <row r="15" spans="1:9" ht="14.25">
      <c r="A15" s="46" t="str">
        <f>HLOOKUP(INDICE!$F$2,Nombres!$C$3:$D$636,40,FALSE)</f>
        <v>  Gastos de personal</v>
      </c>
      <c r="B15" s="44">
        <v>-119.93243466</v>
      </c>
      <c r="C15" s="44">
        <v>-74.66623368</v>
      </c>
      <c r="D15" s="44">
        <v>-89.29042893</v>
      </c>
      <c r="E15" s="45">
        <v>-125.25417997</v>
      </c>
      <c r="F15" s="44">
        <v>-106.12042787000001</v>
      </c>
      <c r="G15" s="44">
        <v>0</v>
      </c>
      <c r="H15" s="44">
        <v>0</v>
      </c>
      <c r="I15" s="44">
        <v>0</v>
      </c>
    </row>
    <row r="16" spans="1:9" ht="14.25">
      <c r="A16" s="46" t="str">
        <f>HLOOKUP(INDICE!$F$2,Nombres!$C$3:$D$636,41,FALSE)</f>
        <v>  Otros gastos de administración</v>
      </c>
      <c r="B16" s="44">
        <v>-104.39147219</v>
      </c>
      <c r="C16" s="44">
        <v>-93.63009783</v>
      </c>
      <c r="D16" s="44">
        <v>-101.02067689999998</v>
      </c>
      <c r="E16" s="45">
        <v>-99.02175572000002</v>
      </c>
      <c r="F16" s="44">
        <v>-98.38459144999996</v>
      </c>
      <c r="G16" s="44">
        <v>0</v>
      </c>
      <c r="H16" s="44">
        <v>0</v>
      </c>
      <c r="I16" s="44">
        <v>0</v>
      </c>
    </row>
    <row r="17" spans="1:9" ht="14.25">
      <c r="A17" s="43" t="str">
        <f>HLOOKUP(INDICE!$F$2,Nombres!$C$3:$D$636,42,FALSE)</f>
        <v>  Amortización</v>
      </c>
      <c r="B17" s="44">
        <v>-29.50089656</v>
      </c>
      <c r="C17" s="44">
        <v>-29.293530169999997</v>
      </c>
      <c r="D17" s="44">
        <v>-28.866826870000004</v>
      </c>
      <c r="E17" s="45">
        <v>-27.518985829999995</v>
      </c>
      <c r="F17" s="44">
        <v>-27.006396849999998</v>
      </c>
      <c r="G17" s="44">
        <v>0</v>
      </c>
      <c r="H17" s="44">
        <v>0</v>
      </c>
      <c r="I17" s="44">
        <v>0</v>
      </c>
    </row>
    <row r="18" spans="1:9" ht="14.25">
      <c r="A18" s="41" t="str">
        <f>HLOOKUP(INDICE!$F$2,Nombres!$C$3:$D$636,43,FALSE)</f>
        <v>Margen neto</v>
      </c>
      <c r="B18" s="41">
        <f>+B12+B13</f>
        <v>448.3688578699999</v>
      </c>
      <c r="C18" s="41">
        <f aca="true" t="shared" si="1" ref="C18:I18">+C12+C13</f>
        <v>608.4302199</v>
      </c>
      <c r="D18" s="41">
        <f t="shared" si="1"/>
        <v>528.44059573</v>
      </c>
      <c r="E18" s="42">
        <f t="shared" si="1"/>
        <v>426.21625670000014</v>
      </c>
      <c r="F18" s="50">
        <f t="shared" si="1"/>
        <v>603.93507432</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-206.98898181</v>
      </c>
      <c r="C19" s="44">
        <v>-111.12452154</v>
      </c>
      <c r="D19" s="44">
        <v>-24.82528512000001</v>
      </c>
      <c r="E19" s="45">
        <v>-110.60543652000001</v>
      </c>
      <c r="F19" s="44">
        <v>-42.86934371000001</v>
      </c>
      <c r="G19" s="44">
        <v>0</v>
      </c>
      <c r="H19" s="44">
        <v>0</v>
      </c>
      <c r="I19" s="44">
        <v>0</v>
      </c>
    </row>
    <row r="20" spans="1:9" ht="14.25">
      <c r="A20" s="43" t="str">
        <f>HLOOKUP(INDICE!$F$2,Nombres!$C$3:$D$636,45,FALSE)</f>
        <v>Provisiones o reversión de provisiones y otros resultados</v>
      </c>
      <c r="B20" s="44">
        <v>7.3410485700000025</v>
      </c>
      <c r="C20" s="44">
        <v>-23.24987413</v>
      </c>
      <c r="D20" s="44">
        <v>-27.652123720000002</v>
      </c>
      <c r="E20" s="45">
        <v>-10.72368814</v>
      </c>
      <c r="F20" s="44">
        <v>-22.13165421</v>
      </c>
      <c r="G20" s="44">
        <v>0</v>
      </c>
      <c r="H20" s="44">
        <v>0</v>
      </c>
      <c r="I20" s="44">
        <v>0</v>
      </c>
    </row>
    <row r="21" spans="1:9" ht="14.25">
      <c r="A21" s="41" t="str">
        <f>HLOOKUP(INDICE!$F$2,Nombres!$C$3:$D$636,46,FALSE)</f>
        <v>Resultado antes de impuestos</v>
      </c>
      <c r="B21" s="41">
        <f>+B18+B19+B20</f>
        <v>248.72092462999987</v>
      </c>
      <c r="C21" s="41">
        <f aca="true" t="shared" si="2" ref="C21:I21">+C18+C19+C20</f>
        <v>474.05582423</v>
      </c>
      <c r="D21" s="41">
        <f t="shared" si="2"/>
        <v>475.96318689000003</v>
      </c>
      <c r="E21" s="42">
        <f t="shared" si="2"/>
        <v>304.88713204000015</v>
      </c>
      <c r="F21" s="50">
        <f t="shared" si="2"/>
        <v>538.9340764</v>
      </c>
      <c r="G21" s="50">
        <f t="shared" si="2"/>
        <v>0</v>
      </c>
      <c r="H21" s="50">
        <f t="shared" si="2"/>
        <v>0</v>
      </c>
      <c r="I21" s="50">
        <f t="shared" si="2"/>
        <v>0</v>
      </c>
    </row>
    <row r="22" spans="1:9" ht="14.25">
      <c r="A22" s="43" t="str">
        <f>HLOOKUP(INDICE!$F$2,Nombres!$C$3:$D$636,47,FALSE)</f>
        <v>Impuesto sobre beneficios</v>
      </c>
      <c r="B22" s="44">
        <v>-62.52903628000002</v>
      </c>
      <c r="C22" s="44">
        <v>-133.77168296</v>
      </c>
      <c r="D22" s="44">
        <v>-125.83911237999996</v>
      </c>
      <c r="E22" s="45">
        <v>-72.18783151999999</v>
      </c>
      <c r="F22" s="44">
        <v>-138.08503040000002</v>
      </c>
      <c r="G22" s="44">
        <v>0</v>
      </c>
      <c r="H22" s="44">
        <v>0</v>
      </c>
      <c r="I22" s="44">
        <v>0</v>
      </c>
    </row>
    <row r="23" spans="1:9" ht="14.25">
      <c r="A23" s="41" t="str">
        <f>HLOOKUP(INDICE!$F$2,Nombres!$C$3:$D$636,48,FALSE)</f>
        <v>Resultado del ejercicio</v>
      </c>
      <c r="B23" s="41">
        <f>+B21+B22</f>
        <v>186.19188834999986</v>
      </c>
      <c r="C23" s="41">
        <f aca="true" t="shared" si="3" ref="C23:I23">+C21+C22</f>
        <v>340.28414126999996</v>
      </c>
      <c r="D23" s="41">
        <f t="shared" si="3"/>
        <v>350.12407451000007</v>
      </c>
      <c r="E23" s="42">
        <f t="shared" si="3"/>
        <v>232.69930052000018</v>
      </c>
      <c r="F23" s="50">
        <f t="shared" si="3"/>
        <v>400.84904599999993</v>
      </c>
      <c r="G23" s="50">
        <f t="shared" si="3"/>
        <v>0</v>
      </c>
      <c r="H23" s="50">
        <f t="shared" si="3"/>
        <v>0</v>
      </c>
      <c r="I23" s="50">
        <f t="shared" si="3"/>
        <v>0</v>
      </c>
    </row>
    <row r="24" spans="1:9" ht="14.25">
      <c r="A24" s="43" t="str">
        <f>HLOOKUP(INDICE!$F$2,Nombres!$C$3:$D$636,49,FALSE)</f>
        <v>Minoritarios</v>
      </c>
      <c r="B24" s="44">
        <v>-24.241784989999996</v>
      </c>
      <c r="C24" s="44">
        <v>-63.656055300000006</v>
      </c>
      <c r="D24" s="44">
        <v>-83.11364824</v>
      </c>
      <c r="E24" s="45">
        <v>-49.14954062999999</v>
      </c>
      <c r="F24" s="44">
        <v>-77.89472169999999</v>
      </c>
      <c r="G24" s="44">
        <v>0</v>
      </c>
      <c r="H24" s="44">
        <v>0</v>
      </c>
      <c r="I24" s="44">
        <v>0</v>
      </c>
    </row>
    <row r="25" spans="1:9" ht="14.25">
      <c r="A25" s="47" t="str">
        <f>HLOOKUP(INDICE!$F$2,Nombres!$C$3:$D$636,50,FALSE)</f>
        <v>Resultado atribuido</v>
      </c>
      <c r="B25" s="47">
        <f>+B23+B24</f>
        <v>161.95010335999987</v>
      </c>
      <c r="C25" s="47">
        <f aca="true" t="shared" si="4" ref="C25:I25">+C23+C24</f>
        <v>276.62808597</v>
      </c>
      <c r="D25" s="47">
        <f t="shared" si="4"/>
        <v>267.01042627000004</v>
      </c>
      <c r="E25" s="47">
        <f t="shared" si="4"/>
        <v>183.5497598900002</v>
      </c>
      <c r="F25" s="51">
        <f t="shared" si="4"/>
        <v>322.95432429999994</v>
      </c>
      <c r="G25" s="51">
        <f t="shared" si="4"/>
        <v>0</v>
      </c>
      <c r="H25" s="51">
        <f t="shared" si="4"/>
        <v>0</v>
      </c>
      <c r="I25" s="51">
        <f t="shared" si="4"/>
        <v>0</v>
      </c>
    </row>
    <row r="26" spans="1:9" ht="14.25">
      <c r="A26" s="305"/>
      <c r="B26" s="305"/>
      <c r="C26" s="305"/>
      <c r="D26" s="305"/>
      <c r="E26" s="305"/>
      <c r="F26" s="305"/>
      <c r="G26" s="305"/>
      <c r="H26" s="305"/>
      <c r="I26" s="305"/>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5938.631999369999</v>
      </c>
      <c r="C31" s="44">
        <v>4179.689813610002</v>
      </c>
      <c r="D31" s="44">
        <v>5884.895129830002</v>
      </c>
      <c r="E31" s="45">
        <v>7490.881852899999</v>
      </c>
      <c r="F31" s="44">
        <v>4756.907981670004</v>
      </c>
      <c r="G31" s="44">
        <v>0</v>
      </c>
      <c r="H31" s="44">
        <v>0</v>
      </c>
      <c r="I31" s="44">
        <v>0</v>
      </c>
    </row>
    <row r="32" spans="1:9" ht="14.25">
      <c r="A32" s="43" t="str">
        <f>HLOOKUP(INDICE!$F$2,Nombres!$C$3:$D$636,53,FALSE)</f>
        <v>Activos financieros a valor razonable</v>
      </c>
      <c r="B32" s="58">
        <v>136596.95071704</v>
      </c>
      <c r="C32" s="58">
        <v>121035.61513537</v>
      </c>
      <c r="D32" s="58">
        <v>109712.98692921</v>
      </c>
      <c r="E32" s="65">
        <v>110217.26646828002</v>
      </c>
      <c r="F32" s="44">
        <v>105243.61854435001</v>
      </c>
      <c r="G32" s="44">
        <v>0</v>
      </c>
      <c r="H32" s="44">
        <v>0</v>
      </c>
      <c r="I32" s="44">
        <v>0</v>
      </c>
    </row>
    <row r="33" spans="1:9" ht="14.25">
      <c r="A33" s="43" t="str">
        <f>HLOOKUP(INDICE!$F$2,Nombres!$C$3:$D$636,54,FALSE)</f>
        <v>Activos financieros a coste amortizado</v>
      </c>
      <c r="B33" s="44">
        <v>81912.71188181</v>
      </c>
      <c r="C33" s="44">
        <v>82461.02327095998</v>
      </c>
      <c r="D33" s="44">
        <v>71974.52405491</v>
      </c>
      <c r="E33" s="45">
        <v>71030.88248484001</v>
      </c>
      <c r="F33" s="44">
        <v>68969.52906482</v>
      </c>
      <c r="G33" s="44">
        <v>0</v>
      </c>
      <c r="H33" s="44">
        <v>0</v>
      </c>
      <c r="I33" s="44">
        <v>0</v>
      </c>
    </row>
    <row r="34" spans="1:9" ht="14.25">
      <c r="A34" s="43" t="str">
        <f>HLOOKUP(INDICE!$F$2,Nombres!$C$3:$D$636,55,FALSE)</f>
        <v>    de los que préstamos y anticipos a la clientela</v>
      </c>
      <c r="B34" s="44">
        <v>69104.7624071</v>
      </c>
      <c r="C34" s="44">
        <v>69719.88077972001</v>
      </c>
      <c r="D34" s="44">
        <v>61780.859829170004</v>
      </c>
      <c r="E34" s="45">
        <v>59225.036179090006</v>
      </c>
      <c r="F34" s="44">
        <v>58026.6382368</v>
      </c>
      <c r="G34" s="44">
        <v>0</v>
      </c>
      <c r="H34" s="44">
        <v>0</v>
      </c>
      <c r="I34" s="44">
        <v>0</v>
      </c>
    </row>
    <row r="35" spans="1:9" ht="14.25">
      <c r="A35" s="43"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57.37874926</v>
      </c>
      <c r="C36" s="44">
        <v>55.06547653</v>
      </c>
      <c r="D36" s="44">
        <v>50.91730626000001</v>
      </c>
      <c r="E36" s="45">
        <v>49.57883355999999</v>
      </c>
      <c r="F36" s="44">
        <v>45.187679179999996</v>
      </c>
      <c r="G36" s="44">
        <v>0</v>
      </c>
      <c r="H36" s="44">
        <v>0</v>
      </c>
      <c r="I36" s="44">
        <v>0</v>
      </c>
    </row>
    <row r="37" spans="1:9" ht="14.25">
      <c r="A37" s="43" t="str">
        <f>HLOOKUP(INDICE!$F$2,Nombres!$C$3:$D$636,57,FALSE)</f>
        <v>Otros activos</v>
      </c>
      <c r="B37" s="58">
        <f>+B38-B36-B33-B32-B31-B35</f>
        <v>1783.1437149400035</v>
      </c>
      <c r="C37" s="58">
        <f aca="true" t="shared" si="5" ref="C37:I37">+C38-C36-C33-C32-C31-C35</f>
        <v>1553.6018510299955</v>
      </c>
      <c r="D37" s="58">
        <f t="shared" si="5"/>
        <v>1697.9949697099873</v>
      </c>
      <c r="E37" s="65">
        <f t="shared" si="5"/>
        <v>843.2144207100055</v>
      </c>
      <c r="F37" s="58">
        <f t="shared" si="5"/>
        <v>1214.7694588500372</v>
      </c>
      <c r="G37" s="58">
        <f t="shared" si="5"/>
        <v>0</v>
      </c>
      <c r="H37" s="58">
        <f t="shared" si="5"/>
        <v>0</v>
      </c>
      <c r="I37" s="58">
        <f t="shared" si="5"/>
        <v>0</v>
      </c>
    </row>
    <row r="38" spans="1:9" ht="14.25">
      <c r="A38" s="47" t="str">
        <f>HLOOKUP(INDICE!$F$2,Nombres!$C$3:$D$636,58,FALSE)</f>
        <v>Total activo / pasivo</v>
      </c>
      <c r="B38" s="47">
        <v>226288.81706241998</v>
      </c>
      <c r="C38" s="47">
        <v>209284.99554749997</v>
      </c>
      <c r="D38" s="47">
        <v>189321.31838992</v>
      </c>
      <c r="E38" s="71">
        <v>189631.82406029003</v>
      </c>
      <c r="F38" s="51">
        <v>180230.01272887006</v>
      </c>
      <c r="G38" s="51">
        <v>0</v>
      </c>
      <c r="H38" s="51">
        <v>0</v>
      </c>
      <c r="I38" s="51">
        <v>0</v>
      </c>
    </row>
    <row r="39" spans="1:9" ht="14.25">
      <c r="A39" s="43" t="str">
        <f>HLOOKUP(INDICE!$F$2,Nombres!$C$3:$D$636,59,FALSE)</f>
        <v>Pasivos financieros mantenidos para negociar y designados a valor razonable con cambios en resultados</v>
      </c>
      <c r="B39" s="58">
        <v>118600.52542145002</v>
      </c>
      <c r="C39" s="58">
        <v>108815.06801010002</v>
      </c>
      <c r="D39" s="58">
        <v>94676.88917559</v>
      </c>
      <c r="E39" s="65">
        <v>87507.82701787002</v>
      </c>
      <c r="F39" s="44">
        <v>83851.77844107001</v>
      </c>
      <c r="G39" s="44">
        <v>0</v>
      </c>
      <c r="H39" s="44">
        <v>0</v>
      </c>
      <c r="I39" s="44">
        <v>0</v>
      </c>
    </row>
    <row r="40" spans="1:9" ht="14.25">
      <c r="A40" s="43" t="str">
        <f>HLOOKUP(INDICE!$F$2,Nombres!$C$3:$D$636,60,FALSE)</f>
        <v>Depósitos de bancos centrales y entidades de crédito</v>
      </c>
      <c r="B40" s="58">
        <v>19470.529110820004</v>
      </c>
      <c r="C40" s="58">
        <v>15157.794969679999</v>
      </c>
      <c r="D40" s="58">
        <v>12186.52930124</v>
      </c>
      <c r="E40" s="65">
        <v>15957.88126212</v>
      </c>
      <c r="F40" s="44">
        <v>14230.34351329</v>
      </c>
      <c r="G40" s="44">
        <v>0</v>
      </c>
      <c r="H40" s="44">
        <v>0</v>
      </c>
      <c r="I40" s="44">
        <v>0</v>
      </c>
    </row>
    <row r="41" spans="1:9" ht="15.75" customHeight="1">
      <c r="A41" s="43" t="str">
        <f>HLOOKUP(INDICE!$F$2,Nombres!$C$3:$D$636,61,FALSE)</f>
        <v>Depósitos de la clientela</v>
      </c>
      <c r="B41" s="58">
        <v>37208.7609319</v>
      </c>
      <c r="C41" s="58">
        <v>39220.98264958</v>
      </c>
      <c r="D41" s="58">
        <v>39117.053663369996</v>
      </c>
      <c r="E41" s="65">
        <v>42966.24815662</v>
      </c>
      <c r="F41" s="44">
        <v>36489.330017750006</v>
      </c>
      <c r="G41" s="44">
        <v>0</v>
      </c>
      <c r="H41" s="44">
        <v>0</v>
      </c>
      <c r="I41" s="44">
        <v>0</v>
      </c>
    </row>
    <row r="42" spans="1:9" ht="14.25">
      <c r="A42" s="43" t="str">
        <f>HLOOKUP(INDICE!$F$2,Nombres!$C$3:$D$636,62,FALSE)</f>
        <v>Valores representativos de deuda emitidos</v>
      </c>
      <c r="B42" s="44">
        <v>2183.18460059</v>
      </c>
      <c r="C42" s="44">
        <v>1855.0227352500003</v>
      </c>
      <c r="D42" s="44">
        <v>1860.6350731300004</v>
      </c>
      <c r="E42" s="45">
        <v>2095.74526486</v>
      </c>
      <c r="F42" s="44">
        <v>2194.2447050700002</v>
      </c>
      <c r="G42" s="44">
        <v>0</v>
      </c>
      <c r="H42" s="44">
        <v>0</v>
      </c>
      <c r="I42" s="44">
        <v>0</v>
      </c>
    </row>
    <row r="43" spans="1:9" ht="14.25">
      <c r="A43" s="43" t="str">
        <f>HLOOKUP(INDICE!$F$2,Nombres!$C$3:$D$636,122,FALSE)</f>
        <v>Posiciones inter-áreas pasivo</v>
      </c>
      <c r="B43" s="44">
        <v>37212.50572775216</v>
      </c>
      <c r="C43" s="44">
        <v>32513.94116462047</v>
      </c>
      <c r="D43" s="44">
        <v>29813.05811604145</v>
      </c>
      <c r="E43" s="45">
        <v>30217.874870070056</v>
      </c>
      <c r="F43" s="44">
        <v>33168.557803337506</v>
      </c>
      <c r="G43" s="44">
        <v>0</v>
      </c>
      <c r="H43" s="44">
        <v>0</v>
      </c>
      <c r="I43" s="44">
        <v>0</v>
      </c>
    </row>
    <row r="44" spans="1:9" ht="14.25">
      <c r="A44" s="43" t="str">
        <f>HLOOKUP(INDICE!$F$2,Nombres!$C$3:$D$636,63,FALSE)</f>
        <v>Otros pasivos</v>
      </c>
      <c r="B44" s="44">
        <f>+B38-B39-B40-B41-B42-B45-B43</f>
        <v>1244.6830584392083</v>
      </c>
      <c r="C44" s="44">
        <f aca="true" t="shared" si="6" ref="C44:I44">+C38-C39-C40-C41-C42-C45-C43</f>
        <v>1463.6206609901892</v>
      </c>
      <c r="D44" s="44">
        <f t="shared" si="6"/>
        <v>2423.3467539589437</v>
      </c>
      <c r="E44" s="45">
        <f t="shared" si="6"/>
        <v>2120.51700278345</v>
      </c>
      <c r="F44" s="44">
        <f t="shared" si="6"/>
        <v>1579.2275179148855</v>
      </c>
      <c r="G44" s="44">
        <f t="shared" si="6"/>
        <v>0</v>
      </c>
      <c r="H44" s="44">
        <f t="shared" si="6"/>
        <v>0</v>
      </c>
      <c r="I44" s="44">
        <f t="shared" si="6"/>
        <v>0</v>
      </c>
    </row>
    <row r="45" spans="1:9" ht="14.25">
      <c r="A45" s="43" t="str">
        <f>HLOOKUP(INDICE!$F$2,Nombres!$C$3:$D$636,282,FALSE)</f>
        <v>Dotación de capital regulatorio</v>
      </c>
      <c r="B45" s="44">
        <v>10368.6282114686</v>
      </c>
      <c r="C45" s="44">
        <v>10258.5653572793</v>
      </c>
      <c r="D45" s="44">
        <v>9243.806306589602</v>
      </c>
      <c r="E45" s="45">
        <v>8765.7304859665</v>
      </c>
      <c r="F45" s="44">
        <v>8716.530730437651</v>
      </c>
      <c r="G45" s="44">
        <v>0</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Indicadores relevantes y de gestión</v>
      </c>
      <c r="B48" s="34"/>
      <c r="C48" s="34"/>
      <c r="D48" s="34"/>
      <c r="E48" s="34"/>
      <c r="F48" s="81"/>
      <c r="G48" s="81"/>
      <c r="H48" s="81"/>
      <c r="I48" s="81"/>
    </row>
    <row r="49" spans="1:9" ht="14.25">
      <c r="A49" s="35" t="str">
        <f>HLOOKUP(INDICE!$F$2,Nombres!$C$3:$D$636,32,FALSE)</f>
        <v>(Millones de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5" customHeight="1">
      <c r="A51" s="43" t="str">
        <f>HLOOKUP(INDICE!$F$2,Nombres!$C$3:$D$636,66,FALSE)</f>
        <v>Préstamos y anticipos a la clientela bruto (*)</v>
      </c>
      <c r="B51" s="44">
        <v>69740.22189575002</v>
      </c>
      <c r="C51" s="44">
        <v>70237.93752371</v>
      </c>
      <c r="D51" s="44">
        <v>61987.80026845001</v>
      </c>
      <c r="E51" s="45">
        <v>58782.968713500006</v>
      </c>
      <c r="F51" s="77">
        <v>58932.06356522001</v>
      </c>
      <c r="G51" s="77">
        <v>0</v>
      </c>
      <c r="H51" s="77">
        <v>0</v>
      </c>
      <c r="I51" s="77">
        <v>0</v>
      </c>
    </row>
    <row r="52" spans="1:9" ht="14.25">
      <c r="A52" s="43" t="str">
        <f>HLOOKUP(INDICE!$F$2,Nombres!$C$3:$D$636,67,FALSE)</f>
        <v>Depósitos de clientes en gestión (**)</v>
      </c>
      <c r="B52" s="44">
        <v>36885.178716439994</v>
      </c>
      <c r="C52" s="44">
        <v>39112.72839146</v>
      </c>
      <c r="D52" s="44">
        <v>38524.903283839994</v>
      </c>
      <c r="E52" s="45">
        <v>42313.35598713</v>
      </c>
      <c r="F52" s="44">
        <v>35881.371084340004</v>
      </c>
      <c r="G52" s="44">
        <v>0</v>
      </c>
      <c r="H52" s="44">
        <v>0</v>
      </c>
      <c r="I52" s="44">
        <v>0</v>
      </c>
    </row>
    <row r="53" spans="1:9" ht="14.25">
      <c r="A53" s="43" t="str">
        <f>HLOOKUP(INDICE!$F$2,Nombres!$C$3:$D$636,68,FALSE)</f>
        <v>Fondos de inversión</v>
      </c>
      <c r="B53" s="44">
        <v>593.74191791</v>
      </c>
      <c r="C53" s="44">
        <v>1241.6800483700001</v>
      </c>
      <c r="D53" s="44">
        <v>993.9543257399998</v>
      </c>
      <c r="E53" s="45">
        <v>948.6530913400001</v>
      </c>
      <c r="F53" s="44">
        <v>1004.22217181</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129.95471164</v>
      </c>
      <c r="C55" s="44">
        <v>155.2092641</v>
      </c>
      <c r="D55" s="44">
        <v>101.69233328</v>
      </c>
      <c r="E55" s="45">
        <v>80.88990516999999</v>
      </c>
      <c r="F55" s="44">
        <v>92.72548207999999</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316.0224095420118</v>
      </c>
      <c r="C64" s="41">
        <v>375.3110529940264</v>
      </c>
      <c r="D64" s="41">
        <v>364.1749889939105</v>
      </c>
      <c r="E64" s="42">
        <v>387.94961887451853</v>
      </c>
      <c r="F64" s="50">
        <v>381.29258699</v>
      </c>
      <c r="G64" s="50">
        <v>0</v>
      </c>
      <c r="H64" s="50">
        <v>0</v>
      </c>
      <c r="I64" s="50">
        <v>0</v>
      </c>
    </row>
    <row r="65" spans="1:9" ht="14.25">
      <c r="A65" s="43" t="str">
        <f>HLOOKUP(INDICE!$F$2,Nombres!$C$3:$D$636,34,FALSE)</f>
        <v>Comisiones netas</v>
      </c>
      <c r="B65" s="44">
        <v>166.6476068673044</v>
      </c>
      <c r="C65" s="44">
        <v>191.9519869538418</v>
      </c>
      <c r="D65" s="44">
        <v>194.02475363213975</v>
      </c>
      <c r="E65" s="45">
        <v>178.01059152157347</v>
      </c>
      <c r="F65" s="44">
        <v>192.20334071999997</v>
      </c>
      <c r="G65" s="44">
        <v>0</v>
      </c>
      <c r="H65" s="44">
        <v>0</v>
      </c>
      <c r="I65" s="44">
        <v>0</v>
      </c>
    </row>
    <row r="66" spans="1:9" ht="14.25">
      <c r="A66" s="43" t="str">
        <f>HLOOKUP(INDICE!$F$2,Nombres!$C$3:$D$636,35,FALSE)</f>
        <v>Resultados de operaciones financieras</v>
      </c>
      <c r="B66" s="44">
        <v>151.0933301579718</v>
      </c>
      <c r="C66" s="44">
        <v>208.9015456018223</v>
      </c>
      <c r="D66" s="44">
        <v>201.75830987196497</v>
      </c>
      <c r="E66" s="45">
        <v>151.75797638829306</v>
      </c>
      <c r="F66" s="44">
        <v>272.72820229999996</v>
      </c>
      <c r="G66" s="44">
        <v>0</v>
      </c>
      <c r="H66" s="44">
        <v>0</v>
      </c>
      <c r="I66" s="44">
        <v>0</v>
      </c>
    </row>
    <row r="67" spans="1:9" ht="14.25">
      <c r="A67" s="43" t="str">
        <f>HLOOKUP(INDICE!$F$2,Nombres!$C$3:$D$636,36,FALSE)</f>
        <v>Otros ingresos y cargas de explotación</v>
      </c>
      <c r="B67" s="44">
        <v>-9.849165059386952</v>
      </c>
      <c r="C67" s="44">
        <v>-9.528655661477663</v>
      </c>
      <c r="D67" s="44">
        <v>-8.24141609382267</v>
      </c>
      <c r="E67" s="45">
        <v>-9.197524819010903</v>
      </c>
      <c r="F67" s="44">
        <v>-10.777639520000001</v>
      </c>
      <c r="G67" s="44">
        <v>0</v>
      </c>
      <c r="H67" s="44">
        <v>0</v>
      </c>
      <c r="I67" s="44">
        <v>0</v>
      </c>
    </row>
    <row r="68" spans="1:9" ht="14.25">
      <c r="A68" s="41" t="str">
        <f>HLOOKUP(INDICE!$F$2,Nombres!$C$3:$D$636,37,FALSE)</f>
        <v>Margen bruto</v>
      </c>
      <c r="B68" s="41">
        <f>+SUM(B64:B67)</f>
        <v>623.914181507901</v>
      </c>
      <c r="C68" s="41">
        <f aca="true" t="shared" si="9" ref="C68:I68">+SUM(C64:C67)</f>
        <v>766.635929888213</v>
      </c>
      <c r="D68" s="41">
        <f t="shared" si="9"/>
        <v>751.7166364041925</v>
      </c>
      <c r="E68" s="42">
        <f t="shared" si="9"/>
        <v>708.5206619653741</v>
      </c>
      <c r="F68" s="50">
        <f t="shared" si="9"/>
        <v>835.44649049</v>
      </c>
      <c r="G68" s="50">
        <f t="shared" si="9"/>
        <v>0</v>
      </c>
      <c r="H68" s="50">
        <f t="shared" si="9"/>
        <v>0</v>
      </c>
      <c r="I68" s="50">
        <f t="shared" si="9"/>
        <v>0</v>
      </c>
    </row>
    <row r="69" spans="1:9" ht="14.25">
      <c r="A69" s="43" t="str">
        <f>HLOOKUP(INDICE!$F$2,Nombres!$C$3:$D$636,38,FALSE)</f>
        <v>Gastos de explotación</v>
      </c>
      <c r="B69" s="44">
        <v>-237.82961408562315</v>
      </c>
      <c r="C69" s="44">
        <v>-194.9312853425911</v>
      </c>
      <c r="D69" s="44">
        <v>-222.21666117844646</v>
      </c>
      <c r="E69" s="45">
        <v>-258.3851185548796</v>
      </c>
      <c r="F69" s="44">
        <v>-231.51141617000002</v>
      </c>
      <c r="G69" s="44">
        <v>0</v>
      </c>
      <c r="H69" s="44">
        <v>0</v>
      </c>
      <c r="I69" s="44">
        <v>0</v>
      </c>
    </row>
    <row r="70" spans="1:9" ht="14.25">
      <c r="A70" s="43" t="str">
        <f>HLOOKUP(INDICE!$F$2,Nombres!$C$3:$D$636,39,FALSE)</f>
        <v>  Gastos de administración</v>
      </c>
      <c r="B70" s="44">
        <v>-208.89880967701242</v>
      </c>
      <c r="C70" s="44">
        <v>-165.59804457823353</v>
      </c>
      <c r="D70" s="44">
        <v>-193.13092230021886</v>
      </c>
      <c r="E70" s="45">
        <v>-230.7324745133713</v>
      </c>
      <c r="F70" s="44">
        <v>-204.50501932</v>
      </c>
      <c r="G70" s="44">
        <v>0</v>
      </c>
      <c r="H70" s="44">
        <v>0</v>
      </c>
      <c r="I70" s="44">
        <v>0</v>
      </c>
    </row>
    <row r="71" spans="1:9" ht="14.25">
      <c r="A71" s="46" t="str">
        <f>HLOOKUP(INDICE!$F$2,Nombres!$C$3:$D$636,40,FALSE)</f>
        <v>  Gastos de personal</v>
      </c>
      <c r="B71" s="44">
        <v>-114.21525833935698</v>
      </c>
      <c r="C71" s="44">
        <v>-73.89974220677222</v>
      </c>
      <c r="D71" s="44">
        <v>-90.47080072084363</v>
      </c>
      <c r="E71" s="45">
        <v>-127.43988905873056</v>
      </c>
      <c r="F71" s="44">
        <v>-106.12042786999999</v>
      </c>
      <c r="G71" s="44">
        <v>0</v>
      </c>
      <c r="H71" s="44">
        <v>0</v>
      </c>
      <c r="I71" s="44">
        <v>0</v>
      </c>
    </row>
    <row r="72" spans="1:9" ht="14.25">
      <c r="A72" s="46" t="str">
        <f>HLOOKUP(INDICE!$F$2,Nombres!$C$3:$D$636,41,FALSE)</f>
        <v>  Otros gastos de administración</v>
      </c>
      <c r="B72" s="44">
        <v>-94.68355133765549</v>
      </c>
      <c r="C72" s="44">
        <v>-91.69830237146132</v>
      </c>
      <c r="D72" s="44">
        <v>-102.66012157937521</v>
      </c>
      <c r="E72" s="45">
        <v>-103.2925854546408</v>
      </c>
      <c r="F72" s="44">
        <v>-98.38459144999999</v>
      </c>
      <c r="G72" s="44">
        <v>0</v>
      </c>
      <c r="H72" s="44">
        <v>0</v>
      </c>
      <c r="I72" s="44">
        <v>0</v>
      </c>
    </row>
    <row r="73" spans="1:9" ht="14.25">
      <c r="A73" s="43" t="str">
        <f>HLOOKUP(INDICE!$F$2,Nombres!$C$3:$D$636,42,FALSE)</f>
        <v>  Amortización</v>
      </c>
      <c r="B73" s="44">
        <v>-28.930804408610683</v>
      </c>
      <c r="C73" s="44">
        <v>-29.333240764357576</v>
      </c>
      <c r="D73" s="44">
        <v>-29.085738878227637</v>
      </c>
      <c r="E73" s="45">
        <v>-27.652644041508275</v>
      </c>
      <c r="F73" s="44">
        <v>-27.006396849999998</v>
      </c>
      <c r="G73" s="44">
        <v>0</v>
      </c>
      <c r="H73" s="44">
        <v>0</v>
      </c>
      <c r="I73" s="44">
        <v>0</v>
      </c>
    </row>
    <row r="74" spans="1:9" ht="14.25">
      <c r="A74" s="41" t="str">
        <f>HLOOKUP(INDICE!$F$2,Nombres!$C$3:$D$636,43,FALSE)</f>
        <v>Margen neto</v>
      </c>
      <c r="B74" s="41">
        <f>+B68+B69</f>
        <v>386.0845674222779</v>
      </c>
      <c r="C74" s="41">
        <f aca="true" t="shared" si="10" ref="C74:I74">+C68+C69</f>
        <v>571.7046445456219</v>
      </c>
      <c r="D74" s="41">
        <f t="shared" si="10"/>
        <v>529.4999752257461</v>
      </c>
      <c r="E74" s="42">
        <f t="shared" si="10"/>
        <v>450.13554341049445</v>
      </c>
      <c r="F74" s="50">
        <f t="shared" si="10"/>
        <v>603.93507432</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-163.42586984389905</v>
      </c>
      <c r="C75" s="44">
        <v>-111.00748393506328</v>
      </c>
      <c r="D75" s="44">
        <v>-38.99465385928116</v>
      </c>
      <c r="E75" s="45">
        <v>-114.61744315502499</v>
      </c>
      <c r="F75" s="44">
        <v>-42.86934371000001</v>
      </c>
      <c r="G75" s="44">
        <v>0</v>
      </c>
      <c r="H75" s="44">
        <v>0</v>
      </c>
      <c r="I75" s="44">
        <v>0</v>
      </c>
    </row>
    <row r="76" spans="1:9" ht="14.25">
      <c r="A76" s="43" t="str">
        <f>HLOOKUP(INDICE!$F$2,Nombres!$C$3:$D$636,45,FALSE)</f>
        <v>Provisiones o reversión de provisiones y otros resultados</v>
      </c>
      <c r="B76" s="44">
        <v>7.846229733929218</v>
      </c>
      <c r="C76" s="44">
        <v>-23.62553734294868</v>
      </c>
      <c r="D76" s="44">
        <v>-27.29866328164143</v>
      </c>
      <c r="E76" s="45">
        <v>-10.980766078745999</v>
      </c>
      <c r="F76" s="44">
        <v>-22.13165421</v>
      </c>
      <c r="G76" s="44">
        <v>0</v>
      </c>
      <c r="H76" s="44">
        <v>0</v>
      </c>
      <c r="I76" s="44">
        <v>0</v>
      </c>
    </row>
    <row r="77" spans="1:9" ht="14.25">
      <c r="A77" s="41" t="str">
        <f>HLOOKUP(INDICE!$F$2,Nombres!$C$3:$D$636,46,FALSE)</f>
        <v>Resultado antes de impuestos</v>
      </c>
      <c r="B77" s="41">
        <f>+B74+B75+B76</f>
        <v>230.5049273123081</v>
      </c>
      <c r="C77" s="41">
        <f aca="true" t="shared" si="11" ref="C77:I77">+C74+C75+C76</f>
        <v>437.07162326760994</v>
      </c>
      <c r="D77" s="41">
        <f t="shared" si="11"/>
        <v>463.2066580848235</v>
      </c>
      <c r="E77" s="42">
        <f t="shared" si="11"/>
        <v>324.53733417672345</v>
      </c>
      <c r="F77" s="50">
        <f t="shared" si="11"/>
        <v>538.9340764</v>
      </c>
      <c r="G77" s="50">
        <f t="shared" si="11"/>
        <v>0</v>
      </c>
      <c r="H77" s="50">
        <f t="shared" si="11"/>
        <v>0</v>
      </c>
      <c r="I77" s="50">
        <f t="shared" si="11"/>
        <v>0</v>
      </c>
    </row>
    <row r="78" spans="1:9" ht="14.25">
      <c r="A78" s="43" t="str">
        <f>HLOOKUP(INDICE!$F$2,Nombres!$C$3:$D$636,47,FALSE)</f>
        <v>Impuesto sobre beneficios</v>
      </c>
      <c r="B78" s="44">
        <v>-57.946568649127876</v>
      </c>
      <c r="C78" s="44">
        <v>-123.75069962122288</v>
      </c>
      <c r="D78" s="44">
        <v>-123.10162588090054</v>
      </c>
      <c r="E78" s="45">
        <v>-77.11746643935263</v>
      </c>
      <c r="F78" s="44">
        <v>-138.08503040000002</v>
      </c>
      <c r="G78" s="44">
        <v>0</v>
      </c>
      <c r="H78" s="44">
        <v>0</v>
      </c>
      <c r="I78" s="44">
        <v>0</v>
      </c>
    </row>
    <row r="79" spans="1:9" ht="14.25">
      <c r="A79" s="41" t="str">
        <f>HLOOKUP(INDICE!$F$2,Nombres!$C$3:$D$636,48,FALSE)</f>
        <v>Resultado del ejercicio</v>
      </c>
      <c r="B79" s="41">
        <f>+B77+B78</f>
        <v>172.55835866318023</v>
      </c>
      <c r="C79" s="41">
        <f aca="true" t="shared" si="12" ref="C79:I79">+C77+C78</f>
        <v>313.3209236463871</v>
      </c>
      <c r="D79" s="41">
        <f t="shared" si="12"/>
        <v>340.105032203923</v>
      </c>
      <c r="E79" s="42">
        <f t="shared" si="12"/>
        <v>247.41986773737082</v>
      </c>
      <c r="F79" s="50">
        <f t="shared" si="12"/>
        <v>400.84904599999993</v>
      </c>
      <c r="G79" s="50">
        <f t="shared" si="12"/>
        <v>0</v>
      </c>
      <c r="H79" s="50">
        <f t="shared" si="12"/>
        <v>0</v>
      </c>
      <c r="I79" s="50">
        <f t="shared" si="12"/>
        <v>0</v>
      </c>
    </row>
    <row r="80" spans="1:9" ht="14.25">
      <c r="A80" s="43" t="str">
        <f>HLOOKUP(INDICE!$F$2,Nombres!$C$3:$D$636,49,FALSE)</f>
        <v>Minoritarios</v>
      </c>
      <c r="B80" s="44">
        <v>-21.289863729652513</v>
      </c>
      <c r="C80" s="44">
        <v>-51.91634961018508</v>
      </c>
      <c r="D80" s="44">
        <v>-75.68004705240816</v>
      </c>
      <c r="E80" s="45">
        <v>-53.637350982785215</v>
      </c>
      <c r="F80" s="44">
        <v>-77.8947217</v>
      </c>
      <c r="G80" s="44">
        <v>0</v>
      </c>
      <c r="H80" s="44">
        <v>0</v>
      </c>
      <c r="I80" s="44">
        <v>0</v>
      </c>
    </row>
    <row r="81" spans="1:9" ht="14.25">
      <c r="A81" s="47" t="str">
        <f>HLOOKUP(INDICE!$F$2,Nombres!$C$3:$D$636,50,FALSE)</f>
        <v>Resultado atribuido</v>
      </c>
      <c r="B81" s="47">
        <f>+B79+B80</f>
        <v>151.2684949335277</v>
      </c>
      <c r="C81" s="47">
        <f aca="true" t="shared" si="13" ref="C81:I81">+C79+C80</f>
        <v>261.404574036202</v>
      </c>
      <c r="D81" s="47">
        <f t="shared" si="13"/>
        <v>264.4249851515148</v>
      </c>
      <c r="E81" s="47">
        <f t="shared" si="13"/>
        <v>193.7825167545856</v>
      </c>
      <c r="F81" s="51">
        <f t="shared" si="13"/>
        <v>322.95432429999994</v>
      </c>
      <c r="G81" s="51">
        <f t="shared" si="13"/>
        <v>0</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5474.190006930373</v>
      </c>
      <c r="C87" s="44">
        <v>3953.985727161034</v>
      </c>
      <c r="D87" s="44">
        <v>5815.042058432711</v>
      </c>
      <c r="E87" s="45">
        <v>7763.106773813772</v>
      </c>
      <c r="F87" s="44">
        <v>4756.907981670004</v>
      </c>
      <c r="G87" s="44">
        <v>0</v>
      </c>
      <c r="H87" s="44">
        <v>0</v>
      </c>
      <c r="I87" s="44">
        <v>0</v>
      </c>
    </row>
    <row r="88" spans="1:9" ht="14.25">
      <c r="A88" s="43" t="str">
        <f>HLOOKUP(INDICE!$F$2,Nombres!$C$3:$D$636,53,FALSE)</f>
        <v>Activos financieros a valor razonable</v>
      </c>
      <c r="B88" s="58">
        <v>137144.6536219769</v>
      </c>
      <c r="C88" s="58">
        <v>121366.84541710465</v>
      </c>
      <c r="D88" s="58">
        <v>110628.21432639788</v>
      </c>
      <c r="E88" s="65">
        <v>110350.97694506525</v>
      </c>
      <c r="F88" s="44">
        <v>105243.61854435001</v>
      </c>
      <c r="G88" s="44">
        <v>0</v>
      </c>
      <c r="H88" s="44">
        <v>0</v>
      </c>
      <c r="I88" s="44">
        <v>0</v>
      </c>
    </row>
    <row r="89" spans="1:9" ht="14.25">
      <c r="A89" s="43" t="str">
        <f>HLOOKUP(INDICE!$F$2,Nombres!$C$3:$D$636,54,FALSE)</f>
        <v>Activos financieros a coste amortizado</v>
      </c>
      <c r="B89" s="44">
        <v>79388.4170272959</v>
      </c>
      <c r="C89" s="44">
        <v>80567.41741401303</v>
      </c>
      <c r="D89" s="44">
        <v>72262.58739744805</v>
      </c>
      <c r="E89" s="45">
        <v>70897.56034556645</v>
      </c>
      <c r="F89" s="44">
        <v>68969.52906482</v>
      </c>
      <c r="G89" s="44">
        <v>0</v>
      </c>
      <c r="H89" s="44">
        <v>0</v>
      </c>
      <c r="I89" s="44">
        <v>0</v>
      </c>
    </row>
    <row r="90" spans="1:9" ht="14.25">
      <c r="A90" s="43" t="str">
        <f>HLOOKUP(INDICE!$F$2,Nombres!$C$3:$D$636,55,FALSE)</f>
        <v>    de los que préstamos y anticipos a la clientela</v>
      </c>
      <c r="B90" s="44">
        <v>66487.21142574148</v>
      </c>
      <c r="C90" s="44">
        <v>67692.29328808704</v>
      </c>
      <c r="D90" s="44">
        <v>61976.57063385736</v>
      </c>
      <c r="E90" s="45">
        <v>59068.68838873863</v>
      </c>
      <c r="F90" s="44">
        <v>58026.6382368</v>
      </c>
      <c r="G90" s="44">
        <v>0</v>
      </c>
      <c r="H90" s="44">
        <v>0</v>
      </c>
      <c r="I90" s="44">
        <v>0</v>
      </c>
    </row>
    <row r="91" spans="1:9" ht="14.25">
      <c r="A91" s="43"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54.884364568066566</v>
      </c>
      <c r="C92" s="44">
        <v>53.55419637385702</v>
      </c>
      <c r="D92" s="44">
        <v>51.199208463964716</v>
      </c>
      <c r="E92" s="45">
        <v>49.753624694987124</v>
      </c>
      <c r="F92" s="44">
        <v>45.187679179999996</v>
      </c>
      <c r="G92" s="44">
        <v>0</v>
      </c>
      <c r="H92" s="44">
        <v>0</v>
      </c>
      <c r="I92" s="44">
        <v>0</v>
      </c>
    </row>
    <row r="93" spans="1:9" ht="14.25">
      <c r="A93" s="43" t="str">
        <f>HLOOKUP(INDICE!$F$2,Nombres!$C$3:$D$636,57,FALSE)</f>
        <v>Otros activos</v>
      </c>
      <c r="B93" s="58">
        <f>+B94-B92-B89-B88-B87-B91</f>
        <v>1299.8181608156965</v>
      </c>
      <c r="C93" s="58">
        <f aca="true" t="shared" si="15" ref="C93:I93">+C94-C92-C89-C88-C87-C91</f>
        <v>1309.7949726282427</v>
      </c>
      <c r="D93" s="58">
        <f t="shared" si="15"/>
        <v>1550.142197545687</v>
      </c>
      <c r="E93" s="65">
        <f t="shared" si="15"/>
        <v>831.492524816138</v>
      </c>
      <c r="F93" s="58">
        <f t="shared" si="15"/>
        <v>1214.7694588500372</v>
      </c>
      <c r="G93" s="58">
        <f t="shared" si="15"/>
        <v>0</v>
      </c>
      <c r="H93" s="58">
        <f t="shared" si="15"/>
        <v>0</v>
      </c>
      <c r="I93" s="58">
        <f t="shared" si="15"/>
        <v>0</v>
      </c>
    </row>
    <row r="94" spans="1:9" ht="14.25">
      <c r="A94" s="47" t="str">
        <f>HLOOKUP(INDICE!$F$2,Nombres!$C$3:$D$636,58,FALSE)</f>
        <v>Total activo / pasivo</v>
      </c>
      <c r="B94" s="47">
        <v>223361.96318158697</v>
      </c>
      <c r="C94" s="47">
        <v>207251.5977272808</v>
      </c>
      <c r="D94" s="47">
        <v>190307.1851882883</v>
      </c>
      <c r="E94" s="71">
        <v>189892.8902139566</v>
      </c>
      <c r="F94" s="51">
        <v>180230.01272887006</v>
      </c>
      <c r="G94" s="51">
        <v>0</v>
      </c>
      <c r="H94" s="51">
        <v>0</v>
      </c>
      <c r="I94" s="51">
        <v>0</v>
      </c>
    </row>
    <row r="95" spans="1:9" ht="14.25">
      <c r="A95" s="43" t="str">
        <f>HLOOKUP(INDICE!$F$2,Nombres!$C$3:$D$636,59,FALSE)</f>
        <v>Pasivos financieros mantenidos para negociar y designados a valor razonable con cambios en resultados</v>
      </c>
      <c r="B95" s="58">
        <v>119247.23255281734</v>
      </c>
      <c r="C95" s="58">
        <v>109558.15316577237</v>
      </c>
      <c r="D95" s="58">
        <v>95463.00862037165</v>
      </c>
      <c r="E95" s="65">
        <v>87718.42050259012</v>
      </c>
      <c r="F95" s="44">
        <v>83851.77844107001</v>
      </c>
      <c r="G95" s="44">
        <v>0</v>
      </c>
      <c r="H95" s="44">
        <v>0</v>
      </c>
      <c r="I95" s="44">
        <v>0</v>
      </c>
    </row>
    <row r="96" spans="1:9" ht="14.25">
      <c r="A96" s="43" t="str">
        <f>HLOOKUP(INDICE!$F$2,Nombres!$C$3:$D$636,60,FALSE)</f>
        <v>Depósitos de bancos centrales y entidades de crédito</v>
      </c>
      <c r="B96" s="58">
        <v>19407.55000129308</v>
      </c>
      <c r="C96" s="58">
        <v>15100.058365655135</v>
      </c>
      <c r="D96" s="58">
        <v>12207.213789756537</v>
      </c>
      <c r="E96" s="65">
        <v>15994.981697099513</v>
      </c>
      <c r="F96" s="44">
        <v>14230.34351329</v>
      </c>
      <c r="G96" s="44">
        <v>0</v>
      </c>
      <c r="H96" s="44">
        <v>0</v>
      </c>
      <c r="I96" s="44">
        <v>0</v>
      </c>
    </row>
    <row r="97" spans="1:9" ht="14.25">
      <c r="A97" s="43" t="str">
        <f>HLOOKUP(INDICE!$F$2,Nombres!$C$3:$D$636,61,FALSE)</f>
        <v>Depósitos de la clientela</v>
      </c>
      <c r="B97" s="58">
        <v>36054.59303510563</v>
      </c>
      <c r="C97" s="58">
        <v>38462.79167951543</v>
      </c>
      <c r="D97" s="58">
        <v>39500.92315560162</v>
      </c>
      <c r="E97" s="65">
        <v>43048.62199146905</v>
      </c>
      <c r="F97" s="44">
        <v>36489.330017750006</v>
      </c>
      <c r="G97" s="44">
        <v>0</v>
      </c>
      <c r="H97" s="44">
        <v>0</v>
      </c>
      <c r="I97" s="44">
        <v>0</v>
      </c>
    </row>
    <row r="98" spans="1:9" ht="14.25">
      <c r="A98" s="43" t="str">
        <f>HLOOKUP(INDICE!$F$2,Nombres!$C$3:$D$636,62,FALSE)</f>
        <v>Valores representativos de deuda emitidos</v>
      </c>
      <c r="B98" s="44">
        <v>2214.337305339259</v>
      </c>
      <c r="C98" s="44">
        <v>1822.7719864509754</v>
      </c>
      <c r="D98" s="44">
        <v>1861.181155017966</v>
      </c>
      <c r="E98" s="45">
        <v>2081.8724162860003</v>
      </c>
      <c r="F98" s="44">
        <v>2194.2447050700002</v>
      </c>
      <c r="G98" s="44">
        <v>0</v>
      </c>
      <c r="H98" s="44">
        <v>0</v>
      </c>
      <c r="I98" s="44">
        <v>0</v>
      </c>
    </row>
    <row r="99" spans="1:9" ht="14.25">
      <c r="A99" s="43" t="str">
        <f>HLOOKUP(INDICE!$F$2,Nombres!$C$3:$D$636,122,FALSE)</f>
        <v>Posiciones inter-áreas pasivo</v>
      </c>
      <c r="B99" s="44">
        <v>34907.094595200215</v>
      </c>
      <c r="C99" s="44">
        <v>30723.659721768017</v>
      </c>
      <c r="D99" s="44">
        <v>29513.684204353784</v>
      </c>
      <c r="E99" s="45">
        <v>30168.626782672138</v>
      </c>
      <c r="F99" s="44">
        <v>33168.557803337506</v>
      </c>
      <c r="G99" s="44">
        <v>0</v>
      </c>
      <c r="H99" s="44">
        <v>0</v>
      </c>
      <c r="I99" s="44">
        <v>0</v>
      </c>
    </row>
    <row r="100" spans="1:9" ht="14.25">
      <c r="A100" s="43" t="str">
        <f>HLOOKUP(INDICE!$F$2,Nombres!$C$3:$D$636,63,FALSE)</f>
        <v>Otros pasivos</v>
      </c>
      <c r="B100" s="44">
        <f>+B94-B95-B96-B97-B98-B101-B99</f>
        <v>1623.9997032065512</v>
      </c>
      <c r="C100" s="44">
        <f aca="true" t="shared" si="16" ref="C100:I100">+C94-C95-C96-C97-C98-C101-C99</f>
        <v>1685.9803940799975</v>
      </c>
      <c r="D100" s="44">
        <f t="shared" si="16"/>
        <v>2502.5243565349665</v>
      </c>
      <c r="E100" s="45">
        <f t="shared" si="16"/>
        <v>2161.984444516136</v>
      </c>
      <c r="F100" s="44">
        <f t="shared" si="16"/>
        <v>1579.2275179148855</v>
      </c>
      <c r="G100" s="44">
        <f t="shared" si="16"/>
        <v>0</v>
      </c>
      <c r="H100" s="44">
        <f t="shared" si="16"/>
        <v>0</v>
      </c>
      <c r="I100" s="44">
        <f t="shared" si="16"/>
        <v>0</v>
      </c>
    </row>
    <row r="101" spans="1:9" ht="14.25">
      <c r="A101" s="43" t="str">
        <f>HLOOKUP(INDICE!$F$2,Nombres!$C$3:$D$636,282,FALSE)</f>
        <v>Dotación de capital regulatorio</v>
      </c>
      <c r="B101" s="44">
        <v>9907.155988624887</v>
      </c>
      <c r="C101" s="44">
        <v>9898.182414038885</v>
      </c>
      <c r="D101" s="44">
        <v>9258.649906651788</v>
      </c>
      <c r="E101" s="45">
        <v>8718.382379323628</v>
      </c>
      <c r="F101" s="44">
        <v>8716.530730437651</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67011.84994154643</v>
      </c>
      <c r="C107" s="44">
        <v>68050.57634583038</v>
      </c>
      <c r="D107" s="44">
        <v>62081.7033145908</v>
      </c>
      <c r="E107" s="45">
        <v>58575.1647641383</v>
      </c>
      <c r="F107" s="44">
        <v>58932.06356522001</v>
      </c>
      <c r="G107" s="44">
        <v>0</v>
      </c>
      <c r="H107" s="44">
        <v>0</v>
      </c>
      <c r="I107" s="44">
        <v>0</v>
      </c>
    </row>
    <row r="108" spans="1:9" ht="14.25">
      <c r="A108" s="43" t="str">
        <f>HLOOKUP(INDICE!$F$2,Nombres!$C$3:$D$636,67,FALSE)</f>
        <v>Depósitos de clientes en gestión (**)</v>
      </c>
      <c r="B108" s="44">
        <v>35704.1361267802</v>
      </c>
      <c r="C108" s="44">
        <v>38349.20935651677</v>
      </c>
      <c r="D108" s="44">
        <v>38857.935836559525</v>
      </c>
      <c r="E108" s="45">
        <v>42396.746241895504</v>
      </c>
      <c r="F108" s="44">
        <v>35881.371084340004</v>
      </c>
      <c r="G108" s="44">
        <v>0</v>
      </c>
      <c r="H108" s="44">
        <v>0</v>
      </c>
      <c r="I108" s="44">
        <v>0</v>
      </c>
    </row>
    <row r="109" spans="1:9" ht="14.25">
      <c r="A109" s="43" t="str">
        <f>HLOOKUP(INDICE!$F$2,Nombres!$C$3:$D$636,68,FALSE)</f>
        <v>Fondos de inversión</v>
      </c>
      <c r="B109" s="44">
        <v>491.3867983664114</v>
      </c>
      <c r="C109" s="44">
        <v>1034.466360202482</v>
      </c>
      <c r="D109" s="44">
        <v>925.1696793289409</v>
      </c>
      <c r="E109" s="45">
        <v>922.4642888215518</v>
      </c>
      <c r="F109" s="44">
        <v>1004.22217181</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141.44555551661887</v>
      </c>
      <c r="C111" s="44">
        <v>167.4475803351634</v>
      </c>
      <c r="D111" s="44">
        <v>110.7162984901304</v>
      </c>
      <c r="E111" s="45">
        <v>82.11886292429827</v>
      </c>
      <c r="F111" s="44">
        <v>92.72548207999999</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9" spans="2:9" ht="14.25">
      <c r="B119" s="54"/>
      <c r="C119" s="54"/>
      <c r="D119" s="54"/>
      <c r="E119" s="54"/>
      <c r="F119" s="54"/>
      <c r="G119" s="54"/>
      <c r="H119" s="54"/>
      <c r="I119" s="54"/>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396</v>
      </c>
    </row>
  </sheetData>
  <sheetProtection/>
  <mergeCells count="6">
    <mergeCell ref="B6:E6"/>
    <mergeCell ref="B62:E62"/>
    <mergeCell ref="F6:I6"/>
    <mergeCell ref="F62:I62"/>
    <mergeCell ref="A2:I2"/>
    <mergeCell ref="A26:I26"/>
  </mergeCells>
  <conditionalFormatting sqref="B82:I82">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M17" sqref="M17"/>
    </sheetView>
  </sheetViews>
  <sheetFormatPr defaultColWidth="12.57421875" defaultRowHeight="15"/>
  <cols>
    <col min="1" max="1" width="40.7109375" style="97" customWidth="1"/>
    <col min="2" max="6" width="10.00390625" style="97" customWidth="1"/>
    <col min="7" max="9" width="10.00390625" style="97" hidden="1" customWidth="1"/>
    <col min="10" max="255" width="12.57421875" style="97" customWidth="1"/>
  </cols>
  <sheetData>
    <row r="1" spans="1:9" ht="16.5">
      <c r="A1" s="95" t="str">
        <f>HLOOKUP(INDICE!$F$2,Nombres!$C$3:$D$636,82,FALSE)</f>
        <v>Eficiencia (*)</v>
      </c>
      <c r="B1" s="96"/>
      <c r="C1" s="96"/>
      <c r="D1" s="96"/>
      <c r="E1" s="96"/>
      <c r="F1" s="96"/>
      <c r="G1" s="96"/>
      <c r="H1" s="96"/>
      <c r="I1" s="96"/>
    </row>
    <row r="2" spans="1:9" ht="14.25">
      <c r="A2" s="98" t="str">
        <f>HLOOKUP(INDICE!$F$2,Nombres!$C$3:$D$636,84,FALSE)</f>
        <v>(Porcentaje)</v>
      </c>
      <c r="B2" s="99"/>
      <c r="C2" s="99"/>
      <c r="D2" s="99"/>
      <c r="E2" s="99"/>
      <c r="F2" s="99"/>
      <c r="G2" s="99"/>
      <c r="H2" s="99"/>
      <c r="I2" s="99"/>
    </row>
    <row r="3" spans="1:9" ht="14.25">
      <c r="A3" s="100"/>
      <c r="B3" s="101">
        <f>+España!B30</f>
        <v>43921</v>
      </c>
      <c r="C3" s="101">
        <f>+España!C30</f>
        <v>44012</v>
      </c>
      <c r="D3" s="101">
        <f>+España!D30</f>
        <v>44104</v>
      </c>
      <c r="E3" s="101">
        <f>+España!E30</f>
        <v>44196</v>
      </c>
      <c r="F3" s="101">
        <f>+España!F30</f>
        <v>44286</v>
      </c>
      <c r="G3" s="101">
        <f>+España!G30</f>
        <v>44377</v>
      </c>
      <c r="H3" s="101">
        <f>+España!H30</f>
        <v>44469</v>
      </c>
      <c r="I3" s="101">
        <f>+España!I30</f>
        <v>44561</v>
      </c>
    </row>
    <row r="4" spans="1:9" ht="14.25">
      <c r="A4" s="99"/>
      <c r="B4" s="102"/>
      <c r="C4" s="102"/>
      <c r="D4" s="102"/>
      <c r="E4" s="103"/>
      <c r="F4" s="102"/>
      <c r="G4" s="102"/>
      <c r="H4" s="99"/>
      <c r="I4" s="99"/>
    </row>
    <row r="5" spans="1:255" ht="14.25">
      <c r="A5" s="104" t="str">
        <f>HLOOKUP(INDICE!$F$2,Nombres!$C$3:$D$636,276,FALSE)</f>
        <v>Grupo BBVA  (**)</v>
      </c>
      <c r="B5" s="105">
        <v>42.877916609719705</v>
      </c>
      <c r="C5" s="105">
        <v>43.79781835268254</v>
      </c>
      <c r="D5" s="105">
        <v>43.68327445457022</v>
      </c>
      <c r="E5" s="106">
        <v>45.063180401234895</v>
      </c>
      <c r="F5" s="249">
        <v>44.70282177732533</v>
      </c>
      <c r="G5" s="249">
        <v>0</v>
      </c>
      <c r="H5" s="249">
        <v>0</v>
      </c>
      <c r="I5" s="249">
        <v>0</v>
      </c>
      <c r="J5" s="108"/>
      <c r="K5" s="10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4.25">
      <c r="A6" s="99"/>
      <c r="B6" s="109"/>
      <c r="C6" s="109"/>
      <c r="D6" s="109"/>
      <c r="E6" s="110"/>
      <c r="F6" s="109"/>
      <c r="G6" s="109"/>
      <c r="H6" s="109"/>
      <c r="I6" s="109"/>
      <c r="J6" s="111"/>
      <c r="K6" s="111"/>
      <c r="L6" s="111"/>
    </row>
    <row r="7" spans="1:255" ht="14.25">
      <c r="A7" s="59" t="str">
        <f>HLOOKUP(INDICE!$F$2,Nombres!$C$3:$D$636,7,FALSE)</f>
        <v>España</v>
      </c>
      <c r="B7" s="112">
        <v>51.6208190875511</v>
      </c>
      <c r="C7" s="112">
        <v>52.700870622629346</v>
      </c>
      <c r="D7" s="112">
        <v>51.966629971940506</v>
      </c>
      <c r="E7" s="113">
        <v>54.590530353806685</v>
      </c>
      <c r="F7" s="114">
        <v>45.74427545537934</v>
      </c>
      <c r="G7" s="114">
        <v>0</v>
      </c>
      <c r="H7" s="114">
        <v>0</v>
      </c>
      <c r="I7" s="114">
        <v>0</v>
      </c>
      <c r="J7" s="108"/>
      <c r="K7" s="10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4.25">
      <c r="A8" s="99"/>
      <c r="B8" s="109"/>
      <c r="C8" s="109"/>
      <c r="D8" s="109"/>
      <c r="E8" s="110"/>
      <c r="F8" s="109"/>
      <c r="G8" s="109"/>
      <c r="H8" s="109"/>
      <c r="I8" s="109"/>
      <c r="J8" s="115"/>
      <c r="K8" s="111"/>
      <c r="L8" s="111"/>
    </row>
    <row r="9" spans="1:255" ht="14.25">
      <c r="A9" s="59" t="str">
        <f>HLOOKUP(INDICE!$F$2,Nombres!$C$3:$D$636,11,FALSE)</f>
        <v>México</v>
      </c>
      <c r="B9" s="112">
        <v>33.23742563601183</v>
      </c>
      <c r="C9" s="112">
        <v>33.83569758591643</v>
      </c>
      <c r="D9" s="112">
        <v>33.326516700260974</v>
      </c>
      <c r="E9" s="113">
        <v>33.37414884838819</v>
      </c>
      <c r="F9" s="114">
        <v>35.34380070673852</v>
      </c>
      <c r="G9" s="114">
        <v>0</v>
      </c>
      <c r="H9" s="114">
        <v>0</v>
      </c>
      <c r="I9" s="114">
        <v>0</v>
      </c>
      <c r="J9" s="115"/>
      <c r="K9" s="10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4.25">
      <c r="A10" s="99"/>
      <c r="B10" s="109"/>
      <c r="C10" s="109"/>
      <c r="D10" s="109"/>
      <c r="E10" s="110"/>
      <c r="F10" s="109"/>
      <c r="G10" s="109"/>
      <c r="H10" s="109"/>
      <c r="I10" s="109"/>
      <c r="J10" s="115"/>
      <c r="K10" s="111"/>
      <c r="L10" s="111"/>
    </row>
    <row r="11" spans="1:12" ht="14.25">
      <c r="A11" s="59" t="str">
        <f>HLOOKUP(INDICE!$F$2,Nombres!$C$3:$D$636,12,FALSE)</f>
        <v>Turquía </v>
      </c>
      <c r="B11" s="112">
        <v>28.873108173298164</v>
      </c>
      <c r="C11" s="112">
        <v>28.742199449363337</v>
      </c>
      <c r="D11" s="112">
        <v>27.62314239827984</v>
      </c>
      <c r="E11" s="113">
        <v>28.80963821216007</v>
      </c>
      <c r="F11" s="114">
        <v>31.767798882421243</v>
      </c>
      <c r="G11" s="114">
        <v>0</v>
      </c>
      <c r="H11" s="114">
        <v>0</v>
      </c>
      <c r="I11" s="114">
        <v>0</v>
      </c>
      <c r="J11" s="108"/>
      <c r="K11" s="111"/>
      <c r="L11" s="111"/>
    </row>
    <row r="12" spans="1:12" ht="14.25">
      <c r="A12" s="99"/>
      <c r="B12" s="109"/>
      <c r="C12" s="109"/>
      <c r="D12" s="109"/>
      <c r="E12" s="110"/>
      <c r="F12" s="109"/>
      <c r="G12" s="109"/>
      <c r="H12" s="109"/>
      <c r="I12" s="109"/>
      <c r="J12" s="111"/>
      <c r="K12" s="111"/>
      <c r="L12" s="111"/>
    </row>
    <row r="13" spans="1:255" ht="14.25">
      <c r="A13" s="59" t="str">
        <f>HLOOKUP(INDICE!$F$2,Nombres!$C$3:$D$636,13,FALSE)</f>
        <v>América del Sur </v>
      </c>
      <c r="B13" s="112">
        <v>45.16998086668612</v>
      </c>
      <c r="C13" s="112">
        <v>43.212821699392315</v>
      </c>
      <c r="D13" s="112">
        <v>42.765179207901255</v>
      </c>
      <c r="E13" s="113">
        <v>42.55464440923582</v>
      </c>
      <c r="F13" s="114">
        <v>47.208916874612655</v>
      </c>
      <c r="G13" s="114">
        <v>0</v>
      </c>
      <c r="H13" s="114">
        <v>0</v>
      </c>
      <c r="I13" s="114">
        <v>0</v>
      </c>
      <c r="J13" s="108"/>
      <c r="K13" s="108"/>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4.25">
      <c r="A14" s="99"/>
      <c r="B14" s="109"/>
      <c r="C14" s="109"/>
      <c r="D14" s="109"/>
      <c r="E14" s="110"/>
      <c r="F14" s="109"/>
      <c r="G14" s="109"/>
      <c r="H14" s="109"/>
      <c r="I14" s="109"/>
      <c r="J14" s="111"/>
      <c r="K14" s="111"/>
      <c r="L14" s="111"/>
    </row>
    <row r="15" spans="1:255" ht="14.25">
      <c r="A15" s="59" t="str">
        <f>HLOOKUP(INDICE!$F$2,Nombres!$C$3:$D$636,263,FALSE)</f>
        <v>Resto de Negocios</v>
      </c>
      <c r="B15" s="112">
        <v>59.19744366628841</v>
      </c>
      <c r="C15" s="112">
        <v>51.0606759577111</v>
      </c>
      <c r="D15" s="112">
        <v>52.474947071553736</v>
      </c>
      <c r="E15" s="113">
        <v>55.618256122538135</v>
      </c>
      <c r="F15" s="114">
        <v>52.64040589825534</v>
      </c>
      <c r="G15" s="114">
        <v>0</v>
      </c>
      <c r="H15" s="114">
        <v>0</v>
      </c>
      <c r="I15" s="114">
        <v>0</v>
      </c>
      <c r="K15" s="108"/>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4.25">
      <c r="A16" s="99"/>
      <c r="B16" s="116"/>
      <c r="C16" s="116"/>
      <c r="D16" s="116"/>
      <c r="E16" s="116"/>
      <c r="F16" s="116"/>
      <c r="G16" s="116"/>
      <c r="H16" s="99"/>
      <c r="I16" s="275"/>
      <c r="J16" s="111"/>
      <c r="K16" s="111"/>
      <c r="L16" s="111"/>
    </row>
    <row r="17" spans="1:10" ht="14.25">
      <c r="A17" s="117" t="str">
        <f>HLOOKUP(INDICE!$F$2,Nombres!$C$3:$D$636,83,FALSE)</f>
        <v>(*) Gastos de explotación / Margen bruto. Incluye amortizaciones</v>
      </c>
      <c r="B17" s="99"/>
      <c r="C17" s="99"/>
      <c r="D17" s="99"/>
      <c r="E17" s="99"/>
      <c r="F17" s="99"/>
      <c r="G17" s="99"/>
      <c r="H17" s="99"/>
      <c r="I17" s="275"/>
      <c r="J17" s="111"/>
    </row>
    <row r="18" spans="1:12" ht="14.25">
      <c r="A18" s="118"/>
      <c r="B18" s="118"/>
      <c r="C18" s="118"/>
      <c r="D18" s="118"/>
      <c r="E18" s="118"/>
      <c r="F18" s="118"/>
      <c r="G18" s="118"/>
      <c r="H18" s="118"/>
      <c r="I18" s="276"/>
      <c r="J18" s="111"/>
      <c r="K18" s="111"/>
      <c r="L18" s="111"/>
    </row>
    <row r="19" spans="1:12" ht="14.25">
      <c r="A19" s="117" t="str">
        <f>HLOOKUP(INDICE!$F$2,Nombres!$C$3:$D$636,277,FALSE)</f>
        <v>(**) Grupo BBVA no incluye el negocio vendido de EEUU vendido a PNC.</v>
      </c>
      <c r="B19" s="118"/>
      <c r="C19" s="118"/>
      <c r="D19" s="118"/>
      <c r="E19" s="118"/>
      <c r="F19" s="118"/>
      <c r="G19" s="118"/>
      <c r="H19" s="118"/>
      <c r="I19" s="118"/>
      <c r="K19" s="111"/>
      <c r="L19" s="111"/>
    </row>
    <row r="20" spans="11:12" ht="14.25">
      <c r="K20" s="111"/>
      <c r="L20" s="111"/>
    </row>
    <row r="998" ht="14.25">
      <c r="A998" s="97" t="s">
        <v>396</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N26" sqref="N26"/>
    </sheetView>
  </sheetViews>
  <sheetFormatPr defaultColWidth="12.57421875" defaultRowHeight="15"/>
  <cols>
    <col min="1" max="1" width="45.7109375" style="155" customWidth="1"/>
    <col min="2" max="6" width="10.8515625" style="97" customWidth="1" collapsed="1"/>
    <col min="7" max="7" width="10.8515625" style="97" hidden="1" customWidth="1"/>
    <col min="8" max="9" width="10.8515625" style="120" hidden="1" customWidth="1"/>
    <col min="10" max="11" width="9.57421875" style="120" customWidth="1"/>
    <col min="12" max="255" width="12.57421875" style="120" customWidth="1"/>
  </cols>
  <sheetData>
    <row r="1" spans="1:9" ht="19.5">
      <c r="A1" s="95" t="str">
        <f>HLOOKUP(INDICE!$F$2,Nombres!$C$3:$D$636,85,FALSE)</f>
        <v>Tasa de mora</v>
      </c>
      <c r="B1" s="119"/>
      <c r="C1" s="119"/>
      <c r="D1" s="119"/>
      <c r="E1" s="119"/>
      <c r="F1" s="119"/>
      <c r="G1" s="96"/>
      <c r="H1" s="96"/>
      <c r="I1" s="96"/>
    </row>
    <row r="2" spans="1:9" ht="14.25">
      <c r="A2" s="98" t="str">
        <f>HLOOKUP(INDICE!$F$2,Nombres!$C$3:$D$636,84,FALSE)</f>
        <v>(Porcentaje)</v>
      </c>
      <c r="B2" s="99"/>
      <c r="C2" s="99"/>
      <c r="D2" s="99"/>
      <c r="E2" s="99"/>
      <c r="F2" s="99"/>
      <c r="G2" s="99"/>
      <c r="H2" s="99"/>
      <c r="I2" s="99"/>
    </row>
    <row r="3" spans="1:9" ht="14.25">
      <c r="A3" s="99"/>
      <c r="B3" s="121">
        <f>+España!B$30</f>
        <v>43921</v>
      </c>
      <c r="C3" s="121">
        <f>+España!C$30</f>
        <v>44012</v>
      </c>
      <c r="D3" s="121">
        <f>+España!D$30</f>
        <v>44104</v>
      </c>
      <c r="E3" s="121">
        <f>+España!E$30</f>
        <v>44196</v>
      </c>
      <c r="F3" s="121">
        <f>+España!F$30</f>
        <v>44286</v>
      </c>
      <c r="G3" s="121">
        <f>+España!G$30</f>
        <v>44377</v>
      </c>
      <c r="H3" s="121">
        <f>+España!H$30</f>
        <v>44469</v>
      </c>
      <c r="I3" s="121">
        <f>+España!I$30</f>
        <v>44561</v>
      </c>
    </row>
    <row r="4" spans="1:9" ht="14.25">
      <c r="A4" s="99"/>
      <c r="B4" s="102"/>
      <c r="C4" s="102"/>
      <c r="D4" s="99"/>
      <c r="E4" s="122"/>
      <c r="F4" s="102"/>
      <c r="G4" s="102"/>
      <c r="H4" s="99"/>
      <c r="I4" s="99"/>
    </row>
    <row r="5" spans="1:255" ht="14.25">
      <c r="A5" s="104" t="str">
        <f>HLOOKUP(INDICE!$F$2,Nombres!$C$3:$D$636,275,FALSE)</f>
        <v>Grupo BBVA  (*)</v>
      </c>
      <c r="B5" s="105">
        <v>4.027384466899061</v>
      </c>
      <c r="C5" s="105">
        <v>4.057535133908675</v>
      </c>
      <c r="D5" s="105">
        <v>4.109722415375619</v>
      </c>
      <c r="E5" s="106">
        <v>4.21152541296873</v>
      </c>
      <c r="F5" s="105">
        <v>4.27422612423203</v>
      </c>
      <c r="G5" s="107">
        <v>0</v>
      </c>
      <c r="H5" s="107">
        <v>0</v>
      </c>
      <c r="I5" s="107">
        <v>0</v>
      </c>
      <c r="J5" s="123"/>
      <c r="K5" s="12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 r="A6" s="99"/>
      <c r="B6" s="109"/>
      <c r="C6" s="109"/>
      <c r="D6" s="109"/>
      <c r="E6" s="110"/>
      <c r="F6" s="109"/>
      <c r="G6" s="109"/>
      <c r="H6" s="109"/>
      <c r="I6" s="109"/>
      <c r="J6" s="123"/>
      <c r="K6" s="124"/>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row>
    <row r="7" spans="1:255" ht="14.25">
      <c r="A7" s="59" t="str">
        <f>HLOOKUP(INDICE!$F$2,Nombres!$C$3:$D$636,7,FALSE)</f>
        <v>España</v>
      </c>
      <c r="B7" s="112">
        <v>4.305978274517319</v>
      </c>
      <c r="C7" s="112">
        <v>4.263709627851182</v>
      </c>
      <c r="D7" s="112">
        <v>4.324728623012037</v>
      </c>
      <c r="E7" s="113">
        <v>4.27353108665122</v>
      </c>
      <c r="F7" s="112">
        <v>4.380626628172922</v>
      </c>
      <c r="G7" s="114">
        <v>0</v>
      </c>
      <c r="H7" s="114">
        <v>0</v>
      </c>
      <c r="I7" s="114">
        <v>0</v>
      </c>
      <c r="J7" s="123"/>
      <c r="K7" s="12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4.25">
      <c r="A8" s="99"/>
      <c r="B8" s="109"/>
      <c r="C8" s="109"/>
      <c r="D8" s="109"/>
      <c r="E8" s="110"/>
      <c r="F8" s="109"/>
      <c r="G8" s="109"/>
      <c r="H8" s="109"/>
      <c r="I8" s="109"/>
      <c r="J8" s="123"/>
      <c r="K8" s="126"/>
    </row>
    <row r="9" spans="1:255" ht="14.25">
      <c r="A9" s="59" t="str">
        <f>HLOOKUP(INDICE!$F$2,Nombres!$C$3:$D$636,11,FALSE)</f>
        <v>México</v>
      </c>
      <c r="B9" s="112">
        <v>2.281269629812707</v>
      </c>
      <c r="C9" s="112">
        <v>2.2208094687273987</v>
      </c>
      <c r="D9" s="112">
        <v>2.29237538034257</v>
      </c>
      <c r="E9" s="113">
        <v>3.3308570031607116</v>
      </c>
      <c r="F9" s="112">
        <v>2.958559833273872</v>
      </c>
      <c r="G9" s="114">
        <v>0</v>
      </c>
      <c r="H9" s="114">
        <v>0</v>
      </c>
      <c r="I9" s="114">
        <v>0</v>
      </c>
      <c r="J9" s="12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4.25">
      <c r="A10" s="99"/>
      <c r="B10" s="109"/>
      <c r="C10" s="109"/>
      <c r="D10" s="109"/>
      <c r="E10" s="110"/>
      <c r="F10" s="109"/>
      <c r="G10" s="109"/>
      <c r="H10" s="109"/>
      <c r="I10" s="109"/>
      <c r="J10" s="123"/>
      <c r="K10" s="126"/>
    </row>
    <row r="11" spans="1:11" ht="14.25">
      <c r="A11" s="59" t="str">
        <f>HLOOKUP(INDICE!$F$2,Nombres!$C$3:$D$636,12,FALSE)</f>
        <v>Turquía </v>
      </c>
      <c r="B11" s="112">
        <v>6.736531074635012</v>
      </c>
      <c r="C11" s="112">
        <v>7.019466719362834</v>
      </c>
      <c r="D11" s="112">
        <v>7.11405458809955</v>
      </c>
      <c r="E11" s="113">
        <v>6.57533724248832</v>
      </c>
      <c r="F11" s="112">
        <v>6.8811670507497285</v>
      </c>
      <c r="G11" s="114">
        <v>0</v>
      </c>
      <c r="H11" s="114">
        <v>0</v>
      </c>
      <c r="I11" s="114">
        <v>0</v>
      </c>
      <c r="J11" s="123"/>
      <c r="K11" s="126"/>
    </row>
    <row r="12" spans="1:11" ht="14.25">
      <c r="A12" s="99"/>
      <c r="B12" s="109"/>
      <c r="C12" s="109"/>
      <c r="D12" s="109"/>
      <c r="E12" s="110"/>
      <c r="F12" s="109"/>
      <c r="G12" s="109"/>
      <c r="H12" s="109"/>
      <c r="I12" s="109"/>
      <c r="J12" s="123"/>
      <c r="K12" s="126"/>
    </row>
    <row r="13" spans="1:255" ht="14.25">
      <c r="A13" s="59" t="str">
        <f>HLOOKUP(INDICE!$F$2,Nombres!$C$3:$D$636,13,FALSE)</f>
        <v>América del Sur </v>
      </c>
      <c r="B13" s="112">
        <v>4.4385311534910175</v>
      </c>
      <c r="C13" s="112">
        <v>4.504578134978346</v>
      </c>
      <c r="D13" s="112">
        <v>4.345264892563691</v>
      </c>
      <c r="E13" s="113">
        <v>4.395882249201049</v>
      </c>
      <c r="F13" s="112">
        <v>4.611002342353146</v>
      </c>
      <c r="G13" s="114">
        <v>0</v>
      </c>
      <c r="H13" s="114">
        <v>0</v>
      </c>
      <c r="I13" s="114">
        <v>0</v>
      </c>
      <c r="J13" s="1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4.25">
      <c r="A14" s="99"/>
      <c r="B14" s="127"/>
      <c r="C14" s="127"/>
      <c r="D14" s="127"/>
      <c r="E14" s="128"/>
      <c r="F14" s="127"/>
      <c r="G14" s="245"/>
      <c r="H14" s="245"/>
      <c r="I14" s="245"/>
      <c r="J14" s="123"/>
      <c r="K14" s="126"/>
    </row>
    <row r="15" spans="1:255" ht="14.25">
      <c r="A15" s="59" t="str">
        <f>HLOOKUP(INDICE!$F$2,Nombres!$C$3:$D$636,263,FALSE)</f>
        <v>Resto de Negocios</v>
      </c>
      <c r="B15" s="112">
        <v>0.7371828103628951</v>
      </c>
      <c r="C15" s="112">
        <v>0.6940395279426634</v>
      </c>
      <c r="D15" s="112">
        <v>0.7968466290593523</v>
      </c>
      <c r="E15" s="113">
        <v>0.9784849944731981</v>
      </c>
      <c r="F15" s="112">
        <v>0.9917517177383175</v>
      </c>
      <c r="G15" s="114">
        <v>0</v>
      </c>
      <c r="H15" s="114">
        <v>0</v>
      </c>
      <c r="I15" s="114">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 r="A16" s="129"/>
      <c r="B16" s="127"/>
      <c r="C16" s="127"/>
      <c r="D16" s="130"/>
      <c r="E16" s="130"/>
      <c r="F16" s="127"/>
      <c r="G16" s="127"/>
      <c r="H16" s="130"/>
      <c r="I16" s="130"/>
      <c r="J16" s="126"/>
      <c r="K16" s="126"/>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row>
    <row r="17" spans="1:10" ht="14.25">
      <c r="A17" s="99"/>
      <c r="B17" s="127"/>
      <c r="C17" s="127"/>
      <c r="D17" s="130"/>
      <c r="E17" s="130"/>
      <c r="F17" s="127"/>
      <c r="G17" s="127"/>
      <c r="H17" s="130"/>
      <c r="I17" s="130"/>
      <c r="J17" s="126"/>
    </row>
    <row r="18" spans="1:255" ht="16.5">
      <c r="A18" s="95" t="str">
        <f>HLOOKUP(INDICE!$F$2,Nombres!$C$3:$D$636,86,FALSE)</f>
        <v>Tasa de cobertura</v>
      </c>
      <c r="B18" s="131"/>
      <c r="C18" s="131"/>
      <c r="D18" s="132"/>
      <c r="E18" s="132"/>
      <c r="F18" s="131"/>
      <c r="G18" s="131"/>
      <c r="H18" s="132"/>
      <c r="I18" s="132"/>
      <c r="J18" s="126"/>
      <c r="K18" s="126"/>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c r="IR18" s="125"/>
      <c r="IS18" s="125"/>
      <c r="IT18" s="125"/>
      <c r="IU18" s="125"/>
    </row>
    <row r="19" spans="1:11" ht="14.25">
      <c r="A19" s="98" t="str">
        <f>HLOOKUP(INDICE!$F$2,Nombres!$C$3:$D$636,84,FALSE)</f>
        <v>(Porcentaje)</v>
      </c>
      <c r="B19" s="116"/>
      <c r="C19" s="116"/>
      <c r="D19" s="130"/>
      <c r="E19" s="130"/>
      <c r="F19" s="116"/>
      <c r="G19" s="116"/>
      <c r="H19" s="130"/>
      <c r="I19" s="130"/>
      <c r="J19" s="126"/>
      <c r="K19" s="126"/>
    </row>
    <row r="20" spans="1:255" ht="14.25">
      <c r="A20" s="99"/>
      <c r="B20" s="121">
        <f>+B$3</f>
        <v>43921</v>
      </c>
      <c r="C20" s="121">
        <f aca="true" t="shared" si="0" ref="C20:I20">+C$3</f>
        <v>44012</v>
      </c>
      <c r="D20" s="121">
        <f t="shared" si="0"/>
        <v>44104</v>
      </c>
      <c r="E20" s="121">
        <f t="shared" si="0"/>
        <v>44196</v>
      </c>
      <c r="F20" s="121">
        <f t="shared" si="0"/>
        <v>44286</v>
      </c>
      <c r="G20" s="121">
        <f t="shared" si="0"/>
        <v>44377</v>
      </c>
      <c r="H20" s="121">
        <f t="shared" si="0"/>
        <v>44469</v>
      </c>
      <c r="I20" s="121">
        <f t="shared" si="0"/>
        <v>44561</v>
      </c>
      <c r="J20" s="126"/>
      <c r="K20" s="126"/>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row>
    <row r="21" spans="1:11" ht="14.25">
      <c r="A21" s="99"/>
      <c r="B21" s="134"/>
      <c r="C21" s="134"/>
      <c r="D21" s="130"/>
      <c r="E21" s="130"/>
      <c r="F21" s="134"/>
      <c r="G21" s="134"/>
      <c r="H21" s="130"/>
      <c r="I21" s="130"/>
      <c r="J21" s="126"/>
      <c r="K21" s="126"/>
    </row>
    <row r="22" spans="1:11" ht="14.25">
      <c r="A22" s="104" t="str">
        <f>HLOOKUP(INDICE!$F$2,Nombres!$C$3:$D$636,275,FALSE)</f>
        <v>Grupo BBVA  (*)</v>
      </c>
      <c r="B22" s="135">
        <v>83.19304982808094</v>
      </c>
      <c r="C22" s="135">
        <v>83.0934249953214</v>
      </c>
      <c r="D22" s="135">
        <v>84.8394198158109</v>
      </c>
      <c r="E22" s="136">
        <v>81.51683735326954</v>
      </c>
      <c r="F22" s="135">
        <v>80.77851569113308</v>
      </c>
      <c r="G22" s="246">
        <v>0</v>
      </c>
      <c r="H22" s="246">
        <v>0</v>
      </c>
      <c r="I22" s="246">
        <v>0</v>
      </c>
      <c r="J22" s="137"/>
      <c r="K22" s="126"/>
    </row>
    <row r="23" spans="1:11" ht="14.25">
      <c r="A23" s="99"/>
      <c r="B23" s="138"/>
      <c r="C23" s="138"/>
      <c r="D23" s="138"/>
      <c r="E23" s="139"/>
      <c r="F23" s="138"/>
      <c r="G23" s="138"/>
      <c r="H23" s="138"/>
      <c r="I23" s="138"/>
      <c r="J23" s="137"/>
      <c r="K23" s="126"/>
    </row>
    <row r="24" spans="1:255" ht="14.25">
      <c r="A24" s="59" t="str">
        <f>HLOOKUP(INDICE!$F$2,Nombres!$C$3:$D$636,7,FALSE)</f>
        <v>España</v>
      </c>
      <c r="B24" s="140">
        <v>66.13243939724384</v>
      </c>
      <c r="C24" s="140">
        <v>65.65056768167248</v>
      </c>
      <c r="D24" s="140">
        <v>67.58018072748976</v>
      </c>
      <c r="E24" s="141">
        <v>66.7790986133544</v>
      </c>
      <c r="F24" s="140">
        <v>66.38499260905732</v>
      </c>
      <c r="G24" s="247">
        <v>0</v>
      </c>
      <c r="H24" s="247">
        <v>0</v>
      </c>
      <c r="I24" s="247">
        <v>0</v>
      </c>
      <c r="J24" s="13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 r="A25" s="99"/>
      <c r="B25" s="138"/>
      <c r="C25" s="138"/>
      <c r="D25" s="138"/>
      <c r="E25" s="139"/>
      <c r="F25" s="138"/>
      <c r="G25" s="138"/>
      <c r="H25" s="138"/>
      <c r="I25" s="138"/>
      <c r="J25" s="137"/>
      <c r="K25" s="126"/>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row>
    <row r="26" spans="1:255" ht="14.25">
      <c r="A26" s="59" t="str">
        <f>HLOOKUP(INDICE!$F$2,Nombres!$C$3:$D$636,11,FALSE)</f>
        <v>México</v>
      </c>
      <c r="B26" s="140">
        <v>155.1299650820022</v>
      </c>
      <c r="C26" s="140">
        <v>165.45673791558647</v>
      </c>
      <c r="D26" s="140">
        <v>170.20065910476924</v>
      </c>
      <c r="E26" s="141">
        <v>122.10358091012534</v>
      </c>
      <c r="F26" s="140">
        <v>128.89708113150996</v>
      </c>
      <c r="G26" s="247">
        <v>0</v>
      </c>
      <c r="H26" s="247">
        <v>0</v>
      </c>
      <c r="I26" s="247">
        <v>0</v>
      </c>
      <c r="J26" s="137"/>
      <c r="K26" s="142"/>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1" ht="14.25">
      <c r="A27" s="99"/>
      <c r="B27" s="138"/>
      <c r="C27" s="138"/>
      <c r="D27" s="138"/>
      <c r="E27" s="139"/>
      <c r="F27" s="138"/>
      <c r="G27" s="138"/>
      <c r="H27" s="138"/>
      <c r="I27" s="138"/>
      <c r="J27" s="137"/>
      <c r="K27" s="126"/>
    </row>
    <row r="28" spans="1:255" ht="14.25">
      <c r="A28" s="59" t="str">
        <f>HLOOKUP(INDICE!$F$2,Nombres!$C$3:$D$636,12,FALSE)</f>
        <v>Turquía </v>
      </c>
      <c r="B28" s="140">
        <v>86.33491378867349</v>
      </c>
      <c r="C28" s="140">
        <v>81.90898276777581</v>
      </c>
      <c r="D28" s="140">
        <v>81.90746572086384</v>
      </c>
      <c r="E28" s="141">
        <v>79.8690877197722</v>
      </c>
      <c r="F28" s="140">
        <v>78.01133138864287</v>
      </c>
      <c r="G28" s="247">
        <v>0</v>
      </c>
      <c r="H28" s="247">
        <v>0</v>
      </c>
      <c r="I28" s="247">
        <v>0</v>
      </c>
      <c r="J28" s="13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4.25">
      <c r="A29" s="99"/>
      <c r="B29" s="138"/>
      <c r="C29" s="138"/>
      <c r="D29" s="138"/>
      <c r="E29" s="139"/>
      <c r="F29" s="138"/>
      <c r="G29" s="138"/>
      <c r="H29" s="138"/>
      <c r="I29" s="138"/>
      <c r="J29" s="137"/>
      <c r="K29" s="126"/>
    </row>
    <row r="30" spans="1:255" ht="14.25">
      <c r="A30" s="59" t="str">
        <f>HLOOKUP(INDICE!$F$2,Nombres!$C$3:$D$636,13,FALSE)</f>
        <v>América del Sur </v>
      </c>
      <c r="B30" s="140">
        <v>104.35242601463545</v>
      </c>
      <c r="C30" s="140">
        <v>107.87035050497826</v>
      </c>
      <c r="D30" s="140">
        <v>109.91333998259583</v>
      </c>
      <c r="E30" s="141">
        <v>110.0138447756332</v>
      </c>
      <c r="F30" s="140">
        <v>109.14212896783424</v>
      </c>
      <c r="G30" s="247">
        <v>0</v>
      </c>
      <c r="H30" s="247">
        <v>0</v>
      </c>
      <c r="I30" s="247">
        <v>0</v>
      </c>
      <c r="J30" s="13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 r="A31" s="99"/>
      <c r="B31" s="143"/>
      <c r="C31" s="143"/>
      <c r="D31" s="143"/>
      <c r="E31" s="144"/>
      <c r="F31" s="143"/>
      <c r="G31" s="248"/>
      <c r="H31" s="248"/>
      <c r="I31" s="248"/>
      <c r="J31" s="13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 r="A32" s="59" t="str">
        <f>HLOOKUP(INDICE!$F$2,Nombres!$C$3:$D$636,263,FALSE)</f>
        <v>Resto de Negocios</v>
      </c>
      <c r="B32" s="140">
        <v>116.5030995973073</v>
      </c>
      <c r="C32" s="140">
        <v>131.00867806712165</v>
      </c>
      <c r="D32" s="140">
        <v>134.7514168583698</v>
      </c>
      <c r="E32" s="141">
        <v>109.23465203812883</v>
      </c>
      <c r="F32" s="140">
        <v>100.59539002076502</v>
      </c>
      <c r="G32" s="247">
        <v>0</v>
      </c>
      <c r="H32" s="247">
        <v>0</v>
      </c>
      <c r="I32" s="247">
        <v>0</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1" ht="14.25">
      <c r="A33" s="129"/>
      <c r="B33" s="145"/>
      <c r="C33" s="145"/>
      <c r="D33" s="130"/>
      <c r="E33" s="130"/>
      <c r="F33" s="145"/>
      <c r="G33" s="145"/>
      <c r="H33" s="130"/>
      <c r="I33" s="130"/>
      <c r="J33" s="126"/>
      <c r="K33" s="126"/>
    </row>
    <row r="34" spans="1:255" ht="14.25">
      <c r="A34" s="99"/>
      <c r="B34" s="145"/>
      <c r="C34" s="145"/>
      <c r="D34" s="130"/>
      <c r="E34" s="130"/>
      <c r="F34" s="145"/>
      <c r="G34" s="145"/>
      <c r="H34" s="130"/>
      <c r="I34" s="130"/>
      <c r="J34" s="126"/>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6.5">
      <c r="A35" s="95" t="str">
        <f>HLOOKUP(INDICE!$F$2,Nombres!$C$3:$D$636,87,FALSE)</f>
        <v>Coste del riesgo acumulado</v>
      </c>
      <c r="B35" s="131"/>
      <c r="C35" s="131"/>
      <c r="D35" s="132"/>
      <c r="E35" s="132"/>
      <c r="F35" s="131"/>
      <c r="G35" s="131"/>
      <c r="H35" s="132"/>
      <c r="I35" s="132"/>
      <c r="J35" s="126"/>
      <c r="K35" s="126"/>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row>
    <row r="36" spans="1:10" ht="14.25">
      <c r="A36" s="98" t="str">
        <f>HLOOKUP(INDICE!$F$2,Nombres!$C$3:$D$636,84,FALSE)</f>
        <v>(Porcentaje)</v>
      </c>
      <c r="B36" s="145"/>
      <c r="C36" s="145"/>
      <c r="D36" s="130"/>
      <c r="E36" s="130"/>
      <c r="F36" s="145"/>
      <c r="G36" s="145"/>
      <c r="H36" s="130"/>
      <c r="I36" s="130"/>
      <c r="J36" s="126"/>
    </row>
    <row r="37" spans="1:255" ht="14.25">
      <c r="A37" s="99"/>
      <c r="B37" s="121">
        <f>+B$3</f>
        <v>43921</v>
      </c>
      <c r="C37" s="121">
        <f aca="true" t="shared" si="1" ref="C37:I37">+C$3</f>
        <v>44012</v>
      </c>
      <c r="D37" s="121">
        <f t="shared" si="1"/>
        <v>44104</v>
      </c>
      <c r="E37" s="121">
        <f t="shared" si="1"/>
        <v>44196</v>
      </c>
      <c r="F37" s="121">
        <f t="shared" si="1"/>
        <v>44286</v>
      </c>
      <c r="G37" s="121">
        <f t="shared" si="1"/>
        <v>44377</v>
      </c>
      <c r="H37" s="121">
        <f t="shared" si="1"/>
        <v>44469</v>
      </c>
      <c r="I37" s="121">
        <f t="shared" si="1"/>
        <v>44561</v>
      </c>
      <c r="J37" s="126"/>
      <c r="K37" s="126"/>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row>
    <row r="38" spans="1:11" ht="14.25">
      <c r="A38" s="99"/>
      <c r="B38" s="134"/>
      <c r="C38" s="134"/>
      <c r="D38" s="130"/>
      <c r="E38" s="130"/>
      <c r="F38" s="134"/>
      <c r="G38" s="134"/>
      <c r="H38" s="130"/>
      <c r="I38" s="130"/>
      <c r="J38" s="126"/>
      <c r="K38" s="126"/>
    </row>
    <row r="39" spans="1:11" ht="14.25">
      <c r="A39" s="104" t="str">
        <f>HLOOKUP(INDICE!$F$2,Nombres!$C$3:$D$636,275,FALSE)</f>
        <v>Grupo BBVA  (*)</v>
      </c>
      <c r="B39" s="146">
        <v>2.5366549638142297</v>
      </c>
      <c r="C39" s="146">
        <v>2.0669134054761957</v>
      </c>
      <c r="D39" s="146">
        <v>1.6753055251693454</v>
      </c>
      <c r="E39" s="147">
        <v>1.5537125113935448</v>
      </c>
      <c r="F39" s="146">
        <v>1.1730906180693499</v>
      </c>
      <c r="G39" s="146">
        <v>0</v>
      </c>
      <c r="H39" s="249">
        <v>0</v>
      </c>
      <c r="I39" s="249">
        <v>0</v>
      </c>
      <c r="J39" s="108"/>
      <c r="K39" s="126"/>
    </row>
    <row r="40" spans="1:11" ht="14.25">
      <c r="A40" s="99"/>
      <c r="B40" s="148"/>
      <c r="C40" s="148"/>
      <c r="D40" s="148"/>
      <c r="E40" s="149"/>
      <c r="F40" s="148"/>
      <c r="G40" s="148"/>
      <c r="H40" s="148"/>
      <c r="I40" s="148"/>
      <c r="J40" s="126"/>
      <c r="K40" s="126"/>
    </row>
    <row r="41" spans="1:11" ht="14.25">
      <c r="A41" s="59" t="str">
        <f>HLOOKUP(INDICE!$F$2,Nombres!$C$3:$D$636,7,FALSE)</f>
        <v>España</v>
      </c>
      <c r="B41" s="150">
        <v>1.544409409642632</v>
      </c>
      <c r="C41" s="150">
        <v>0.9979745703001622</v>
      </c>
      <c r="D41" s="150">
        <v>0.7988816786760411</v>
      </c>
      <c r="E41" s="151">
        <v>0.6718183655754664</v>
      </c>
      <c r="F41" s="150">
        <v>0.4464370216291454</v>
      </c>
      <c r="G41" s="250">
        <v>0</v>
      </c>
      <c r="H41" s="250">
        <v>0</v>
      </c>
      <c r="I41" s="250">
        <v>0</v>
      </c>
      <c r="J41" s="108"/>
      <c r="K41" s="126"/>
    </row>
    <row r="42" spans="1:11" ht="14.25">
      <c r="A42" s="99"/>
      <c r="B42" s="148"/>
      <c r="C42" s="148"/>
      <c r="D42" s="148"/>
      <c r="E42" s="149"/>
      <c r="F42" s="148"/>
      <c r="G42" s="148"/>
      <c r="H42" s="148"/>
      <c r="I42" s="148"/>
      <c r="J42" s="108"/>
      <c r="K42" s="126"/>
    </row>
    <row r="43" spans="1:255" ht="14.25">
      <c r="A43" s="59" t="str">
        <f>HLOOKUP(INDICE!$F$2,Nombres!$C$3:$D$636,11,FALSE)</f>
        <v>México</v>
      </c>
      <c r="B43" s="150">
        <v>5.295406173654156</v>
      </c>
      <c r="C43" s="150">
        <v>4.952459634853501</v>
      </c>
      <c r="D43" s="150">
        <v>4.270227834950972</v>
      </c>
      <c r="E43" s="151">
        <v>4.0169387347923955</v>
      </c>
      <c r="F43" s="150">
        <v>3.5535721044631865</v>
      </c>
      <c r="G43" s="250">
        <v>0</v>
      </c>
      <c r="H43" s="250">
        <v>0</v>
      </c>
      <c r="I43" s="250">
        <v>0</v>
      </c>
      <c r="J43" s="108"/>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4.25">
      <c r="A44" s="99"/>
      <c r="B44" s="148"/>
      <c r="C44" s="148"/>
      <c r="D44" s="148"/>
      <c r="E44" s="149"/>
      <c r="F44" s="148"/>
      <c r="G44" s="148"/>
      <c r="H44" s="148"/>
      <c r="I44" s="148"/>
      <c r="J44" s="126"/>
      <c r="K44" s="126"/>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row>
    <row r="45" spans="1:255" ht="14.25">
      <c r="A45" s="59" t="str">
        <f>HLOOKUP(INDICE!$F$2,Nombres!$C$3:$D$636,12,FALSE)</f>
        <v>Turquía </v>
      </c>
      <c r="B45" s="150">
        <v>3.8024182673666056</v>
      </c>
      <c r="C45" s="150">
        <v>2.7125126972059963</v>
      </c>
      <c r="D45" s="150">
        <v>2.0049306351482334</v>
      </c>
      <c r="E45" s="151">
        <v>2.134983801788742</v>
      </c>
      <c r="F45" s="150">
        <v>1.3446936546426136</v>
      </c>
      <c r="G45" s="250">
        <v>0</v>
      </c>
      <c r="H45" s="250">
        <v>0</v>
      </c>
      <c r="I45" s="250">
        <v>0</v>
      </c>
      <c r="J45" s="108"/>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4.25">
      <c r="A46" s="99"/>
      <c r="B46" s="148"/>
      <c r="C46" s="148"/>
      <c r="D46" s="148"/>
      <c r="E46" s="149"/>
      <c r="F46" s="148"/>
      <c r="G46" s="148"/>
      <c r="H46" s="148"/>
      <c r="I46" s="148"/>
      <c r="J46" s="126"/>
      <c r="K46" s="126"/>
    </row>
    <row r="47" spans="1:255" ht="14.25">
      <c r="A47" s="59" t="str">
        <f>HLOOKUP(INDICE!$F$2,Nombres!$C$3:$D$636,13,FALSE)</f>
        <v>América del Sur </v>
      </c>
      <c r="B47" s="150">
        <v>2.9978563658050255</v>
      </c>
      <c r="C47" s="150">
        <v>3.1004639627851667</v>
      </c>
      <c r="D47" s="150">
        <v>2.4878915183229866</v>
      </c>
      <c r="E47" s="151">
        <v>2.35718381031418</v>
      </c>
      <c r="F47" s="150">
        <v>1.8091344969893883</v>
      </c>
      <c r="G47" s="250">
        <v>0</v>
      </c>
      <c r="H47" s="250">
        <v>0</v>
      </c>
      <c r="I47" s="250">
        <v>0</v>
      </c>
      <c r="J47" s="108"/>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4.25">
      <c r="A48" s="99"/>
      <c r="B48" s="152"/>
      <c r="C48" s="152"/>
      <c r="D48" s="152"/>
      <c r="E48" s="153"/>
      <c r="F48" s="152"/>
      <c r="G48" s="251"/>
      <c r="H48" s="251"/>
      <c r="I48" s="251"/>
      <c r="J48" s="126"/>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4.25">
      <c r="A49" s="59" t="str">
        <f>HLOOKUP(INDICE!$F$2,Nombres!$C$3:$D$636,263,FALSE)</f>
        <v>Resto de Negocios</v>
      </c>
      <c r="B49" s="150">
        <v>0.1357184129918632</v>
      </c>
      <c r="C49" s="150">
        <v>0.516513963816186</v>
      </c>
      <c r="D49" s="150">
        <v>0.46430108961862915</v>
      </c>
      <c r="E49" s="151">
        <v>0.30316518263846326</v>
      </c>
      <c r="F49" s="150">
        <v>-0.03025345085610629</v>
      </c>
      <c r="G49" s="250">
        <v>0</v>
      </c>
      <c r="H49" s="250">
        <v>0</v>
      </c>
      <c r="I49" s="250">
        <v>0</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1" ht="14.25">
      <c r="A50" s="129"/>
      <c r="B50" s="99"/>
      <c r="C50" s="145"/>
      <c r="D50" s="145"/>
      <c r="E50" s="145"/>
      <c r="F50" s="99"/>
      <c r="G50" s="252"/>
      <c r="H50" s="252"/>
      <c r="I50" s="252"/>
      <c r="K50" s="126"/>
    </row>
    <row r="51" spans="1:255" ht="14.25">
      <c r="A51" s="117" t="str">
        <f>HLOOKUP(INDICE!$F$2,Nombres!$C$3:$D$636,278,FALSE)</f>
        <v>(*) Grupo BBVA no incluye el negocio vendido de EEUU vendido a PNC.</v>
      </c>
      <c r="B51" s="99"/>
      <c r="C51" s="99"/>
      <c r="D51" s="99"/>
      <c r="E51" s="99"/>
      <c r="F51" s="99"/>
      <c r="G51" s="99"/>
      <c r="H51" s="99"/>
      <c r="I51" s="9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14.25">
      <c r="A52" s="99"/>
      <c r="B52" s="99"/>
      <c r="C52" s="99"/>
      <c r="D52" s="99"/>
      <c r="E52" s="99"/>
      <c r="F52" s="99"/>
      <c r="G52" s="99"/>
      <c r="H52" s="99"/>
      <c r="I52" s="99"/>
      <c r="K52" s="126"/>
    </row>
    <row r="53" spans="1:255" ht="14.25">
      <c r="A53" s="154"/>
      <c r="B53" s="118"/>
      <c r="C53" s="118"/>
      <c r="D53" s="118"/>
      <c r="E53" s="118"/>
      <c r="F53" s="118"/>
      <c r="G53" s="118"/>
      <c r="H53" s="154"/>
      <c r="I53" s="154"/>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1:255" ht="14.25">
      <c r="K54" s="126"/>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row>
    <row r="994" ht="14.25">
      <c r="A994" s="155" t="s">
        <v>396</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O17" sqref="O17"/>
    </sheetView>
  </sheetViews>
  <sheetFormatPr defaultColWidth="11.421875" defaultRowHeight="15"/>
  <cols>
    <col min="1" max="1" width="23.8515625" style="0" customWidth="1"/>
    <col min="7" max="9" width="0" style="0" hidden="1" customWidth="1"/>
  </cols>
  <sheetData>
    <row r="1" spans="1:41" ht="16.5">
      <c r="A1" s="253" t="str">
        <f>HLOOKUP(INDICE!$F$2,Nombres!$C$3:$D$636,123,FALSE)</f>
        <v>Oficinas</v>
      </c>
      <c r="B1" s="156"/>
      <c r="C1" s="156"/>
      <c r="D1" s="157"/>
      <c r="E1" s="157"/>
      <c r="F1" s="157"/>
      <c r="G1" s="157"/>
      <c r="H1" s="157"/>
      <c r="I1" s="157"/>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8"/>
      <c r="B2" s="101">
        <f>+España!B30</f>
        <v>43921</v>
      </c>
      <c r="C2" s="101">
        <f>+España!C30</f>
        <v>44012</v>
      </c>
      <c r="D2" s="101">
        <f>+España!D30</f>
        <v>44104</v>
      </c>
      <c r="E2" s="101">
        <f>+España!E30</f>
        <v>44196</v>
      </c>
      <c r="F2" s="101">
        <f>+España!F30</f>
        <v>44286</v>
      </c>
      <c r="G2" s="101">
        <f>+España!G30</f>
        <v>44377</v>
      </c>
      <c r="H2" s="101">
        <f>+España!H30</f>
        <v>44469</v>
      </c>
      <c r="I2" s="101">
        <f>+España!I30</f>
        <v>44561</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4.25">
      <c r="A3" s="254" t="str">
        <f>HLOOKUP(INDICE!$F$2,Nombres!$C$3:$D$636,7,FALSE)</f>
        <v>España</v>
      </c>
      <c r="B3" s="41">
        <v>2593</v>
      </c>
      <c r="C3" s="41">
        <v>2592</v>
      </c>
      <c r="D3" s="41">
        <v>2521</v>
      </c>
      <c r="E3" s="41">
        <v>2482</v>
      </c>
      <c r="F3" s="41">
        <v>2366</v>
      </c>
      <c r="G3" s="41">
        <v>0</v>
      </c>
      <c r="H3" s="41">
        <v>0</v>
      </c>
      <c r="I3" s="41">
        <v>0</v>
      </c>
      <c r="J3" s="54"/>
      <c r="K3" s="31"/>
      <c r="L3" s="118"/>
      <c r="M3" s="11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4.25">
      <c r="A4" s="254" t="str">
        <f>HLOOKUP(INDICE!$F$2,Nombres!$C$3:$D$636,10,FALSE)</f>
        <v>EEUU</v>
      </c>
      <c r="B4" s="41">
        <v>643</v>
      </c>
      <c r="C4" s="41">
        <v>643</v>
      </c>
      <c r="D4" s="41">
        <v>639</v>
      </c>
      <c r="E4" s="41">
        <v>639</v>
      </c>
      <c r="F4" s="41">
        <v>639</v>
      </c>
      <c r="G4" s="41">
        <v>0</v>
      </c>
      <c r="H4" s="41">
        <v>0</v>
      </c>
      <c r="I4" s="41">
        <v>0</v>
      </c>
      <c r="J4" s="54"/>
      <c r="K4" s="31"/>
      <c r="L4" s="118"/>
      <c r="M4" s="118"/>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4.25">
      <c r="A5" s="254" t="str">
        <f>HLOOKUP(INDICE!$F$2,Nombres!$C$3:$D$636,11,FALSE)</f>
        <v>México</v>
      </c>
      <c r="B5" s="41">
        <v>1864</v>
      </c>
      <c r="C5" s="41">
        <v>1866</v>
      </c>
      <c r="D5" s="41">
        <v>1814</v>
      </c>
      <c r="E5" s="41">
        <v>1746</v>
      </c>
      <c r="F5" s="41">
        <v>1728</v>
      </c>
      <c r="G5" s="41">
        <v>0</v>
      </c>
      <c r="H5" s="41">
        <v>0</v>
      </c>
      <c r="I5" s="41">
        <v>0</v>
      </c>
      <c r="J5" s="54"/>
      <c r="K5" s="31"/>
      <c r="L5" s="118"/>
      <c r="M5" s="118"/>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4.25">
      <c r="A6" s="254" t="str">
        <f>HLOOKUP(INDICE!$F$2,Nombres!$C$3:$D$636,12,FALSE)</f>
        <v>Turquía </v>
      </c>
      <c r="B6" s="41">
        <v>1038</v>
      </c>
      <c r="C6" s="41">
        <v>1035</v>
      </c>
      <c r="D6" s="41">
        <v>1028</v>
      </c>
      <c r="E6" s="41">
        <v>1021</v>
      </c>
      <c r="F6" s="41">
        <v>1021</v>
      </c>
      <c r="G6" s="41">
        <v>0</v>
      </c>
      <c r="H6" s="41">
        <v>0</v>
      </c>
      <c r="I6" s="41">
        <v>0</v>
      </c>
      <c r="J6" s="54"/>
      <c r="K6" s="31"/>
      <c r="L6" s="118"/>
      <c r="M6" s="11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4.25">
      <c r="A7" s="254" t="str">
        <f>HLOOKUP(INDICE!$F$2,Nombres!$C$3:$D$636,13,FALSE)</f>
        <v>América del Sur </v>
      </c>
      <c r="B7" s="41">
        <v>1525</v>
      </c>
      <c r="C7" s="41">
        <v>1533</v>
      </c>
      <c r="D7" s="41">
        <v>1533</v>
      </c>
      <c r="E7" s="41">
        <v>1514</v>
      </c>
      <c r="F7" s="41">
        <v>1470</v>
      </c>
      <c r="G7" s="41">
        <v>0</v>
      </c>
      <c r="H7" s="41">
        <v>0</v>
      </c>
      <c r="I7" s="41">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4.25">
      <c r="A8" s="159" t="str">
        <f>HLOOKUP(INDICE!$F$2,Nombres!$C$3:$D$636,14,FALSE)</f>
        <v>Argentina</v>
      </c>
      <c r="B8" s="255">
        <v>247</v>
      </c>
      <c r="C8" s="255">
        <v>248</v>
      </c>
      <c r="D8" s="255">
        <v>248</v>
      </c>
      <c r="E8" s="255">
        <v>248</v>
      </c>
      <c r="F8" s="255">
        <v>248</v>
      </c>
      <c r="G8" s="255">
        <v>0</v>
      </c>
      <c r="H8" s="255">
        <v>0</v>
      </c>
      <c r="I8" s="255">
        <v>0</v>
      </c>
      <c r="J8" s="54"/>
      <c r="K8" s="31"/>
      <c r="L8" s="118"/>
      <c r="M8" s="118"/>
      <c r="N8" s="26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4.25">
      <c r="A9" s="159" t="str">
        <f>HLOOKUP(INDICE!$F$2,Nombres!$C$3:$D$636,15,FALSE)</f>
        <v>Chile</v>
      </c>
      <c r="B9" s="44">
        <v>17</v>
      </c>
      <c r="C9" s="44">
        <v>17</v>
      </c>
      <c r="D9" s="44">
        <v>17</v>
      </c>
      <c r="E9" s="44">
        <v>17</v>
      </c>
      <c r="F9" s="44">
        <v>17</v>
      </c>
      <c r="G9" s="44">
        <v>0</v>
      </c>
      <c r="H9" s="44">
        <v>0</v>
      </c>
      <c r="I9" s="44">
        <v>0</v>
      </c>
      <c r="J9" s="54"/>
      <c r="K9" s="31"/>
      <c r="L9" s="118"/>
      <c r="M9" s="118"/>
      <c r="N9" s="26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4.25">
      <c r="A10" s="256" t="str">
        <f>HLOOKUP(INDICE!$F$2,Nombres!$C$3:$D$636,16,FALSE)</f>
        <v>Colombia</v>
      </c>
      <c r="B10" s="44">
        <v>551</v>
      </c>
      <c r="C10" s="44">
        <v>560</v>
      </c>
      <c r="D10" s="44">
        <v>559</v>
      </c>
      <c r="E10" s="44">
        <v>540</v>
      </c>
      <c r="F10" s="44">
        <v>522</v>
      </c>
      <c r="G10" s="44">
        <v>0</v>
      </c>
      <c r="H10" s="44">
        <v>0</v>
      </c>
      <c r="I10" s="44">
        <v>0</v>
      </c>
      <c r="J10" s="54"/>
      <c r="K10" s="118"/>
      <c r="L10" s="118"/>
      <c r="M10" s="118"/>
      <c r="N10" s="26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4.25">
      <c r="A11" s="256" t="str">
        <f>HLOOKUP(INDICE!$F$2,Nombres!$C$3:$D$636,17,FALSE)</f>
        <v>Perú</v>
      </c>
      <c r="B11" s="44">
        <v>332</v>
      </c>
      <c r="C11" s="44">
        <v>332</v>
      </c>
      <c r="D11" s="44">
        <v>332</v>
      </c>
      <c r="E11" s="44">
        <v>332</v>
      </c>
      <c r="F11" s="44">
        <v>325</v>
      </c>
      <c r="G11" s="44">
        <v>0</v>
      </c>
      <c r="H11" s="44">
        <v>0</v>
      </c>
      <c r="I11" s="44">
        <v>0</v>
      </c>
      <c r="J11" s="54"/>
      <c r="K11" s="118"/>
      <c r="L11" s="118"/>
      <c r="M11" s="118"/>
      <c r="N11" s="269"/>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4.25">
      <c r="A12" s="256" t="str">
        <f>HLOOKUP(INDICE!$F$2,Nombres!$C$3:$D$636,89,FALSE)</f>
        <v>Resto de América del Sur</v>
      </c>
      <c r="B12" s="44">
        <v>378</v>
      </c>
      <c r="C12" s="44">
        <v>376</v>
      </c>
      <c r="D12" s="44">
        <v>377</v>
      </c>
      <c r="E12" s="44">
        <v>377</v>
      </c>
      <c r="F12" s="44">
        <v>358</v>
      </c>
      <c r="G12" s="44">
        <v>0</v>
      </c>
      <c r="H12" s="44">
        <v>0</v>
      </c>
      <c r="I12" s="44">
        <v>0</v>
      </c>
      <c r="J12" s="54"/>
      <c r="K12" s="118"/>
      <c r="L12" s="118"/>
      <c r="M12" s="118"/>
      <c r="N12" s="269"/>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4.25">
      <c r="A13" s="254" t="str">
        <f>HLOOKUP(INDICE!$F$2,Nombres!$C$3:$D$636,279,FALSE)</f>
        <v>Resto de geografías</v>
      </c>
      <c r="B13" s="41">
        <v>31</v>
      </c>
      <c r="C13" s="41">
        <v>30</v>
      </c>
      <c r="D13" s="41">
        <v>30</v>
      </c>
      <c r="E13" s="41">
        <v>30</v>
      </c>
      <c r="F13" s="41">
        <v>30</v>
      </c>
      <c r="G13" s="41">
        <v>0</v>
      </c>
      <c r="H13" s="41">
        <v>0</v>
      </c>
      <c r="I13" s="41">
        <v>0</v>
      </c>
      <c r="J13" s="54"/>
      <c r="K13" s="118"/>
      <c r="L13" s="118"/>
      <c r="M13" s="118"/>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4.25">
      <c r="A14" s="254" t="s">
        <v>6</v>
      </c>
      <c r="B14" s="41">
        <f aca="true" t="shared" si="0" ref="B14:I14">+SUM(B3:B6,B8:B13)</f>
        <v>7694</v>
      </c>
      <c r="C14" s="41">
        <f t="shared" si="0"/>
        <v>7699</v>
      </c>
      <c r="D14" s="41">
        <f t="shared" si="0"/>
        <v>7565</v>
      </c>
      <c r="E14" s="41">
        <f t="shared" si="0"/>
        <v>7432</v>
      </c>
      <c r="F14" s="41">
        <f t="shared" si="0"/>
        <v>7254</v>
      </c>
      <c r="G14" s="41">
        <f t="shared" si="0"/>
        <v>0</v>
      </c>
      <c r="H14" s="41">
        <f t="shared" si="0"/>
        <v>0</v>
      </c>
      <c r="I14" s="41">
        <f t="shared" si="0"/>
        <v>0</v>
      </c>
      <c r="J14" s="54"/>
      <c r="K14" s="118"/>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4.25">
      <c r="A15" s="160"/>
      <c r="B15" s="161">
        <v>0</v>
      </c>
      <c r="C15" s="161">
        <v>0</v>
      </c>
      <c r="D15" s="161">
        <v>0</v>
      </c>
      <c r="E15" s="161">
        <v>0</v>
      </c>
      <c r="F15" s="161">
        <v>0</v>
      </c>
      <c r="G15" s="161">
        <v>0</v>
      </c>
      <c r="H15" s="161">
        <v>0</v>
      </c>
      <c r="I15" s="161">
        <v>0</v>
      </c>
      <c r="J15" s="31"/>
      <c r="K15" s="118"/>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4.25">
      <c r="A16" s="160"/>
      <c r="B16" s="161"/>
      <c r="C16" s="161"/>
      <c r="D16" s="161"/>
      <c r="E16" s="161"/>
      <c r="F16" s="161"/>
      <c r="G16" s="161"/>
      <c r="H16" s="161"/>
      <c r="I16" s="161"/>
      <c r="J16" s="31"/>
      <c r="K16" s="118"/>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6.5">
      <c r="A17" s="253" t="str">
        <f>HLOOKUP(INDICE!$F$2,Nombres!$C$3:$D$636,124,FALSE)</f>
        <v>Empleados</v>
      </c>
      <c r="B17" s="156"/>
      <c r="C17" s="156"/>
      <c r="D17" s="157"/>
      <c r="E17" s="157"/>
      <c r="F17" s="157"/>
      <c r="G17" s="157"/>
      <c r="H17" s="157"/>
      <c r="I17" s="157"/>
      <c r="J17" s="162"/>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8"/>
      <c r="B18" s="101">
        <f aca="true" t="shared" si="1" ref="B18:I18">+B$2</f>
        <v>43921</v>
      </c>
      <c r="C18" s="101">
        <f t="shared" si="1"/>
        <v>44012</v>
      </c>
      <c r="D18" s="101">
        <f t="shared" si="1"/>
        <v>44104</v>
      </c>
      <c r="E18" s="101">
        <f t="shared" si="1"/>
        <v>44196</v>
      </c>
      <c r="F18" s="101">
        <f t="shared" si="1"/>
        <v>44286</v>
      </c>
      <c r="G18" s="101">
        <f t="shared" si="1"/>
        <v>44377</v>
      </c>
      <c r="H18" s="101">
        <f t="shared" si="1"/>
        <v>44469</v>
      </c>
      <c r="I18" s="101">
        <f t="shared" si="1"/>
        <v>44561</v>
      </c>
      <c r="J18" s="162"/>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4.25">
      <c r="A19" s="254" t="str">
        <f>HLOOKUP(INDICE!$F$2,Nombres!$C$3:$D$636,7,FALSE)</f>
        <v>España</v>
      </c>
      <c r="B19" s="41">
        <v>29753</v>
      </c>
      <c r="C19" s="41">
        <v>29406</v>
      </c>
      <c r="D19" s="41">
        <v>29475</v>
      </c>
      <c r="E19" s="41">
        <v>29330</v>
      </c>
      <c r="F19" s="41">
        <v>28777</v>
      </c>
      <c r="G19" s="41">
        <v>0</v>
      </c>
      <c r="H19" s="41">
        <v>0</v>
      </c>
      <c r="I19" s="41">
        <v>0</v>
      </c>
      <c r="J19" s="118"/>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4.25">
      <c r="A20" s="254" t="str">
        <f>HLOOKUP(INDICE!$F$2,Nombres!$C$3:$D$636,10,FALSE)</f>
        <v>EEUU</v>
      </c>
      <c r="B20" s="41">
        <v>10895</v>
      </c>
      <c r="C20" s="41">
        <v>10945</v>
      </c>
      <c r="D20" s="41">
        <v>10867</v>
      </c>
      <c r="E20" s="41">
        <v>10895</v>
      </c>
      <c r="F20" s="41">
        <v>10532</v>
      </c>
      <c r="G20" s="41">
        <v>0</v>
      </c>
      <c r="H20" s="41">
        <v>0</v>
      </c>
      <c r="I20" s="41">
        <v>0</v>
      </c>
      <c r="J20" s="118"/>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4.25">
      <c r="A21" s="254" t="str">
        <f>HLOOKUP(INDICE!$F$2,Nombres!$C$3:$D$636,11,FALSE)</f>
        <v>México</v>
      </c>
      <c r="B21" s="41">
        <v>37885</v>
      </c>
      <c r="C21" s="41">
        <v>37480</v>
      </c>
      <c r="D21" s="41">
        <v>37217</v>
      </c>
      <c r="E21" s="41">
        <v>36853</v>
      </c>
      <c r="F21" s="41">
        <v>37444</v>
      </c>
      <c r="G21" s="41">
        <v>0</v>
      </c>
      <c r="H21" s="41">
        <v>0</v>
      </c>
      <c r="I21" s="41">
        <v>0</v>
      </c>
      <c r="J21" s="118"/>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4.25">
      <c r="A22" s="254" t="str">
        <f>HLOOKUP(INDICE!$F$2,Nombres!$C$3:$D$636,12,FALSE)</f>
        <v>Turquía </v>
      </c>
      <c r="B22" s="41">
        <v>22068</v>
      </c>
      <c r="C22" s="41">
        <v>21964</v>
      </c>
      <c r="D22" s="41">
        <v>21964</v>
      </c>
      <c r="E22" s="41">
        <v>21908</v>
      </c>
      <c r="F22" s="41">
        <v>21838</v>
      </c>
      <c r="G22" s="41">
        <v>0</v>
      </c>
      <c r="H22" s="41">
        <v>0</v>
      </c>
      <c r="I22" s="41">
        <v>0</v>
      </c>
      <c r="J22" s="118"/>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4.25">
      <c r="A23" s="254" t="str">
        <f>HLOOKUP(INDICE!$F$2,Nombres!$C$3:$D$636,13,FALSE)</f>
        <v>América del Sur </v>
      </c>
      <c r="B23" s="41">
        <v>24294</v>
      </c>
      <c r="C23" s="41">
        <v>24107</v>
      </c>
      <c r="D23" s="41">
        <v>23453</v>
      </c>
      <c r="E23" s="41">
        <v>23059</v>
      </c>
      <c r="F23" s="41">
        <v>22432</v>
      </c>
      <c r="G23" s="41">
        <v>0</v>
      </c>
      <c r="H23" s="41">
        <v>0</v>
      </c>
      <c r="I23" s="41">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4.25">
      <c r="A24" s="159" t="str">
        <f>HLOOKUP(INDICE!$F$2,Nombres!$C$3:$D$636,14,FALSE)</f>
        <v>Argentina</v>
      </c>
      <c r="B24" s="44">
        <v>6315</v>
      </c>
      <c r="C24" s="44">
        <v>6266</v>
      </c>
      <c r="D24" s="44">
        <v>6143</v>
      </c>
      <c r="E24" s="44">
        <v>6052</v>
      </c>
      <c r="F24" s="44">
        <v>6017</v>
      </c>
      <c r="G24" s="44">
        <v>0</v>
      </c>
      <c r="H24" s="44">
        <v>0</v>
      </c>
      <c r="I24" s="44">
        <v>0</v>
      </c>
      <c r="J24" s="54"/>
      <c r="K24" s="44"/>
      <c r="L24" s="118"/>
      <c r="M24" s="54"/>
      <c r="N24" s="270"/>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4.25">
      <c r="A25" s="159" t="str">
        <f>HLOOKUP(INDICE!$F$2,Nombres!$C$3:$D$636,15,FALSE)</f>
        <v>Chile</v>
      </c>
      <c r="B25" s="44">
        <v>794</v>
      </c>
      <c r="C25" s="44">
        <v>721</v>
      </c>
      <c r="D25" s="44">
        <v>706</v>
      </c>
      <c r="E25" s="44">
        <v>696</v>
      </c>
      <c r="F25" s="44">
        <v>685</v>
      </c>
      <c r="G25" s="44">
        <v>0</v>
      </c>
      <c r="H25" s="44">
        <v>0</v>
      </c>
      <c r="I25" s="44">
        <v>0</v>
      </c>
      <c r="J25" s="54"/>
      <c r="K25" s="44"/>
      <c r="L25" s="118"/>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4.25">
      <c r="A26" s="256" t="str">
        <f>HLOOKUP(INDICE!$F$2,Nombres!$C$3:$D$636,16,FALSE)</f>
        <v>Colombia</v>
      </c>
      <c r="B26" s="44">
        <v>6919</v>
      </c>
      <c r="C26" s="44">
        <v>6893</v>
      </c>
      <c r="D26" s="44">
        <v>6754</v>
      </c>
      <c r="E26" s="44">
        <v>6592</v>
      </c>
      <c r="F26" s="44">
        <v>6482</v>
      </c>
      <c r="G26" s="44">
        <v>0</v>
      </c>
      <c r="H26" s="44">
        <v>0</v>
      </c>
      <c r="I26" s="44">
        <v>0</v>
      </c>
      <c r="J26" s="54"/>
      <c r="K26" s="44"/>
      <c r="L26" s="118"/>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4.25">
      <c r="A27" s="256" t="str">
        <f>HLOOKUP(INDICE!$F$2,Nombres!$C$3:$D$636,17,FALSE)</f>
        <v>Perú</v>
      </c>
      <c r="B27" s="44">
        <v>6455</v>
      </c>
      <c r="C27" s="44">
        <v>6525</v>
      </c>
      <c r="D27" s="44">
        <v>6299</v>
      </c>
      <c r="E27" s="44">
        <v>6204</v>
      </c>
      <c r="F27" s="44">
        <v>6217</v>
      </c>
      <c r="G27" s="44">
        <v>0</v>
      </c>
      <c r="H27" s="44">
        <v>0</v>
      </c>
      <c r="I27" s="44">
        <v>0</v>
      </c>
      <c r="J27" s="54"/>
      <c r="K27" s="44"/>
      <c r="L27" s="118"/>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4.25">
      <c r="A28" s="256" t="str">
        <f>HLOOKUP(INDICE!$F$2,Nombres!$C$3:$D$636,89,FALSE)</f>
        <v>Resto de América del Sur</v>
      </c>
      <c r="B28" s="44">
        <v>3811</v>
      </c>
      <c r="C28" s="44">
        <v>3702</v>
      </c>
      <c r="D28" s="44">
        <v>3551</v>
      </c>
      <c r="E28" s="44">
        <v>3515</v>
      </c>
      <c r="F28" s="44">
        <v>3031</v>
      </c>
      <c r="G28" s="44">
        <v>0</v>
      </c>
      <c r="H28" s="44">
        <v>0</v>
      </c>
      <c r="I28" s="44">
        <v>0</v>
      </c>
      <c r="J28" s="54"/>
      <c r="K28" s="44"/>
      <c r="L28" s="118"/>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4.25">
      <c r="A29" s="254" t="str">
        <f>HLOOKUP(INDICE!$F$2,Nombres!$C$3:$D$636,279,FALSE)</f>
        <v>Resto de geografías</v>
      </c>
      <c r="B29" s="41">
        <v>1146</v>
      </c>
      <c r="C29" s="41">
        <v>1139</v>
      </c>
      <c r="D29" s="41">
        <v>1134</v>
      </c>
      <c r="E29" s="41">
        <v>1129</v>
      </c>
      <c r="F29" s="41">
        <v>998</v>
      </c>
      <c r="G29" s="41">
        <v>0</v>
      </c>
      <c r="H29" s="41">
        <v>0</v>
      </c>
      <c r="I29" s="41">
        <v>0</v>
      </c>
      <c r="J29" s="118"/>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4.25">
      <c r="A30" s="254" t="s">
        <v>6</v>
      </c>
      <c r="B30" s="41">
        <f aca="true" t="shared" si="2" ref="B30:I30">+SUM(B19:B22,B24:B29)</f>
        <v>126041</v>
      </c>
      <c r="C30" s="41">
        <f t="shared" si="2"/>
        <v>125041</v>
      </c>
      <c r="D30" s="41">
        <f t="shared" si="2"/>
        <v>124110</v>
      </c>
      <c r="E30" s="41">
        <f t="shared" si="2"/>
        <v>123174</v>
      </c>
      <c r="F30" s="41">
        <f t="shared" si="2"/>
        <v>122021</v>
      </c>
      <c r="G30" s="41">
        <f t="shared" si="2"/>
        <v>0</v>
      </c>
      <c r="H30" s="41">
        <f t="shared" si="2"/>
        <v>0</v>
      </c>
      <c r="I30" s="41">
        <f t="shared" si="2"/>
        <v>0</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4.25">
      <c r="A31" s="160"/>
      <c r="B31" s="161">
        <v>0</v>
      </c>
      <c r="C31" s="161">
        <v>0</v>
      </c>
      <c r="D31" s="161">
        <v>0</v>
      </c>
      <c r="E31" s="161">
        <v>0</v>
      </c>
      <c r="F31" s="161">
        <v>0</v>
      </c>
      <c r="G31" s="161">
        <v>0</v>
      </c>
      <c r="H31" s="161">
        <v>0</v>
      </c>
      <c r="I31" s="161">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4.25">
      <c r="A32" s="160"/>
      <c r="B32" s="161"/>
      <c r="C32" s="161"/>
      <c r="D32" s="161"/>
      <c r="E32" s="161"/>
      <c r="F32" s="161"/>
      <c r="G32" s="161"/>
      <c r="H32" s="161"/>
      <c r="I32" s="16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6.5">
      <c r="A33" s="253" t="str">
        <f>HLOOKUP(INDICE!$F$2,Nombres!$C$3:$D$636,125,FALSE)</f>
        <v>Cajeros automáticos</v>
      </c>
      <c r="B33" s="156"/>
      <c r="C33" s="156"/>
      <c r="D33" s="157"/>
      <c r="E33" s="157"/>
      <c r="F33" s="157"/>
      <c r="G33" s="157"/>
      <c r="H33" s="157"/>
      <c r="I33" s="157"/>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5"/>
      <c r="B34" s="101">
        <f aca="true" t="shared" si="3" ref="B34:I34">+B$2</f>
        <v>43921</v>
      </c>
      <c r="C34" s="101">
        <f t="shared" si="3"/>
        <v>44012</v>
      </c>
      <c r="D34" s="101">
        <f t="shared" si="3"/>
        <v>44104</v>
      </c>
      <c r="E34" s="101">
        <f t="shared" si="3"/>
        <v>44196</v>
      </c>
      <c r="F34" s="101">
        <f t="shared" si="3"/>
        <v>44286</v>
      </c>
      <c r="G34" s="101">
        <f t="shared" si="3"/>
        <v>44377</v>
      </c>
      <c r="H34" s="101">
        <f t="shared" si="3"/>
        <v>44469</v>
      </c>
      <c r="I34" s="101">
        <f t="shared" si="3"/>
        <v>44561</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4.25">
      <c r="A35" s="254" t="str">
        <f>HLOOKUP(INDICE!$F$2,Nombres!$C$3:$D$636,7,FALSE)</f>
        <v>España</v>
      </c>
      <c r="B35" s="41">
        <v>5840</v>
      </c>
      <c r="C35" s="41">
        <v>5829</v>
      </c>
      <c r="D35" s="41">
        <v>5746</v>
      </c>
      <c r="E35" s="41">
        <v>5708</v>
      </c>
      <c r="F35" s="41">
        <v>5557</v>
      </c>
      <c r="G35" s="41">
        <v>0</v>
      </c>
      <c r="H35" s="41">
        <v>0</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4.25">
      <c r="A36" s="254" t="str">
        <f>HLOOKUP(INDICE!$F$2,Nombres!$C$3:$D$636,10,FALSE)</f>
        <v>EEUU</v>
      </c>
      <c r="B36" s="41">
        <v>1384</v>
      </c>
      <c r="C36" s="41">
        <v>1375</v>
      </c>
      <c r="D36" s="41">
        <v>1369</v>
      </c>
      <c r="E36" s="41">
        <v>1383</v>
      </c>
      <c r="F36" s="41">
        <v>1371</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4.25">
      <c r="A37" s="254" t="str">
        <f>HLOOKUP(INDICE!$F$2,Nombres!$C$3:$D$636,11,FALSE)</f>
        <v>México</v>
      </c>
      <c r="B37" s="41">
        <v>13066</v>
      </c>
      <c r="C37" s="41">
        <v>13115</v>
      </c>
      <c r="D37" s="41">
        <v>12923</v>
      </c>
      <c r="E37" s="41">
        <v>12950</v>
      </c>
      <c r="F37" s="41">
        <v>12957</v>
      </c>
      <c r="G37" s="41">
        <v>0</v>
      </c>
      <c r="H37" s="41">
        <v>0</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4.25">
      <c r="A38" s="254" t="str">
        <f>HLOOKUP(INDICE!$F$2,Nombres!$C$3:$D$636,12,FALSE)</f>
        <v>Turquía </v>
      </c>
      <c r="B38" s="41">
        <v>5431</v>
      </c>
      <c r="C38" s="41">
        <v>5443</v>
      </c>
      <c r="D38" s="41">
        <v>5440</v>
      </c>
      <c r="E38" s="41">
        <v>5533</v>
      </c>
      <c r="F38" s="41">
        <v>5532</v>
      </c>
      <c r="G38" s="41">
        <v>0</v>
      </c>
      <c r="H38" s="41">
        <v>0</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4.25">
      <c r="A39" s="254" t="str">
        <f>HLOOKUP(INDICE!$F$2,Nombres!$C$3:$D$636,13,FALSE)</f>
        <v>América del Sur </v>
      </c>
      <c r="B39" s="41">
        <v>6531</v>
      </c>
      <c r="C39" s="41">
        <v>6525</v>
      </c>
      <c r="D39" s="41">
        <v>5536</v>
      </c>
      <c r="E39" s="41">
        <v>5403</v>
      </c>
      <c r="F39" s="41">
        <v>5307</v>
      </c>
      <c r="G39" s="41">
        <v>0</v>
      </c>
      <c r="H39" s="41">
        <v>0</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4.25">
      <c r="A40" s="159" t="str">
        <f>HLOOKUP(INDICE!$F$2,Nombres!$C$3:$D$636,14,FALSE)</f>
        <v>Argentina</v>
      </c>
      <c r="B40" s="44">
        <v>1712</v>
      </c>
      <c r="C40" s="44">
        <v>1712</v>
      </c>
      <c r="D40" s="44">
        <v>1709</v>
      </c>
      <c r="E40" s="44">
        <v>1715</v>
      </c>
      <c r="F40" s="44">
        <v>1714</v>
      </c>
      <c r="G40" s="44">
        <v>0</v>
      </c>
      <c r="H40" s="44">
        <v>0</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4.25">
      <c r="A41" s="159" t="str">
        <f>HLOOKUP(INDICE!$F$2,Nombres!$C$3:$D$636,15,FALSE)</f>
        <v>Chile</v>
      </c>
      <c r="B41" s="44">
        <v>0</v>
      </c>
      <c r="C41" s="44">
        <v>0</v>
      </c>
      <c r="D41" s="44">
        <v>0</v>
      </c>
      <c r="E41" s="44">
        <v>0</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4.25">
      <c r="A42" s="256" t="str">
        <f>HLOOKUP(INDICE!$F$2,Nombres!$C$3:$D$636,16,FALSE)</f>
        <v>Colombia</v>
      </c>
      <c r="B42" s="44">
        <v>1360</v>
      </c>
      <c r="C42" s="44">
        <v>1360</v>
      </c>
      <c r="D42" s="44">
        <v>1359</v>
      </c>
      <c r="E42" s="44">
        <v>1362</v>
      </c>
      <c r="F42" s="44">
        <v>1326</v>
      </c>
      <c r="G42" s="44">
        <v>0</v>
      </c>
      <c r="H42" s="44">
        <v>0</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4.25">
      <c r="A43" s="256" t="str">
        <f>HLOOKUP(INDICE!$F$2,Nombres!$C$3:$D$636,17,FALSE)</f>
        <v>Perú</v>
      </c>
      <c r="B43" s="44">
        <v>1964</v>
      </c>
      <c r="C43" s="44">
        <v>1958</v>
      </c>
      <c r="D43" s="44">
        <v>1954</v>
      </c>
      <c r="E43" s="44">
        <v>1933</v>
      </c>
      <c r="F43" s="44">
        <v>1927</v>
      </c>
      <c r="G43" s="44">
        <v>0</v>
      </c>
      <c r="H43" s="44">
        <v>0</v>
      </c>
      <c r="I43" s="44">
        <v>0</v>
      </c>
      <c r="J43" s="31"/>
      <c r="K43" s="31"/>
      <c r="L43" s="162"/>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4.25">
      <c r="A44" s="256" t="str">
        <f>HLOOKUP(INDICE!$F$2,Nombres!$C$3:$D$636,89,FALSE)</f>
        <v>Resto de América del Sur</v>
      </c>
      <c r="B44" s="44">
        <v>1495</v>
      </c>
      <c r="C44" s="44">
        <v>1495</v>
      </c>
      <c r="D44" s="44">
        <v>514</v>
      </c>
      <c r="E44" s="44">
        <v>393</v>
      </c>
      <c r="F44" s="44">
        <v>340</v>
      </c>
      <c r="G44" s="44">
        <v>0</v>
      </c>
      <c r="H44" s="44">
        <v>0</v>
      </c>
      <c r="I44" s="44">
        <v>0</v>
      </c>
      <c r="J44" s="31"/>
      <c r="K44" s="31"/>
      <c r="L44" s="162"/>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4.25">
      <c r="A45" s="254" t="str">
        <f>HLOOKUP(INDICE!$F$2,Nombres!$C$3:$D$636,279,FALSE)</f>
        <v>Resto de geografías</v>
      </c>
      <c r="B45" s="41">
        <v>23</v>
      </c>
      <c r="C45" s="41">
        <v>23</v>
      </c>
      <c r="D45" s="41">
        <v>23</v>
      </c>
      <c r="E45" s="41">
        <v>23</v>
      </c>
      <c r="F45" s="41">
        <v>23</v>
      </c>
      <c r="G45" s="41">
        <v>0</v>
      </c>
      <c r="H45" s="41">
        <v>0</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4.25">
      <c r="A46" s="254" t="s">
        <v>6</v>
      </c>
      <c r="B46" s="41">
        <f aca="true" t="shared" si="4" ref="B46:I46">+SUM(B35:B38,B40:B45)</f>
        <v>32275</v>
      </c>
      <c r="C46" s="41">
        <f t="shared" si="4"/>
        <v>32310</v>
      </c>
      <c r="D46" s="41">
        <f t="shared" si="4"/>
        <v>31037</v>
      </c>
      <c r="E46" s="41">
        <f t="shared" si="4"/>
        <v>31000</v>
      </c>
      <c r="F46" s="41">
        <f t="shared" si="4"/>
        <v>30747</v>
      </c>
      <c r="G46" s="41">
        <f t="shared" si="4"/>
        <v>0</v>
      </c>
      <c r="H46" s="41">
        <f t="shared" si="4"/>
        <v>0</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4.25">
      <c r="A47" s="99"/>
      <c r="B47" s="161">
        <v>0</v>
      </c>
      <c r="C47" s="161">
        <v>0</v>
      </c>
      <c r="D47" s="161">
        <v>0</v>
      </c>
      <c r="E47" s="161">
        <v>0</v>
      </c>
      <c r="F47" s="161">
        <v>0</v>
      </c>
      <c r="G47" s="161">
        <v>0</v>
      </c>
      <c r="H47" s="161">
        <v>0</v>
      </c>
      <c r="I47" s="161">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4.25">
      <c r="A48" s="257"/>
      <c r="B48" s="99"/>
      <c r="C48" s="99"/>
      <c r="D48" s="99"/>
      <c r="E48" s="99"/>
      <c r="F48" s="99"/>
      <c r="G48" s="99"/>
      <c r="H48" s="99"/>
      <c r="I48" s="99"/>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4.25">
      <c r="A49" s="257"/>
      <c r="B49" s="99"/>
      <c r="C49" s="99"/>
      <c r="D49" s="99"/>
      <c r="E49" s="99"/>
      <c r="F49" s="99"/>
      <c r="G49" s="99"/>
      <c r="H49" s="99"/>
      <c r="I49" s="99"/>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4.25">
      <c r="A50" s="99"/>
      <c r="B50" s="99"/>
      <c r="C50" s="99"/>
      <c r="D50" s="99"/>
      <c r="E50" s="99"/>
      <c r="F50" s="99"/>
      <c r="G50" s="99"/>
      <c r="H50" s="99"/>
      <c r="I50" s="99"/>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4.25">
      <c r="A51" s="99"/>
      <c r="B51" s="99"/>
      <c r="C51" s="99"/>
      <c r="D51" s="99"/>
      <c r="E51" s="99"/>
      <c r="F51" s="99"/>
      <c r="G51" s="99"/>
      <c r="H51" s="99"/>
      <c r="I51" s="99"/>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4.25">
      <c r="A52" s="99"/>
      <c r="B52" s="99"/>
      <c r="C52" s="99"/>
      <c r="D52" s="99"/>
      <c r="E52" s="99"/>
      <c r="F52" s="99"/>
      <c r="G52" s="99"/>
      <c r="H52" s="99"/>
      <c r="I52" s="99"/>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4.25">
      <c r="A53" s="99"/>
      <c r="B53" s="99"/>
      <c r="C53" s="99"/>
      <c r="D53" s="99"/>
      <c r="E53" s="99"/>
      <c r="F53" s="99"/>
      <c r="G53" s="99"/>
      <c r="H53" s="99"/>
      <c r="I53" s="99"/>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4.25">
      <c r="A54" s="99"/>
      <c r="B54" s="99"/>
      <c r="C54" s="99"/>
      <c r="D54" s="99"/>
      <c r="E54" s="99"/>
      <c r="F54" s="99"/>
      <c r="G54" s="99"/>
      <c r="H54" s="99"/>
      <c r="I54" s="99"/>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4.25">
      <c r="A55" s="99"/>
      <c r="B55" s="99"/>
      <c r="C55" s="99"/>
      <c r="D55" s="99"/>
      <c r="E55" s="99"/>
      <c r="F55" s="99"/>
      <c r="G55" s="99"/>
      <c r="H55" s="99"/>
      <c r="I55" s="99"/>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4.25">
      <c r="A56" s="99"/>
      <c r="B56" s="99"/>
      <c r="C56" s="99"/>
      <c r="D56" s="99"/>
      <c r="E56" s="99"/>
      <c r="F56" s="99"/>
      <c r="G56" s="99"/>
      <c r="H56" s="99"/>
      <c r="I56" s="9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4.25">
      <c r="A57" s="99"/>
      <c r="B57" s="99"/>
      <c r="C57" s="99"/>
      <c r="D57" s="99"/>
      <c r="E57" s="99"/>
      <c r="F57" s="99"/>
      <c r="G57" s="99"/>
      <c r="H57" s="99"/>
      <c r="I57" s="99"/>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4.25">
      <c r="A58" s="99"/>
      <c r="B58" s="99"/>
      <c r="C58" s="99"/>
      <c r="D58" s="99"/>
      <c r="E58" s="99"/>
      <c r="F58" s="99"/>
      <c r="G58" s="99"/>
      <c r="H58" s="99"/>
      <c r="I58" s="99"/>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4.25">
      <c r="A59" s="99"/>
      <c r="B59" s="99"/>
      <c r="C59" s="99"/>
      <c r="D59" s="99"/>
      <c r="E59" s="99"/>
      <c r="F59" s="99"/>
      <c r="G59" s="99"/>
      <c r="H59" s="99"/>
      <c r="I59" s="99"/>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4.25">
      <c r="A60" s="99"/>
      <c r="B60" s="99"/>
      <c r="C60" s="99"/>
      <c r="D60" s="99"/>
      <c r="E60" s="99"/>
      <c r="F60" s="99"/>
      <c r="G60" s="99"/>
      <c r="H60" s="99"/>
      <c r="I60" s="99"/>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4.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4.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4.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4.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4.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4.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4.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4.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4.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4.25"/>
    <row r="71" s="31" customFormat="1" ht="14.25"/>
    <row r="72" s="31" customFormat="1" ht="14.25"/>
    <row r="73" s="31" customFormat="1" ht="14.25"/>
    <row r="74" s="31" customFormat="1" ht="14.25"/>
    <row r="75" s="31" customFormat="1" ht="14.25"/>
    <row r="76" s="31" customFormat="1" ht="14.25"/>
    <row r="77" s="31" customFormat="1" ht="14.25"/>
    <row r="78" s="31" customFormat="1" ht="14.25"/>
    <row r="79" s="31" customFormat="1" ht="14.25"/>
    <row r="80" s="31" customFormat="1" ht="14.25"/>
    <row r="81" s="31" customFormat="1" ht="14.25"/>
    <row r="82" s="31" customFormat="1" ht="14.25"/>
    <row r="83" s="31" customFormat="1" ht="14.25"/>
    <row r="84" s="31" customFormat="1" ht="14.25"/>
    <row r="85" s="31" customFormat="1" ht="14.25"/>
    <row r="86" s="31" customFormat="1" ht="14.25"/>
    <row r="87" s="31" customFormat="1" ht="14.25"/>
    <row r="88" s="31" customFormat="1" ht="14.25"/>
    <row r="89" s="31" customFormat="1" ht="14.25"/>
    <row r="90" s="31" customFormat="1" ht="14.25"/>
    <row r="91" s="31" customFormat="1" ht="14.25"/>
    <row r="92" s="31" customFormat="1" ht="14.25"/>
    <row r="93" s="31" customFormat="1" ht="14.25"/>
    <row r="94" s="31" customFormat="1" ht="14.25"/>
    <row r="95" s="31" customFormat="1" ht="14.25"/>
    <row r="96" s="31" customFormat="1" ht="14.25"/>
    <row r="97" s="31" customFormat="1" ht="14.25"/>
    <row r="98" s="31" customFormat="1" ht="14.25"/>
    <row r="99" s="31" customFormat="1" ht="14.25"/>
    <row r="100" s="31" customFormat="1" ht="14.25"/>
    <row r="101" s="31" customFormat="1" ht="14.25"/>
    <row r="102" s="31" customFormat="1" ht="14.25"/>
    <row r="103" s="31" customFormat="1" ht="14.25"/>
    <row r="104" s="31" customFormat="1" ht="14.25"/>
    <row r="105" s="31" customFormat="1" ht="14.25"/>
    <row r="106" s="31" customFormat="1" ht="14.25"/>
    <row r="107" s="31" customFormat="1" ht="14.25"/>
    <row r="108" s="31" customFormat="1" ht="14.25"/>
    <row r="109" s="31" customFormat="1" ht="14.25"/>
    <row r="110" s="31" customFormat="1" ht="14.25"/>
    <row r="111" s="31" customFormat="1" ht="14.25"/>
    <row r="112" s="31" customFormat="1" ht="14.25"/>
    <row r="113" s="31" customFormat="1" ht="14.25"/>
    <row r="114" s="31" customFormat="1" ht="14.25"/>
    <row r="115" s="31" customFormat="1" ht="14.25"/>
    <row r="116" s="31" customFormat="1" ht="14.25"/>
    <row r="117" s="31" customFormat="1" ht="14.25"/>
    <row r="118" s="31" customFormat="1" ht="14.25"/>
    <row r="119" s="31" customFormat="1" ht="14.25"/>
    <row r="120" s="31" customFormat="1" ht="14.25"/>
    <row r="121" s="31" customFormat="1" ht="14.25"/>
    <row r="122" s="31" customFormat="1" ht="14.25"/>
    <row r="123" s="31" customFormat="1" ht="14.25"/>
    <row r="124" s="31" customFormat="1" ht="14.25"/>
    <row r="125" s="31" customFormat="1" ht="14.25"/>
    <row r="126" s="31" customFormat="1" ht="14.25"/>
    <row r="127" s="31" customFormat="1" ht="14.25"/>
    <row r="128" s="31" customFormat="1" ht="14.25"/>
    <row r="129" s="31" customFormat="1" ht="14.25"/>
    <row r="130" s="31" customFormat="1" ht="14.25"/>
    <row r="131" s="31" customFormat="1" ht="14.25"/>
    <row r="132" s="31" customFormat="1" ht="14.25"/>
    <row r="133" s="31" customFormat="1" ht="14.25"/>
    <row r="134" s="31" customFormat="1" ht="14.25"/>
    <row r="135" s="31" customFormat="1" ht="14.25"/>
    <row r="136" s="31" customFormat="1" ht="14.25"/>
    <row r="137" s="31" customFormat="1" ht="14.25"/>
    <row r="138" s="31" customFormat="1" ht="14.25"/>
    <row r="139" s="31" customFormat="1" ht="14.25"/>
    <row r="140" s="31" customFormat="1" ht="14.25"/>
    <row r="141" s="31" customFormat="1" ht="14.25"/>
    <row r="142" s="31" customFormat="1" ht="14.25"/>
    <row r="143" s="31" customFormat="1" ht="14.25"/>
    <row r="144" s="31" customFormat="1" ht="14.25"/>
    <row r="145" s="31" customFormat="1" ht="14.25"/>
    <row r="146" s="31" customFormat="1" ht="14.25"/>
    <row r="147" s="31" customFormat="1" ht="14.25"/>
    <row r="148" s="31" customFormat="1" ht="14.25"/>
    <row r="149" s="31" customFormat="1" ht="14.25"/>
    <row r="150" s="31" customFormat="1" ht="14.25"/>
    <row r="151" s="31" customFormat="1" ht="14.25"/>
    <row r="152" s="31" customFormat="1" ht="14.25"/>
    <row r="153" s="31" customFormat="1" ht="14.25"/>
    <row r="154" s="31" customFormat="1" ht="14.25"/>
    <row r="155" s="31" customFormat="1" ht="14.25"/>
    <row r="156" s="31" customFormat="1" ht="14.25"/>
    <row r="157" s="31" customFormat="1" ht="14.25"/>
    <row r="158" s="31" customFormat="1" ht="14.25"/>
    <row r="159" s="31" customFormat="1" ht="14.25"/>
    <row r="160" s="31" customFormat="1" ht="14.25"/>
    <row r="161" s="31" customFormat="1" ht="14.25"/>
    <row r="162" s="31" customFormat="1" ht="14.25"/>
    <row r="163" s="31" customFormat="1" ht="14.25"/>
    <row r="164" s="31" customFormat="1" ht="14.25"/>
    <row r="165" s="31" customFormat="1" ht="14.25"/>
    <row r="166" s="31" customFormat="1" ht="14.25"/>
    <row r="167" s="31" customFormat="1" ht="14.25"/>
    <row r="168" s="31" customFormat="1" ht="14.25"/>
    <row r="169" s="31" customFormat="1" ht="14.25"/>
    <row r="170" s="31" customFormat="1" ht="14.25"/>
    <row r="171" s="31" customFormat="1" ht="14.25"/>
    <row r="172" s="31" customFormat="1" ht="14.25"/>
    <row r="173" s="31" customFormat="1" ht="14.25"/>
    <row r="174" s="31" customFormat="1" ht="14.25"/>
    <row r="175" s="31" customFormat="1" ht="14.25"/>
    <row r="176" s="31" customFormat="1" ht="14.25"/>
    <row r="177" s="31" customFormat="1" ht="14.25"/>
    <row r="178" s="31" customFormat="1" ht="14.25"/>
    <row r="179" s="31" customFormat="1" ht="14.25"/>
    <row r="180" s="31" customFormat="1" ht="14.25"/>
    <row r="181" s="31" customFormat="1" ht="14.25"/>
    <row r="182" s="31" customFormat="1" ht="14.25"/>
    <row r="183" s="31" customFormat="1" ht="14.25"/>
    <row r="184" s="31" customFormat="1" ht="14.25"/>
    <row r="185" s="31" customFormat="1" ht="14.25"/>
    <row r="186" s="31" customFormat="1" ht="14.25"/>
    <row r="187" s="31" customFormat="1" ht="14.25"/>
    <row r="188" s="31" customFormat="1" ht="14.25"/>
    <row r="189" s="31" customFormat="1" ht="14.25"/>
    <row r="190" s="31" customFormat="1" ht="14.25"/>
    <row r="191" s="31" customFormat="1" ht="14.25"/>
    <row r="192" s="31" customFormat="1" ht="14.25"/>
    <row r="193" s="31" customFormat="1" ht="14.25"/>
    <row r="194" s="31" customFormat="1" ht="14.25"/>
    <row r="195" s="31" customFormat="1" ht="14.25"/>
    <row r="196" s="31" customFormat="1" ht="14.25"/>
    <row r="197" s="31" customFormat="1" ht="14.25"/>
    <row r="198" s="31" customFormat="1" ht="14.25"/>
    <row r="199" s="31" customFormat="1" ht="14.25"/>
    <row r="200" s="31" customFormat="1" ht="14.25"/>
    <row r="201" s="31" customFormat="1" ht="14.25"/>
    <row r="202" s="31" customFormat="1" ht="14.25"/>
    <row r="203" s="31" customFormat="1" ht="14.25"/>
    <row r="204" s="31" customFormat="1" ht="14.25"/>
    <row r="205" s="31" customFormat="1" ht="14.25"/>
    <row r="206" s="31" customFormat="1" ht="14.25"/>
    <row r="207" s="31" customFormat="1" ht="14.25"/>
    <row r="208" s="31" customFormat="1" ht="14.25"/>
    <row r="209" s="31" customFormat="1" ht="14.25"/>
    <row r="210" s="31" customFormat="1" ht="14.25"/>
    <row r="211" s="31" customFormat="1" ht="14.25"/>
    <row r="212" s="31" customFormat="1" ht="14.25"/>
    <row r="213" s="31" customFormat="1" ht="14.25"/>
    <row r="214" s="31" customFormat="1" ht="14.25"/>
    <row r="215" s="31" customFormat="1" ht="14.25"/>
    <row r="216" s="31" customFormat="1" ht="14.25"/>
    <row r="217" s="31" customFormat="1" ht="14.25"/>
    <row r="218" s="31" customFormat="1" ht="14.25"/>
    <row r="219" s="31" customFormat="1" ht="14.25"/>
    <row r="220" s="31" customFormat="1" ht="14.25"/>
    <row r="221" s="31" customFormat="1" ht="14.25"/>
    <row r="222" s="31" customFormat="1" ht="14.25"/>
    <row r="223" s="31" customFormat="1" ht="14.25"/>
    <row r="224" s="31" customFormat="1" ht="14.25"/>
    <row r="225" s="31" customFormat="1" ht="14.25"/>
    <row r="226" s="31" customFormat="1" ht="14.25"/>
    <row r="227" s="31" customFormat="1" ht="14.25"/>
    <row r="228" s="31" customFormat="1" ht="14.25"/>
    <row r="229" s="31" customFormat="1" ht="14.25"/>
    <row r="230" s="31" customFormat="1" ht="14.25"/>
    <row r="231" s="31" customFormat="1" ht="14.25"/>
    <row r="232" s="31" customFormat="1" ht="14.25"/>
    <row r="233" s="31" customFormat="1" ht="14.25"/>
    <row r="234" s="31" customFormat="1" ht="14.25"/>
    <row r="235" s="31" customFormat="1" ht="14.25"/>
    <row r="236" s="31" customFormat="1" ht="14.25"/>
    <row r="237" s="31" customFormat="1" ht="14.25"/>
    <row r="238" s="31" customFormat="1" ht="14.25"/>
    <row r="239" s="31" customFormat="1" ht="14.25"/>
    <row r="240" s="31" customFormat="1" ht="14.25"/>
    <row r="241" s="31" customFormat="1" ht="14.25"/>
    <row r="242" s="31" customFormat="1" ht="14.25"/>
    <row r="243" s="31" customFormat="1" ht="14.25"/>
    <row r="244" s="31" customFormat="1" ht="14.25"/>
    <row r="245" s="31" customFormat="1" ht="14.25"/>
    <row r="246" s="31" customFormat="1" ht="14.25"/>
    <row r="247" s="31" customFormat="1" ht="14.25"/>
    <row r="248" s="31" customFormat="1" ht="14.25"/>
    <row r="249" s="31" customFormat="1" ht="14.25"/>
    <row r="250" s="31" customFormat="1" ht="14.25"/>
    <row r="251" s="31" customFormat="1" ht="14.25"/>
    <row r="252" s="31" customFormat="1" ht="14.25"/>
    <row r="253" s="31" customFormat="1" ht="14.25"/>
    <row r="254" s="31" customFormat="1" ht="14.25"/>
    <row r="255" s="31" customFormat="1" ht="14.25"/>
    <row r="256" s="31" customFormat="1" ht="14.25"/>
    <row r="257" s="31" customFormat="1" ht="14.25"/>
    <row r="258" s="31" customFormat="1" ht="14.25"/>
    <row r="259" s="31" customFormat="1" ht="14.25"/>
    <row r="260" s="31" customFormat="1" ht="14.25"/>
    <row r="261" s="31" customFormat="1" ht="14.25"/>
    <row r="262" s="31" customFormat="1" ht="14.25"/>
    <row r="263" s="31" customFormat="1" ht="14.25"/>
    <row r="264" s="31" customFormat="1" ht="14.25"/>
    <row r="265" s="31" customFormat="1" ht="14.25"/>
    <row r="266" s="31" customFormat="1" ht="14.25"/>
    <row r="267" s="31" customFormat="1" ht="14.25"/>
    <row r="268" s="31" customFormat="1" ht="14.25"/>
    <row r="269" s="31" customFormat="1" ht="14.25"/>
    <row r="270" s="31" customFormat="1" ht="14.25"/>
    <row r="271" s="31" customFormat="1" ht="14.25"/>
    <row r="272" s="31" customFormat="1" ht="14.25"/>
    <row r="273" s="31" customFormat="1" ht="14.25"/>
    <row r="274" s="31" customFormat="1" ht="14.25"/>
    <row r="275" s="31" customFormat="1" ht="14.25"/>
    <row r="276" s="31" customFormat="1" ht="14.25"/>
    <row r="277" s="31" customFormat="1" ht="14.25"/>
    <row r="278" s="31" customFormat="1" ht="14.25"/>
    <row r="279" s="31" customFormat="1" ht="14.25"/>
    <row r="280" s="31" customFormat="1" ht="14.25"/>
    <row r="281" s="31" customFormat="1" ht="14.25"/>
    <row r="282" s="31" customFormat="1" ht="14.25"/>
    <row r="283" s="31" customFormat="1" ht="14.25"/>
    <row r="284" s="31" customFormat="1" ht="14.25"/>
    <row r="285" s="31" customFormat="1" ht="14.25"/>
    <row r="286" s="31" customFormat="1" ht="14.25"/>
    <row r="287" s="31" customFormat="1" ht="14.25"/>
    <row r="288" s="31" customFormat="1" ht="14.25"/>
    <row r="289" s="31" customFormat="1" ht="14.25"/>
    <row r="290" s="31" customFormat="1" ht="14.25"/>
    <row r="291" s="31" customFormat="1" ht="14.25"/>
    <row r="292" s="31" customFormat="1" ht="14.25"/>
    <row r="293" s="31" customFormat="1" ht="14.25"/>
    <row r="294" s="31" customFormat="1" ht="14.25"/>
    <row r="295" s="31" customFormat="1" ht="14.25"/>
    <row r="296" s="31" customFormat="1" ht="14.25"/>
    <row r="297" s="31" customFormat="1" ht="14.25"/>
    <row r="298" s="31" customFormat="1" ht="14.25"/>
    <row r="299" s="31" customFormat="1" ht="14.25"/>
    <row r="300" s="31" customFormat="1" ht="14.25"/>
    <row r="301" s="31" customFormat="1" ht="14.25"/>
    <row r="302" s="31" customFormat="1" ht="14.25"/>
    <row r="303" s="31" customFormat="1" ht="14.25"/>
    <row r="304" s="31" customFormat="1" ht="14.25"/>
    <row r="305" s="31" customFormat="1" ht="14.25"/>
    <row r="306" s="31" customFormat="1" ht="14.25"/>
    <row r="307" s="31" customFormat="1" ht="14.25"/>
    <row r="308" s="31" customFormat="1" ht="14.25"/>
    <row r="309" s="31" customFormat="1" ht="14.25"/>
    <row r="310" s="31" customFormat="1" ht="14.25"/>
    <row r="311" s="31" customFormat="1" ht="14.25"/>
    <row r="312" s="31" customFormat="1" ht="14.25"/>
    <row r="313" s="31" customFormat="1" ht="14.25"/>
    <row r="314" s="31" customFormat="1" ht="14.25"/>
    <row r="315" s="31" customFormat="1" ht="14.25"/>
    <row r="316" s="31" customFormat="1" ht="14.25"/>
    <row r="317" s="31" customFormat="1" ht="14.25"/>
    <row r="318" s="31" customFormat="1" ht="14.25"/>
    <row r="319" s="31" customFormat="1" ht="14.25"/>
    <row r="320" s="31" customFormat="1" ht="14.25"/>
    <row r="321" s="31" customFormat="1" ht="14.25"/>
    <row r="322" s="31" customFormat="1" ht="14.25"/>
    <row r="323" s="31" customFormat="1" ht="14.25"/>
    <row r="324" s="31" customFormat="1" ht="14.25"/>
    <row r="325" s="31" customFormat="1" ht="14.25"/>
    <row r="326" s="31" customFormat="1" ht="14.25"/>
    <row r="327" s="31" customFormat="1" ht="14.25"/>
    <row r="328" s="31" customFormat="1" ht="14.25"/>
    <row r="329" s="31" customFormat="1" ht="14.25"/>
    <row r="330" s="31" customFormat="1" ht="14.25"/>
    <row r="331" s="31" customFormat="1" ht="14.25"/>
    <row r="332" s="31" customFormat="1" ht="14.25"/>
    <row r="333" s="31" customFormat="1" ht="14.25"/>
    <row r="334" s="31" customFormat="1" ht="14.25"/>
    <row r="335" s="31" customFormat="1" ht="14.25"/>
    <row r="336" s="31" customFormat="1" ht="14.25"/>
    <row r="337" s="31" customFormat="1" ht="14.25"/>
    <row r="338" s="31" customFormat="1" ht="14.25"/>
    <row r="339" s="31" customFormat="1" ht="14.25"/>
    <row r="340" s="31" customFormat="1" ht="14.25"/>
    <row r="341" s="31" customFormat="1" ht="14.25"/>
    <row r="342" s="31" customFormat="1" ht="14.25"/>
    <row r="343" s="31" customFormat="1" ht="14.25"/>
    <row r="344" s="31" customFormat="1" ht="14.25"/>
    <row r="345" s="31" customFormat="1" ht="14.25"/>
    <row r="346" s="31" customFormat="1" ht="14.25"/>
    <row r="347" s="31" customFormat="1" ht="14.25"/>
    <row r="348" s="31" customFormat="1" ht="14.25"/>
    <row r="349" s="31" customFormat="1" ht="14.25"/>
    <row r="350" s="31" customFormat="1" ht="14.25"/>
    <row r="351" s="31" customFormat="1" ht="14.25"/>
    <row r="352" s="31" customFormat="1" ht="14.25"/>
    <row r="353" s="31" customFormat="1" ht="14.25"/>
    <row r="354" s="31" customFormat="1" ht="14.25"/>
    <row r="355" s="31" customFormat="1" ht="14.25"/>
    <row r="356" s="31" customFormat="1" ht="14.25"/>
    <row r="357" s="31" customFormat="1" ht="14.25"/>
    <row r="358" s="31" customFormat="1" ht="14.25"/>
    <row r="359" s="31" customFormat="1" ht="14.25"/>
    <row r="360" s="31" customFormat="1" ht="14.25"/>
    <row r="361" s="31" customFormat="1" ht="14.25"/>
    <row r="362" s="31" customFormat="1" ht="14.25"/>
    <row r="363" s="31" customFormat="1" ht="14.25"/>
    <row r="364" s="31" customFormat="1" ht="14.25"/>
    <row r="365" s="31" customFormat="1" ht="14.25"/>
    <row r="366" s="31" customFormat="1" ht="14.25"/>
    <row r="367" s="31" customFormat="1" ht="14.25"/>
    <row r="368" s="31" customFormat="1" ht="14.25"/>
    <row r="369" s="31" customFormat="1" ht="14.25"/>
    <row r="370" s="31" customFormat="1" ht="14.25"/>
    <row r="371" s="31" customFormat="1" ht="14.25"/>
    <row r="372" s="31" customFormat="1" ht="14.25"/>
    <row r="373" s="31" customFormat="1" ht="14.25"/>
    <row r="374" s="31" customFormat="1" ht="14.25"/>
    <row r="375" s="31" customFormat="1" ht="14.25"/>
    <row r="376" s="31" customFormat="1" ht="14.25"/>
    <row r="377" s="31" customFormat="1" ht="14.25"/>
    <row r="378" s="31" customFormat="1" ht="14.25"/>
    <row r="379" s="31" customFormat="1" ht="14.25"/>
    <row r="380" s="31" customFormat="1" ht="14.25"/>
    <row r="381" s="31" customFormat="1" ht="14.25"/>
    <row r="382" s="31" customFormat="1" ht="14.25"/>
    <row r="383" s="31" customFormat="1" ht="14.25"/>
    <row r="384" s="31" customFormat="1" ht="14.25"/>
    <row r="385" s="31" customFormat="1" ht="14.25"/>
    <row r="386" s="31" customFormat="1" ht="14.25"/>
    <row r="387" s="31" customFormat="1" ht="14.25"/>
    <row r="388" s="31" customFormat="1" ht="14.25"/>
    <row r="389" s="31" customFormat="1" ht="14.25"/>
    <row r="390" s="31" customFormat="1" ht="14.25"/>
    <row r="391" s="31" customFormat="1" ht="14.25"/>
    <row r="392" s="31" customFormat="1" ht="14.25"/>
    <row r="393" s="31" customFormat="1" ht="14.25"/>
    <row r="394" s="31" customFormat="1" ht="14.25"/>
    <row r="395" s="31" customFormat="1" ht="14.25"/>
    <row r="396" s="31" customFormat="1" ht="14.25"/>
    <row r="397" s="31" customFormat="1" ht="14.25"/>
    <row r="398" s="31" customFormat="1" ht="14.25"/>
    <row r="399" s="31" customFormat="1" ht="14.25"/>
    <row r="400" s="31" customFormat="1" ht="14.25"/>
    <row r="401" s="31" customFormat="1" ht="14.25"/>
    <row r="402" s="31" customFormat="1" ht="14.25"/>
    <row r="403" s="31" customFormat="1" ht="14.25"/>
    <row r="404" s="31" customFormat="1" ht="14.25"/>
    <row r="405" s="31" customFormat="1" ht="14.25"/>
    <row r="406" s="31" customFormat="1" ht="14.25"/>
    <row r="407" s="31" customFormat="1" ht="14.25"/>
    <row r="408" s="31" customFormat="1" ht="14.25"/>
    <row r="1000" ht="14.25">
      <c r="A1000" t="s">
        <v>396</v>
      </c>
    </row>
  </sheetData>
  <sheetProtection/>
  <conditionalFormatting sqref="B15:B16">
    <cfRule type="cellIs" priority="6" dxfId="14" operator="notEqual">
      <formula>0</formula>
    </cfRule>
  </conditionalFormatting>
  <conditionalFormatting sqref="C15:C16">
    <cfRule type="cellIs" priority="5" dxfId="14" operator="notEqual">
      <formula>0</formula>
    </cfRule>
  </conditionalFormatting>
  <conditionalFormatting sqref="D15:D16">
    <cfRule type="cellIs" priority="4" dxfId="14" operator="notEqual">
      <formula>0</formula>
    </cfRule>
  </conditionalFormatting>
  <conditionalFormatting sqref="E15:I16">
    <cfRule type="cellIs" priority="3" dxfId="14" operator="notEqual">
      <formula>0</formula>
    </cfRule>
  </conditionalFormatting>
  <conditionalFormatting sqref="B31:I32">
    <cfRule type="cellIs" priority="2" dxfId="14" operator="notEqual">
      <formula>0</formula>
    </cfRule>
  </conditionalFormatting>
  <conditionalFormatting sqref="B47:I47">
    <cfRule type="cellIs" priority="1" dxfId="14"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O21" sqref="O2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6.5">
      <c r="A1" s="95" t="str">
        <f>HLOOKUP(INDICE!$F$2,Nombres!$C$3:$D$636,161,FALSE)</f>
        <v>Tipos de cambio</v>
      </c>
      <c r="B1" s="95"/>
      <c r="C1" s="96"/>
      <c r="D1" s="96"/>
      <c r="E1" s="96"/>
      <c r="F1" s="96"/>
      <c r="G1" s="96"/>
      <c r="H1" s="96"/>
      <c r="I1" s="96"/>
      <c r="J1" s="118"/>
      <c r="K1" s="97"/>
      <c r="L1" s="97"/>
      <c r="M1" s="97"/>
      <c r="N1" s="163"/>
      <c r="O1" s="163"/>
      <c r="P1" s="163"/>
      <c r="Q1" s="163"/>
      <c r="R1" s="163"/>
      <c r="S1" s="163"/>
      <c r="T1" s="163"/>
      <c r="U1" s="163"/>
      <c r="V1" s="163"/>
      <c r="W1" s="163"/>
    </row>
    <row r="2" spans="1:13" ht="14.25">
      <c r="A2" s="164" t="str">
        <f>HLOOKUP(INDICE!$F$2,Nombres!$C$3:$D$636,162,FALSE)</f>
        <v>(Expresados en divisa/euro)</v>
      </c>
      <c r="B2" s="164"/>
      <c r="C2" s="165"/>
      <c r="D2" s="165"/>
      <c r="E2" s="165"/>
      <c r="F2" s="165"/>
      <c r="G2" s="165"/>
      <c r="H2" s="165"/>
      <c r="I2" s="165"/>
      <c r="J2" s="118"/>
      <c r="K2" s="97"/>
      <c r="L2" s="97"/>
      <c r="M2" s="97"/>
    </row>
    <row r="3" spans="1:9" ht="19.5">
      <c r="A3" s="166"/>
      <c r="B3" s="166"/>
      <c r="C3" s="309" t="str">
        <f>HLOOKUP(INDICE!$F$2,Nombres!$C$3:$D$636,163,FALSE)</f>
        <v>Cambios finales (*)</v>
      </c>
      <c r="D3" s="309"/>
      <c r="E3" s="309"/>
      <c r="F3" s="167"/>
      <c r="G3" s="168"/>
      <c r="H3" s="309" t="str">
        <f>HLOOKUP(INDICE!$F$2,Nombres!$C$3:$D$636,164,FALSE)</f>
        <v>Cambios medios (**)</v>
      </c>
      <c r="I3" s="309"/>
    </row>
    <row r="4" spans="1:9" ht="14.25">
      <c r="A4" s="100"/>
      <c r="B4" s="100"/>
      <c r="C4" s="76"/>
      <c r="D4" s="169" t="str">
        <f>HLOOKUP(INDICE!$F$2,Nombres!$C$3:$D$636,165,FALSE)</f>
        <v>∆% sobre</v>
      </c>
      <c r="E4" s="169" t="str">
        <f>HLOOKUP(INDICE!$F$2,Nombres!$C$3:$D$636,165,FALSE)</f>
        <v>∆% sobre</v>
      </c>
      <c r="F4" s="167"/>
      <c r="G4" s="168"/>
      <c r="H4" s="170"/>
      <c r="I4" s="169" t="str">
        <f>HLOOKUP(INDICE!$F$2,Nombres!$C$3:$D$636,165,FALSE)</f>
        <v>∆% sobre</v>
      </c>
    </row>
    <row r="5" spans="1:9" ht="14.25">
      <c r="A5" s="100"/>
      <c r="B5" s="100"/>
      <c r="C5" s="171">
        <v>44286</v>
      </c>
      <c r="D5" s="171">
        <f>DATE(YEAR(C5),MONTH(C5)-12,DAY(C5))</f>
        <v>43921</v>
      </c>
      <c r="E5" s="171">
        <v>44196</v>
      </c>
      <c r="F5" s="172"/>
      <c r="G5" s="173"/>
      <c r="H5" s="171">
        <f>+C5</f>
        <v>44286</v>
      </c>
      <c r="I5" s="174">
        <f>+D5</f>
        <v>43921</v>
      </c>
    </row>
    <row r="6" spans="1:9" ht="14.25">
      <c r="A6" s="59" t="str">
        <f>HLOOKUP(INDICE!$F$2,Nombres!$C$3:$D$636,152,FALSE)</f>
        <v>Peso mexicano</v>
      </c>
      <c r="B6" s="59"/>
      <c r="C6" s="175">
        <v>24.050600000003374</v>
      </c>
      <c r="D6" s="176">
        <v>0.08842191046101333</v>
      </c>
      <c r="E6" s="176">
        <v>0.015192968167232479</v>
      </c>
      <c r="F6" s="177"/>
      <c r="G6" s="58"/>
      <c r="H6" s="175">
        <v>24.527221999809523</v>
      </c>
      <c r="I6" s="176">
        <v>-0.0992952646621732</v>
      </c>
    </row>
    <row r="7" spans="1:9" ht="14.25">
      <c r="A7" s="59" t="str">
        <f>HLOOKUP(INDICE!$F$2,Nombres!$C$3:$D$636,153,FALSE)</f>
        <v>Dólar estadounidense</v>
      </c>
      <c r="B7" s="59"/>
      <c r="C7" s="175">
        <v>1.1724999999996746</v>
      </c>
      <c r="D7" s="176">
        <v>-0.06558635394399825</v>
      </c>
      <c r="E7" s="176">
        <v>0.046567164178760834</v>
      </c>
      <c r="F7" s="145"/>
      <c r="G7" s="58"/>
      <c r="H7" s="175">
        <v>1.2048470000006413</v>
      </c>
      <c r="I7" s="176">
        <v>-0.08481325844698095</v>
      </c>
    </row>
    <row r="8" spans="1:9" ht="14.25">
      <c r="A8" s="59" t="str">
        <f>HLOOKUP(INDICE!$F$2,Nombres!$C$3:$D$636,154,FALSE)</f>
        <v>Peso argentino</v>
      </c>
      <c r="B8" s="281" t="s">
        <v>425</v>
      </c>
      <c r="C8" s="282">
        <v>107.82110699473822</v>
      </c>
      <c r="D8" s="176">
        <v>-0.3449056036394932</v>
      </c>
      <c r="E8" s="176">
        <v>-0.04235513918295586</v>
      </c>
      <c r="F8" s="145"/>
      <c r="G8" s="58"/>
      <c r="H8" s="277" t="s">
        <v>418</v>
      </c>
      <c r="I8" s="277" t="s">
        <v>418</v>
      </c>
    </row>
    <row r="9" spans="1:9" ht="14.25">
      <c r="A9" s="59" t="str">
        <f>HLOOKUP(INDICE!$F$2,Nombres!$C$3:$D$636,155,FALSE)</f>
        <v>Peso chileno</v>
      </c>
      <c r="B9" s="59"/>
      <c r="C9" s="175">
        <v>858.398974680881</v>
      </c>
      <c r="D9" s="176">
        <v>0.08015772097784857</v>
      </c>
      <c r="E9" s="176">
        <v>0.0163184841911872</v>
      </c>
      <c r="F9" s="145"/>
      <c r="G9" s="58"/>
      <c r="H9" s="175">
        <v>872.589526188896</v>
      </c>
      <c r="I9" s="176">
        <v>0.014606127606364705</v>
      </c>
    </row>
    <row r="10" spans="1:9" ht="14.25">
      <c r="A10" s="59" t="str">
        <f>HLOOKUP(INDICE!$F$2,Nombres!$C$3:$D$636,156,FALSE)</f>
        <v>Peso colombiano</v>
      </c>
      <c r="B10" s="59"/>
      <c r="C10" s="175">
        <v>4381.526982746664</v>
      </c>
      <c r="D10" s="176">
        <v>0.01640497993736223</v>
      </c>
      <c r="E10" s="176">
        <v>-0.03868656405055282</v>
      </c>
      <c r="F10" s="145"/>
      <c r="G10" s="58"/>
      <c r="H10" s="175">
        <v>4284.1761379554755</v>
      </c>
      <c r="I10" s="176">
        <v>-0.08957067740638658</v>
      </c>
    </row>
    <row r="11" spans="1:9" ht="14.25">
      <c r="A11" s="59" t="str">
        <f>HLOOKUP(INDICE!$F$2,Nombres!$C$3:$D$636,157,FALSE)</f>
        <v>Sol peruano</v>
      </c>
      <c r="B11" s="59"/>
      <c r="C11" s="175">
        <v>4.411882999994871</v>
      </c>
      <c r="D11" s="176">
        <v>-0.14947200549105988</v>
      </c>
      <c r="E11" s="176">
        <v>0.007961906514563966</v>
      </c>
      <c r="F11" s="145"/>
      <c r="G11" s="58"/>
      <c r="H11" s="175">
        <v>4.410521999999125</v>
      </c>
      <c r="I11" s="176">
        <v>-0.14913064711974489</v>
      </c>
    </row>
    <row r="12" spans="1:9" ht="14.25">
      <c r="A12" s="59" t="str">
        <f>HLOOKUP(INDICE!$F$2,Nombres!$C$3:$D$636,158,FALSE)</f>
        <v>Lira turca</v>
      </c>
      <c r="B12" s="59"/>
      <c r="C12" s="175">
        <v>9.725000000013615</v>
      </c>
      <c r="D12" s="176">
        <v>-0.2589922879190246</v>
      </c>
      <c r="E12" s="176">
        <v>-0.06292030848550645</v>
      </c>
      <c r="F12" s="145"/>
      <c r="G12" s="58"/>
      <c r="H12" s="175">
        <v>8.91558400000363</v>
      </c>
      <c r="I12" s="176">
        <v>-0.24370192687321524</v>
      </c>
    </row>
    <row r="13" spans="1:9" ht="14.25">
      <c r="A13" s="99"/>
      <c r="B13" s="99"/>
      <c r="D13" s="178"/>
      <c r="E13" s="178"/>
      <c r="F13" s="178"/>
      <c r="G13" s="178"/>
      <c r="H13" s="99"/>
      <c r="I13" s="99"/>
    </row>
    <row r="14" spans="1:9" ht="14.25">
      <c r="A14" s="99"/>
      <c r="B14" s="99"/>
      <c r="C14" s="179"/>
      <c r="D14" s="178"/>
      <c r="E14" s="178"/>
      <c r="F14" s="178"/>
      <c r="G14" s="178"/>
      <c r="H14" s="99"/>
      <c r="I14" s="99"/>
    </row>
    <row r="15" spans="1:9" ht="14.25">
      <c r="A15" s="117" t="str">
        <f>HLOOKUP(INDICE!$F$2,Nombres!$C$3:$D$636,159,FALSE)</f>
        <v>(*) Utilizados en el cálculo de euros constantes de los datos de balance y actividad</v>
      </c>
      <c r="B15" s="117"/>
      <c r="C15" s="129"/>
      <c r="D15" s="129"/>
      <c r="E15" s="129"/>
      <c r="F15" s="178"/>
      <c r="G15" s="178"/>
      <c r="H15" s="99"/>
      <c r="I15" s="99"/>
    </row>
    <row r="16" spans="1:9" ht="14.25">
      <c r="A16" s="117" t="str">
        <f>HLOOKUP(INDICE!$F$2,Nombres!$C$3:$D$636,160,FALSE)</f>
        <v>(**) Utilizados en el cálculo de euros constantes de los datos de resultados</v>
      </c>
      <c r="B16" s="117"/>
      <c r="C16" s="129"/>
      <c r="D16" s="129"/>
      <c r="E16" s="129"/>
      <c r="F16" s="178"/>
      <c r="G16" s="178"/>
      <c r="H16" s="99"/>
      <c r="I16" s="99"/>
    </row>
    <row r="17" ht="14.25">
      <c r="A17" s="117" t="str">
        <f>HLOOKUP(INDICE!$F$2,Nombres!$C$3:$D$636,256,FALSE)</f>
        <v>(1) En aplicación de la NIC 29 "Información en economías hiperinflacionarias", la conversión de la cuenta de resultados de Argentina se hace empleando el tipo de cambio final.</v>
      </c>
    </row>
    <row r="20" ht="14.25">
      <c r="D20" s="178"/>
    </row>
    <row r="25" spans="3:5" ht="14.25">
      <c r="C25" s="299"/>
      <c r="D25" s="299"/>
      <c r="E25" s="299"/>
    </row>
    <row r="27" ht="14.25">
      <c r="E27" s="299"/>
    </row>
    <row r="1000" ht="14.25">
      <c r="A1000" t="s">
        <v>396</v>
      </c>
    </row>
  </sheetData>
  <sheetProtection/>
  <mergeCells count="2">
    <mergeCell ref="C3:E3"/>
    <mergeCell ref="H3:I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B1" sqref="B1"/>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2020-2021</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43"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72"/>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05"/>
      <c r="D37" s="305"/>
      <c r="E37" s="305"/>
      <c r="F37" s="305"/>
      <c r="G37" s="305"/>
      <c r="H37" s="305"/>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90"/>
    </row>
    <row r="1003" ht="23.25" customHeight="1">
      <c r="A1003" s="1" t="s">
        <v>396</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P17" sqref="P17"/>
    </sheetView>
  </sheetViews>
  <sheetFormatPr defaultColWidth="11.421875" defaultRowHeight="15"/>
  <cols>
    <col min="1" max="1" width="30.7109375" style="181" customWidth="1"/>
    <col min="2" max="6" width="10.7109375" style="181" customWidth="1"/>
    <col min="7" max="9" width="10.7109375" style="181" hidden="1" customWidth="1"/>
    <col min="10" max="255" width="11.421875" style="181" customWidth="1"/>
  </cols>
  <sheetData>
    <row r="1" spans="1:9" ht="19.5">
      <c r="A1" s="95" t="str">
        <f>HLOOKUP(INDICE!$F$2,Nombres!$C$3:$D$636,171,FALSE)</f>
        <v>Diferenciales de la clientela (*)</v>
      </c>
      <c r="B1" s="180"/>
      <c r="C1" s="180"/>
      <c r="D1" s="180"/>
      <c r="E1" s="180"/>
      <c r="F1" s="180"/>
      <c r="G1" s="258"/>
      <c r="H1" s="258"/>
      <c r="I1" s="258"/>
    </row>
    <row r="2" spans="1:9" ht="19.5">
      <c r="A2" s="182" t="str">
        <f>HLOOKUP(INDICE!$F$2,Nombres!$C$3:$D$636,172,FALSE)</f>
        <v>(Porcentaje)</v>
      </c>
      <c r="B2" s="183"/>
      <c r="C2" s="183"/>
      <c r="D2" s="183"/>
      <c r="E2" s="183"/>
      <c r="F2" s="183"/>
      <c r="G2" s="184"/>
      <c r="H2" s="184"/>
      <c r="I2" s="184"/>
    </row>
    <row r="3" spans="1:9" ht="14.25">
      <c r="A3" s="184"/>
      <c r="B3" s="310">
        <f>+España!B6</f>
        <v>2020</v>
      </c>
      <c r="C3" s="310"/>
      <c r="D3" s="310"/>
      <c r="E3" s="310"/>
      <c r="F3" s="310">
        <f>+España!F6</f>
        <v>2021</v>
      </c>
      <c r="G3" s="310"/>
      <c r="H3" s="310"/>
      <c r="I3" s="310"/>
    </row>
    <row r="4" spans="1:9" ht="14.25">
      <c r="A4" s="145"/>
      <c r="B4" s="185" t="str">
        <f>HLOOKUP(INDICE!$F$2,Nombres!$C$3:$D$636,167,FALSE)</f>
        <v>1er Trim.</v>
      </c>
      <c r="C4" s="185" t="str">
        <f>HLOOKUP(INDICE!$F$2,Nombres!$C$3:$D$636,168,FALSE)</f>
        <v>2º Trim.</v>
      </c>
      <c r="D4" s="185" t="str">
        <f>HLOOKUP(INDICE!$F$2,Nombres!$C$3:$D$636,169,FALSE)</f>
        <v>3er Trim.</v>
      </c>
      <c r="E4" s="185" t="str">
        <f>HLOOKUP(INDICE!$F$2,Nombres!$C$3:$D$636,170,FALSE)</f>
        <v>4º Trim.</v>
      </c>
      <c r="F4" s="185" t="str">
        <f>HLOOKUP(INDICE!$F$2,Nombres!$C$3:$D$636,167,FALSE)</f>
        <v>1er Trim.</v>
      </c>
      <c r="G4" s="185" t="str">
        <f>HLOOKUP(INDICE!$F$2,Nombres!$C$3:$D$636,168,FALSE)</f>
        <v>2º Trim.</v>
      </c>
      <c r="H4" s="185" t="str">
        <f>HLOOKUP(INDICE!$F$2,Nombres!$C$3:$D$636,169,FALSE)</f>
        <v>3er Trim.</v>
      </c>
      <c r="I4" s="185" t="str">
        <f>HLOOKUP(INDICE!$F$2,Nombres!$C$3:$D$636,170,FALSE)</f>
        <v>4º Trim.</v>
      </c>
    </row>
    <row r="5" spans="1:9" ht="14.25">
      <c r="A5" s="145"/>
      <c r="B5" s="102"/>
      <c r="C5" s="102"/>
      <c r="D5" s="102"/>
      <c r="E5" s="102"/>
      <c r="F5" s="102"/>
      <c r="G5" s="184"/>
      <c r="H5" s="184"/>
      <c r="I5" s="184"/>
    </row>
    <row r="6" spans="1:30" ht="14.25">
      <c r="A6" s="186" t="str">
        <f>HLOOKUP(INDICE!$F$2,Nombres!$C$3:$D$636,173,FALSE)</f>
        <v>Rentabilidad de los prestamos</v>
      </c>
      <c r="B6" s="187">
        <v>0.0198168567422495</v>
      </c>
      <c r="C6" s="187">
        <v>0.019288938292984264</v>
      </c>
      <c r="D6" s="187">
        <v>0.018946625820569267</v>
      </c>
      <c r="E6" s="187">
        <v>0.01831873848420169</v>
      </c>
      <c r="F6" s="187">
        <v>0.01767174073727823</v>
      </c>
      <c r="G6" s="187">
        <v>0</v>
      </c>
      <c r="H6" s="187">
        <v>0</v>
      </c>
      <c r="I6" s="187">
        <v>0</v>
      </c>
      <c r="J6" s="300"/>
      <c r="K6" s="289"/>
      <c r="L6" s="289"/>
      <c r="M6" s="289"/>
      <c r="O6" s="188"/>
      <c r="P6" s="188"/>
      <c r="Q6" s="188"/>
      <c r="R6" s="188"/>
      <c r="W6" s="188"/>
      <c r="X6" s="188"/>
      <c r="Y6" s="188"/>
      <c r="Z6" s="188"/>
      <c r="AA6" s="188"/>
      <c r="AB6" s="188"/>
      <c r="AC6" s="188"/>
      <c r="AD6" s="188"/>
    </row>
    <row r="7" spans="1:30" ht="14.25">
      <c r="A7" s="186" t="str">
        <f>HLOOKUP(INDICE!$F$2,Nombres!$C$3:$D$636,174,FALSE)</f>
        <v>Coste de los depositos</v>
      </c>
      <c r="B7" s="187">
        <v>-0.00028402603307544824</v>
      </c>
      <c r="C7" s="187">
        <v>-0.00010085432128469275</v>
      </c>
      <c r="D7" s="187">
        <v>-6.466098165346204E-05</v>
      </c>
      <c r="E7" s="187">
        <v>-7.0464398659124E-05</v>
      </c>
      <c r="F7" s="187">
        <v>9.47026434626069E-06</v>
      </c>
      <c r="G7" s="187">
        <v>0</v>
      </c>
      <c r="H7" s="187">
        <v>0</v>
      </c>
      <c r="I7" s="187">
        <v>0</v>
      </c>
      <c r="J7" s="300"/>
      <c r="K7" s="289"/>
      <c r="L7" s="289"/>
      <c r="M7" s="289"/>
      <c r="O7" s="188"/>
      <c r="P7" s="188"/>
      <c r="Q7" s="188"/>
      <c r="R7" s="188"/>
      <c r="W7" s="188"/>
      <c r="X7" s="188"/>
      <c r="Y7" s="188"/>
      <c r="Z7" s="188"/>
      <c r="AA7" s="188"/>
      <c r="AB7" s="188"/>
      <c r="AC7" s="188"/>
      <c r="AD7" s="188"/>
    </row>
    <row r="8" spans="1:30" ht="14.25">
      <c r="A8" s="189" t="str">
        <f>HLOOKUP(INDICE!$F$2,Nombres!$C$3:$D$636,175,FALSE)</f>
        <v>Actividad bancaria en España</v>
      </c>
      <c r="B8" s="190">
        <v>0.01953283070917405</v>
      </c>
      <c r="C8" s="190">
        <v>0.01918808397169957</v>
      </c>
      <c r="D8" s="190">
        <v>0.018881964838915806</v>
      </c>
      <c r="E8" s="190">
        <v>0.018248274085542568</v>
      </c>
      <c r="F8" s="190">
        <v>0.01768121100162449</v>
      </c>
      <c r="G8" s="190">
        <v>0</v>
      </c>
      <c r="H8" s="190">
        <v>0</v>
      </c>
      <c r="I8" s="190">
        <v>0</v>
      </c>
      <c r="J8" s="300"/>
      <c r="K8" s="289"/>
      <c r="L8" s="289"/>
      <c r="M8" s="289"/>
      <c r="O8" s="188"/>
      <c r="P8" s="188"/>
      <c r="Q8" s="188"/>
      <c r="R8" s="188"/>
      <c r="W8" s="188"/>
      <c r="X8" s="188"/>
      <c r="Y8" s="188"/>
      <c r="Z8" s="188"/>
      <c r="AA8" s="188"/>
      <c r="AB8" s="188"/>
      <c r="AC8" s="188"/>
      <c r="AD8" s="188"/>
    </row>
    <row r="9" spans="1:30" ht="14.25">
      <c r="A9" s="145"/>
      <c r="B9" s="191"/>
      <c r="C9" s="191"/>
      <c r="D9" s="191"/>
      <c r="E9" s="191"/>
      <c r="F9" s="191"/>
      <c r="G9" s="191"/>
      <c r="H9" s="191"/>
      <c r="I9" s="191"/>
      <c r="O9" s="188"/>
      <c r="P9" s="188"/>
      <c r="Q9" s="188"/>
      <c r="R9" s="188"/>
      <c r="W9" s="188"/>
      <c r="X9" s="188"/>
      <c r="Y9" s="188"/>
      <c r="Z9" s="188"/>
      <c r="AA9" s="188"/>
      <c r="AB9" s="188"/>
      <c r="AC9" s="188"/>
      <c r="AD9" s="188"/>
    </row>
    <row r="10" spans="1:30" ht="14.25">
      <c r="A10" s="186" t="str">
        <f>HLOOKUP(INDICE!$F$2,Nombres!$C$3:$D$636,173,FALSE)</f>
        <v>Rentabilidad de los prestamos</v>
      </c>
      <c r="B10" s="187">
        <v>0.1385644675147111</v>
      </c>
      <c r="C10" s="187">
        <v>0.12100770872281284</v>
      </c>
      <c r="D10" s="187">
        <v>0.12818879887129644</v>
      </c>
      <c r="E10" s="187">
        <v>0.12418285702021734</v>
      </c>
      <c r="F10" s="187">
        <v>0.12202723800358595</v>
      </c>
      <c r="G10" s="187">
        <v>0</v>
      </c>
      <c r="H10" s="187">
        <v>0</v>
      </c>
      <c r="I10" s="187">
        <v>0</v>
      </c>
      <c r="J10" s="300"/>
      <c r="K10" s="289"/>
      <c r="L10" s="289"/>
      <c r="M10" s="289"/>
      <c r="O10" s="188"/>
      <c r="P10" s="188"/>
      <c r="Q10" s="188"/>
      <c r="R10" s="188"/>
      <c r="W10" s="188"/>
      <c r="X10" s="188"/>
      <c r="Y10" s="188"/>
      <c r="Z10" s="188"/>
      <c r="AA10" s="188"/>
      <c r="AB10" s="188"/>
      <c r="AC10" s="188"/>
      <c r="AD10" s="188"/>
    </row>
    <row r="11" spans="1:30" ht="14.25">
      <c r="A11" s="186" t="str">
        <f>HLOOKUP(INDICE!$F$2,Nombres!$C$3:$D$636,174,FALSE)</f>
        <v>Coste de los depositos</v>
      </c>
      <c r="B11" s="187">
        <v>-0.02466663223802347</v>
      </c>
      <c r="C11" s="187">
        <v>-0.02213570138477802</v>
      </c>
      <c r="D11" s="187">
        <v>-0.016530572823665653</v>
      </c>
      <c r="E11" s="187">
        <v>-0.013399429631589682</v>
      </c>
      <c r="F11" s="187">
        <v>-0.01206963717892306</v>
      </c>
      <c r="G11" s="187">
        <v>0</v>
      </c>
      <c r="H11" s="187">
        <v>0</v>
      </c>
      <c r="I11" s="187">
        <v>0</v>
      </c>
      <c r="J11" s="300"/>
      <c r="K11" s="289"/>
      <c r="L11" s="289"/>
      <c r="M11" s="289"/>
      <c r="O11" s="188"/>
      <c r="P11" s="188"/>
      <c r="Q11" s="188"/>
      <c r="R11" s="188"/>
      <c r="W11" s="188"/>
      <c r="X11" s="188"/>
      <c r="Y11" s="188"/>
      <c r="Z11" s="188"/>
      <c r="AA11" s="188"/>
      <c r="AB11" s="188"/>
      <c r="AC11" s="188"/>
      <c r="AD11" s="188"/>
    </row>
    <row r="12" spans="1:30" ht="14.25">
      <c r="A12" s="189" t="str">
        <f>HLOOKUP(INDICE!$F$2,Nombres!$C$3:$D$636,177,FALSE)</f>
        <v>México pesos mexicanos</v>
      </c>
      <c r="B12" s="190">
        <v>0.11389783527668763</v>
      </c>
      <c r="C12" s="190">
        <v>0.09887200733803482</v>
      </c>
      <c r="D12" s="190">
        <v>0.11165822604763079</v>
      </c>
      <c r="E12" s="190">
        <v>0.11078342738862765</v>
      </c>
      <c r="F12" s="190">
        <v>0.10995760082466288</v>
      </c>
      <c r="G12" s="190">
        <v>0</v>
      </c>
      <c r="H12" s="190">
        <v>0</v>
      </c>
      <c r="I12" s="190">
        <v>0</v>
      </c>
      <c r="J12" s="300"/>
      <c r="K12" s="289"/>
      <c r="L12" s="289"/>
      <c r="M12" s="289"/>
      <c r="O12" s="188"/>
      <c r="P12" s="188"/>
      <c r="Q12" s="188"/>
      <c r="R12" s="188"/>
      <c r="W12" s="188"/>
      <c r="X12" s="188"/>
      <c r="Y12" s="188"/>
      <c r="Z12" s="188"/>
      <c r="AA12" s="188"/>
      <c r="AB12" s="188"/>
      <c r="AC12" s="188"/>
      <c r="AD12" s="188"/>
    </row>
    <row r="13" spans="1:30" ht="14.25">
      <c r="A13" s="145"/>
      <c r="B13" s="191"/>
      <c r="C13" s="191"/>
      <c r="D13" s="191"/>
      <c r="E13" s="191"/>
      <c r="F13" s="191"/>
      <c r="G13" s="191"/>
      <c r="H13" s="191"/>
      <c r="I13" s="191"/>
      <c r="O13" s="188"/>
      <c r="P13" s="188"/>
      <c r="Q13" s="188"/>
      <c r="R13" s="188"/>
      <c r="W13" s="188"/>
      <c r="X13" s="188"/>
      <c r="Y13" s="188"/>
      <c r="Z13" s="188"/>
      <c r="AA13" s="188"/>
      <c r="AB13" s="188"/>
      <c r="AC13" s="188"/>
      <c r="AD13" s="188"/>
    </row>
    <row r="14" spans="1:30" ht="14.25">
      <c r="A14" s="186" t="str">
        <f>HLOOKUP(INDICE!$F$2,Nombres!$C$3:$D$636,173,FALSE)</f>
        <v>Rentabilidad de los prestamos</v>
      </c>
      <c r="B14" s="191">
        <v>0.0403037147078215</v>
      </c>
      <c r="C14" s="191">
        <v>0.0347989576703468</v>
      </c>
      <c r="D14" s="191">
        <v>0.030442610713643677</v>
      </c>
      <c r="E14" s="191">
        <v>0.02898689721501311</v>
      </c>
      <c r="F14" s="191">
        <v>0.030174382296457917</v>
      </c>
      <c r="G14" s="191">
        <v>0</v>
      </c>
      <c r="H14" s="191">
        <v>0</v>
      </c>
      <c r="I14" s="191">
        <v>0</v>
      </c>
      <c r="K14" s="289"/>
      <c r="L14" s="289"/>
      <c r="M14" s="289"/>
      <c r="O14" s="188"/>
      <c r="P14" s="188"/>
      <c r="Q14" s="188"/>
      <c r="R14" s="188"/>
      <c r="W14" s="188"/>
      <c r="X14" s="188"/>
      <c r="Y14" s="188"/>
      <c r="Z14" s="188"/>
      <c r="AA14" s="188"/>
      <c r="AB14" s="188"/>
      <c r="AC14" s="188"/>
      <c r="AD14" s="188"/>
    </row>
    <row r="15" spans="1:30" ht="14.25">
      <c r="A15" s="186" t="str">
        <f>HLOOKUP(INDICE!$F$2,Nombres!$C$3:$D$636,174,FALSE)</f>
        <v>Coste de los depositos</v>
      </c>
      <c r="B15" s="191">
        <v>-0.0022562904884840798</v>
      </c>
      <c r="C15" s="191">
        <v>-0.0014076015592446483</v>
      </c>
      <c r="D15" s="191">
        <v>-0.0006171507298293056</v>
      </c>
      <c r="E15" s="191">
        <v>-0.000506234892570365</v>
      </c>
      <c r="F15" s="191">
        <v>-0.0002822828636173589</v>
      </c>
      <c r="G15" s="191">
        <v>0</v>
      </c>
      <c r="H15" s="191">
        <v>0</v>
      </c>
      <c r="I15" s="191">
        <v>0</v>
      </c>
      <c r="K15" s="289"/>
      <c r="L15" s="289"/>
      <c r="M15" s="289"/>
      <c r="O15" s="188"/>
      <c r="P15" s="188"/>
      <c r="Q15" s="188"/>
      <c r="R15" s="188"/>
      <c r="W15" s="188"/>
      <c r="X15" s="188"/>
      <c r="Y15" s="188"/>
      <c r="Z15" s="188"/>
      <c r="AA15" s="188"/>
      <c r="AB15" s="188"/>
      <c r="AC15" s="188"/>
      <c r="AD15" s="188"/>
    </row>
    <row r="16" spans="1:30" ht="14.25">
      <c r="A16" s="189" t="str">
        <f>HLOOKUP(INDICE!$F$2,Nombres!$C$3:$D$636,178,FALSE)</f>
        <v>México moneda extranjera</v>
      </c>
      <c r="B16" s="192">
        <v>0.03804742421933742</v>
      </c>
      <c r="C16" s="192">
        <v>0.03339135611110215</v>
      </c>
      <c r="D16" s="192">
        <v>0.029825459983814372</v>
      </c>
      <c r="E16" s="192">
        <v>0.028480662322442743</v>
      </c>
      <c r="F16" s="192">
        <v>0.029892099432840557</v>
      </c>
      <c r="G16" s="192">
        <v>0</v>
      </c>
      <c r="H16" s="192">
        <v>0</v>
      </c>
      <c r="I16" s="192">
        <v>0</v>
      </c>
      <c r="K16" s="289"/>
      <c r="L16" s="289"/>
      <c r="M16" s="289"/>
      <c r="O16" s="188"/>
      <c r="P16" s="188"/>
      <c r="Q16" s="188"/>
      <c r="R16" s="188"/>
      <c r="W16" s="188"/>
      <c r="X16" s="188"/>
      <c r="Y16" s="188"/>
      <c r="Z16" s="188"/>
      <c r="AA16" s="188"/>
      <c r="AB16" s="188"/>
      <c r="AC16" s="188"/>
      <c r="AD16" s="188"/>
    </row>
    <row r="17" spans="1:30" ht="14.25">
      <c r="A17" s="145"/>
      <c r="B17" s="191"/>
      <c r="C17" s="191"/>
      <c r="D17" s="191"/>
      <c r="E17" s="191"/>
      <c r="F17" s="191"/>
      <c r="G17" s="191"/>
      <c r="H17" s="191"/>
      <c r="I17" s="191"/>
      <c r="O17" s="188"/>
      <c r="P17" s="188"/>
      <c r="Q17" s="188"/>
      <c r="R17" s="188"/>
      <c r="W17" s="188"/>
      <c r="X17" s="188"/>
      <c r="Y17" s="188"/>
      <c r="Z17" s="188"/>
      <c r="AA17" s="188"/>
      <c r="AB17" s="188"/>
      <c r="AC17" s="188"/>
      <c r="AD17" s="188"/>
    </row>
    <row r="18" spans="1:30" ht="14.25">
      <c r="A18" s="186" t="str">
        <f>HLOOKUP(INDICE!$F$2,Nombres!$C$3:$D$636,173,FALSE)</f>
        <v>Rentabilidad de los prestamos</v>
      </c>
      <c r="B18" s="187">
        <v>0.14579727625245514</v>
      </c>
      <c r="C18" s="187">
        <v>0.13223221716743155</v>
      </c>
      <c r="D18" s="187">
        <v>0.12169318670817225</v>
      </c>
      <c r="E18" s="187">
        <v>0.12880281693033194</v>
      </c>
      <c r="F18" s="187">
        <v>0.14296907634056272</v>
      </c>
      <c r="G18" s="187">
        <v>0</v>
      </c>
      <c r="H18" s="187">
        <v>0</v>
      </c>
      <c r="I18" s="187">
        <v>0</v>
      </c>
      <c r="J18" s="300"/>
      <c r="O18" s="188"/>
      <c r="P18" s="188"/>
      <c r="Q18" s="188"/>
      <c r="R18" s="188"/>
      <c r="W18" s="188"/>
      <c r="X18" s="188"/>
      <c r="Y18" s="188"/>
      <c r="Z18" s="188"/>
      <c r="AA18" s="188"/>
      <c r="AB18" s="188"/>
      <c r="AC18" s="188"/>
      <c r="AD18" s="188"/>
    </row>
    <row r="19" spans="1:30" ht="14.25">
      <c r="A19" s="186" t="str">
        <f>HLOOKUP(INDICE!$F$2,Nombres!$C$3:$D$636,174,FALSE)</f>
        <v>Coste de los depositos</v>
      </c>
      <c r="B19" s="187">
        <v>-0.07122935045239195</v>
      </c>
      <c r="C19" s="187">
        <v>-0.05925141394336347</v>
      </c>
      <c r="D19" s="187">
        <v>-0.06119945613812865</v>
      </c>
      <c r="E19" s="187">
        <v>-0.08979932642488939</v>
      </c>
      <c r="F19" s="187">
        <v>-0.11751316698854768</v>
      </c>
      <c r="G19" s="187">
        <v>0</v>
      </c>
      <c r="H19" s="187">
        <v>0</v>
      </c>
      <c r="I19" s="187">
        <v>0</v>
      </c>
      <c r="J19" s="300"/>
      <c r="O19" s="188"/>
      <c r="P19" s="188"/>
      <c r="Q19" s="188"/>
      <c r="R19" s="188"/>
      <c r="W19" s="188"/>
      <c r="X19" s="188"/>
      <c r="Y19" s="188"/>
      <c r="Z19" s="188"/>
      <c r="AA19" s="188"/>
      <c r="AB19" s="188"/>
      <c r="AC19" s="188"/>
      <c r="AD19" s="188"/>
    </row>
    <row r="20" spans="1:30" ht="14.25">
      <c r="A20" s="189" t="str">
        <f>HLOOKUP(INDICE!$F$2,Nombres!$C$3:$D$636,179,FALSE)</f>
        <v>Turquía liras turcas</v>
      </c>
      <c r="B20" s="190">
        <v>0.07456792580006319</v>
      </c>
      <c r="C20" s="190">
        <v>0.07298080322406808</v>
      </c>
      <c r="D20" s="190">
        <v>0.060493730570043605</v>
      </c>
      <c r="E20" s="190">
        <v>0.03900349050544255</v>
      </c>
      <c r="F20" s="190">
        <v>0.02545590935201504</v>
      </c>
      <c r="G20" s="190">
        <v>0</v>
      </c>
      <c r="H20" s="190">
        <v>0</v>
      </c>
      <c r="I20" s="190">
        <v>0</v>
      </c>
      <c r="J20" s="300"/>
      <c r="O20" s="188"/>
      <c r="P20" s="188"/>
      <c r="Q20" s="188"/>
      <c r="R20" s="188"/>
      <c r="W20" s="188"/>
      <c r="X20" s="188"/>
      <c r="Y20" s="188"/>
      <c r="Z20" s="188"/>
      <c r="AA20" s="188"/>
      <c r="AB20" s="188"/>
      <c r="AC20" s="188"/>
      <c r="AD20" s="188"/>
    </row>
    <row r="21" spans="1:30" ht="14.25">
      <c r="A21" s="189"/>
      <c r="B21" s="190"/>
      <c r="C21" s="190"/>
      <c r="D21" s="190"/>
      <c r="E21" s="190"/>
      <c r="F21" s="190"/>
      <c r="G21" s="190"/>
      <c r="H21" s="190"/>
      <c r="I21" s="190"/>
      <c r="J21" s="300"/>
      <c r="O21" s="188"/>
      <c r="P21" s="188"/>
      <c r="Q21" s="188"/>
      <c r="R21" s="188"/>
      <c r="W21" s="188"/>
      <c r="X21" s="188"/>
      <c r="Y21" s="188"/>
      <c r="Z21" s="188"/>
      <c r="AA21" s="188"/>
      <c r="AB21" s="188"/>
      <c r="AC21" s="188"/>
      <c r="AD21" s="188"/>
    </row>
    <row r="22" spans="1:30" ht="14.25">
      <c r="A22" s="186" t="str">
        <f>HLOOKUP(INDICE!$F$2,Nombres!$C$3:$D$636,173,FALSE)</f>
        <v>Rentabilidad de los prestamos</v>
      </c>
      <c r="B22" s="193">
        <v>0.062180682384926876</v>
      </c>
      <c r="C22" s="193">
        <v>0.053749685757730765</v>
      </c>
      <c r="D22" s="193">
        <v>0.05037076981933646</v>
      </c>
      <c r="E22" s="193">
        <v>0.050664115430607455</v>
      </c>
      <c r="F22" s="193">
        <v>0.05017027201428375</v>
      </c>
      <c r="G22" s="193">
        <v>0</v>
      </c>
      <c r="H22" s="193">
        <v>0</v>
      </c>
      <c r="I22" s="193">
        <v>0</v>
      </c>
      <c r="J22" s="300"/>
      <c r="K22" s="289"/>
      <c r="L22" s="289"/>
      <c r="M22" s="289"/>
      <c r="O22" s="188"/>
      <c r="P22" s="188"/>
      <c r="Q22" s="188"/>
      <c r="R22" s="188"/>
      <c r="W22" s="188"/>
      <c r="X22" s="188"/>
      <c r="Y22" s="188"/>
      <c r="Z22" s="188"/>
      <c r="AA22" s="188"/>
      <c r="AB22" s="188"/>
      <c r="AC22" s="188"/>
      <c r="AD22" s="188"/>
    </row>
    <row r="23" spans="1:30" ht="14.25">
      <c r="A23" s="186" t="str">
        <f>HLOOKUP(INDICE!$F$2,Nombres!$C$3:$D$636,174,FALSE)</f>
        <v>Coste de los depositos</v>
      </c>
      <c r="B23" s="193">
        <v>-0.009191274794191162</v>
      </c>
      <c r="C23" s="193">
        <v>-0.004309127182139025</v>
      </c>
      <c r="D23" s="193">
        <v>-0.002010039753048756</v>
      </c>
      <c r="E23" s="193">
        <v>-0.003559089841399381</v>
      </c>
      <c r="F23" s="193">
        <v>-0.003909204429493572</v>
      </c>
      <c r="G23" s="193">
        <v>0</v>
      </c>
      <c r="H23" s="193">
        <v>0</v>
      </c>
      <c r="I23" s="193">
        <v>0</v>
      </c>
      <c r="J23" s="300"/>
      <c r="K23" s="289"/>
      <c r="L23" s="289"/>
      <c r="M23" s="289"/>
      <c r="O23" s="188"/>
      <c r="P23" s="188"/>
      <c r="Q23" s="188"/>
      <c r="R23" s="188"/>
      <c r="W23" s="188"/>
      <c r="X23" s="188"/>
      <c r="Y23" s="188"/>
      <c r="Z23" s="188"/>
      <c r="AA23" s="188"/>
      <c r="AB23" s="188"/>
      <c r="AC23" s="188"/>
      <c r="AD23" s="188"/>
    </row>
    <row r="24" spans="1:30" ht="14.25">
      <c r="A24" s="189" t="str">
        <f>HLOOKUP(INDICE!$F$2,Nombres!$C$3:$D$636,180,FALSE)</f>
        <v>Turquía moneda extranjera</v>
      </c>
      <c r="B24" s="190">
        <v>0.05298940759073571</v>
      </c>
      <c r="C24" s="190">
        <v>0.04944055857559174</v>
      </c>
      <c r="D24" s="190">
        <v>0.04836073006628771</v>
      </c>
      <c r="E24" s="190">
        <v>0.04710502558920807</v>
      </c>
      <c r="F24" s="190">
        <v>0.04626106758479018</v>
      </c>
      <c r="G24" s="190">
        <v>0</v>
      </c>
      <c r="H24" s="190">
        <v>0</v>
      </c>
      <c r="I24" s="190">
        <v>0</v>
      </c>
      <c r="J24" s="300"/>
      <c r="K24" s="289"/>
      <c r="L24" s="289"/>
      <c r="M24" s="289"/>
      <c r="O24" s="188"/>
      <c r="P24" s="188"/>
      <c r="Q24" s="188"/>
      <c r="R24" s="188"/>
      <c r="W24" s="188"/>
      <c r="X24" s="188"/>
      <c r="Y24" s="188"/>
      <c r="Z24" s="188"/>
      <c r="AA24" s="188"/>
      <c r="AB24" s="188"/>
      <c r="AC24" s="188"/>
      <c r="AD24" s="188"/>
    </row>
    <row r="25" spans="1:30" ht="14.25">
      <c r="A25" s="145"/>
      <c r="B25" s="191"/>
      <c r="C25" s="191"/>
      <c r="D25" s="191"/>
      <c r="E25" s="191"/>
      <c r="F25" s="191"/>
      <c r="G25" s="191"/>
      <c r="H25" s="191"/>
      <c r="I25" s="191"/>
      <c r="K25" s="289"/>
      <c r="L25" s="289"/>
      <c r="M25" s="289"/>
      <c r="O25" s="188"/>
      <c r="P25" s="188"/>
      <c r="Q25" s="188"/>
      <c r="R25" s="188"/>
      <c r="W25" s="188"/>
      <c r="X25" s="188"/>
      <c r="Y25" s="188"/>
      <c r="Z25" s="188"/>
      <c r="AA25" s="188"/>
      <c r="AB25" s="188"/>
      <c r="AC25" s="188"/>
      <c r="AD25" s="188"/>
    </row>
    <row r="26" spans="1:30" ht="14.25">
      <c r="A26" s="186" t="str">
        <f>HLOOKUP(INDICE!$F$2,Nombres!$C$3:$D$636,173,FALSE)</f>
        <v>Rentabilidad de los prestamos</v>
      </c>
      <c r="B26" s="187">
        <v>0.31991610287004885</v>
      </c>
      <c r="C26" s="187">
        <v>0.25734070691470634</v>
      </c>
      <c r="D26" s="187">
        <v>0.24785641646487547</v>
      </c>
      <c r="E26" s="187">
        <v>0.2521277866911026</v>
      </c>
      <c r="F26" s="187">
        <v>0.27287944816889914</v>
      </c>
      <c r="G26" s="187">
        <v>0</v>
      </c>
      <c r="H26" s="187">
        <v>0</v>
      </c>
      <c r="I26" s="187">
        <v>0</v>
      </c>
      <c r="J26" s="300"/>
      <c r="K26" s="289"/>
      <c r="L26" s="289"/>
      <c r="M26" s="289"/>
      <c r="O26" s="188"/>
      <c r="P26" s="188"/>
      <c r="Q26" s="188"/>
      <c r="R26" s="188"/>
      <c r="W26" s="188"/>
      <c r="X26" s="188"/>
      <c r="Y26" s="188"/>
      <c r="Z26" s="188"/>
      <c r="AA26" s="188"/>
      <c r="AB26" s="188"/>
      <c r="AC26" s="188"/>
      <c r="AD26" s="188"/>
    </row>
    <row r="27" spans="1:30" ht="14.25">
      <c r="A27" s="186" t="str">
        <f>HLOOKUP(INDICE!$F$2,Nombres!$C$3:$D$636,174,FALSE)</f>
        <v>Coste de los depositos</v>
      </c>
      <c r="B27" s="187">
        <v>-0.09195033518363706</v>
      </c>
      <c r="C27" s="187">
        <v>-0.06410693852930854</v>
      </c>
      <c r="D27" s="187">
        <v>-0.08711671547285336</v>
      </c>
      <c r="E27" s="187">
        <v>-0.10793193966215896</v>
      </c>
      <c r="F27" s="187">
        <v>-0.11808404827847262</v>
      </c>
      <c r="G27" s="187">
        <v>0</v>
      </c>
      <c r="H27" s="187">
        <v>0</v>
      </c>
      <c r="I27" s="187">
        <v>0</v>
      </c>
      <c r="J27" s="300"/>
      <c r="K27" s="289"/>
      <c r="L27" s="289"/>
      <c r="M27" s="289"/>
      <c r="O27" s="188"/>
      <c r="P27" s="188"/>
      <c r="Q27" s="188"/>
      <c r="R27" s="188"/>
      <c r="W27" s="188"/>
      <c r="X27" s="188"/>
      <c r="Y27" s="188"/>
      <c r="Z27" s="188"/>
      <c r="AA27" s="188"/>
      <c r="AB27" s="188"/>
      <c r="AC27" s="188"/>
      <c r="AD27" s="188"/>
    </row>
    <row r="28" spans="1:30" ht="14.25">
      <c r="A28" s="189" t="str">
        <f>HLOOKUP(INDICE!$F$2,Nombres!$C$3:$D$636,181,FALSE)</f>
        <v>Argentina</v>
      </c>
      <c r="B28" s="194">
        <v>0.2279657676864118</v>
      </c>
      <c r="C28" s="194">
        <v>0.1932337683853978</v>
      </c>
      <c r="D28" s="194">
        <v>0.16073970099202212</v>
      </c>
      <c r="E28" s="194">
        <v>0.1441958470289436</v>
      </c>
      <c r="F28" s="194">
        <v>0.1547953998904265</v>
      </c>
      <c r="G28" s="194">
        <v>0</v>
      </c>
      <c r="H28" s="194">
        <v>0</v>
      </c>
      <c r="I28" s="194">
        <v>0</v>
      </c>
      <c r="J28" s="300"/>
      <c r="K28" s="289"/>
      <c r="L28" s="289"/>
      <c r="M28" s="289"/>
      <c r="O28" s="188"/>
      <c r="P28" s="188"/>
      <c r="Q28" s="188"/>
      <c r="R28" s="188"/>
      <c r="W28" s="188"/>
      <c r="X28" s="188"/>
      <c r="Y28" s="188"/>
      <c r="Z28" s="188"/>
      <c r="AA28" s="188"/>
      <c r="AB28" s="188"/>
      <c r="AC28" s="188"/>
      <c r="AD28" s="188"/>
    </row>
    <row r="29" spans="1:30" ht="14.25">
      <c r="A29" s="145"/>
      <c r="B29" s="191"/>
      <c r="C29" s="191"/>
      <c r="D29" s="191"/>
      <c r="E29" s="191"/>
      <c r="F29" s="191"/>
      <c r="G29" s="191"/>
      <c r="H29" s="191"/>
      <c r="I29" s="191"/>
      <c r="O29" s="188"/>
      <c r="P29" s="188"/>
      <c r="Q29" s="188"/>
      <c r="R29" s="188"/>
      <c r="W29" s="188"/>
      <c r="X29" s="188"/>
      <c r="Y29" s="188"/>
      <c r="Z29" s="188"/>
      <c r="AA29" s="188"/>
      <c r="AB29" s="188"/>
      <c r="AC29" s="188"/>
      <c r="AD29" s="188"/>
    </row>
    <row r="30" spans="1:30" ht="14.25">
      <c r="A30" s="186" t="str">
        <f>HLOOKUP(INDICE!$F$2,Nombres!$C$3:$D$636,173,FALSE)</f>
        <v>Rentabilidad de los prestamos</v>
      </c>
      <c r="B30" s="187">
        <v>0.10420609702542187</v>
      </c>
      <c r="C30" s="187">
        <v>0.10144140828029898</v>
      </c>
      <c r="D30" s="187">
        <v>0.09777337072839347</v>
      </c>
      <c r="E30" s="187">
        <v>0.0943072153953358</v>
      </c>
      <c r="F30" s="187">
        <v>0.0907840059161003</v>
      </c>
      <c r="G30" s="187">
        <v>0</v>
      </c>
      <c r="H30" s="187">
        <v>0</v>
      </c>
      <c r="I30" s="187">
        <v>0</v>
      </c>
      <c r="J30" s="300"/>
      <c r="K30" s="289"/>
      <c r="L30" s="289"/>
      <c r="M30" s="289"/>
      <c r="O30" s="188"/>
      <c r="P30" s="188"/>
      <c r="Q30" s="188"/>
      <c r="R30" s="188"/>
      <c r="W30" s="188"/>
      <c r="X30" s="188"/>
      <c r="Y30" s="188"/>
      <c r="Z30" s="188"/>
      <c r="AA30" s="188"/>
      <c r="AB30" s="188"/>
      <c r="AC30" s="188"/>
      <c r="AD30" s="188"/>
    </row>
    <row r="31" spans="1:30" ht="14.25">
      <c r="A31" s="186" t="str">
        <f>HLOOKUP(INDICE!$F$2,Nombres!$C$3:$D$636,174,FALSE)</f>
        <v>Coste de los depositos</v>
      </c>
      <c r="B31" s="187">
        <v>-0.04059609847919352</v>
      </c>
      <c r="C31" s="187">
        <v>-0.03728764569179078</v>
      </c>
      <c r="D31" s="187">
        <v>-0.031545343483443615</v>
      </c>
      <c r="E31" s="187">
        <v>-0.027672530713464275</v>
      </c>
      <c r="F31" s="187">
        <v>-0.025658619101376113</v>
      </c>
      <c r="G31" s="187">
        <v>0</v>
      </c>
      <c r="H31" s="187">
        <v>0</v>
      </c>
      <c r="I31" s="187">
        <v>0</v>
      </c>
      <c r="J31" s="300"/>
      <c r="K31" s="289"/>
      <c r="L31" s="289"/>
      <c r="M31" s="289"/>
      <c r="O31" s="188"/>
      <c r="P31" s="188"/>
      <c r="Q31" s="188"/>
      <c r="R31" s="188"/>
      <c r="W31" s="188"/>
      <c r="X31" s="188"/>
      <c r="Y31" s="188"/>
      <c r="Z31" s="188"/>
      <c r="AA31" s="188"/>
      <c r="AB31" s="188"/>
      <c r="AC31" s="188"/>
      <c r="AD31" s="188"/>
    </row>
    <row r="32" spans="1:30" ht="14.25">
      <c r="A32" s="189" t="str">
        <f>HLOOKUP(INDICE!$F$2,Nombres!$C$3:$D$636,182,FALSE)</f>
        <v>Colombia</v>
      </c>
      <c r="B32" s="190">
        <v>0.06360999854622834</v>
      </c>
      <c r="C32" s="190">
        <v>0.06415376258850819</v>
      </c>
      <c r="D32" s="190">
        <v>0.06622802724494986</v>
      </c>
      <c r="E32" s="190">
        <v>0.06663468468187153</v>
      </c>
      <c r="F32" s="190">
        <v>0.06512538681472418</v>
      </c>
      <c r="G32" s="190">
        <v>0</v>
      </c>
      <c r="H32" s="190">
        <v>0</v>
      </c>
      <c r="I32" s="190">
        <v>0</v>
      </c>
      <c r="J32" s="300"/>
      <c r="K32" s="289"/>
      <c r="L32" s="289"/>
      <c r="M32" s="289"/>
      <c r="O32" s="188"/>
      <c r="P32" s="188"/>
      <c r="Q32" s="188"/>
      <c r="R32" s="188"/>
      <c r="W32" s="188"/>
      <c r="X32" s="188"/>
      <c r="Y32" s="188"/>
      <c r="Z32" s="188"/>
      <c r="AA32" s="188"/>
      <c r="AB32" s="188"/>
      <c r="AC32" s="188"/>
      <c r="AD32" s="188"/>
    </row>
    <row r="33" spans="1:30" ht="14.25">
      <c r="A33" s="145"/>
      <c r="B33" s="191"/>
      <c r="C33" s="191"/>
      <c r="D33" s="191"/>
      <c r="E33" s="191"/>
      <c r="F33" s="191"/>
      <c r="G33" s="191"/>
      <c r="H33" s="191"/>
      <c r="I33" s="191"/>
      <c r="O33" s="188"/>
      <c r="P33" s="188"/>
      <c r="Q33" s="188"/>
      <c r="R33" s="188"/>
      <c r="W33" s="188"/>
      <c r="X33" s="188"/>
      <c r="Y33" s="188"/>
      <c r="Z33" s="188"/>
      <c r="AA33" s="188"/>
      <c r="AB33" s="188"/>
      <c r="AC33" s="188"/>
      <c r="AD33" s="188"/>
    </row>
    <row r="34" spans="1:30" ht="14.25">
      <c r="A34" s="186" t="str">
        <f>HLOOKUP(INDICE!$F$2,Nombres!$C$3:$D$636,173,FALSE)</f>
        <v>Rentabilidad de los prestamos</v>
      </c>
      <c r="B34" s="187">
        <v>0.07365269738258541</v>
      </c>
      <c r="C34" s="187">
        <v>0.06573472646968637</v>
      </c>
      <c r="D34" s="187">
        <v>0.058814429453178683</v>
      </c>
      <c r="E34" s="187">
        <v>0.05513116733588462</v>
      </c>
      <c r="F34" s="187">
        <v>0.05374959984534193</v>
      </c>
      <c r="G34" s="187">
        <v>0</v>
      </c>
      <c r="H34" s="187">
        <v>0</v>
      </c>
      <c r="I34" s="187">
        <v>0</v>
      </c>
      <c r="J34" s="300"/>
      <c r="K34" s="289"/>
      <c r="L34" s="289"/>
      <c r="M34" s="289"/>
      <c r="O34" s="188"/>
      <c r="P34" s="188"/>
      <c r="Q34" s="188"/>
      <c r="R34" s="188"/>
      <c r="W34" s="188"/>
      <c r="X34" s="188"/>
      <c r="Y34" s="188"/>
      <c r="Z34" s="188"/>
      <c r="AA34" s="188"/>
      <c r="AB34" s="188"/>
      <c r="AC34" s="188"/>
      <c r="AD34" s="188"/>
    </row>
    <row r="35" spans="1:30" ht="14.25">
      <c r="A35" s="186" t="str">
        <f>HLOOKUP(INDICE!$F$2,Nombres!$C$3:$D$636,174,FALSE)</f>
        <v>Coste de los depositos</v>
      </c>
      <c r="B35" s="187">
        <v>-0.011615505287869537</v>
      </c>
      <c r="C35" s="187">
        <v>-0.00958689719151348</v>
      </c>
      <c r="D35" s="187">
        <v>-0.005668703360217166</v>
      </c>
      <c r="E35" s="187">
        <v>-0.004261266120165212</v>
      </c>
      <c r="F35" s="187">
        <v>-0.0032830542140836853</v>
      </c>
      <c r="G35" s="187">
        <v>0</v>
      </c>
      <c r="H35" s="187">
        <v>0</v>
      </c>
      <c r="I35" s="187">
        <v>0</v>
      </c>
      <c r="J35" s="300"/>
      <c r="K35" s="289"/>
      <c r="L35" s="289"/>
      <c r="M35" s="289"/>
      <c r="O35" s="188"/>
      <c r="P35" s="188"/>
      <c r="Q35" s="188"/>
      <c r="R35" s="188"/>
      <c r="W35" s="188"/>
      <c r="X35" s="188"/>
      <c r="Y35" s="188"/>
      <c r="Z35" s="188"/>
      <c r="AA35" s="188"/>
      <c r="AB35" s="188"/>
      <c r="AC35" s="188"/>
      <c r="AD35" s="188"/>
    </row>
    <row r="36" spans="1:30" ht="14.25">
      <c r="A36" s="189" t="str">
        <f>HLOOKUP(INDICE!$F$2,Nombres!$C$3:$D$636,183,FALSE)</f>
        <v>Perú</v>
      </c>
      <c r="B36" s="190">
        <v>0.06203719209471587</v>
      </c>
      <c r="C36" s="190">
        <v>0.056147829278172884</v>
      </c>
      <c r="D36" s="190">
        <v>0.05314572609296152</v>
      </c>
      <c r="E36" s="190">
        <v>0.05086990121571941</v>
      </c>
      <c r="F36" s="190">
        <v>0.05046654563125824</v>
      </c>
      <c r="G36" s="190">
        <v>0</v>
      </c>
      <c r="H36" s="190">
        <v>0</v>
      </c>
      <c r="I36" s="190">
        <v>0</v>
      </c>
      <c r="J36" s="300"/>
      <c r="K36" s="289"/>
      <c r="L36" s="289"/>
      <c r="M36" s="289"/>
      <c r="O36" s="188"/>
      <c r="P36" s="188"/>
      <c r="Q36" s="188"/>
      <c r="R36" s="188"/>
      <c r="W36" s="188"/>
      <c r="X36" s="188"/>
      <c r="Y36" s="188"/>
      <c r="Z36" s="188"/>
      <c r="AA36" s="188"/>
      <c r="AB36" s="188"/>
      <c r="AC36" s="188"/>
      <c r="AD36" s="188"/>
    </row>
    <row r="37" spans="1:30" ht="14.25">
      <c r="A37" s="145"/>
      <c r="B37" s="191"/>
      <c r="C37" s="191"/>
      <c r="D37" s="191"/>
      <c r="E37" s="191"/>
      <c r="F37" s="191"/>
      <c r="G37" s="191"/>
      <c r="H37" s="191"/>
      <c r="I37" s="191"/>
      <c r="O37" s="188"/>
      <c r="P37" s="188"/>
      <c r="Q37" s="188"/>
      <c r="R37" s="188"/>
      <c r="W37" s="188"/>
      <c r="X37" s="188"/>
      <c r="Y37" s="188"/>
      <c r="Z37" s="188"/>
      <c r="AA37" s="188"/>
      <c r="AB37" s="188"/>
      <c r="AC37" s="188"/>
      <c r="AD37" s="188"/>
    </row>
    <row r="38" spans="1:30" ht="14.25">
      <c r="A38" s="195" t="str">
        <f>HLOOKUP(INDICE!$F$2,Nombres!$C$3:$D$636,184,FALSE)</f>
        <v>(*) Diferencia entre el rendimiento de los préstamos y el coste de los depósitos de los clientes.</v>
      </c>
      <c r="B38" s="184"/>
      <c r="C38" s="184"/>
      <c r="D38" s="184"/>
      <c r="E38" s="184"/>
      <c r="F38" s="311"/>
      <c r="G38" s="311"/>
      <c r="H38" s="184"/>
      <c r="I38" s="184"/>
      <c r="K38" s="289"/>
      <c r="L38" s="289"/>
      <c r="M38" s="289"/>
      <c r="O38" s="188"/>
      <c r="P38" s="188"/>
      <c r="Q38" s="188"/>
      <c r="R38" s="188"/>
      <c r="W38" s="188"/>
      <c r="X38" s="188"/>
      <c r="Y38" s="188"/>
      <c r="Z38" s="188"/>
      <c r="AA38" s="188"/>
      <c r="AB38" s="188"/>
      <c r="AC38" s="188"/>
      <c r="AD38" s="188"/>
    </row>
    <row r="39" spans="1:30" ht="14.25">
      <c r="A39" s="195"/>
      <c r="B39" s="184"/>
      <c r="C39" s="184"/>
      <c r="D39" s="184"/>
      <c r="E39" s="184"/>
      <c r="F39" s="184"/>
      <c r="G39" s="285"/>
      <c r="H39" s="184"/>
      <c r="I39" s="184"/>
      <c r="K39" s="289"/>
      <c r="L39" s="289"/>
      <c r="M39" s="289"/>
      <c r="O39" s="188"/>
      <c r="P39" s="188"/>
      <c r="Q39" s="188"/>
      <c r="R39" s="188"/>
      <c r="W39" s="188"/>
      <c r="X39" s="188"/>
      <c r="Y39" s="188"/>
      <c r="Z39" s="188"/>
      <c r="AA39" s="188"/>
      <c r="AB39" s="188"/>
      <c r="AC39" s="188"/>
      <c r="AD39" s="188"/>
    </row>
    <row r="40" spans="1:30" ht="14.25">
      <c r="A40" s="195"/>
      <c r="K40" s="289"/>
      <c r="L40" s="289"/>
      <c r="M40" s="289"/>
      <c r="O40" s="188"/>
      <c r="P40" s="188"/>
      <c r="Q40" s="188"/>
      <c r="R40" s="188"/>
      <c r="W40" s="188"/>
      <c r="X40" s="188"/>
      <c r="Y40" s="188"/>
      <c r="Z40" s="188"/>
      <c r="AA40" s="188"/>
      <c r="AB40" s="188"/>
      <c r="AC40" s="188"/>
      <c r="AD40" s="188"/>
    </row>
    <row r="41" spans="15:18" ht="14.25">
      <c r="O41" s="188"/>
      <c r="P41" s="188"/>
      <c r="Q41" s="188"/>
      <c r="R41" s="188"/>
    </row>
    <row r="996" ht="14.25">
      <c r="A996" t="s">
        <v>396</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9" width="11.421875" style="0" hidden="1" customWidth="1"/>
    <col min="10" max="10" width="11.421875" style="0" customWidth="1"/>
    <col min="11" max="12" width="14.7109375" style="0" bestFit="1" customWidth="1"/>
  </cols>
  <sheetData>
    <row r="1" spans="1:9" ht="16.5">
      <c r="A1" s="95" t="str">
        <f>HLOOKUP(INDICE!$F$2,Nombres!$C$3:$D$636,88,FALSE)</f>
        <v>Activos ponderados por riesgo. Desglose por áreas de negocio y principales países</v>
      </c>
      <c r="B1" s="156"/>
      <c r="C1" s="156"/>
      <c r="D1" s="157"/>
      <c r="E1" s="157"/>
      <c r="F1" s="157"/>
      <c r="G1" s="157"/>
      <c r="H1" s="157"/>
      <c r="I1" s="157"/>
    </row>
    <row r="2" spans="1:9" ht="14.25">
      <c r="A2" s="164" t="str">
        <f>HLOOKUP(INDICE!$F$2,Nombres!$C$3:$D$636,32,FALSE)</f>
        <v>(Millones de euros)</v>
      </c>
      <c r="B2" s="58"/>
      <c r="C2" s="58"/>
      <c r="D2" s="196"/>
      <c r="E2" s="196"/>
      <c r="F2" s="196"/>
      <c r="G2" s="196"/>
      <c r="H2" s="196"/>
      <c r="I2" s="196"/>
    </row>
    <row r="3" spans="1:9" ht="15">
      <c r="A3" s="197"/>
      <c r="B3" s="58"/>
      <c r="C3" s="58"/>
      <c r="D3" s="160"/>
      <c r="E3" s="160"/>
      <c r="F3" s="160"/>
      <c r="G3" s="160"/>
      <c r="H3" s="160"/>
      <c r="I3" s="160"/>
    </row>
    <row r="4" spans="1:9" ht="15.75" customHeight="1">
      <c r="A4" s="198"/>
      <c r="B4" s="312" t="str">
        <f>HLOOKUP(INDICE!$F$2,Nombres!$C$3:$D$636,222,FALSE)</f>
        <v>CRD IV fully loaded</v>
      </c>
      <c r="C4" s="312"/>
      <c r="D4" s="312"/>
      <c r="E4" s="312"/>
      <c r="F4" s="312"/>
      <c r="G4" s="312"/>
      <c r="H4" s="312"/>
      <c r="I4" s="312"/>
    </row>
    <row r="5" spans="1:11" ht="14.25">
      <c r="A5" s="198"/>
      <c r="B5" s="199">
        <f>+España!B30</f>
        <v>43921</v>
      </c>
      <c r="C5" s="199">
        <f>+España!C30</f>
        <v>44012</v>
      </c>
      <c r="D5" s="199">
        <f>+España!D30</f>
        <v>44104</v>
      </c>
      <c r="E5" s="199">
        <f>+España!E30</f>
        <v>44196</v>
      </c>
      <c r="F5" s="199">
        <f>+España!F30</f>
        <v>44286</v>
      </c>
      <c r="G5" s="199">
        <f>+España!G30</f>
        <v>44377</v>
      </c>
      <c r="H5" s="199">
        <f>+España!H30</f>
        <v>44469</v>
      </c>
      <c r="I5" s="199">
        <f>+España!I30</f>
        <v>44561</v>
      </c>
      <c r="K5" s="200"/>
    </row>
    <row r="6" spans="1:12" ht="14.25">
      <c r="A6" s="104" t="str">
        <f>HLOOKUP(INDICE!$F$2,Nombres!$C$3:$D$636,3,FALSE)</f>
        <v>Grupo BBVA</v>
      </c>
      <c r="B6" s="201">
        <v>368839</v>
      </c>
      <c r="C6" s="201">
        <v>362388</v>
      </c>
      <c r="D6" s="201">
        <v>344215</v>
      </c>
      <c r="E6" s="201">
        <v>352622</v>
      </c>
      <c r="F6" s="201">
        <v>354433</v>
      </c>
      <c r="G6" s="201">
        <v>0</v>
      </c>
      <c r="H6" s="201">
        <v>0</v>
      </c>
      <c r="I6" s="201">
        <v>0</v>
      </c>
      <c r="K6" s="202"/>
      <c r="L6" s="203"/>
    </row>
    <row r="7" spans="1:12" ht="14.25">
      <c r="A7" s="59" t="str">
        <f>HLOOKUP(INDICE!$F$2,Nombres!$C$3:$D$636,7,FALSE)</f>
        <v>España</v>
      </c>
      <c r="B7" s="44">
        <v>110929.24808814001</v>
      </c>
      <c r="C7" s="44">
        <v>109624.87456919</v>
      </c>
      <c r="D7" s="44">
        <v>106859.04001274999</v>
      </c>
      <c r="E7" s="44">
        <v>104387.87228553</v>
      </c>
      <c r="F7" s="44">
        <v>107872.02321967999</v>
      </c>
      <c r="G7" s="44">
        <v>0</v>
      </c>
      <c r="H7" s="44">
        <v>0</v>
      </c>
      <c r="I7" s="44">
        <v>0</v>
      </c>
      <c r="K7" s="202"/>
      <c r="L7" s="203"/>
    </row>
    <row r="8" spans="1:12" ht="14.25">
      <c r="A8" s="59" t="str">
        <f>HLOOKUP(INDICE!$F$2,Nombres!$C$3:$D$636,11,FALSE)</f>
        <v>México</v>
      </c>
      <c r="B8" s="44">
        <v>53539.94933836</v>
      </c>
      <c r="C8" s="44">
        <v>54965.7587876</v>
      </c>
      <c r="D8" s="44">
        <v>53464.0767211</v>
      </c>
      <c r="E8" s="44">
        <v>60825.49644080999</v>
      </c>
      <c r="F8" s="44">
        <v>61980.77996206</v>
      </c>
      <c r="G8" s="44">
        <v>0</v>
      </c>
      <c r="H8" s="44">
        <v>0</v>
      </c>
      <c r="I8" s="44">
        <v>0</v>
      </c>
      <c r="K8" s="202"/>
      <c r="L8" s="203"/>
    </row>
    <row r="9" spans="1:12" ht="14.25">
      <c r="A9" s="59" t="str">
        <f>HLOOKUP(INDICE!$F$2,Nombres!$C$3:$D$636,12,FALSE)</f>
        <v>Turquía </v>
      </c>
      <c r="B9" s="44">
        <v>59163.223</v>
      </c>
      <c r="C9" s="44">
        <v>57189.86</v>
      </c>
      <c r="D9" s="44">
        <v>50130.676999999996</v>
      </c>
      <c r="E9" s="44">
        <v>53020.526015300005</v>
      </c>
      <c r="F9" s="44">
        <v>53251.74</v>
      </c>
      <c r="G9" s="44">
        <v>0</v>
      </c>
      <c r="H9" s="44">
        <v>0</v>
      </c>
      <c r="I9" s="44">
        <v>0</v>
      </c>
      <c r="K9" s="202"/>
      <c r="L9" s="203"/>
    </row>
    <row r="10" spans="1:12" ht="14.25">
      <c r="A10" s="59" t="str">
        <f>HLOOKUP(INDICE!$F$2,Nombres!$C$3:$D$636,13,FALSE)</f>
        <v>América del Sur </v>
      </c>
      <c r="B10" s="44">
        <f aca="true" t="shared" si="0" ref="B10:I10">+B11+B12+B13+B14+B15</f>
        <v>44876.2198411</v>
      </c>
      <c r="C10" s="44">
        <f t="shared" si="0"/>
        <v>44015.18471731</v>
      </c>
      <c r="D10" s="44">
        <f t="shared" si="0"/>
        <v>40087.468540019996</v>
      </c>
      <c r="E10" s="44">
        <f t="shared" si="0"/>
        <v>39804.424999409996</v>
      </c>
      <c r="F10" s="44">
        <f t="shared" si="0"/>
        <v>38947.77803282</v>
      </c>
      <c r="G10" s="44">
        <f t="shared" si="0"/>
        <v>0</v>
      </c>
      <c r="H10" s="44">
        <f t="shared" si="0"/>
        <v>0</v>
      </c>
      <c r="I10" s="44">
        <f t="shared" si="0"/>
        <v>0</v>
      </c>
      <c r="K10" s="202"/>
      <c r="L10" s="203"/>
    </row>
    <row r="11" spans="1:12" ht="14.25">
      <c r="A11" s="204" t="str">
        <f>HLOOKUP(INDICE!$F$2,Nombres!$C$3:$D$636,14,FALSE)</f>
        <v>Argentina</v>
      </c>
      <c r="B11" s="44">
        <v>6910.432117140001</v>
      </c>
      <c r="C11" s="44">
        <v>6353.540634369999</v>
      </c>
      <c r="D11" s="44">
        <v>5987.350096560001</v>
      </c>
      <c r="E11" s="44">
        <v>5684.74992963</v>
      </c>
      <c r="F11" s="44">
        <v>5727.42467177</v>
      </c>
      <c r="G11" s="44">
        <v>0</v>
      </c>
      <c r="H11" s="44">
        <v>0</v>
      </c>
      <c r="I11" s="44">
        <v>0</v>
      </c>
      <c r="K11" s="202"/>
      <c r="L11" s="203"/>
    </row>
    <row r="12" spans="1:12" ht="14.25">
      <c r="A12" s="204" t="str">
        <f>HLOOKUP(INDICE!$F$2,Nombres!$C$3:$D$636,15,FALSE)</f>
        <v>Chile</v>
      </c>
      <c r="B12" s="44">
        <v>1748.7650000000003</v>
      </c>
      <c r="C12" s="44">
        <v>1736.961</v>
      </c>
      <c r="D12" s="44">
        <v>2140.844</v>
      </c>
      <c r="E12" s="44">
        <v>1575.173</v>
      </c>
      <c r="F12" s="44">
        <v>1577.494</v>
      </c>
      <c r="G12" s="44">
        <v>0</v>
      </c>
      <c r="H12" s="44">
        <v>0</v>
      </c>
      <c r="I12" s="44">
        <v>0</v>
      </c>
      <c r="K12" s="202"/>
      <c r="L12" s="203"/>
    </row>
    <row r="13" spans="1:12" ht="14.25">
      <c r="A13" s="204" t="str">
        <f>HLOOKUP(INDICE!$F$2,Nombres!$C$3:$D$636,16,FALSE)</f>
        <v>Colombia</v>
      </c>
      <c r="B13" s="44">
        <v>13100.239411009998</v>
      </c>
      <c r="C13" s="44">
        <v>13499.122104820002</v>
      </c>
      <c r="D13" s="44">
        <v>12079.88084906</v>
      </c>
      <c r="E13" s="44">
        <v>13095.646906889999</v>
      </c>
      <c r="F13" s="44">
        <v>12609.25952864</v>
      </c>
      <c r="G13" s="44">
        <v>0</v>
      </c>
      <c r="H13" s="44">
        <v>0</v>
      </c>
      <c r="I13" s="44">
        <v>0</v>
      </c>
      <c r="K13" s="202"/>
      <c r="L13" s="203"/>
    </row>
    <row r="14" spans="1:12" ht="14.25">
      <c r="A14" s="204" t="str">
        <f>HLOOKUP(INDICE!$F$2,Nombres!$C$3:$D$636,17,FALSE)</f>
        <v>Perú</v>
      </c>
      <c r="B14" s="44">
        <v>19278.294312949998</v>
      </c>
      <c r="C14" s="44">
        <v>18734.891978120002</v>
      </c>
      <c r="D14" s="44">
        <v>16439.1045944</v>
      </c>
      <c r="E14" s="44">
        <v>15844.840162789998</v>
      </c>
      <c r="F14" s="44">
        <v>16675.77383241</v>
      </c>
      <c r="G14" s="44">
        <v>0</v>
      </c>
      <c r="H14" s="44">
        <v>0</v>
      </c>
      <c r="I14" s="44">
        <v>0</v>
      </c>
      <c r="K14" s="202"/>
      <c r="L14" s="203"/>
    </row>
    <row r="15" spans="1:12" ht="14.25">
      <c r="A15" s="204" t="str">
        <f>HLOOKUP(INDICE!$F$2,Nombres!$C$3:$D$636,89,FALSE)</f>
        <v>Resto de América del Sur</v>
      </c>
      <c r="B15" s="44">
        <v>3838.489</v>
      </c>
      <c r="C15" s="44">
        <v>3690.669</v>
      </c>
      <c r="D15" s="44">
        <v>3440.2890000000007</v>
      </c>
      <c r="E15" s="44">
        <v>3604.0150001</v>
      </c>
      <c r="F15" s="44">
        <v>2357.826</v>
      </c>
      <c r="G15" s="44">
        <v>0</v>
      </c>
      <c r="H15" s="44">
        <v>0</v>
      </c>
      <c r="I15" s="44">
        <v>0</v>
      </c>
      <c r="K15" s="202"/>
      <c r="L15" s="203"/>
    </row>
    <row r="16" spans="1:12" ht="14.25">
      <c r="A16" s="301" t="str">
        <f>HLOOKUP(INDICE!$F$2,Nombres!$C$3:$D$636,263,FALSE)</f>
        <v>Resto de Negocios</v>
      </c>
      <c r="B16" s="44">
        <v>25598.11478826</v>
      </c>
      <c r="C16" s="44">
        <v>27968.764307649995</v>
      </c>
      <c r="D16" s="44">
        <v>25515.74174352</v>
      </c>
      <c r="E16" s="44">
        <v>24331.2185127</v>
      </c>
      <c r="F16" s="44">
        <v>28436.27412497</v>
      </c>
      <c r="G16" s="44">
        <v>0</v>
      </c>
      <c r="H16" s="44">
        <v>0</v>
      </c>
      <c r="I16" s="44">
        <v>0</v>
      </c>
      <c r="K16" s="202"/>
      <c r="L16" s="203"/>
    </row>
    <row r="17" spans="1:12" ht="14.25">
      <c r="A17" s="59" t="str">
        <f>HLOOKUP(INDICE!$F$2,Nombres!$C$3:$D$636,272,FALSE)</f>
        <v>Centro Corporativo (1)</v>
      </c>
      <c r="B17" s="44">
        <f>+B6-B7-B8-B9-B11-B12-B13-B14-B15-B16</f>
        <v>74732.24494413998</v>
      </c>
      <c r="C17" s="44">
        <f aca="true" t="shared" si="1" ref="C17:I17">+C6-C7-C8-C9-C11-C12-C13-C14-C15-C16</f>
        <v>68623.55761825001</v>
      </c>
      <c r="D17" s="44">
        <f t="shared" si="1"/>
        <v>68157.99598261001</v>
      </c>
      <c r="E17" s="44">
        <f t="shared" si="1"/>
        <v>70252.46174624999</v>
      </c>
      <c r="F17" s="44">
        <f t="shared" si="1"/>
        <v>63944.40466047001</v>
      </c>
      <c r="G17" s="44">
        <f t="shared" si="1"/>
        <v>0</v>
      </c>
      <c r="H17" s="44">
        <f t="shared" si="1"/>
        <v>0</v>
      </c>
      <c r="I17" s="44">
        <f t="shared" si="1"/>
        <v>0</v>
      </c>
      <c r="K17" s="202"/>
      <c r="L17" s="203"/>
    </row>
    <row r="18" spans="1:12" ht="14.25">
      <c r="A18" s="59"/>
      <c r="B18" s="44"/>
      <c r="C18" s="44"/>
      <c r="D18" s="44"/>
      <c r="E18" s="44"/>
      <c r="F18" s="44"/>
      <c r="G18" s="44"/>
      <c r="H18" s="44"/>
      <c r="I18" s="44"/>
      <c r="K18" s="202"/>
      <c r="L18" s="203"/>
    </row>
    <row r="19" spans="1:12" ht="14.25">
      <c r="A19" s="59"/>
      <c r="B19" s="44"/>
      <c r="C19" s="44"/>
      <c r="D19" s="44"/>
      <c r="E19" s="44"/>
      <c r="F19" s="44"/>
      <c r="G19" s="44"/>
      <c r="H19" s="44"/>
      <c r="I19" s="44"/>
      <c r="K19" s="202"/>
      <c r="L19" s="203"/>
    </row>
    <row r="20" spans="1:12" ht="14.25">
      <c r="A20" s="59" t="str">
        <f>HLOOKUP(INDICE!$F$2,Nombres!$C$3:$D$636,273,FALSE)</f>
        <v>(1) Incluye los APRs del negocio de EEUU vendido</v>
      </c>
      <c r="B20" s="44"/>
      <c r="C20" s="44"/>
      <c r="D20" s="44"/>
      <c r="E20" s="44"/>
      <c r="F20" s="44"/>
      <c r="G20" s="44"/>
      <c r="H20" s="44"/>
      <c r="I20" s="44"/>
      <c r="K20" s="202"/>
      <c r="L20" s="203"/>
    </row>
    <row r="21" spans="1:12" ht="14.25">
      <c r="A21" s="59"/>
      <c r="K21" s="202"/>
      <c r="L21" s="203"/>
    </row>
    <row r="22" spans="1:12" ht="14.25">
      <c r="A22" s="294"/>
      <c r="B22" s="44"/>
      <c r="C22" s="44"/>
      <c r="D22" s="44"/>
      <c r="E22" s="44"/>
      <c r="F22" s="44"/>
      <c r="G22" s="44"/>
      <c r="H22" s="44"/>
      <c r="I22" s="56"/>
      <c r="K22" s="202"/>
      <c r="L22" s="203"/>
    </row>
    <row r="23" spans="1:12" ht="14.25">
      <c r="A23" s="294"/>
      <c r="B23" s="302">
        <v>0</v>
      </c>
      <c r="C23" s="302">
        <v>0</v>
      </c>
      <c r="D23" s="302">
        <v>0</v>
      </c>
      <c r="E23" s="302">
        <v>0</v>
      </c>
      <c r="F23" s="302">
        <v>0</v>
      </c>
      <c r="G23" s="302">
        <v>0</v>
      </c>
      <c r="H23" s="302">
        <v>0</v>
      </c>
      <c r="I23" s="302">
        <v>0</v>
      </c>
      <c r="K23" s="202"/>
      <c r="L23" s="203"/>
    </row>
    <row r="24" spans="1:9" ht="14.25">
      <c r="A24" s="59"/>
      <c r="B24" s="44"/>
      <c r="C24" s="44"/>
      <c r="D24" s="44"/>
      <c r="E24" s="44"/>
      <c r="F24" s="44"/>
      <c r="G24" s="44"/>
      <c r="H24" s="44"/>
      <c r="I24" s="44"/>
    </row>
    <row r="25" spans="1:6" ht="14.25">
      <c r="A25" s="160"/>
      <c r="B25" s="160"/>
      <c r="C25" s="160"/>
      <c r="D25" s="160"/>
      <c r="E25" s="160"/>
      <c r="F25" s="160"/>
    </row>
    <row r="26" spans="1:6" ht="14.25">
      <c r="A26" s="259"/>
      <c r="B26" s="205"/>
      <c r="C26" s="205"/>
      <c r="D26" s="205"/>
      <c r="E26" s="205"/>
      <c r="F26" s="205"/>
    </row>
    <row r="27" spans="2:6" ht="14.25">
      <c r="B27" s="108"/>
      <c r="F27" s="31"/>
    </row>
    <row r="1005" ht="14.25">
      <c r="A1005" t="s">
        <v>396</v>
      </c>
    </row>
  </sheetData>
  <sheetProtection/>
  <mergeCells count="1">
    <mergeCell ref="B4:I4"/>
  </mergeCells>
  <conditionalFormatting sqref="B23:I23">
    <cfRule type="cellIs" priority="1" dxfId="115" operator="notBetween">
      <formula>0.25</formula>
      <formula>-0.25</formula>
    </cfRule>
  </conditionalFormatting>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O18" sqref="O18"/>
    </sheetView>
  </sheetViews>
  <sheetFormatPr defaultColWidth="11.421875" defaultRowHeight="15"/>
  <cols>
    <col min="1" max="1" width="42.421875" style="209" customWidth="1"/>
    <col min="2" max="2" width="13.57421875" style="209" bestFit="1" customWidth="1"/>
    <col min="3" max="4" width="11.421875" style="209" customWidth="1"/>
    <col min="5" max="5" width="11.7109375" style="209" bestFit="1" customWidth="1"/>
    <col min="6" max="6" width="11.421875" style="209" customWidth="1"/>
    <col min="7" max="9" width="11.421875" style="209" hidden="1" customWidth="1"/>
    <col min="10" max="10" width="4.7109375" style="208" customWidth="1"/>
    <col min="11" max="11" width="11.421875" style="209" customWidth="1"/>
    <col min="12" max="12" width="11.7109375" style="209" bestFit="1" customWidth="1"/>
    <col min="13" max="16384" width="11.421875" style="209" customWidth="1"/>
  </cols>
  <sheetData>
    <row r="1" spans="1:12" ht="16.5">
      <c r="A1" s="206" t="str">
        <f>HLOOKUP(INDICE!$F$2,Nombres!$C$3:$D$636,113,FALSE)</f>
        <v>Desglose del crédito no dudoso en gestión</v>
      </c>
      <c r="B1" s="207"/>
      <c r="C1" s="207"/>
      <c r="D1" s="207"/>
      <c r="E1" s="207"/>
      <c r="F1" s="207"/>
      <c r="G1" s="207"/>
      <c r="H1" s="207"/>
      <c r="I1" s="207"/>
      <c r="L1" s="210"/>
    </row>
    <row r="2" spans="1:12" ht="14.25">
      <c r="A2" s="211" t="str">
        <f>HLOOKUP(INDICE!$F$2,Nombres!$C$3:$D$636,73,FALSE)</f>
        <v>(Millones de euros constantes)</v>
      </c>
      <c r="B2" s="210"/>
      <c r="C2" s="210"/>
      <c r="D2" s="210"/>
      <c r="E2" s="210"/>
      <c r="F2" s="210"/>
      <c r="L2" s="210"/>
    </row>
    <row r="3" spans="1:12" ht="14.25">
      <c r="A3" s="212"/>
      <c r="B3" s="210"/>
      <c r="C3" s="210"/>
      <c r="D3" s="210"/>
      <c r="E3" s="210"/>
      <c r="F3" s="210"/>
      <c r="L3" s="210"/>
    </row>
    <row r="4" spans="1:9" ht="15.75" customHeight="1">
      <c r="A4" s="213"/>
      <c r="B4" s="313" t="str">
        <f>HLOOKUP(INDICE!$F$2,Nombres!$C$3:$D$636,7,FALSE)</f>
        <v>España</v>
      </c>
      <c r="C4" s="313"/>
      <c r="D4" s="313"/>
      <c r="E4" s="313"/>
      <c r="F4" s="313"/>
      <c r="G4" s="313"/>
      <c r="H4" s="313"/>
      <c r="I4" s="313"/>
    </row>
    <row r="5" spans="1:12" ht="14.2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c r="L5" s="121"/>
    </row>
    <row r="6" spans="1:14" ht="14.25">
      <c r="A6" s="215" t="str">
        <f>HLOOKUP(INDICE!$F$2,Nombres!$C$3:$D$636,209,FALSE)</f>
        <v>Hipotecario</v>
      </c>
      <c r="B6" s="216">
        <v>71518.73296000001</v>
      </c>
      <c r="C6" s="216">
        <v>70700.413705</v>
      </c>
      <c r="D6" s="216">
        <v>70123.828433</v>
      </c>
      <c r="E6" s="216">
        <v>69966.69398400001</v>
      </c>
      <c r="F6" s="216">
        <v>69627.90255</v>
      </c>
      <c r="G6" s="216">
        <v>0</v>
      </c>
      <c r="H6" s="216">
        <v>0</v>
      </c>
      <c r="I6" s="216">
        <v>0</v>
      </c>
      <c r="L6" s="216"/>
      <c r="N6" s="271"/>
    </row>
    <row r="7" spans="1:14" ht="14.25">
      <c r="A7" s="215" t="str">
        <f>HLOOKUP(INDICE!$F$2,Nombres!$C$3:$D$636,210,FALSE)</f>
        <v>Consumo  y tarjetas de Credito</v>
      </c>
      <c r="B7" s="216">
        <v>13534.321819000003</v>
      </c>
      <c r="C7" s="216">
        <v>13340.822999</v>
      </c>
      <c r="D7" s="216">
        <v>13586.875076999999</v>
      </c>
      <c r="E7" s="216">
        <v>13906.873101000001</v>
      </c>
      <c r="F7" s="216">
        <v>13943.287111</v>
      </c>
      <c r="G7" s="216">
        <v>0</v>
      </c>
      <c r="H7" s="216">
        <v>0</v>
      </c>
      <c r="I7" s="216">
        <v>0</v>
      </c>
      <c r="J7" s="303"/>
      <c r="L7" s="216"/>
      <c r="N7" s="271"/>
    </row>
    <row r="8" spans="1:14" ht="14.25">
      <c r="A8" s="215" t="str">
        <f>HLOOKUP(INDICE!$F$2,Nombres!$C$3:$D$636,211,FALSE)</f>
        <v>Negocios retail</v>
      </c>
      <c r="B8" s="216">
        <v>13758.71167</v>
      </c>
      <c r="C8" s="216">
        <v>14850.759939</v>
      </c>
      <c r="D8" s="216">
        <v>15037.313578</v>
      </c>
      <c r="E8" s="216">
        <v>15347.878110999998</v>
      </c>
      <c r="F8" s="216">
        <v>15357.717637</v>
      </c>
      <c r="G8" s="216">
        <v>0</v>
      </c>
      <c r="H8" s="216">
        <v>0</v>
      </c>
      <c r="I8" s="216">
        <v>0</v>
      </c>
      <c r="J8" s="303"/>
      <c r="L8" s="216"/>
      <c r="N8" s="271"/>
    </row>
    <row r="9" spans="1:14" ht="14.25">
      <c r="A9" s="215" t="str">
        <f>HLOOKUP(INDICE!$F$2,Nombres!$C$3:$D$636,212,FALSE)</f>
        <v>Empresas medianas</v>
      </c>
      <c r="B9" s="216">
        <v>17087.961375</v>
      </c>
      <c r="C9" s="216">
        <v>18043.224456</v>
      </c>
      <c r="D9" s="216">
        <v>17806.629531</v>
      </c>
      <c r="E9" s="216">
        <v>18191.853354999996</v>
      </c>
      <c r="F9" s="216">
        <v>18358.452911</v>
      </c>
      <c r="G9" s="216">
        <v>0</v>
      </c>
      <c r="H9" s="216">
        <v>0</v>
      </c>
      <c r="I9" s="216">
        <v>0</v>
      </c>
      <c r="J9" s="303"/>
      <c r="L9" s="216"/>
      <c r="N9" s="271"/>
    </row>
    <row r="10" spans="1:14" ht="14.25">
      <c r="A10" s="215" t="str">
        <f>HLOOKUP(INDICE!$F$2,Nombres!$C$3:$D$636,213,FALSE)</f>
        <v>Corporativa + CIB</v>
      </c>
      <c r="B10" s="216">
        <v>24784.800433</v>
      </c>
      <c r="C10" s="216">
        <v>25217.900889</v>
      </c>
      <c r="D10" s="216">
        <v>24353.853535</v>
      </c>
      <c r="E10" s="216">
        <v>23846.199391000002</v>
      </c>
      <c r="F10" s="216">
        <v>23286.409966</v>
      </c>
      <c r="G10" s="216">
        <v>0</v>
      </c>
      <c r="H10" s="216">
        <v>0</v>
      </c>
      <c r="I10" s="216">
        <v>0</v>
      </c>
      <c r="L10" s="216"/>
      <c r="N10" s="271"/>
    </row>
    <row r="11" spans="1:14" ht="14.25">
      <c r="A11" s="215" t="str">
        <f>HLOOKUP(INDICE!$F$2,Nombres!$C$3:$D$636,214,FALSE)</f>
        <v>Sector público</v>
      </c>
      <c r="B11" s="216">
        <v>15193.973657</v>
      </c>
      <c r="C11" s="216">
        <v>16255.107344999999</v>
      </c>
      <c r="D11" s="216">
        <v>13834.594334000001</v>
      </c>
      <c r="E11" s="216">
        <v>13835.933625000001</v>
      </c>
      <c r="F11" s="216">
        <v>13792.066191999998</v>
      </c>
      <c r="G11" s="216">
        <v>0</v>
      </c>
      <c r="H11" s="216">
        <v>0</v>
      </c>
      <c r="I11" s="216">
        <v>0</v>
      </c>
      <c r="L11" s="216"/>
      <c r="N11" s="271"/>
    </row>
    <row r="12" spans="1:14" ht="15.75" customHeight="1">
      <c r="A12" s="215" t="str">
        <f>HLOOKUP(INDICE!$F$2,Nombres!$C$3:$D$636,215,FALSE)</f>
        <v>Otros</v>
      </c>
      <c r="B12" s="216">
        <v>9907.910757619979</v>
      </c>
      <c r="C12" s="216">
        <v>10120.075049569983</v>
      </c>
      <c r="D12" s="216">
        <v>9314.751923999998</v>
      </c>
      <c r="E12" s="216">
        <v>10415.683194000008</v>
      </c>
      <c r="F12" s="216">
        <v>9135.391748999993</v>
      </c>
      <c r="G12" s="216">
        <v>0</v>
      </c>
      <c r="H12" s="216">
        <v>0</v>
      </c>
      <c r="I12" s="216">
        <v>0</v>
      </c>
      <c r="L12" s="216"/>
      <c r="N12" s="271"/>
    </row>
    <row r="13" spans="1:14" ht="14.25">
      <c r="A13" s="217" t="str">
        <f>HLOOKUP(INDICE!$F$2,Nombres!$C$3:$D$636,112,FALSE)</f>
        <v>Crédito no dudoso en gestión (*)</v>
      </c>
      <c r="B13" s="218">
        <v>165786.41267162</v>
      </c>
      <c r="C13" s="218">
        <v>168528.30438256997</v>
      </c>
      <c r="D13" s="218">
        <v>164057.846412</v>
      </c>
      <c r="E13" s="218">
        <v>165511.11476100003</v>
      </c>
      <c r="F13" s="218">
        <v>163501.22811599998</v>
      </c>
      <c r="G13" s="218">
        <v>0</v>
      </c>
      <c r="H13" s="218">
        <v>0</v>
      </c>
      <c r="I13" s="218">
        <v>0</v>
      </c>
      <c r="L13" s="217"/>
      <c r="N13" s="271"/>
    </row>
    <row r="14" spans="1:14" ht="14.25">
      <c r="A14" s="210"/>
      <c r="B14" s="219">
        <f>+SUM(B6:B12)-B13</f>
        <v>0</v>
      </c>
      <c r="C14" s="219">
        <f aca="true" t="shared" si="0" ref="C14:I14">+SUM(C6:C12)-C13</f>
        <v>0</v>
      </c>
      <c r="D14" s="219">
        <f t="shared" si="0"/>
        <v>0</v>
      </c>
      <c r="E14" s="219">
        <f t="shared" si="0"/>
        <v>0</v>
      </c>
      <c r="F14" s="219">
        <f t="shared" si="0"/>
        <v>0</v>
      </c>
      <c r="G14" s="219">
        <f t="shared" si="0"/>
        <v>0</v>
      </c>
      <c r="H14" s="219">
        <f t="shared" si="0"/>
        <v>0</v>
      </c>
      <c r="I14" s="219">
        <f t="shared" si="0"/>
        <v>0</v>
      </c>
      <c r="L14" s="220"/>
      <c r="N14" s="271"/>
    </row>
    <row r="15" spans="1:14" ht="14.25">
      <c r="A15" s="304"/>
      <c r="B15" s="216"/>
      <c r="C15" s="216"/>
      <c r="D15" s="216"/>
      <c r="E15" s="216"/>
      <c r="F15" s="216"/>
      <c r="G15" s="216"/>
      <c r="H15" s="216"/>
      <c r="I15" s="216"/>
      <c r="L15" s="216"/>
      <c r="N15" s="271"/>
    </row>
    <row r="16" spans="1:12" ht="14.25">
      <c r="A16" s="210"/>
      <c r="B16" s="221"/>
      <c r="C16" s="221"/>
      <c r="D16" s="221"/>
      <c r="E16" s="221"/>
      <c r="F16" s="221"/>
      <c r="L16" s="221"/>
    </row>
    <row r="17" spans="1:9" ht="14.25">
      <c r="A17" s="213"/>
      <c r="B17" s="313" t="str">
        <f>HLOOKUP(INDICE!$F$2,Nombres!$C$3:$D$636,204,FALSE)</f>
        <v>Mexico (***)</v>
      </c>
      <c r="C17" s="313"/>
      <c r="D17" s="313"/>
      <c r="E17" s="313"/>
      <c r="F17" s="313"/>
      <c r="G17" s="313"/>
      <c r="H17" s="313"/>
      <c r="I17" s="313"/>
    </row>
    <row r="18" spans="1:12" ht="14.25">
      <c r="A18" s="214"/>
      <c r="B18" s="121">
        <f>+B$5</f>
        <v>43921</v>
      </c>
      <c r="C18" s="121">
        <f aca="true" t="shared" si="1" ref="C18:I18">+C$5</f>
        <v>44012</v>
      </c>
      <c r="D18" s="121">
        <f t="shared" si="1"/>
        <v>44104</v>
      </c>
      <c r="E18" s="121">
        <f t="shared" si="1"/>
        <v>44196</v>
      </c>
      <c r="F18" s="121">
        <f t="shared" si="1"/>
        <v>44286</v>
      </c>
      <c r="G18" s="121">
        <f t="shared" si="1"/>
        <v>44377</v>
      </c>
      <c r="H18" s="121">
        <f t="shared" si="1"/>
        <v>44469</v>
      </c>
      <c r="I18" s="121">
        <f t="shared" si="1"/>
        <v>44561</v>
      </c>
      <c r="L18" s="53"/>
    </row>
    <row r="19" spans="1:14" ht="14.25">
      <c r="A19" s="215" t="str">
        <f>HLOOKUP(INDICE!$F$2,Nombres!$C$3:$D$636,105,FALSE)</f>
        <v>Hipotecario</v>
      </c>
      <c r="B19" s="216">
        <v>9739.472191367893</v>
      </c>
      <c r="C19" s="216">
        <v>10063.826668733547</v>
      </c>
      <c r="D19" s="216">
        <v>10156.224194689763</v>
      </c>
      <c r="E19" s="216">
        <v>10325.688340415623</v>
      </c>
      <c r="F19" s="216">
        <v>10495.81724708943</v>
      </c>
      <c r="G19" s="216">
        <v>0</v>
      </c>
      <c r="H19" s="216">
        <v>0</v>
      </c>
      <c r="I19" s="216">
        <v>0</v>
      </c>
      <c r="L19" s="216"/>
      <c r="N19" s="271"/>
    </row>
    <row r="20" spans="1:14" ht="14.25">
      <c r="A20" s="215" t="str">
        <f>HLOOKUP(INDICE!$F$2,Nombres!$C$3:$D$636,106,FALSE)</f>
        <v>Consumo</v>
      </c>
      <c r="B20" s="216">
        <v>7944.792398921856</v>
      </c>
      <c r="C20" s="216">
        <v>7757.254686272279</v>
      </c>
      <c r="D20" s="216">
        <v>7690.352476154034</v>
      </c>
      <c r="E20" s="216">
        <v>7388.256426035109</v>
      </c>
      <c r="F20" s="216">
        <v>7413.337094472484</v>
      </c>
      <c r="G20" s="216">
        <v>0</v>
      </c>
      <c r="H20" s="216">
        <v>0</v>
      </c>
      <c r="I20" s="216">
        <v>0</v>
      </c>
      <c r="L20" s="216"/>
      <c r="N20" s="271"/>
    </row>
    <row r="21" spans="1:14" ht="15.75" customHeight="1">
      <c r="A21" s="215" t="str">
        <f>HLOOKUP(INDICE!$F$2,Nombres!$C$3:$D$636,107,FALSE)</f>
        <v>Tarjetas de Crédito</v>
      </c>
      <c r="B21" s="216">
        <v>4386.790439984455</v>
      </c>
      <c r="C21" s="216">
        <v>4239.567687037754</v>
      </c>
      <c r="D21" s="216">
        <v>4291.620916814967</v>
      </c>
      <c r="E21" s="216">
        <v>4340.84804537101</v>
      </c>
      <c r="F21" s="216">
        <v>4217.685880417948</v>
      </c>
      <c r="G21" s="216">
        <v>0</v>
      </c>
      <c r="H21" s="216">
        <v>0</v>
      </c>
      <c r="I21" s="216">
        <v>0</v>
      </c>
      <c r="L21" s="216"/>
      <c r="N21" s="271"/>
    </row>
    <row r="22" spans="1:14" ht="14.25">
      <c r="A22" s="215" t="str">
        <f>HLOOKUP(INDICE!$F$2,Nombres!$C$3:$D$636,110,FALSE)</f>
        <v>Pymes</v>
      </c>
      <c r="B22" s="216">
        <v>3031.0056379826683</v>
      </c>
      <c r="C22" s="216">
        <v>3038.4289523774305</v>
      </c>
      <c r="D22" s="216">
        <v>2987.8005425615333</v>
      </c>
      <c r="E22" s="216">
        <v>2862.506548693172</v>
      </c>
      <c r="F22" s="216">
        <v>2952.228240683659</v>
      </c>
      <c r="G22" s="216">
        <v>0</v>
      </c>
      <c r="H22" s="216">
        <v>0</v>
      </c>
      <c r="I22" s="216">
        <v>0</v>
      </c>
      <c r="L22" s="216"/>
      <c r="N22" s="271"/>
    </row>
    <row r="23" spans="1:14" ht="14.25">
      <c r="A23" s="215" t="str">
        <f>HLOOKUP(INDICE!$F$2,Nombres!$C$3:$D$636,216,FALSE)</f>
        <v>Resto Minorista</v>
      </c>
      <c r="B23" s="216">
        <v>91.89213607976353</v>
      </c>
      <c r="C23" s="216">
        <v>79.76772542763774</v>
      </c>
      <c r="D23" s="216">
        <v>79.79801926230678</v>
      </c>
      <c r="E23" s="216">
        <v>79.33274013953914</v>
      </c>
      <c r="F23" s="216">
        <v>71.52594518473487</v>
      </c>
      <c r="G23" s="216">
        <v>0</v>
      </c>
      <c r="H23" s="216">
        <v>0</v>
      </c>
      <c r="I23" s="216">
        <v>0</v>
      </c>
      <c r="L23" s="216"/>
      <c r="N23" s="271"/>
    </row>
    <row r="24" spans="1:14" ht="14.25">
      <c r="A24" s="215" t="str">
        <f>HLOOKUP(INDICE!$F$2,Nombres!$C$3:$D$636,217,FALSE)</f>
        <v>Resto Empresas</v>
      </c>
      <c r="B24" s="216">
        <v>25731.81556246371</v>
      </c>
      <c r="C24" s="216">
        <v>24561.047997090325</v>
      </c>
      <c r="D24" s="216">
        <v>22975.951739667173</v>
      </c>
      <c r="E24" s="216">
        <v>21080.846215894824</v>
      </c>
      <c r="F24" s="216">
        <v>21566.616853286378</v>
      </c>
      <c r="G24" s="216">
        <v>0</v>
      </c>
      <c r="H24" s="216">
        <v>0</v>
      </c>
      <c r="I24" s="216">
        <v>0</v>
      </c>
      <c r="L24" s="216"/>
      <c r="N24" s="271"/>
    </row>
    <row r="25" spans="1:14" ht="14.25">
      <c r="A25" s="215" t="str">
        <f>HLOOKUP(INDICE!$F$2,Nombres!$C$3:$D$636,108,FALSE)</f>
        <v>Sector público</v>
      </c>
      <c r="B25" s="216">
        <v>3998.854696681353</v>
      </c>
      <c r="C25" s="216">
        <v>3947.8977370738708</v>
      </c>
      <c r="D25" s="216">
        <v>4103.250891298795</v>
      </c>
      <c r="E25" s="216">
        <v>4539.969896800912</v>
      </c>
      <c r="F25" s="216">
        <v>4645.087731580285</v>
      </c>
      <c r="G25" s="216">
        <v>0</v>
      </c>
      <c r="H25" s="216">
        <v>0</v>
      </c>
      <c r="I25" s="216">
        <v>0</v>
      </c>
      <c r="L25" s="216"/>
      <c r="N25" s="271"/>
    </row>
    <row r="26" spans="1:14" ht="14.25">
      <c r="A26" s="217" t="str">
        <f>HLOOKUP(INDICE!$F$2,Nombres!$C$3:$D$636,112,FALSE)</f>
        <v>Crédito no dudoso en gestión (*)</v>
      </c>
      <c r="B26" s="218">
        <v>54924.6230634817</v>
      </c>
      <c r="C26" s="218">
        <v>53687.79145401284</v>
      </c>
      <c r="D26" s="218">
        <v>52284.99878044857</v>
      </c>
      <c r="E26" s="218">
        <v>50617.44821335019</v>
      </c>
      <c r="F26" s="218">
        <v>51362.29899271492</v>
      </c>
      <c r="G26" s="218">
        <v>0</v>
      </c>
      <c r="H26" s="218">
        <v>0</v>
      </c>
      <c r="I26" s="218">
        <v>0</v>
      </c>
      <c r="J26" s="292"/>
      <c r="L26" s="222"/>
      <c r="N26" s="271"/>
    </row>
    <row r="27" spans="1:14" ht="14.25">
      <c r="A27" s="226" t="str">
        <f>HLOOKUP(INDICE!$F$2,Nombres!$C$3:$D$636,205,FALSE)</f>
        <v>Criterio Local Contable(***) </v>
      </c>
      <c r="B27" s="219">
        <f>+SUM(B19:B25)-B26</f>
        <v>0</v>
      </c>
      <c r="C27" s="219">
        <f aca="true" t="shared" si="2" ref="C27:I27">+SUM(C19:C25)-C26</f>
        <v>0</v>
      </c>
      <c r="D27" s="219">
        <f t="shared" si="2"/>
        <v>0</v>
      </c>
      <c r="E27" s="219">
        <f t="shared" si="2"/>
        <v>0</v>
      </c>
      <c r="F27" s="219">
        <f t="shared" si="2"/>
        <v>0</v>
      </c>
      <c r="G27" s="219">
        <f t="shared" si="2"/>
        <v>0</v>
      </c>
      <c r="H27" s="219">
        <f t="shared" si="2"/>
        <v>0</v>
      </c>
      <c r="I27" s="219">
        <f t="shared" si="2"/>
        <v>0</v>
      </c>
      <c r="L27" s="223"/>
      <c r="N27" s="271"/>
    </row>
    <row r="28" spans="1:14" ht="14.25">
      <c r="A28" s="304"/>
      <c r="B28" s="216"/>
      <c r="C28" s="216"/>
      <c r="D28" s="216"/>
      <c r="E28" s="216"/>
      <c r="F28" s="216"/>
      <c r="G28" s="216"/>
      <c r="H28" s="216"/>
      <c r="I28" s="216"/>
      <c r="L28" s="216"/>
      <c r="N28" s="271"/>
    </row>
    <row r="29" spans="2:12" ht="14.25">
      <c r="B29" s="221"/>
      <c r="C29" s="221"/>
      <c r="D29" s="221"/>
      <c r="E29" s="221"/>
      <c r="F29" s="221"/>
      <c r="L29" s="224"/>
    </row>
    <row r="30" spans="1:12" ht="15.75" customHeight="1">
      <c r="A30" s="213"/>
      <c r="B30" s="313" t="str">
        <f>HLOOKUP(INDICE!$F$2,Nombres!$C$3:$D$636,12,FALSE)</f>
        <v>Turquía </v>
      </c>
      <c r="C30" s="313"/>
      <c r="D30" s="313"/>
      <c r="E30" s="313"/>
      <c r="F30" s="313"/>
      <c r="G30" s="313"/>
      <c r="H30" s="313"/>
      <c r="I30" s="313"/>
      <c r="L30" s="225"/>
    </row>
    <row r="31" spans="1:12" ht="14.25">
      <c r="A31" s="214"/>
      <c r="B31" s="121">
        <f>+B$5</f>
        <v>43921</v>
      </c>
      <c r="C31" s="121">
        <f aca="true" t="shared" si="3" ref="C31:I31">+C$5</f>
        <v>44012</v>
      </c>
      <c r="D31" s="121">
        <f t="shared" si="3"/>
        <v>44104</v>
      </c>
      <c r="E31" s="121">
        <f t="shared" si="3"/>
        <v>44196</v>
      </c>
      <c r="F31" s="121">
        <f t="shared" si="3"/>
        <v>44286</v>
      </c>
      <c r="G31" s="121">
        <f t="shared" si="3"/>
        <v>44377</v>
      </c>
      <c r="H31" s="121">
        <f t="shared" si="3"/>
        <v>44469</v>
      </c>
      <c r="I31" s="121">
        <f t="shared" si="3"/>
        <v>44561</v>
      </c>
      <c r="L31" s="53"/>
    </row>
    <row r="32" spans="1:14" ht="14.25">
      <c r="A32" s="215" t="str">
        <f>HLOOKUP(INDICE!$F$2,Nombres!$C$3:$D$636,105,FALSE)</f>
        <v>Hipotecario</v>
      </c>
      <c r="B32" s="216">
        <v>2107.4913471850145</v>
      </c>
      <c r="C32" s="216">
        <v>2099.2497946112826</v>
      </c>
      <c r="D32" s="216">
        <v>2178.9791738977146</v>
      </c>
      <c r="E32" s="216">
        <v>2201.245843649165</v>
      </c>
      <c r="F32" s="216">
        <v>2312.25523675</v>
      </c>
      <c r="G32" s="216">
        <v>0</v>
      </c>
      <c r="H32" s="216">
        <v>0</v>
      </c>
      <c r="I32" s="216">
        <v>0</v>
      </c>
      <c r="L32" s="216"/>
      <c r="N32" s="271"/>
    </row>
    <row r="33" spans="1:14" ht="14.25">
      <c r="A33" s="215" t="str">
        <f>HLOOKUP(INDICE!$F$2,Nombres!$C$3:$D$636,106,FALSE)</f>
        <v>Consumo</v>
      </c>
      <c r="B33" s="216">
        <v>4332.688931004051</v>
      </c>
      <c r="C33" s="216">
        <v>4654.612704212894</v>
      </c>
      <c r="D33" s="216">
        <v>5041.187403704413</v>
      </c>
      <c r="E33" s="216">
        <v>5271.644692872549</v>
      </c>
      <c r="F33" s="216">
        <v>5825.544982429999</v>
      </c>
      <c r="G33" s="216">
        <v>0</v>
      </c>
      <c r="H33" s="216">
        <v>0</v>
      </c>
      <c r="I33" s="216">
        <v>0</v>
      </c>
      <c r="L33" s="216"/>
      <c r="N33" s="271"/>
    </row>
    <row r="34" spans="1:14" ht="14.25">
      <c r="A34" s="215" t="str">
        <f>HLOOKUP(INDICE!$F$2,Nombres!$C$3:$D$636,107,FALSE)</f>
        <v>Tarjetas de Crédito</v>
      </c>
      <c r="B34" s="216">
        <v>2476.9383208800173</v>
      </c>
      <c r="C34" s="216">
        <v>2534.972628951718</v>
      </c>
      <c r="D34" s="216">
        <v>2899.261385381798</v>
      </c>
      <c r="E34" s="216">
        <v>3053.811523488922</v>
      </c>
      <c r="F34" s="216">
        <v>3282.607</v>
      </c>
      <c r="G34" s="216">
        <v>0</v>
      </c>
      <c r="H34" s="216">
        <v>0</v>
      </c>
      <c r="I34" s="216">
        <v>0</v>
      </c>
      <c r="L34" s="216"/>
      <c r="N34" s="271"/>
    </row>
    <row r="35" spans="1:14" ht="14.25">
      <c r="A35" s="215" t="str">
        <f>HLOOKUP(INDICE!$F$2,Nombres!$C$3:$D$636,108,FALSE)</f>
        <v>Sector público</v>
      </c>
      <c r="B35" s="216">
        <v>71.28345988676567</v>
      </c>
      <c r="C35" s="216">
        <v>152.22436417453216</v>
      </c>
      <c r="D35" s="216">
        <v>163.6921795363345</v>
      </c>
      <c r="E35" s="216">
        <v>166.4403464880383</v>
      </c>
      <c r="F35" s="216">
        <v>164.236</v>
      </c>
      <c r="G35" s="216">
        <v>0</v>
      </c>
      <c r="H35" s="216">
        <v>0</v>
      </c>
      <c r="I35" s="216">
        <v>0</v>
      </c>
      <c r="L35" s="216"/>
      <c r="N35" s="271"/>
    </row>
    <row r="36" spans="1:14" ht="14.25">
      <c r="A36" s="215" t="str">
        <f>HLOOKUP(INDICE!$F$2,Nombres!$C$3:$D$636,109,FALSE)</f>
        <v>Sociedades financieras y sociedades no financieras</v>
      </c>
      <c r="B36" s="216">
        <v>19757.660541004247</v>
      </c>
      <c r="C36" s="216">
        <v>22097.01265779041</v>
      </c>
      <c r="D36" s="216">
        <v>23005.216426911513</v>
      </c>
      <c r="E36" s="216">
        <v>23049.32105979125</v>
      </c>
      <c r="F36" s="216">
        <v>23859.668</v>
      </c>
      <c r="G36" s="216">
        <v>0</v>
      </c>
      <c r="H36" s="216">
        <v>0</v>
      </c>
      <c r="I36" s="216">
        <v>0</v>
      </c>
      <c r="L36" s="216"/>
      <c r="N36" s="271"/>
    </row>
    <row r="37" spans="1:14" ht="14.25">
      <c r="A37" s="215" t="str">
        <f>HLOOKUP(INDICE!$F$2,Nombres!$C$3:$D$636,111,FALSE)</f>
        <v>Otros</v>
      </c>
      <c r="B37" s="216">
        <v>503.44582600453225</v>
      </c>
      <c r="C37" s="216">
        <v>452.28100638645344</v>
      </c>
      <c r="D37" s="216">
        <v>567.630564975233</v>
      </c>
      <c r="E37" s="216">
        <v>590.4459390376242</v>
      </c>
      <c r="F37" s="216">
        <v>681.5517808200007</v>
      </c>
      <c r="G37" s="216">
        <v>0</v>
      </c>
      <c r="H37" s="216">
        <v>0</v>
      </c>
      <c r="I37" s="216">
        <v>0</v>
      </c>
      <c r="L37" s="216"/>
      <c r="N37" s="271"/>
    </row>
    <row r="38" spans="1:14" ht="14.25">
      <c r="A38" s="217" t="str">
        <f>HLOOKUP(INDICE!$F$2,Nombres!$C$3:$D$636,112,FALSE)</f>
        <v>Crédito no dudoso en gestión (*)</v>
      </c>
      <c r="B38" s="218">
        <v>29249.50842596463</v>
      </c>
      <c r="C38" s="218">
        <v>31990.35315612729</v>
      </c>
      <c r="D38" s="218">
        <v>33855.967134407</v>
      </c>
      <c r="E38" s="218">
        <v>34332.909405327555</v>
      </c>
      <c r="F38" s="218">
        <v>36125.863000000005</v>
      </c>
      <c r="G38" s="218">
        <v>0</v>
      </c>
      <c r="H38" s="218">
        <v>0</v>
      </c>
      <c r="I38" s="218">
        <v>0</v>
      </c>
      <c r="L38" s="216"/>
      <c r="N38" s="271"/>
    </row>
    <row r="39" spans="1:14" ht="15.75" customHeight="1">
      <c r="A39" s="217"/>
      <c r="B39" s="218"/>
      <c r="C39" s="218"/>
      <c r="D39" s="218"/>
      <c r="E39" s="218"/>
      <c r="F39" s="218"/>
      <c r="G39" s="218"/>
      <c r="H39" s="218"/>
      <c r="I39" s="218"/>
      <c r="L39" s="222"/>
      <c r="N39" s="271"/>
    </row>
    <row r="40" spans="1:12" ht="15.75" customHeight="1">
      <c r="A40" s="217"/>
      <c r="B40" s="218"/>
      <c r="C40" s="218"/>
      <c r="D40" s="218"/>
      <c r="E40" s="218"/>
      <c r="F40" s="218"/>
      <c r="G40" s="218"/>
      <c r="H40" s="218"/>
      <c r="I40" s="218"/>
      <c r="L40" s="223"/>
    </row>
    <row r="41" spans="1:12" ht="14.25">
      <c r="A41" s="217"/>
      <c r="B41" s="218"/>
      <c r="C41" s="218"/>
      <c r="D41" s="218"/>
      <c r="E41" s="218"/>
      <c r="F41" s="218"/>
      <c r="G41" s="218"/>
      <c r="H41" s="218"/>
      <c r="I41" s="218"/>
      <c r="L41" s="216"/>
    </row>
    <row r="42" spans="1:12" ht="15.75" customHeight="1">
      <c r="A42" s="213"/>
      <c r="B42" s="313" t="str">
        <f>HLOOKUP(INDICE!$F$2,Nombres!$C$3:$D$636,296,FALSE)</f>
        <v>Turquia solo Banco</v>
      </c>
      <c r="C42" s="313"/>
      <c r="D42" s="313"/>
      <c r="E42" s="313"/>
      <c r="F42" s="313"/>
      <c r="G42" s="313"/>
      <c r="H42" s="313"/>
      <c r="I42" s="313"/>
      <c r="L42" s="221"/>
    </row>
    <row r="43" spans="1:13" ht="14.25">
      <c r="A43" s="214"/>
      <c r="B43" s="121">
        <f>+B$5</f>
        <v>43921</v>
      </c>
      <c r="C43" s="121">
        <f aca="true" t="shared" si="4" ref="C43:I43">+C$5</f>
        <v>44012</v>
      </c>
      <c r="D43" s="121">
        <f t="shared" si="4"/>
        <v>44104</v>
      </c>
      <c r="E43" s="121">
        <f t="shared" si="4"/>
        <v>44196</v>
      </c>
      <c r="F43" s="121">
        <f t="shared" si="4"/>
        <v>44286</v>
      </c>
      <c r="G43" s="121">
        <f t="shared" si="4"/>
        <v>44377</v>
      </c>
      <c r="H43" s="121">
        <f t="shared" si="4"/>
        <v>44469</v>
      </c>
      <c r="I43" s="121">
        <f t="shared" si="4"/>
        <v>44561</v>
      </c>
      <c r="L43" s="227"/>
      <c r="M43" s="227"/>
    </row>
    <row r="44" spans="1:13" ht="14.25">
      <c r="A44" s="215" t="str">
        <f>HLOOKUP(INDICE!$F$2,Nombres!$C$3:$D$636,285,FALSE)</f>
        <v>Préstamos Hogares TL</v>
      </c>
      <c r="B44" s="216">
        <v>9167.77818362705</v>
      </c>
      <c r="C44" s="216">
        <v>9513.626743071363</v>
      </c>
      <c r="D44" s="216">
        <v>10287.36495524858</v>
      </c>
      <c r="E44" s="216">
        <v>10820.857278614396</v>
      </c>
      <c r="F44" s="216">
        <v>11790.45504138273</v>
      </c>
      <c r="G44" s="216">
        <v>0</v>
      </c>
      <c r="H44" s="216">
        <v>0</v>
      </c>
      <c r="I44" s="216">
        <v>0</v>
      </c>
      <c r="L44" s="53"/>
      <c r="M44" s="227"/>
    </row>
    <row r="45" spans="1:14" ht="14.25">
      <c r="A45" s="215" t="str">
        <f>HLOOKUP(INDICE!$F$2,Nombres!$C$3:$D$636,286,FALSE)</f>
        <v>Préstamos Empresas TL</v>
      </c>
      <c r="B45" s="216">
        <v>7348.044877726475</v>
      </c>
      <c r="C45" s="216">
        <v>9724.279034015386</v>
      </c>
      <c r="D45" s="216">
        <v>9587.410703522884</v>
      </c>
      <c r="E45" s="216">
        <v>10251.024970634426</v>
      </c>
      <c r="F45" s="216">
        <v>10528.127875048835</v>
      </c>
      <c r="G45" s="216">
        <v>0</v>
      </c>
      <c r="H45" s="216">
        <v>0</v>
      </c>
      <c r="I45" s="216">
        <v>0</v>
      </c>
      <c r="L45" s="216"/>
      <c r="M45" s="227"/>
      <c r="N45" s="271"/>
    </row>
    <row r="46" spans="1:14" ht="14.25">
      <c r="A46" s="217" t="str">
        <f>HLOOKUP(INDICE!$F$2,Nombres!$C$3:$D$636,287,FALSE)</f>
        <v>Total Préstamos TL</v>
      </c>
      <c r="B46" s="218">
        <v>16515.823061353523</v>
      </c>
      <c r="C46" s="218">
        <v>19237.905777086748</v>
      </c>
      <c r="D46" s="218">
        <v>19874.775658771465</v>
      </c>
      <c r="E46" s="218">
        <v>21071.88224924882</v>
      </c>
      <c r="F46" s="218">
        <v>22318.582916431566</v>
      </c>
      <c r="G46" s="218">
        <v>0</v>
      </c>
      <c r="H46" s="218">
        <v>0</v>
      </c>
      <c r="I46" s="218">
        <v>0</v>
      </c>
      <c r="L46" s="216"/>
      <c r="M46" s="227"/>
      <c r="N46" s="271"/>
    </row>
    <row r="47" spans="1:14" ht="14.25">
      <c r="A47" s="217" t="str">
        <f>HLOOKUP(INDICE!$F$2,Nombres!$C$3:$D$636,288,FALSE)</f>
        <v>Total Préstamos FC</v>
      </c>
      <c r="B47" s="218">
        <v>11481.81238313956</v>
      </c>
      <c r="C47" s="218">
        <v>11277.698628380924</v>
      </c>
      <c r="D47" s="218">
        <v>10975.38503845157</v>
      </c>
      <c r="E47" s="218">
        <v>10629.341269144981</v>
      </c>
      <c r="F47" s="218">
        <v>10042.179356189188</v>
      </c>
      <c r="G47" s="218">
        <v>0</v>
      </c>
      <c r="H47" s="218">
        <v>0</v>
      </c>
      <c r="I47" s="218">
        <v>0</v>
      </c>
      <c r="L47" s="216"/>
      <c r="M47" s="227"/>
      <c r="N47" s="271"/>
    </row>
    <row r="48" spans="1:14" ht="14.25">
      <c r="A48" s="226" t="str">
        <f>HLOOKUP(INDICE!$F$2,Nombres!$C$3:$D$636,295,FALSE)</f>
        <v>(TL Lira Turca FC Moneda Extranjera)</v>
      </c>
      <c r="B48" s="219">
        <f>+SUM(B32:B37)-B38</f>
        <v>0</v>
      </c>
      <c r="C48" s="219">
        <f aca="true" t="shared" si="5" ref="C48:I48">+SUM(C32:C37)-C38</f>
        <v>0</v>
      </c>
      <c r="D48" s="219">
        <f t="shared" si="5"/>
        <v>0</v>
      </c>
      <c r="E48" s="219">
        <f t="shared" si="5"/>
        <v>0</v>
      </c>
      <c r="F48" s="219">
        <f t="shared" si="5"/>
        <v>0</v>
      </c>
      <c r="G48" s="219">
        <f t="shared" si="5"/>
        <v>0</v>
      </c>
      <c r="H48" s="219">
        <f t="shared" si="5"/>
        <v>0</v>
      </c>
      <c r="I48" s="219">
        <f t="shared" si="5"/>
        <v>0</v>
      </c>
      <c r="L48" s="216"/>
      <c r="M48" s="227"/>
      <c r="N48" s="271"/>
    </row>
    <row r="49" spans="1:14" ht="14.25">
      <c r="A49" s="210"/>
      <c r="B49" s="220"/>
      <c r="C49" s="220"/>
      <c r="D49" s="220"/>
      <c r="E49" s="220"/>
      <c r="F49" s="220"/>
      <c r="G49" s="220"/>
      <c r="H49" s="220"/>
      <c r="I49" s="220"/>
      <c r="L49" s="215"/>
      <c r="M49" s="227"/>
      <c r="N49" s="271"/>
    </row>
    <row r="50" spans="1:14" ht="14.25">
      <c r="A50" s="210"/>
      <c r="B50" s="220"/>
      <c r="C50" s="220"/>
      <c r="D50" s="220"/>
      <c r="E50" s="220"/>
      <c r="F50" s="220"/>
      <c r="G50" s="220"/>
      <c r="H50" s="220"/>
      <c r="I50" s="220"/>
      <c r="L50" s="215"/>
      <c r="M50" s="227"/>
      <c r="N50" s="271"/>
    </row>
    <row r="51" spans="1:14" ht="15.75" customHeight="1">
      <c r="A51" s="213"/>
      <c r="B51" s="313" t="str">
        <f>HLOOKUP(INDICE!$F$2,Nombres!$C$3:$D$636,283,FALSE)</f>
        <v>América del Sur (***)</v>
      </c>
      <c r="C51" s="313"/>
      <c r="D51" s="313"/>
      <c r="E51" s="313"/>
      <c r="F51" s="313"/>
      <c r="G51" s="313"/>
      <c r="H51" s="313"/>
      <c r="I51" s="313"/>
      <c r="L51" s="215"/>
      <c r="M51" s="227"/>
      <c r="N51" s="271"/>
    </row>
    <row r="52" spans="1:14" ht="14.25">
      <c r="A52" s="214"/>
      <c r="B52" s="121">
        <f>+B$5</f>
        <v>43921</v>
      </c>
      <c r="C52" s="121">
        <f aca="true" t="shared" si="6" ref="C52:I52">+C$5</f>
        <v>44012</v>
      </c>
      <c r="D52" s="121">
        <f t="shared" si="6"/>
        <v>44104</v>
      </c>
      <c r="E52" s="121">
        <f t="shared" si="6"/>
        <v>44196</v>
      </c>
      <c r="F52" s="121">
        <f t="shared" si="6"/>
        <v>44286</v>
      </c>
      <c r="G52" s="121">
        <f t="shared" si="6"/>
        <v>44377</v>
      </c>
      <c r="H52" s="121">
        <f t="shared" si="6"/>
        <v>44469</v>
      </c>
      <c r="I52" s="121">
        <f t="shared" si="6"/>
        <v>44561</v>
      </c>
      <c r="L52" s="217"/>
      <c r="M52" s="227"/>
      <c r="N52" s="271"/>
    </row>
    <row r="53" spans="1:13" ht="14.25">
      <c r="A53" s="215" t="s">
        <v>7</v>
      </c>
      <c r="B53" s="216">
        <v>2058.7343226487615</v>
      </c>
      <c r="C53" s="216">
        <v>2319.1979624962905</v>
      </c>
      <c r="D53" s="216">
        <v>2393.0351154646046</v>
      </c>
      <c r="E53" s="216">
        <v>2692.7508020248497</v>
      </c>
      <c r="F53" s="216">
        <v>2743.68365727</v>
      </c>
      <c r="G53" s="216">
        <v>0</v>
      </c>
      <c r="H53" s="216">
        <v>0</v>
      </c>
      <c r="I53" s="216">
        <v>0</v>
      </c>
      <c r="L53" s="220"/>
      <c r="M53" s="227"/>
    </row>
    <row r="54" spans="1:12" ht="14.25">
      <c r="A54" s="215" t="s">
        <v>8</v>
      </c>
      <c r="B54" s="216">
        <v>1680.3106332766768</v>
      </c>
      <c r="C54" s="216">
        <v>1512.4295680100859</v>
      </c>
      <c r="D54" s="216">
        <v>1538.2080469413092</v>
      </c>
      <c r="E54" s="216">
        <v>1514.3521452287841</v>
      </c>
      <c r="F54" s="216">
        <v>1498.298</v>
      </c>
      <c r="G54" s="216">
        <v>0</v>
      </c>
      <c r="H54" s="216">
        <v>0</v>
      </c>
      <c r="I54" s="216">
        <v>0</v>
      </c>
      <c r="L54" s="220"/>
    </row>
    <row r="55" spans="1:9" ht="15.75" customHeight="1">
      <c r="A55" s="215" t="s">
        <v>9</v>
      </c>
      <c r="B55" s="216">
        <v>11275.866606612297</v>
      </c>
      <c r="C55" s="216">
        <v>11417.48753764835</v>
      </c>
      <c r="D55" s="216">
        <v>11304.966209570457</v>
      </c>
      <c r="E55" s="216">
        <v>11230.453567794508</v>
      </c>
      <c r="F55" s="216">
        <v>11365.35593952</v>
      </c>
      <c r="G55" s="216">
        <v>0</v>
      </c>
      <c r="H55" s="216">
        <v>0</v>
      </c>
      <c r="I55" s="216">
        <v>0</v>
      </c>
    </row>
    <row r="56" spans="1:9" ht="14.25">
      <c r="A56" s="215" t="s">
        <v>10</v>
      </c>
      <c r="B56" s="216">
        <v>13157.259277269517</v>
      </c>
      <c r="C56" s="216">
        <v>14328.682933125536</v>
      </c>
      <c r="D56" s="216">
        <v>15222.76029395897</v>
      </c>
      <c r="E56" s="216">
        <v>15226.643430169655</v>
      </c>
      <c r="F56" s="216">
        <v>15293.11439927</v>
      </c>
      <c r="G56" s="216">
        <v>0</v>
      </c>
      <c r="H56" s="216">
        <v>0</v>
      </c>
      <c r="I56" s="216">
        <v>0</v>
      </c>
    </row>
    <row r="57" spans="1:14" ht="14.25">
      <c r="A57" s="215" t="s">
        <v>11</v>
      </c>
      <c r="B57" s="216">
        <v>1558.059901829768</v>
      </c>
      <c r="C57" s="216">
        <v>1550.028199112278</v>
      </c>
      <c r="D57" s="216">
        <v>1520.201456140343</v>
      </c>
      <c r="E57" s="216">
        <v>1629.8551747317458</v>
      </c>
      <c r="F57" s="216">
        <v>1686.4217474399998</v>
      </c>
      <c r="G57" s="216">
        <v>0</v>
      </c>
      <c r="H57" s="216">
        <v>0</v>
      </c>
      <c r="I57" s="216">
        <v>0</v>
      </c>
      <c r="L57" s="216"/>
      <c r="N57" s="271"/>
    </row>
    <row r="58" spans="1:14" ht="14.25">
      <c r="A58" s="217" t="str">
        <f>HLOOKUP(INDICE!$F$2,Nombres!$C$3:$D$636,112,FALSE)</f>
        <v>Crédito no dudoso en gestión (*)</v>
      </c>
      <c r="B58" s="218">
        <v>29730.23074163702</v>
      </c>
      <c r="C58" s="218">
        <v>31127.82620039254</v>
      </c>
      <c r="D58" s="218">
        <v>31979.171122075684</v>
      </c>
      <c r="E58" s="218">
        <v>32294.055119949546</v>
      </c>
      <c r="F58" s="218">
        <v>32586.873743499997</v>
      </c>
      <c r="G58" s="218">
        <v>0</v>
      </c>
      <c r="H58" s="218">
        <v>0</v>
      </c>
      <c r="I58" s="218">
        <v>0</v>
      </c>
      <c r="L58" s="216"/>
      <c r="N58" s="271"/>
    </row>
    <row r="59" spans="1:14" ht="14.25">
      <c r="A59" s="210"/>
      <c r="B59" s="219">
        <f>+SUM(B53:B57)-B58</f>
        <v>0</v>
      </c>
      <c r="C59" s="219">
        <f aca="true" t="shared" si="7" ref="C59:I59">+SUM(C53:C57)-C58</f>
        <v>0</v>
      </c>
      <c r="D59" s="219">
        <f t="shared" si="7"/>
        <v>0</v>
      </c>
      <c r="E59" s="219">
        <f t="shared" si="7"/>
        <v>0</v>
      </c>
      <c r="F59" s="219">
        <f t="shared" si="7"/>
        <v>0</v>
      </c>
      <c r="G59" s="219">
        <f t="shared" si="7"/>
        <v>0</v>
      </c>
      <c r="H59" s="219">
        <f t="shared" si="7"/>
        <v>0</v>
      </c>
      <c r="I59" s="219">
        <f t="shared" si="7"/>
        <v>0</v>
      </c>
      <c r="L59" s="216"/>
      <c r="N59" s="271"/>
    </row>
    <row r="60" spans="1:14" ht="15" customHeight="1">
      <c r="A60" s="210"/>
      <c r="B60" s="210"/>
      <c r="C60" s="210"/>
      <c r="D60" s="210"/>
      <c r="E60" s="210"/>
      <c r="F60" s="210"/>
      <c r="L60" s="216"/>
      <c r="N60" s="271"/>
    </row>
    <row r="61" spans="1:14" ht="15" customHeight="1">
      <c r="A61" s="228" t="str">
        <f>HLOOKUP(INDICE!$F$2,Nombres!$C$3:$D$636,71,FALSE)</f>
        <v>(*) No incluye las adquisiciones temporales de activos.</v>
      </c>
      <c r="B61" s="210"/>
      <c r="C61" s="210"/>
      <c r="D61" s="210"/>
      <c r="E61" s="210"/>
      <c r="F61" s="210"/>
      <c r="L61" s="216"/>
      <c r="N61" s="271"/>
    </row>
    <row r="62" spans="1:14" ht="15" customHeight="1">
      <c r="A62" s="228" t="str">
        <f>HLOOKUP(INDICE!$F$2,Nombres!$C$3:$D$636,299,FALSE)</f>
        <v> (***) No incluye Paraguay</v>
      </c>
      <c r="B62" s="210"/>
      <c r="C62" s="210"/>
      <c r="D62" s="210"/>
      <c r="E62" s="210"/>
      <c r="F62" s="210"/>
      <c r="L62" s="217"/>
      <c r="N62" s="271"/>
    </row>
    <row r="63" spans="1:12" ht="14.25">
      <c r="A63" s="210"/>
      <c r="B63" s="210"/>
      <c r="C63" s="210"/>
      <c r="D63" s="210"/>
      <c r="E63" s="210"/>
      <c r="F63" s="210"/>
      <c r="L63" s="220"/>
    </row>
    <row r="64" spans="1:12" ht="14.25">
      <c r="A64" s="210"/>
      <c r="B64" s="210"/>
      <c r="C64" s="210"/>
      <c r="D64" s="210"/>
      <c r="E64" s="210"/>
      <c r="F64" s="210"/>
      <c r="L64" s="210"/>
    </row>
    <row r="65" spans="1:12" ht="14.25">
      <c r="A65" s="210"/>
      <c r="B65" s="210"/>
      <c r="C65" s="210"/>
      <c r="D65" s="210"/>
      <c r="E65" s="210"/>
      <c r="F65" s="210"/>
      <c r="L65" s="210"/>
    </row>
    <row r="66" spans="1:12" ht="14.25">
      <c r="A66" s="210"/>
      <c r="B66" s="210"/>
      <c r="C66" s="210"/>
      <c r="D66" s="210"/>
      <c r="E66" s="210"/>
      <c r="F66" s="210"/>
      <c r="L66" s="210"/>
    </row>
    <row r="67" spans="1:12" ht="14.25">
      <c r="A67" s="210"/>
      <c r="B67" s="210"/>
      <c r="C67" s="210"/>
      <c r="D67" s="210"/>
      <c r="E67" s="210"/>
      <c r="F67" s="210"/>
      <c r="L67" s="210"/>
    </row>
    <row r="68" spans="1:12" ht="14.25">
      <c r="A68" s="210"/>
      <c r="B68" s="210"/>
      <c r="C68" s="210"/>
      <c r="D68" s="210"/>
      <c r="E68" s="210"/>
      <c r="F68" s="210"/>
      <c r="L68" s="210"/>
    </row>
    <row r="69" spans="1:12" ht="14.25">
      <c r="A69" s="210"/>
      <c r="B69" s="210"/>
      <c r="C69" s="210"/>
      <c r="D69" s="210"/>
      <c r="E69" s="210"/>
      <c r="F69" s="210"/>
      <c r="L69" s="210"/>
    </row>
    <row r="70" spans="1:12" ht="14.25">
      <c r="A70" s="210"/>
      <c r="B70" s="210"/>
      <c r="C70" s="210"/>
      <c r="D70" s="210"/>
      <c r="E70" s="210"/>
      <c r="F70" s="210"/>
      <c r="L70" s="210"/>
    </row>
    <row r="71" ht="14.25">
      <c r="L71" s="210"/>
    </row>
    <row r="72" ht="14.25">
      <c r="L72" s="210"/>
    </row>
    <row r="73" ht="14.25">
      <c r="L73" s="210"/>
    </row>
    <row r="74" ht="14.25">
      <c r="L74" s="210"/>
    </row>
    <row r="996" ht="14.25">
      <c r="A996" s="209" t="s">
        <v>396</v>
      </c>
    </row>
  </sheetData>
  <sheetProtection/>
  <mergeCells count="5">
    <mergeCell ref="B4:I4"/>
    <mergeCell ref="B17:I17"/>
    <mergeCell ref="B30:I30"/>
    <mergeCell ref="B42:I42"/>
    <mergeCell ref="B51:I51"/>
  </mergeCells>
  <conditionalFormatting sqref="B14:I14">
    <cfRule type="cellIs" priority="6" dxfId="115" operator="notBetween">
      <formula>0.5</formula>
      <formula>-0.5</formula>
    </cfRule>
  </conditionalFormatting>
  <conditionalFormatting sqref="B27:I27">
    <cfRule type="cellIs" priority="5" dxfId="115" operator="notBetween">
      <formula>0.5</formula>
      <formula>-0.5</formula>
    </cfRule>
  </conditionalFormatting>
  <conditionalFormatting sqref="C27:I27">
    <cfRule type="cellIs" priority="4" dxfId="115" operator="notBetween">
      <formula>0.5</formula>
      <formula>-0.5</formula>
    </cfRule>
  </conditionalFormatting>
  <conditionalFormatting sqref="B48">
    <cfRule type="cellIs" priority="3" dxfId="115" operator="notBetween">
      <formula>0.5</formula>
      <formula>-0.5</formula>
    </cfRule>
  </conditionalFormatting>
  <conditionalFormatting sqref="C48:I48">
    <cfRule type="cellIs" priority="2" dxfId="115" operator="notBetween">
      <formula>0.5</formula>
      <formula>-0.5</formula>
    </cfRule>
  </conditionalFormatting>
  <conditionalFormatting sqref="B59:I59">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N17" sqref="N17"/>
    </sheetView>
  </sheetViews>
  <sheetFormatPr defaultColWidth="11.421875" defaultRowHeight="15"/>
  <cols>
    <col min="1" max="1" width="35.7109375" style="209" customWidth="1"/>
    <col min="2" max="2" width="12.28125" style="209" customWidth="1"/>
    <col min="3" max="6" width="11.421875" style="209" customWidth="1"/>
    <col min="7" max="9" width="11.421875" style="209" hidden="1" customWidth="1"/>
    <col min="10" max="11" width="5.7109375" style="209" customWidth="1"/>
    <col min="12" max="12" width="19.57421875" style="209" customWidth="1"/>
    <col min="13" max="16384" width="11.421875" style="209" customWidth="1"/>
  </cols>
  <sheetData>
    <row r="1" spans="1:9" ht="16.5">
      <c r="A1" s="206" t="str">
        <f>HLOOKUP(INDICE!$F$2,Nombres!$C$3:$D$636,120,FALSE)</f>
        <v>Desglose de los recursos de clientes en gestión</v>
      </c>
      <c r="B1" s="207"/>
      <c r="C1" s="207"/>
      <c r="D1" s="207"/>
      <c r="E1" s="207"/>
      <c r="F1" s="207"/>
      <c r="G1" s="207"/>
      <c r="H1" s="207"/>
      <c r="I1" s="207"/>
    </row>
    <row r="2" spans="1:6" ht="14.25">
      <c r="A2" s="211" t="str">
        <f>HLOOKUP(INDICE!$F$2,Nombres!$C$3:$D$636,73,FALSE)</f>
        <v>(Millones de euros constantes)</v>
      </c>
      <c r="B2" s="210"/>
      <c r="C2" s="210"/>
      <c r="D2" s="210"/>
      <c r="E2" s="210"/>
      <c r="F2" s="210"/>
    </row>
    <row r="3" spans="1:12" ht="15.75" customHeight="1">
      <c r="A3" s="213"/>
      <c r="B3" s="313" t="str">
        <f>HLOOKUP(INDICE!$F$2,Nombres!$C$3:$D$636,7,FALSE)</f>
        <v>España</v>
      </c>
      <c r="C3" s="313"/>
      <c r="D3" s="313"/>
      <c r="E3" s="313"/>
      <c r="F3" s="313"/>
      <c r="G3" s="313"/>
      <c r="H3" s="313"/>
      <c r="I3" s="313"/>
      <c r="L3" s="229"/>
    </row>
    <row r="4" spans="1:9" ht="14.25">
      <c r="A4" s="214"/>
      <c r="B4" s="121">
        <f>+España!B30</f>
        <v>43921</v>
      </c>
      <c r="C4" s="121">
        <f>+España!C30</f>
        <v>44012</v>
      </c>
      <c r="D4" s="121">
        <f>+España!D30</f>
        <v>44104</v>
      </c>
      <c r="E4" s="121">
        <f>+España!E30</f>
        <v>44196</v>
      </c>
      <c r="F4" s="121">
        <f>+España!F30</f>
        <v>44286</v>
      </c>
      <c r="G4" s="121">
        <f>+España!G30</f>
        <v>44377</v>
      </c>
      <c r="H4" s="121">
        <f>+España!H30</f>
        <v>44469</v>
      </c>
      <c r="I4" s="121">
        <f>+España!I30</f>
        <v>44561</v>
      </c>
    </row>
    <row r="5" spans="1:12" ht="14.25">
      <c r="A5" s="215" t="str">
        <f>HLOOKUP(INDICE!$F$2,Nombres!$C$3:$D$636,114,FALSE)</f>
        <v>Depósitos a la vista + Disponibles con preaviso</v>
      </c>
      <c r="B5" s="216">
        <v>158491.67497999998</v>
      </c>
      <c r="C5" s="216">
        <v>165079.441489</v>
      </c>
      <c r="D5" s="216">
        <v>165967.154141</v>
      </c>
      <c r="E5" s="216">
        <v>174789.43881499997</v>
      </c>
      <c r="F5" s="216">
        <v>168710.114432</v>
      </c>
      <c r="G5" s="216">
        <v>0</v>
      </c>
      <c r="H5" s="216">
        <v>0</v>
      </c>
      <c r="I5" s="216">
        <v>0</v>
      </c>
      <c r="L5" s="215"/>
    </row>
    <row r="6" spans="1:12" ht="14.25">
      <c r="A6" s="215" t="str">
        <f>HLOOKUP(INDICE!$F$2,Nombres!$C$3:$D$636,115,FALSE)</f>
        <v>Depósitos a plazo</v>
      </c>
      <c r="B6" s="216">
        <v>27835.713708</v>
      </c>
      <c r="C6" s="216">
        <v>30596.272779</v>
      </c>
      <c r="D6" s="216">
        <v>29715.085445</v>
      </c>
      <c r="E6" s="216">
        <v>31019.070096000003</v>
      </c>
      <c r="F6" s="216">
        <v>27294.733647999998</v>
      </c>
      <c r="G6" s="216">
        <v>0</v>
      </c>
      <c r="H6" s="216">
        <v>0</v>
      </c>
      <c r="I6" s="216">
        <v>0</v>
      </c>
      <c r="L6" s="215"/>
    </row>
    <row r="7" spans="1:12" ht="14.25">
      <c r="A7" s="215" t="str">
        <f>HLOOKUP(INDICE!$F$2,Nombres!$C$3:$D$636,116,FALSE)</f>
        <v>Recursos fuera de balance (*)</v>
      </c>
      <c r="B7" s="216">
        <v>58528.213089720004</v>
      </c>
      <c r="C7" s="216">
        <v>60973.8758073</v>
      </c>
      <c r="D7" s="216">
        <v>60890.98777746001</v>
      </c>
      <c r="E7" s="216">
        <v>62706.994929960005</v>
      </c>
      <c r="F7" s="216">
        <v>64452.27035476999</v>
      </c>
      <c r="G7" s="216">
        <v>0</v>
      </c>
      <c r="H7" s="216">
        <v>0</v>
      </c>
      <c r="I7" s="216">
        <v>0</v>
      </c>
      <c r="L7" s="215"/>
    </row>
    <row r="8" spans="1:12" ht="14.25">
      <c r="A8" s="217" t="str">
        <f>HLOOKUP(INDICE!$F$2,Nombres!$C$3:$D$636,208,FALSE)</f>
        <v> Recursos de clientes en gestión (**)</v>
      </c>
      <c r="B8" s="217">
        <v>244855.60177772003</v>
      </c>
      <c r="C8" s="217">
        <v>256649.59007530002</v>
      </c>
      <c r="D8" s="217">
        <v>256573.22736346</v>
      </c>
      <c r="E8" s="217">
        <v>268515.50384096</v>
      </c>
      <c r="F8" s="217">
        <v>260457.11843477</v>
      </c>
      <c r="G8" s="260">
        <v>0</v>
      </c>
      <c r="H8" s="260">
        <v>0</v>
      </c>
      <c r="I8" s="260">
        <v>0</v>
      </c>
      <c r="L8" s="217"/>
    </row>
    <row r="9" spans="1:12" ht="14.25">
      <c r="A9" s="215" t="str">
        <f>HLOOKUP(INDICE!$F$2,Nombres!$C$3:$D$636,118,FALSE)</f>
        <v>Vista+Plazo</v>
      </c>
      <c r="B9" s="221">
        <f>+B5+B6</f>
        <v>186327.38868799998</v>
      </c>
      <c r="C9" s="221">
        <f aca="true" t="shared" si="0" ref="C9:I9">+C5+C6</f>
        <v>195675.71426799998</v>
      </c>
      <c r="D9" s="221">
        <f t="shared" si="0"/>
        <v>195682.239586</v>
      </c>
      <c r="E9" s="221">
        <f t="shared" si="0"/>
        <v>205808.50891099998</v>
      </c>
      <c r="F9" s="221">
        <f t="shared" si="0"/>
        <v>196004.84808</v>
      </c>
      <c r="G9" s="261">
        <f t="shared" si="0"/>
        <v>0</v>
      </c>
      <c r="H9" s="261">
        <f t="shared" si="0"/>
        <v>0</v>
      </c>
      <c r="I9" s="261">
        <f t="shared" si="0"/>
        <v>0</v>
      </c>
      <c r="L9" s="210"/>
    </row>
    <row r="10" spans="1:9" ht="14.25">
      <c r="A10" s="210"/>
      <c r="B10" s="219">
        <f>+B5+B6+B7-B8</f>
        <v>0</v>
      </c>
      <c r="C10" s="219">
        <f aca="true" t="shared" si="1" ref="C10:I10">+C5+C6+C7-C8</f>
        <v>0</v>
      </c>
      <c r="D10" s="219">
        <f t="shared" si="1"/>
        <v>0</v>
      </c>
      <c r="E10" s="219">
        <f t="shared" si="1"/>
        <v>0</v>
      </c>
      <c r="F10" s="219">
        <f t="shared" si="1"/>
        <v>0</v>
      </c>
      <c r="G10" s="219">
        <f t="shared" si="1"/>
        <v>0</v>
      </c>
      <c r="H10" s="219">
        <f t="shared" si="1"/>
        <v>0</v>
      </c>
      <c r="I10" s="219">
        <f t="shared" si="1"/>
        <v>0</v>
      </c>
    </row>
    <row r="11" spans="1:9" ht="14.25">
      <c r="A11" s="210"/>
      <c r="B11" s="230"/>
      <c r="C11" s="221"/>
      <c r="D11" s="221"/>
      <c r="E11" s="221"/>
      <c r="F11" s="221"/>
      <c r="G11" s="221"/>
      <c r="H11" s="221"/>
      <c r="I11" s="221"/>
    </row>
    <row r="12" spans="1:12" ht="14.25">
      <c r="A12" s="213"/>
      <c r="B12" s="313" t="str">
        <f>HLOOKUP(INDICE!$F$2,Nombres!$C$3:$D$636,204,FALSE)</f>
        <v>Mexico (***)</v>
      </c>
      <c r="C12" s="313"/>
      <c r="D12" s="313"/>
      <c r="E12" s="313"/>
      <c r="F12" s="313"/>
      <c r="G12" s="313"/>
      <c r="H12" s="313"/>
      <c r="I12" s="313"/>
      <c r="L12" s="229"/>
    </row>
    <row r="13" spans="1:9" ht="14.25">
      <c r="A13" s="214"/>
      <c r="B13" s="121">
        <f>+B$4</f>
        <v>43921</v>
      </c>
      <c r="C13" s="121">
        <f aca="true" t="shared" si="2" ref="C13:I13">+C$4</f>
        <v>44012</v>
      </c>
      <c r="D13" s="121">
        <f t="shared" si="2"/>
        <v>44104</v>
      </c>
      <c r="E13" s="121">
        <f t="shared" si="2"/>
        <v>44196</v>
      </c>
      <c r="F13" s="121">
        <f t="shared" si="2"/>
        <v>44286</v>
      </c>
      <c r="G13" s="121">
        <f t="shared" si="2"/>
        <v>44377</v>
      </c>
      <c r="H13" s="121">
        <f t="shared" si="2"/>
        <v>44469</v>
      </c>
      <c r="I13" s="121">
        <f t="shared" si="2"/>
        <v>44561</v>
      </c>
    </row>
    <row r="14" spans="1:12" ht="14.25">
      <c r="A14" s="215" t="str">
        <f>HLOOKUP(INDICE!$F$2,Nombres!$C$3:$D$636,114,FALSE)</f>
        <v>Depósitos a la vista + Disponibles con preaviso</v>
      </c>
      <c r="B14" s="216">
        <v>41933.77248667522</v>
      </c>
      <c r="C14" s="216">
        <v>42140.33502283657</v>
      </c>
      <c r="D14" s="216">
        <v>43439.67166245828</v>
      </c>
      <c r="E14" s="216">
        <v>44851.51501696085</v>
      </c>
      <c r="F14" s="216">
        <v>46230.11091451863</v>
      </c>
      <c r="G14" s="216">
        <v>0</v>
      </c>
      <c r="H14" s="216">
        <v>0</v>
      </c>
      <c r="I14" s="216">
        <v>0</v>
      </c>
      <c r="J14" s="216"/>
      <c r="L14" s="215"/>
    </row>
    <row r="15" spans="1:12" ht="14.25">
      <c r="A15" s="215" t="str">
        <f>HLOOKUP(INDICE!$F$2,Nombres!$C$3:$D$636,115,FALSE)</f>
        <v>Depósitos a plazo</v>
      </c>
      <c r="B15" s="216">
        <v>10554.981535773573</v>
      </c>
      <c r="C15" s="216">
        <v>10614.699983574346</v>
      </c>
      <c r="D15" s="216">
        <v>10770.525695805049</v>
      </c>
      <c r="E15" s="216">
        <v>9601.685101835043</v>
      </c>
      <c r="F15" s="216">
        <v>9828.366741421838</v>
      </c>
      <c r="G15" s="216">
        <v>0</v>
      </c>
      <c r="H15" s="216">
        <v>0</v>
      </c>
      <c r="I15" s="216">
        <v>0</v>
      </c>
      <c r="J15" s="216"/>
      <c r="L15" s="215"/>
    </row>
    <row r="16" spans="1:12" ht="14.25">
      <c r="A16" s="215" t="str">
        <f>HLOOKUP(INDICE!$F$2,Nombres!$C$3:$D$636,116,FALSE)</f>
        <v>Recursos fuera de balance (*)</v>
      </c>
      <c r="B16" s="216">
        <v>22492.16099299336</v>
      </c>
      <c r="C16" s="216">
        <v>23007.99861299227</v>
      </c>
      <c r="D16" s="216">
        <v>23286.972635064012</v>
      </c>
      <c r="E16" s="216">
        <v>22583.12318751182</v>
      </c>
      <c r="F16" s="216">
        <v>23545.09156489316</v>
      </c>
      <c r="G16" s="216">
        <v>0</v>
      </c>
      <c r="H16" s="216">
        <v>0</v>
      </c>
      <c r="I16" s="216">
        <v>0</v>
      </c>
      <c r="J16" s="216"/>
      <c r="L16" s="215"/>
    </row>
    <row r="17" spans="1:12" ht="14.25">
      <c r="A17" s="217" t="str">
        <f>HLOOKUP(INDICE!$F$2,Nombres!$C$3:$D$636,208,FALSE)</f>
        <v> Recursos de clientes en gestión (**)</v>
      </c>
      <c r="B17" s="217">
        <v>74980.91501544214</v>
      </c>
      <c r="C17" s="217">
        <v>75763.03361940318</v>
      </c>
      <c r="D17" s="217">
        <v>77497.16999332733</v>
      </c>
      <c r="E17" s="217">
        <v>77036.32330630772</v>
      </c>
      <c r="F17" s="217">
        <v>79603.56922083363</v>
      </c>
      <c r="G17" s="217">
        <v>0</v>
      </c>
      <c r="H17" s="217">
        <v>0</v>
      </c>
      <c r="I17" s="217">
        <v>0</v>
      </c>
      <c r="J17" s="216"/>
      <c r="L17" s="217"/>
    </row>
    <row r="18" spans="1:12" ht="14.25">
      <c r="A18" s="215" t="str">
        <f>HLOOKUP(INDICE!$F$2,Nombres!$C$3:$D$636,118,FALSE)</f>
        <v>Vista+Plazo</v>
      </c>
      <c r="B18" s="221">
        <f>+B14+B15</f>
        <v>52488.75402244879</v>
      </c>
      <c r="C18" s="221">
        <f aca="true" t="shared" si="3" ref="C18:I18">+C14+C15</f>
        <v>52755.035006410915</v>
      </c>
      <c r="D18" s="221">
        <f t="shared" si="3"/>
        <v>54210.19735826332</v>
      </c>
      <c r="E18" s="221">
        <f t="shared" si="3"/>
        <v>54453.200118795896</v>
      </c>
      <c r="F18" s="221">
        <f t="shared" si="3"/>
        <v>56058.47765594046</v>
      </c>
      <c r="G18" s="261">
        <f t="shared" si="3"/>
        <v>0</v>
      </c>
      <c r="H18" s="261">
        <f t="shared" si="3"/>
        <v>0</v>
      </c>
      <c r="I18" s="261">
        <f t="shared" si="3"/>
        <v>0</v>
      </c>
      <c r="J18" s="217"/>
      <c r="L18" s="231"/>
    </row>
    <row r="19" spans="1:9" ht="14.25">
      <c r="A19" s="226" t="str">
        <f>HLOOKUP(INDICE!$F$2,Nombres!$C$3:$D$636,205,FALSE)</f>
        <v>Criterio Local Contable(***) </v>
      </c>
      <c r="B19" s="219">
        <f>+B14+B15+B16-B17</f>
        <v>0</v>
      </c>
      <c r="C19" s="219">
        <f aca="true" t="shared" si="4" ref="C19:I19">+C14+C15+C16-C17</f>
        <v>0</v>
      </c>
      <c r="D19" s="219">
        <f t="shared" si="4"/>
        <v>0</v>
      </c>
      <c r="E19" s="219">
        <f t="shared" si="4"/>
        <v>0</v>
      </c>
      <c r="F19" s="219">
        <f t="shared" si="4"/>
        <v>0</v>
      </c>
      <c r="G19" s="219">
        <f t="shared" si="4"/>
        <v>0</v>
      </c>
      <c r="H19" s="219">
        <f t="shared" si="4"/>
        <v>0</v>
      </c>
      <c r="I19" s="219">
        <f t="shared" si="4"/>
        <v>0</v>
      </c>
    </row>
    <row r="20" spans="1:6" ht="14.25">
      <c r="A20" s="210"/>
      <c r="B20" s="221"/>
      <c r="C20" s="221"/>
      <c r="D20" s="221"/>
      <c r="E20" s="221"/>
      <c r="F20" s="221"/>
    </row>
    <row r="21" spans="1:12" ht="15.75" customHeight="1">
      <c r="A21" s="213"/>
      <c r="B21" s="313" t="str">
        <f>HLOOKUP(INDICE!$F$2,Nombres!$C$3:$D$636,12,FALSE)</f>
        <v>Turquía </v>
      </c>
      <c r="C21" s="313"/>
      <c r="D21" s="313"/>
      <c r="E21" s="313"/>
      <c r="F21" s="313"/>
      <c r="G21" s="313"/>
      <c r="H21" s="313"/>
      <c r="I21" s="313"/>
      <c r="L21" s="229"/>
    </row>
    <row r="22" spans="1:9" ht="14.25">
      <c r="A22" s="214"/>
      <c r="B22" s="121">
        <f>+B$4</f>
        <v>43921</v>
      </c>
      <c r="C22" s="121">
        <f aca="true" t="shared" si="5" ref="C22:I22">+C$4</f>
        <v>44012</v>
      </c>
      <c r="D22" s="121">
        <f t="shared" si="5"/>
        <v>44104</v>
      </c>
      <c r="E22" s="121">
        <f t="shared" si="5"/>
        <v>44196</v>
      </c>
      <c r="F22" s="121">
        <f t="shared" si="5"/>
        <v>44286</v>
      </c>
      <c r="G22" s="121">
        <f t="shared" si="5"/>
        <v>44377</v>
      </c>
      <c r="H22" s="121">
        <f t="shared" si="5"/>
        <v>44469</v>
      </c>
      <c r="I22" s="121">
        <f t="shared" si="5"/>
        <v>44561</v>
      </c>
    </row>
    <row r="23" spans="1:12" ht="14.25">
      <c r="A23" s="215" t="str">
        <f>HLOOKUP(INDICE!$F$2,Nombres!$C$3:$D$636,114,FALSE)</f>
        <v>Depósitos a la vista + Disponibles con preaviso</v>
      </c>
      <c r="B23" s="216">
        <v>12794.41996267187</v>
      </c>
      <c r="C23" s="216">
        <v>15518.202667653197</v>
      </c>
      <c r="D23" s="216">
        <v>18274.77123351967</v>
      </c>
      <c r="E23" s="216">
        <v>18812.203722125185</v>
      </c>
      <c r="F23" s="216">
        <v>19048.262999999995</v>
      </c>
      <c r="G23" s="216">
        <v>0</v>
      </c>
      <c r="H23" s="216">
        <v>0</v>
      </c>
      <c r="I23" s="216">
        <v>0</v>
      </c>
      <c r="L23" s="215"/>
    </row>
    <row r="24" spans="1:12" ht="14.25">
      <c r="A24" s="215" t="str">
        <f>HLOOKUP(INDICE!$F$2,Nombres!$C$3:$D$636,115,FALSE)</f>
        <v>Depósitos a plazo</v>
      </c>
      <c r="B24" s="216">
        <v>17624.101488863995</v>
      </c>
      <c r="C24" s="216">
        <v>15998.592343899114</v>
      </c>
      <c r="D24" s="216">
        <v>17396.471195067134</v>
      </c>
      <c r="E24" s="216">
        <v>18057.70557478506</v>
      </c>
      <c r="F24" s="216">
        <v>19038.495</v>
      </c>
      <c r="G24" s="216">
        <v>0</v>
      </c>
      <c r="H24" s="216">
        <v>0</v>
      </c>
      <c r="I24" s="216">
        <v>0</v>
      </c>
      <c r="L24" s="215"/>
    </row>
    <row r="25" spans="1:12" ht="14.25">
      <c r="A25" s="215" t="str">
        <f>HLOOKUP(INDICE!$F$2,Nombres!$C$3:$D$636,116,FALSE)</f>
        <v>Recursos fuera de balance (*)</v>
      </c>
      <c r="B25" s="216">
        <v>2862.3327268947723</v>
      </c>
      <c r="C25" s="216">
        <v>3324.385120898878</v>
      </c>
      <c r="D25" s="216">
        <v>3210.156204505976</v>
      </c>
      <c r="E25" s="216">
        <v>3209.152161030971</v>
      </c>
      <c r="F25" s="216">
        <v>3666.742</v>
      </c>
      <c r="G25" s="216">
        <v>0</v>
      </c>
      <c r="H25" s="216">
        <v>0</v>
      </c>
      <c r="I25" s="216">
        <v>0</v>
      </c>
      <c r="L25" s="215"/>
    </row>
    <row r="26" spans="1:12" ht="14.25">
      <c r="A26" s="217" t="str">
        <f>HLOOKUP(INDICE!$F$2,Nombres!$C$3:$D$636,208,FALSE)</f>
        <v> Recursos de clientes en gestión (**)</v>
      </c>
      <c r="B26" s="217">
        <v>33280.854178430636</v>
      </c>
      <c r="C26" s="217">
        <v>34841.18013245118</v>
      </c>
      <c r="D26" s="217">
        <v>38881.39863309278</v>
      </c>
      <c r="E26" s="217">
        <v>40079.061457941214</v>
      </c>
      <c r="F26" s="217">
        <v>41753.5</v>
      </c>
      <c r="G26" s="260">
        <v>0</v>
      </c>
      <c r="H26" s="260">
        <v>0</v>
      </c>
      <c r="I26" s="260">
        <v>0</v>
      </c>
      <c r="L26" s="215"/>
    </row>
    <row r="27" spans="1:12" ht="14.25">
      <c r="A27" s="215" t="str">
        <f>HLOOKUP(INDICE!$F$2,Nombres!$C$3:$D$636,118,FALSE)</f>
        <v>Vista+Plazo</v>
      </c>
      <c r="B27" s="221">
        <f>+B23+B24</f>
        <v>30418.521451535864</v>
      </c>
      <c r="C27" s="221">
        <f aca="true" t="shared" si="6" ref="C27:I27">+C23+C24</f>
        <v>31516.795011552313</v>
      </c>
      <c r="D27" s="221">
        <f t="shared" si="6"/>
        <v>35671.242428586804</v>
      </c>
      <c r="E27" s="221">
        <f t="shared" si="6"/>
        <v>36869.90929691025</v>
      </c>
      <c r="F27" s="221">
        <f>+F23+F24</f>
        <v>38086.757999999994</v>
      </c>
      <c r="G27" s="261">
        <f t="shared" si="6"/>
        <v>0</v>
      </c>
      <c r="H27" s="261">
        <f t="shared" si="6"/>
        <v>0</v>
      </c>
      <c r="I27" s="261">
        <f t="shared" si="6"/>
        <v>0</v>
      </c>
      <c r="L27" s="217"/>
    </row>
    <row r="28" spans="1:9" ht="14.25">
      <c r="A28" s="210"/>
      <c r="B28" s="219">
        <f>+B23+B24+B25-B26</f>
        <v>0</v>
      </c>
      <c r="C28" s="219">
        <f aca="true" t="shared" si="7" ref="C28:I28">+C23+C24+C25-C26</f>
        <v>0</v>
      </c>
      <c r="D28" s="219">
        <f t="shared" si="7"/>
        <v>0</v>
      </c>
      <c r="E28" s="219">
        <f t="shared" si="7"/>
        <v>0</v>
      </c>
      <c r="F28" s="219">
        <f t="shared" si="7"/>
        <v>0</v>
      </c>
      <c r="G28" s="219">
        <f t="shared" si="7"/>
        <v>0</v>
      </c>
      <c r="H28" s="219">
        <f t="shared" si="7"/>
        <v>0</v>
      </c>
      <c r="I28" s="219">
        <f t="shared" si="7"/>
        <v>0</v>
      </c>
    </row>
    <row r="29" spans="1:12" ht="14.25">
      <c r="A29" s="217"/>
      <c r="B29" s="217"/>
      <c r="C29" s="217"/>
      <c r="D29" s="217"/>
      <c r="E29" s="217"/>
      <c r="F29" s="217"/>
      <c r="G29" s="217"/>
      <c r="H29" s="217"/>
      <c r="I29" s="217"/>
      <c r="L29" s="229"/>
    </row>
    <row r="30" spans="1:12" ht="15.75" customHeight="1">
      <c r="A30" s="213"/>
      <c r="B30" s="313" t="str">
        <f>HLOOKUP(INDICE!$F$2,Nombres!$C$3:$D$636,296,FALSE)</f>
        <v>Turquia solo Banco</v>
      </c>
      <c r="C30" s="313"/>
      <c r="D30" s="313"/>
      <c r="E30" s="313"/>
      <c r="F30" s="313"/>
      <c r="G30" s="313"/>
      <c r="H30" s="313"/>
      <c r="I30" s="313"/>
      <c r="L30" s="229"/>
    </row>
    <row r="31" spans="1:9" ht="14.25">
      <c r="A31" s="214"/>
      <c r="B31" s="121">
        <f>+B$4</f>
        <v>43921</v>
      </c>
      <c r="C31" s="121">
        <f aca="true" t="shared" si="8" ref="C31:I31">+C$4</f>
        <v>44012</v>
      </c>
      <c r="D31" s="121">
        <f t="shared" si="8"/>
        <v>44104</v>
      </c>
      <c r="E31" s="121">
        <f t="shared" si="8"/>
        <v>44196</v>
      </c>
      <c r="F31" s="121">
        <f t="shared" si="8"/>
        <v>44286</v>
      </c>
      <c r="G31" s="121">
        <f t="shared" si="8"/>
        <v>44377</v>
      </c>
      <c r="H31" s="121">
        <f t="shared" si="8"/>
        <v>44469</v>
      </c>
      <c r="I31" s="121">
        <f t="shared" si="8"/>
        <v>44561</v>
      </c>
    </row>
    <row r="32" spans="1:12" ht="14.25">
      <c r="A32" s="215" t="str">
        <f>HLOOKUP(INDICE!$F$2,Nombres!$C$3:$D$636,289,FALSE)</f>
        <v>Depósitos Vista TL</v>
      </c>
      <c r="B32" s="216">
        <v>3385.428290963493</v>
      </c>
      <c r="C32" s="216">
        <v>4559.481144356807</v>
      </c>
      <c r="D32" s="216">
        <v>4141.981581502323</v>
      </c>
      <c r="E32" s="216">
        <v>3692.5655340606704</v>
      </c>
      <c r="F32" s="216">
        <v>4065.251442424683</v>
      </c>
      <c r="G32" s="216">
        <v>0</v>
      </c>
      <c r="H32" s="216">
        <v>0</v>
      </c>
      <c r="I32" s="216">
        <v>0</v>
      </c>
      <c r="L32" s="215"/>
    </row>
    <row r="33" spans="1:12" ht="14.25">
      <c r="A33" s="215" t="str">
        <f>HLOOKUP(INDICE!$F$2,Nombres!$C$3:$D$636,290,FALSE)</f>
        <v>Depósitos Plazo TL</v>
      </c>
      <c r="B33" s="216">
        <v>8775.902964442159</v>
      </c>
      <c r="C33" s="216">
        <v>8592.99989232185</v>
      </c>
      <c r="D33" s="216">
        <v>9150.85751715887</v>
      </c>
      <c r="E33" s="216">
        <v>10952.312535667865</v>
      </c>
      <c r="F33" s="216">
        <v>10751.455548900773</v>
      </c>
      <c r="G33" s="216">
        <v>0</v>
      </c>
      <c r="H33" s="216">
        <v>0</v>
      </c>
      <c r="I33" s="216">
        <v>0</v>
      </c>
      <c r="L33" s="215"/>
    </row>
    <row r="34" spans="1:12" ht="14.25">
      <c r="A34" s="217" t="str">
        <f>HLOOKUP(INDICE!$F$2,Nombres!$C$3:$D$636,291,FALSE)</f>
        <v>Total Depósitos TL</v>
      </c>
      <c r="B34" s="217">
        <v>12161.331255405652</v>
      </c>
      <c r="C34" s="217">
        <v>13152.481036678655</v>
      </c>
      <c r="D34" s="217">
        <v>13292.839098661192</v>
      </c>
      <c r="E34" s="217">
        <v>14644.878069728537</v>
      </c>
      <c r="F34" s="217">
        <v>14816.706991325455</v>
      </c>
      <c r="G34" s="217">
        <v>0</v>
      </c>
      <c r="H34" s="217">
        <v>0</v>
      </c>
      <c r="I34" s="217">
        <v>0</v>
      </c>
      <c r="L34" s="215"/>
    </row>
    <row r="35" spans="1:12" ht="14.25">
      <c r="A35" s="215" t="str">
        <f>HLOOKUP(INDICE!$F$2,Nombres!$C$3:$D$636,292,FALSE)</f>
        <v>Depósitos Vista FC</v>
      </c>
      <c r="B35" s="216">
        <v>7164.374658503568</v>
      </c>
      <c r="C35" s="216">
        <v>9273.79866607789</v>
      </c>
      <c r="D35" s="216">
        <v>10985.70346261588</v>
      </c>
      <c r="E35" s="216">
        <v>11611.7000484563</v>
      </c>
      <c r="F35" s="216">
        <v>10685.594336678383</v>
      </c>
      <c r="G35" s="216">
        <v>0</v>
      </c>
      <c r="H35" s="216">
        <v>0</v>
      </c>
      <c r="I35" s="216">
        <v>0</v>
      </c>
      <c r="L35" s="217"/>
    </row>
    <row r="36" spans="1:9" ht="14.25">
      <c r="A36" s="215" t="str">
        <f>HLOOKUP(INDICE!$F$2,Nombres!$C$3:$D$636,293,FALSE)</f>
        <v>Depósitos Plazo FC</v>
      </c>
      <c r="B36" s="216">
        <v>11807.294811220154</v>
      </c>
      <c r="C36" s="216">
        <v>8891.80766594234</v>
      </c>
      <c r="D36" s="216">
        <v>8768.698632372398</v>
      </c>
      <c r="E36" s="216">
        <v>8927.912872078785</v>
      </c>
      <c r="F36" s="216">
        <v>8530.150415796938</v>
      </c>
      <c r="G36" s="216">
        <v>0</v>
      </c>
      <c r="H36" s="216">
        <v>0</v>
      </c>
      <c r="I36" s="216">
        <v>0</v>
      </c>
    </row>
    <row r="37" spans="1:9" ht="14.25">
      <c r="A37" s="217" t="str">
        <f>HLOOKUP(INDICE!$F$2,Nombres!$C$3:$D$636,294,FALSE)</f>
        <v>Total Depósitos FC</v>
      </c>
      <c r="B37" s="217">
        <v>18971.66946972372</v>
      </c>
      <c r="C37" s="217">
        <v>18165.60633202023</v>
      </c>
      <c r="D37" s="217">
        <v>19754.40209498828</v>
      </c>
      <c r="E37" s="217">
        <v>20539.612920535084</v>
      </c>
      <c r="F37" s="217">
        <v>19215.744752475322</v>
      </c>
      <c r="G37" s="217">
        <v>0</v>
      </c>
      <c r="H37" s="217">
        <v>0</v>
      </c>
      <c r="I37" s="217">
        <v>0</v>
      </c>
    </row>
    <row r="38" spans="1:9" ht="14.25">
      <c r="A38" s="226" t="str">
        <f>HLOOKUP(INDICE!$F$2,Nombres!$C$3:$D$636,295,FALSE)</f>
        <v>(TL Lira Turca FC Moneda Extranjera)</v>
      </c>
      <c r="B38" s="217"/>
      <c r="C38" s="217"/>
      <c r="D38" s="217"/>
      <c r="E38" s="217"/>
      <c r="F38" s="217"/>
      <c r="G38" s="217"/>
      <c r="H38" s="217"/>
      <c r="I38" s="217"/>
    </row>
    <row r="39" spans="1:12" ht="15.75" customHeight="1">
      <c r="A39" s="217"/>
      <c r="B39" s="217"/>
      <c r="C39" s="217"/>
      <c r="D39" s="217"/>
      <c r="E39" s="217"/>
      <c r="F39" s="217"/>
      <c r="G39" s="217"/>
      <c r="H39" s="217"/>
      <c r="I39" s="217"/>
      <c r="L39" s="229"/>
    </row>
    <row r="40" spans="1:9" ht="14.25">
      <c r="A40" s="213"/>
      <c r="B40" s="313" t="str">
        <f>HLOOKUP(INDICE!$F$2,Nombres!$C$3:$D$636,283,FALSE)</f>
        <v>América del Sur (***)</v>
      </c>
      <c r="C40" s="313"/>
      <c r="D40" s="313"/>
      <c r="E40" s="313"/>
      <c r="F40" s="313"/>
      <c r="G40" s="313"/>
      <c r="H40" s="313"/>
      <c r="I40" s="313"/>
    </row>
    <row r="41" spans="1:12" ht="14.25">
      <c r="A41" s="214"/>
      <c r="B41" s="121">
        <f>+B$4</f>
        <v>43921</v>
      </c>
      <c r="C41" s="121">
        <f aca="true" t="shared" si="9" ref="C41:I41">+C$4</f>
        <v>44012</v>
      </c>
      <c r="D41" s="121">
        <f t="shared" si="9"/>
        <v>44104</v>
      </c>
      <c r="E41" s="121">
        <f t="shared" si="9"/>
        <v>44196</v>
      </c>
      <c r="F41" s="121">
        <f t="shared" si="9"/>
        <v>44286</v>
      </c>
      <c r="G41" s="121">
        <f t="shared" si="9"/>
        <v>44377</v>
      </c>
      <c r="H41" s="121">
        <f t="shared" si="9"/>
        <v>44469</v>
      </c>
      <c r="I41" s="121">
        <f t="shared" si="9"/>
        <v>44561</v>
      </c>
      <c r="L41" s="215"/>
    </row>
    <row r="42" spans="1:12" ht="14.25">
      <c r="A42" s="215" t="s">
        <v>7</v>
      </c>
      <c r="B42" s="216">
        <v>3658.216254348867</v>
      </c>
      <c r="C42" s="216">
        <v>4522.496358979922</v>
      </c>
      <c r="D42" s="216">
        <v>4630.666964142078</v>
      </c>
      <c r="E42" s="216">
        <v>5354.738258377361</v>
      </c>
      <c r="F42" s="216">
        <v>6033.15670066</v>
      </c>
      <c r="G42" s="216">
        <v>0</v>
      </c>
      <c r="H42" s="216">
        <v>0</v>
      </c>
      <c r="I42" s="216">
        <v>0</v>
      </c>
      <c r="L42" s="215"/>
    </row>
    <row r="43" spans="1:12" ht="14.25">
      <c r="A43" s="215" t="s">
        <v>8</v>
      </c>
      <c r="B43" s="216">
        <v>4.4059633438686445</v>
      </c>
      <c r="C43" s="216">
        <v>3.783800215705542</v>
      </c>
      <c r="D43" s="216">
        <v>4.898240618246624</v>
      </c>
      <c r="E43" s="216">
        <v>5.034841770683141</v>
      </c>
      <c r="F43" s="216">
        <v>5.289999999999999</v>
      </c>
      <c r="G43" s="216">
        <v>0</v>
      </c>
      <c r="H43" s="216">
        <v>0</v>
      </c>
      <c r="I43" s="216">
        <v>0</v>
      </c>
      <c r="L43" s="215"/>
    </row>
    <row r="44" spans="1:12" ht="14.25">
      <c r="A44" s="215" t="s">
        <v>9</v>
      </c>
      <c r="B44" s="216">
        <v>12912.587831141613</v>
      </c>
      <c r="C44" s="216">
        <v>14143.37991723854</v>
      </c>
      <c r="D44" s="216">
        <v>13322.108950560496</v>
      </c>
      <c r="E44" s="216">
        <v>13166.097620286702</v>
      </c>
      <c r="F44" s="216">
        <v>12880.525586</v>
      </c>
      <c r="G44" s="216">
        <v>0</v>
      </c>
      <c r="H44" s="216">
        <v>0</v>
      </c>
      <c r="I44" s="216">
        <v>0</v>
      </c>
      <c r="L44" s="215"/>
    </row>
    <row r="45" spans="1:12" ht="14.25">
      <c r="A45" s="215" t="s">
        <v>10</v>
      </c>
      <c r="B45" s="216">
        <v>14140.310536322944</v>
      </c>
      <c r="C45" s="216">
        <v>16365.994465553054</v>
      </c>
      <c r="D45" s="216">
        <v>16907.339502256604</v>
      </c>
      <c r="E45" s="216">
        <v>18139.083617671382</v>
      </c>
      <c r="F45" s="216">
        <v>17517.462874970002</v>
      </c>
      <c r="G45" s="216">
        <v>0</v>
      </c>
      <c r="H45" s="216">
        <v>0</v>
      </c>
      <c r="I45" s="216">
        <v>0</v>
      </c>
      <c r="L45" s="215"/>
    </row>
    <row r="46" spans="1:12" ht="14.25">
      <c r="A46" s="215" t="s">
        <v>11</v>
      </c>
      <c r="B46" s="216">
        <f aca="true" t="shared" si="10" ref="B46:I46">+B47-B45-B44-B43-B42</f>
        <v>11645.824629340399</v>
      </c>
      <c r="C46" s="216">
        <f t="shared" si="10"/>
        <v>11845.931958402343</v>
      </c>
      <c r="D46" s="216">
        <f t="shared" si="10"/>
        <v>12190.497622887215</v>
      </c>
      <c r="E46" s="216">
        <f t="shared" si="10"/>
        <v>12438.089495066291</v>
      </c>
      <c r="F46" s="216">
        <f t="shared" si="10"/>
        <v>12927.927337230003</v>
      </c>
      <c r="G46" s="216">
        <f t="shared" si="10"/>
        <v>0</v>
      </c>
      <c r="H46" s="216">
        <f t="shared" si="10"/>
        <v>0</v>
      </c>
      <c r="I46" s="216">
        <f t="shared" si="10"/>
        <v>0</v>
      </c>
      <c r="L46" s="217"/>
    </row>
    <row r="47" spans="1:9" ht="14.25">
      <c r="A47" s="217" t="str">
        <f>HLOOKUP(INDICE!$F$2,Nombres!$C$3:$D$636,208,FALSE)</f>
        <v> Recursos de clientes en gestión (**)</v>
      </c>
      <c r="B47" s="217">
        <v>42361.34521449769</v>
      </c>
      <c r="C47" s="217">
        <v>46881.58650038957</v>
      </c>
      <c r="D47" s="217">
        <v>47055.51128046464</v>
      </c>
      <c r="E47" s="217">
        <v>49103.04383317242</v>
      </c>
      <c r="F47" s="217">
        <v>49364.362498860006</v>
      </c>
      <c r="G47" s="217">
        <v>0</v>
      </c>
      <c r="H47" s="217">
        <v>0</v>
      </c>
      <c r="I47" s="217">
        <v>0</v>
      </c>
    </row>
    <row r="48" spans="1:9" ht="14.25">
      <c r="A48" s="210"/>
      <c r="B48" s="219">
        <f>+B42+B43+B44+B45+B46-B47</f>
        <v>0</v>
      </c>
      <c r="C48" s="219">
        <f aca="true" t="shared" si="11" ref="C48:I48">+C42+C43+C44+C45+C46-C47</f>
        <v>0</v>
      </c>
      <c r="D48" s="219">
        <f t="shared" si="11"/>
        <v>0</v>
      </c>
      <c r="E48" s="219">
        <f t="shared" si="11"/>
        <v>0</v>
      </c>
      <c r="F48" s="219">
        <f t="shared" si="11"/>
        <v>0</v>
      </c>
      <c r="G48" s="219">
        <f t="shared" si="11"/>
        <v>0</v>
      </c>
      <c r="H48" s="219">
        <f t="shared" si="11"/>
        <v>0</v>
      </c>
      <c r="I48" s="219">
        <f t="shared" si="11"/>
        <v>0</v>
      </c>
    </row>
    <row r="51" ht="14.25">
      <c r="A51" s="228" t="str">
        <f>HLOOKUP(INDICE!$F$2,Nombres!$C$3:$D$636,206,FALSE)</f>
        <v>Incluye fondos de inversión, fondos de pensiones y otros recursos fuera de balance.(*)</v>
      </c>
    </row>
    <row r="52" ht="14.25">
      <c r="A52" s="228" t="str">
        <f>HLOOKUP(INDICE!$F$2,Nombres!$C$3:$D$636,207,FALSE)</f>
        <v>No incluye las cesiones temporales de activos.  (**)</v>
      </c>
    </row>
    <row r="53" ht="14.25">
      <c r="A53" s="228" t="str">
        <f>HLOOKUP(INDICE!$F$2,Nombres!$C$3:$D$636,284,FALSE)</f>
        <v>No incluye Paraguay (***)</v>
      </c>
    </row>
    <row r="1001" ht="14.25">
      <c r="A1001" s="209" t="s">
        <v>396</v>
      </c>
    </row>
  </sheetData>
  <sheetProtection/>
  <mergeCells count="5">
    <mergeCell ref="B3:I3"/>
    <mergeCell ref="B12:I12"/>
    <mergeCell ref="B21:I21"/>
    <mergeCell ref="B30:I30"/>
    <mergeCell ref="B40:I40"/>
  </mergeCells>
  <conditionalFormatting sqref="B10:I10">
    <cfRule type="cellIs" priority="4" dxfId="115" operator="notBetween">
      <formula>0.5</formula>
      <formula>-0.5</formula>
    </cfRule>
  </conditionalFormatting>
  <conditionalFormatting sqref="B19:I19">
    <cfRule type="cellIs" priority="3" dxfId="115" operator="notBetween">
      <formula>0.5</formula>
      <formula>-0.5</formula>
    </cfRule>
  </conditionalFormatting>
  <conditionalFormatting sqref="B28:I28">
    <cfRule type="cellIs" priority="2" dxfId="115" operator="notBetween">
      <formula>0.5</formula>
      <formula>-0.5</formula>
    </cfRule>
  </conditionalFormatting>
  <conditionalFormatting sqref="B48:I48">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O19" sqref="O19:O20"/>
    </sheetView>
  </sheetViews>
  <sheetFormatPr defaultColWidth="11.421875" defaultRowHeight="15"/>
  <cols>
    <col min="1" max="1" width="33.7109375" style="0" customWidth="1"/>
    <col min="7" max="9" width="0" style="0" hidden="1" customWidth="1"/>
  </cols>
  <sheetData>
    <row r="1" spans="1:9" ht="16.5">
      <c r="A1" s="262" t="str">
        <f>HLOOKUP(INDICE!$F$2,Nombres!$C$3:$D$636,242,FALSE)</f>
        <v>Carteras Coap</v>
      </c>
      <c r="B1" s="207"/>
      <c r="C1" s="207"/>
      <c r="D1" s="207"/>
      <c r="E1" s="207"/>
      <c r="F1" s="207"/>
      <c r="G1" s="207"/>
      <c r="H1" s="207"/>
      <c r="I1" s="207"/>
    </row>
    <row r="2" spans="1:9" ht="14.25">
      <c r="A2" s="84" t="str">
        <f>HLOOKUP(INDICE!$F$2,Nombres!$C$3:$D$636,32,FALSE)</f>
        <v>(Millones de euros)</v>
      </c>
      <c r="B2" s="210"/>
      <c r="C2" s="210"/>
      <c r="D2" s="210"/>
      <c r="E2" s="210"/>
      <c r="F2" s="210"/>
      <c r="G2" s="209"/>
      <c r="H2" s="209"/>
      <c r="I2" s="209"/>
    </row>
    <row r="3" spans="1:9" ht="14.25">
      <c r="A3" s="212"/>
      <c r="B3" s="210"/>
      <c r="C3" s="210"/>
      <c r="D3" s="210"/>
      <c r="E3" s="210"/>
      <c r="F3" s="210"/>
      <c r="G3" s="209"/>
      <c r="H3" s="209"/>
      <c r="I3" s="209"/>
    </row>
    <row r="4" spans="1:9" ht="15.75" customHeight="1">
      <c r="A4" s="213"/>
      <c r="B4" s="314" t="str">
        <f>HLOOKUP(INDICE!$F$2,Nombres!$C$3:$D$636,239,FALSE)</f>
        <v>Total Cartera COAP</v>
      </c>
      <c r="C4" s="313"/>
      <c r="D4" s="313"/>
      <c r="E4" s="313"/>
      <c r="F4" s="313"/>
      <c r="G4" s="313"/>
      <c r="H4" s="313"/>
      <c r="I4" s="313"/>
    </row>
    <row r="5" spans="1:9" ht="14.2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row>
    <row r="6" spans="1:9" ht="14.25">
      <c r="A6" s="263" t="str">
        <f>HLOOKUP(INDICE!$F$2,Nombres!$C$3:$D$636,230,FALSE)</f>
        <v>Grupo BBVA</v>
      </c>
      <c r="B6" s="218">
        <v>41837.7</v>
      </c>
      <c r="C6" s="218">
        <v>42814.8</v>
      </c>
      <c r="D6" s="218">
        <v>44180.899999999994</v>
      </c>
      <c r="E6" s="218">
        <v>44639</v>
      </c>
      <c r="F6" s="218">
        <v>47683</v>
      </c>
      <c r="G6" s="218">
        <v>0</v>
      </c>
      <c r="H6" s="218">
        <v>0</v>
      </c>
      <c r="I6" s="218">
        <v>0</v>
      </c>
    </row>
    <row r="7" spans="1:9" ht="14.25">
      <c r="A7" s="264" t="str">
        <f>HLOOKUP(INDICE!$F$2,Nombres!$C$3:$D$636,231,FALSE)</f>
        <v>Balance Euro</v>
      </c>
      <c r="B7" s="216">
        <v>24184</v>
      </c>
      <c r="C7" s="216">
        <v>23957</v>
      </c>
      <c r="D7" s="216">
        <v>25212</v>
      </c>
      <c r="E7" s="216">
        <v>24686</v>
      </c>
      <c r="F7" s="216">
        <v>26943</v>
      </c>
      <c r="G7" s="216">
        <v>0</v>
      </c>
      <c r="H7" s="216">
        <v>0</v>
      </c>
      <c r="I7" s="216">
        <v>0</v>
      </c>
    </row>
    <row r="8" spans="1:9" ht="14.25">
      <c r="A8" s="265" t="str">
        <f>HLOOKUP(INDICE!$F$2,Nombres!$C$3:$D$636,232,FALSE)</f>
        <v>España</v>
      </c>
      <c r="B8" s="216">
        <v>15376</v>
      </c>
      <c r="C8" s="216">
        <v>15111</v>
      </c>
      <c r="D8" s="216">
        <v>15035</v>
      </c>
      <c r="E8" s="216">
        <v>14755</v>
      </c>
      <c r="F8" s="216">
        <v>14739</v>
      </c>
      <c r="G8" s="216">
        <v>0</v>
      </c>
      <c r="H8" s="216">
        <v>0</v>
      </c>
      <c r="I8" s="216">
        <v>0</v>
      </c>
    </row>
    <row r="9" spans="1:9" ht="14.25">
      <c r="A9" s="265" t="str">
        <f>HLOOKUP(INDICE!$F$2,Nombres!$C$3:$D$636,233,FALSE)</f>
        <v>Italia</v>
      </c>
      <c r="B9" s="216">
        <v>4803</v>
      </c>
      <c r="C9" s="216">
        <v>4797</v>
      </c>
      <c r="D9" s="216">
        <v>5852</v>
      </c>
      <c r="E9" s="216">
        <v>5842</v>
      </c>
      <c r="F9" s="216">
        <v>7054</v>
      </c>
      <c r="G9" s="216">
        <v>0</v>
      </c>
      <c r="H9" s="216">
        <v>0</v>
      </c>
      <c r="I9" s="216">
        <v>0</v>
      </c>
    </row>
    <row r="10" spans="1:9" ht="14.25">
      <c r="A10" s="266" t="str">
        <f>HLOOKUP(INDICE!$F$2,Nombres!$C$3:$D$636,234,FALSE)</f>
        <v>Resto</v>
      </c>
      <c r="B10" s="267">
        <v>4005</v>
      </c>
      <c r="C10" s="267">
        <v>4049</v>
      </c>
      <c r="D10" s="267">
        <v>4325</v>
      </c>
      <c r="E10" s="267">
        <v>4089</v>
      </c>
      <c r="F10" s="267">
        <v>5150</v>
      </c>
      <c r="G10" s="267">
        <v>0</v>
      </c>
      <c r="H10" s="267">
        <v>0</v>
      </c>
      <c r="I10" s="267">
        <v>0</v>
      </c>
    </row>
    <row r="11" spans="1:9" ht="14.25">
      <c r="A11" s="264" t="str">
        <f>HLOOKUP(INDICE!$F$2,Nombres!$C$3:$D$636,236,FALSE)</f>
        <v>Turquia</v>
      </c>
      <c r="B11" s="216">
        <v>7853</v>
      </c>
      <c r="C11" s="216">
        <v>7883</v>
      </c>
      <c r="D11" s="216">
        <v>7119</v>
      </c>
      <c r="E11" s="216">
        <v>7167</v>
      </c>
      <c r="F11" s="216">
        <v>6718</v>
      </c>
      <c r="G11" s="216">
        <v>0</v>
      </c>
      <c r="H11" s="216">
        <v>0</v>
      </c>
      <c r="I11" s="216">
        <v>0</v>
      </c>
    </row>
    <row r="12" spans="1:9" ht="14.25">
      <c r="A12" s="264" t="str">
        <f>HLOOKUP(INDICE!$F$2,Nombres!$C$3:$D$636,237,FALSE)</f>
        <v>Mexico</v>
      </c>
      <c r="B12" s="216">
        <v>6575.7</v>
      </c>
      <c r="C12" s="216">
        <v>7140.8</v>
      </c>
      <c r="D12" s="216">
        <v>7945.9</v>
      </c>
      <c r="E12" s="216">
        <v>8988</v>
      </c>
      <c r="F12" s="216">
        <v>10038</v>
      </c>
      <c r="G12" s="216">
        <v>0</v>
      </c>
      <c r="H12" s="216">
        <v>0</v>
      </c>
      <c r="I12" s="216">
        <v>0</v>
      </c>
    </row>
    <row r="13" spans="1:9" ht="14.25">
      <c r="A13" s="264" t="str">
        <f>HLOOKUP(INDICE!$F$2,Nombres!$C$3:$D$636,238,FALSE)</f>
        <v>Amércia del Sur</v>
      </c>
      <c r="B13" s="216">
        <v>3225</v>
      </c>
      <c r="C13" s="216">
        <v>3834</v>
      </c>
      <c r="D13" s="216">
        <v>3904</v>
      </c>
      <c r="E13" s="216">
        <v>3797</v>
      </c>
      <c r="F13" s="216">
        <v>3984</v>
      </c>
      <c r="G13" s="216">
        <v>0</v>
      </c>
      <c r="H13" s="216">
        <v>0</v>
      </c>
      <c r="I13" s="216">
        <v>0</v>
      </c>
    </row>
    <row r="14" spans="1:9" ht="14.25">
      <c r="A14" s="304"/>
      <c r="B14" s="268">
        <f>+B6-B8-B9-B10-B11-B12-B13</f>
        <v>0</v>
      </c>
      <c r="C14" s="268" t="e">
        <f>+C6-C8-C9-C10-#REF!-C11-C12-C13</f>
        <v>#REF!</v>
      </c>
      <c r="D14" s="268" t="e">
        <f>+D6-D8-D9-D10-#REF!-D11-D12-D13</f>
        <v>#REF!</v>
      </c>
      <c r="E14" s="268" t="e">
        <f>+E6-E8-E9-E10-#REF!-E11-E12-E13</f>
        <v>#REF!</v>
      </c>
      <c r="F14" s="268" t="e">
        <f>+F6-F8-F9-F10-#REF!-F11-F12-F13</f>
        <v>#REF!</v>
      </c>
      <c r="G14" s="268" t="e">
        <f>+G6-G8-G9-G10-#REF!-G11-G12-G13</f>
        <v>#REF!</v>
      </c>
      <c r="H14" s="268" t="e">
        <f>+H6-H8-H9-H10-#REF!-H11-H12-H13</f>
        <v>#REF!</v>
      </c>
      <c r="I14" s="268" t="e">
        <f>+I6-I8-I9-I10-#REF!-I11-I12-I13</f>
        <v>#REF!</v>
      </c>
    </row>
    <row r="15" spans="1:9" ht="14.25">
      <c r="A15" s="304"/>
      <c r="B15" s="268"/>
      <c r="C15" s="268"/>
      <c r="D15" s="268"/>
      <c r="E15" s="268"/>
      <c r="F15" s="268"/>
      <c r="G15" s="268"/>
      <c r="H15" s="268"/>
      <c r="I15" s="268"/>
    </row>
    <row r="16" spans="1:9" ht="14.25">
      <c r="A16" s="304"/>
      <c r="B16" s="268"/>
      <c r="C16" s="268"/>
      <c r="D16" s="268"/>
      <c r="E16" s="268"/>
      <c r="F16" s="268"/>
      <c r="G16" s="268"/>
      <c r="H16" s="268"/>
      <c r="I16" s="268"/>
    </row>
    <row r="17" spans="1:9" ht="14.25">
      <c r="A17" s="213"/>
      <c r="B17" s="314" t="str">
        <f>HLOOKUP(INDICE!$F$2,Nombres!$C$3:$D$636,240,FALSE)</f>
        <v>Cartera COAP a Coste Amortizado</v>
      </c>
      <c r="C17" s="313"/>
      <c r="D17" s="313"/>
      <c r="E17" s="313"/>
      <c r="F17" s="313"/>
      <c r="G17" s="313"/>
      <c r="H17" s="313"/>
      <c r="I17" s="313"/>
    </row>
    <row r="18" spans="1:9" ht="15.75" customHeight="1">
      <c r="A18" s="214"/>
      <c r="B18" s="121">
        <f aca="true" t="shared" si="0" ref="B18:I18">+B$5</f>
        <v>43921</v>
      </c>
      <c r="C18" s="121">
        <f t="shared" si="0"/>
        <v>44012</v>
      </c>
      <c r="D18" s="121">
        <f t="shared" si="0"/>
        <v>44104</v>
      </c>
      <c r="E18" s="121">
        <f t="shared" si="0"/>
        <v>44196</v>
      </c>
      <c r="F18" s="121">
        <f t="shared" si="0"/>
        <v>44286</v>
      </c>
      <c r="G18" s="121">
        <f t="shared" si="0"/>
        <v>44377</v>
      </c>
      <c r="H18" s="121">
        <f t="shared" si="0"/>
        <v>44469</v>
      </c>
      <c r="I18" s="121">
        <f t="shared" si="0"/>
        <v>44561</v>
      </c>
    </row>
    <row r="19" spans="1:9" ht="14.25">
      <c r="A19" s="263" t="str">
        <f>HLOOKUP(INDICE!$F$2,Nombres!$C$3:$D$636,230,FALSE)</f>
        <v>Grupo BBVA</v>
      </c>
      <c r="B19" s="218">
        <v>21002.7</v>
      </c>
      <c r="C19" s="218">
        <v>21704.8</v>
      </c>
      <c r="D19" s="218">
        <v>21189.219999999998</v>
      </c>
      <c r="E19" s="218">
        <v>21274</v>
      </c>
      <c r="F19" s="218">
        <v>21224</v>
      </c>
      <c r="G19" s="218">
        <v>0</v>
      </c>
      <c r="H19" s="218">
        <v>0</v>
      </c>
      <c r="I19" s="218">
        <v>0</v>
      </c>
    </row>
    <row r="20" spans="1:9" ht="14.25">
      <c r="A20" s="264" t="str">
        <f>HLOOKUP(INDICE!$F$2,Nombres!$C$3:$D$636,231,FALSE)</f>
        <v>Balance Euro</v>
      </c>
      <c r="B20" s="216">
        <v>15456</v>
      </c>
      <c r="C20" s="216">
        <v>15175</v>
      </c>
      <c r="D20" s="216">
        <v>15063</v>
      </c>
      <c r="E20" s="216">
        <v>15011</v>
      </c>
      <c r="F20" s="216">
        <v>14990</v>
      </c>
      <c r="G20" s="216">
        <v>0</v>
      </c>
      <c r="H20" s="216">
        <v>0</v>
      </c>
      <c r="I20" s="216">
        <v>0</v>
      </c>
    </row>
    <row r="21" spans="1:9" ht="14.25">
      <c r="A21" s="265" t="str">
        <f>HLOOKUP(INDICE!$F$2,Nombres!$C$3:$D$636,232,FALSE)</f>
        <v>España</v>
      </c>
      <c r="B21" s="216">
        <v>11607</v>
      </c>
      <c r="C21" s="216">
        <v>11345</v>
      </c>
      <c r="D21" s="216">
        <v>11270</v>
      </c>
      <c r="E21" s="216">
        <v>11236</v>
      </c>
      <c r="F21" s="216">
        <v>11223</v>
      </c>
      <c r="G21" s="216">
        <v>0</v>
      </c>
      <c r="H21" s="216">
        <v>0</v>
      </c>
      <c r="I21" s="216">
        <v>0</v>
      </c>
    </row>
    <row r="22" spans="1:9" ht="14.25">
      <c r="A22" s="265" t="str">
        <f>HLOOKUP(INDICE!$F$2,Nombres!$C$3:$D$636,233,FALSE)</f>
        <v>Italia</v>
      </c>
      <c r="B22" s="216">
        <v>3710</v>
      </c>
      <c r="C22" s="216">
        <v>3705</v>
      </c>
      <c r="D22" s="216">
        <v>3697</v>
      </c>
      <c r="E22" s="216">
        <v>3686</v>
      </c>
      <c r="F22" s="216">
        <v>3681</v>
      </c>
      <c r="G22" s="216">
        <v>0</v>
      </c>
      <c r="H22" s="216">
        <v>0</v>
      </c>
      <c r="I22" s="216">
        <v>0</v>
      </c>
    </row>
    <row r="23" spans="1:9" ht="14.25">
      <c r="A23" s="266" t="str">
        <f>HLOOKUP(INDICE!$F$2,Nombres!$C$3:$D$636,234,FALSE)</f>
        <v>Resto</v>
      </c>
      <c r="B23" s="216">
        <v>139</v>
      </c>
      <c r="C23" s="216">
        <v>125</v>
      </c>
      <c r="D23" s="216">
        <v>96</v>
      </c>
      <c r="E23" s="216">
        <v>89</v>
      </c>
      <c r="F23" s="216">
        <v>86</v>
      </c>
      <c r="G23" s="216">
        <v>0</v>
      </c>
      <c r="H23" s="216">
        <v>0</v>
      </c>
      <c r="I23" s="216">
        <v>0</v>
      </c>
    </row>
    <row r="24" spans="1:9" ht="14.25">
      <c r="A24" s="264" t="str">
        <f>HLOOKUP(INDICE!$F$2,Nombres!$C$3:$D$636,236,FALSE)</f>
        <v>Turquia</v>
      </c>
      <c r="B24" s="216">
        <v>4485</v>
      </c>
      <c r="C24" s="216">
        <v>4192</v>
      </c>
      <c r="D24" s="216">
        <v>3786</v>
      </c>
      <c r="E24" s="216">
        <v>3790</v>
      </c>
      <c r="F24" s="216">
        <v>3639</v>
      </c>
      <c r="G24" s="216">
        <v>0</v>
      </c>
      <c r="H24" s="216">
        <v>0</v>
      </c>
      <c r="I24" s="216">
        <v>0</v>
      </c>
    </row>
    <row r="25" spans="1:9" ht="14.25">
      <c r="A25" s="264" t="str">
        <f>HLOOKUP(INDICE!$F$2,Nombres!$C$3:$D$636,237,FALSE)</f>
        <v>Mexico</v>
      </c>
      <c r="B25" s="216">
        <v>1004.7</v>
      </c>
      <c r="C25" s="216">
        <v>2280.8</v>
      </c>
      <c r="D25" s="216">
        <v>2260.1</v>
      </c>
      <c r="E25" s="216">
        <v>2424</v>
      </c>
      <c r="F25" s="216">
        <v>2461</v>
      </c>
      <c r="G25" s="216">
        <v>0</v>
      </c>
      <c r="H25" s="216">
        <v>0</v>
      </c>
      <c r="I25" s="216">
        <v>0</v>
      </c>
    </row>
    <row r="26" spans="1:9" ht="14.25">
      <c r="A26" s="264" t="str">
        <f>HLOOKUP(INDICE!$F$2,Nombres!$C$3:$D$636,238,FALSE)</f>
        <v>Amércia del Sur</v>
      </c>
      <c r="B26" s="216">
        <v>57</v>
      </c>
      <c r="C26" s="216">
        <v>57</v>
      </c>
      <c r="D26" s="216">
        <v>80.12</v>
      </c>
      <c r="E26" s="216">
        <v>49</v>
      </c>
      <c r="F26" s="216">
        <v>134</v>
      </c>
      <c r="G26" s="216">
        <v>0</v>
      </c>
      <c r="H26" s="216">
        <v>0</v>
      </c>
      <c r="I26" s="216">
        <v>0</v>
      </c>
    </row>
    <row r="27" spans="1:9" ht="14.25">
      <c r="A27" s="304"/>
      <c r="B27" s="268" t="e">
        <f>+B19-B21-B22-B23-#REF!-B24-B25-B26</f>
        <v>#REF!</v>
      </c>
      <c r="C27" s="268" t="e">
        <f>+C19-C21-C22-C23-#REF!-C24-C25-C26</f>
        <v>#REF!</v>
      </c>
      <c r="D27" s="268" t="e">
        <f>+D19-D21-D22-D23-#REF!-D24-D25-D26</f>
        <v>#REF!</v>
      </c>
      <c r="E27" s="268" t="e">
        <f>+E19-E21-E22-E23-#REF!-E24-E25-E26</f>
        <v>#REF!</v>
      </c>
      <c r="F27" s="268" t="e">
        <f>+F19-F21-F22-F23-#REF!-F24-F25-F26</f>
        <v>#REF!</v>
      </c>
      <c r="G27" s="268" t="e">
        <f>+G19-G21-G22-G23-#REF!-G24-G25-G26</f>
        <v>#REF!</v>
      </c>
      <c r="H27" s="268" t="e">
        <f>+H19-H21-H22-H23-#REF!-H24-H25-H26</f>
        <v>#REF!</v>
      </c>
      <c r="I27" s="268" t="e">
        <f>+I19-I21-I22-I23-#REF!-I24-I25-I26</f>
        <v>#REF!</v>
      </c>
    </row>
    <row r="28" spans="1:9" ht="14.25">
      <c r="A28" s="304"/>
      <c r="B28" s="209"/>
      <c r="C28" s="209"/>
      <c r="D28" s="209"/>
      <c r="E28" s="209"/>
      <c r="F28" s="221"/>
      <c r="G28" s="221"/>
      <c r="H28" s="221"/>
      <c r="I28" s="221"/>
    </row>
    <row r="29" spans="1:9" ht="14.25">
      <c r="A29" s="210"/>
      <c r="B29" s="221"/>
      <c r="C29" s="221"/>
      <c r="D29" s="221"/>
      <c r="E29" s="221"/>
      <c r="F29" s="221"/>
      <c r="G29" s="209"/>
      <c r="H29" s="209"/>
      <c r="I29" s="209"/>
    </row>
    <row r="30" spans="1:9" ht="14.25">
      <c r="A30" s="213"/>
      <c r="B30" s="314" t="str">
        <f>HLOOKUP(INDICE!$F$2,Nombres!$C$3:$D$636,241,FALSE)</f>
        <v>Cartera COAP a Valor Razonable</v>
      </c>
      <c r="C30" s="313"/>
      <c r="D30" s="313"/>
      <c r="E30" s="313"/>
      <c r="F30" s="313"/>
      <c r="G30" s="313"/>
      <c r="H30" s="313"/>
      <c r="I30" s="313"/>
    </row>
    <row r="31" spans="1:9" ht="14.25">
      <c r="A31" s="214"/>
      <c r="B31" s="121">
        <f aca="true" t="shared" si="1" ref="B31:I31">+B$5</f>
        <v>43921</v>
      </c>
      <c r="C31" s="121">
        <f t="shared" si="1"/>
        <v>44012</v>
      </c>
      <c r="D31" s="121">
        <f t="shared" si="1"/>
        <v>44104</v>
      </c>
      <c r="E31" s="121">
        <f t="shared" si="1"/>
        <v>44196</v>
      </c>
      <c r="F31" s="121">
        <f t="shared" si="1"/>
        <v>44286</v>
      </c>
      <c r="G31" s="121">
        <f t="shared" si="1"/>
        <v>44377</v>
      </c>
      <c r="H31" s="121">
        <f t="shared" si="1"/>
        <v>44469</v>
      </c>
      <c r="I31" s="121">
        <f t="shared" si="1"/>
        <v>44561</v>
      </c>
    </row>
    <row r="32" spans="1:9" ht="15.75" customHeight="1">
      <c r="A32" s="263" t="str">
        <f>HLOOKUP(INDICE!$F$2,Nombres!$C$3:$D$636,230,FALSE)</f>
        <v>Grupo BBVA</v>
      </c>
      <c r="B32" s="218">
        <v>20835</v>
      </c>
      <c r="C32" s="218">
        <v>21110</v>
      </c>
      <c r="D32" s="218">
        <v>22991.68</v>
      </c>
      <c r="E32" s="218">
        <v>23365</v>
      </c>
      <c r="F32" s="218">
        <v>26459</v>
      </c>
      <c r="G32" s="218">
        <v>0</v>
      </c>
      <c r="H32" s="218">
        <v>0</v>
      </c>
      <c r="I32" s="218">
        <v>0</v>
      </c>
    </row>
    <row r="33" spans="1:9" ht="14.25">
      <c r="A33" s="215" t="str">
        <f>HLOOKUP(INDICE!$F$2,Nombres!$C$3:$D$636,231,FALSE)</f>
        <v>Balance Euro</v>
      </c>
      <c r="B33" s="216">
        <v>8728</v>
      </c>
      <c r="C33" s="216">
        <v>8782</v>
      </c>
      <c r="D33" s="216">
        <v>10149</v>
      </c>
      <c r="E33" s="216">
        <v>9675</v>
      </c>
      <c r="F33" s="216">
        <v>11953</v>
      </c>
      <c r="G33" s="216">
        <v>0</v>
      </c>
      <c r="H33" s="216">
        <v>0</v>
      </c>
      <c r="I33" s="216">
        <v>0</v>
      </c>
    </row>
    <row r="34" spans="1:9" ht="14.25">
      <c r="A34" s="266" t="str">
        <f>HLOOKUP(INDICE!$F$2,Nombres!$C$3:$D$636,232,FALSE)</f>
        <v>España</v>
      </c>
      <c r="B34" s="216">
        <v>3769</v>
      </c>
      <c r="C34" s="216">
        <v>3766</v>
      </c>
      <c r="D34" s="216">
        <v>3765</v>
      </c>
      <c r="E34" s="216">
        <v>3519</v>
      </c>
      <c r="F34" s="216">
        <v>3516</v>
      </c>
      <c r="G34" s="216">
        <v>0</v>
      </c>
      <c r="H34" s="216">
        <v>0</v>
      </c>
      <c r="I34" s="216">
        <v>0</v>
      </c>
    </row>
    <row r="35" spans="1:9" ht="14.25">
      <c r="A35" s="266" t="str">
        <f>HLOOKUP(INDICE!$F$2,Nombres!$C$3:$D$636,233,FALSE)</f>
        <v>Italia</v>
      </c>
      <c r="B35" s="216">
        <v>1093</v>
      </c>
      <c r="C35" s="216">
        <v>1092</v>
      </c>
      <c r="D35" s="216">
        <v>2155</v>
      </c>
      <c r="E35" s="216">
        <v>2156</v>
      </c>
      <c r="F35" s="216">
        <v>3373</v>
      </c>
      <c r="G35" s="216">
        <v>0</v>
      </c>
      <c r="H35" s="216">
        <v>0</v>
      </c>
      <c r="I35" s="216">
        <v>0</v>
      </c>
    </row>
    <row r="36" spans="1:9" ht="14.25">
      <c r="A36" s="266" t="str">
        <f>HLOOKUP(INDICE!$F$2,Nombres!$C$3:$D$636,234,FALSE)</f>
        <v>Resto</v>
      </c>
      <c r="B36" s="216">
        <v>3866</v>
      </c>
      <c r="C36" s="216">
        <v>3924</v>
      </c>
      <c r="D36" s="216">
        <v>4229</v>
      </c>
      <c r="E36" s="216">
        <v>4000</v>
      </c>
      <c r="F36" s="216">
        <v>5064</v>
      </c>
      <c r="G36" s="216">
        <v>0</v>
      </c>
      <c r="H36" s="216">
        <v>0</v>
      </c>
      <c r="I36" s="216">
        <v>0</v>
      </c>
    </row>
    <row r="37" spans="1:9" ht="14.25">
      <c r="A37" s="215" t="str">
        <f>HLOOKUP(INDICE!$F$2,Nombres!$C$3:$D$636,236,FALSE)</f>
        <v>Turquia</v>
      </c>
      <c r="B37" s="216">
        <v>3368</v>
      </c>
      <c r="C37" s="216">
        <v>3691</v>
      </c>
      <c r="D37" s="216">
        <v>3333</v>
      </c>
      <c r="E37" s="216">
        <v>3377</v>
      </c>
      <c r="F37" s="216">
        <v>3079</v>
      </c>
      <c r="G37" s="216">
        <v>0</v>
      </c>
      <c r="H37" s="216">
        <v>0</v>
      </c>
      <c r="I37" s="216">
        <v>0</v>
      </c>
    </row>
    <row r="38" spans="1:9" ht="14.25">
      <c r="A38" s="215" t="str">
        <f>HLOOKUP(INDICE!$F$2,Nombres!$C$3:$D$636,237,FALSE)</f>
        <v>Mexico</v>
      </c>
      <c r="B38" s="216">
        <v>5571</v>
      </c>
      <c r="C38" s="216">
        <v>4860</v>
      </c>
      <c r="D38" s="216">
        <v>5685.8</v>
      </c>
      <c r="E38" s="216">
        <v>6565</v>
      </c>
      <c r="F38" s="216">
        <v>7577</v>
      </c>
      <c r="G38" s="216">
        <v>0</v>
      </c>
      <c r="H38" s="216">
        <v>0</v>
      </c>
      <c r="I38" s="216">
        <v>0</v>
      </c>
    </row>
    <row r="39" spans="1:9" ht="14.25">
      <c r="A39" s="215" t="str">
        <f>HLOOKUP(INDICE!$F$2,Nombres!$C$3:$D$636,238,FALSE)</f>
        <v>Amércia del Sur</v>
      </c>
      <c r="B39" s="216">
        <v>3168</v>
      </c>
      <c r="C39" s="216">
        <v>3777</v>
      </c>
      <c r="D39" s="216">
        <v>3823.88</v>
      </c>
      <c r="E39" s="216">
        <v>3748</v>
      </c>
      <c r="F39" s="216">
        <v>3850</v>
      </c>
      <c r="G39" s="216">
        <v>0</v>
      </c>
      <c r="H39" s="216">
        <v>0</v>
      </c>
      <c r="I39" s="216">
        <v>0</v>
      </c>
    </row>
    <row r="40" spans="2:9" ht="14.25">
      <c r="B40" s="268" t="e">
        <f>+B32-B34-B35-B36-#REF!-B37-B38-B39</f>
        <v>#REF!</v>
      </c>
      <c r="C40" s="268" t="e">
        <f>+C32-C34-C35-C36-#REF!-C37-C38-C39</f>
        <v>#REF!</v>
      </c>
      <c r="D40" s="268" t="e">
        <f>+D32-D34-D35-D36-#REF!-D37-D38-D39</f>
        <v>#REF!</v>
      </c>
      <c r="E40" s="268" t="e">
        <f>+E32-E34-E35-E36-#REF!-E37-E38-E39</f>
        <v>#REF!</v>
      </c>
      <c r="F40" s="268" t="e">
        <f>+F32-F34-F35-F36-#REF!-F37-F38-F39</f>
        <v>#REF!</v>
      </c>
      <c r="G40" s="268" t="e">
        <f>+G32-G34-G35-G36-#REF!-G37-G38-G39</f>
        <v>#REF!</v>
      </c>
      <c r="H40" s="268" t="e">
        <f>+H32-H34-H35-H36-#REF!-H37-H38-H39</f>
        <v>#REF!</v>
      </c>
      <c r="I40" s="268" t="e">
        <f>+I32-I34-I35-I36-#REF!-I37-I38-I39</f>
        <v>#REF!</v>
      </c>
    </row>
    <row r="997" ht="14.25">
      <c r="A997" s="209" t="s">
        <v>396</v>
      </c>
    </row>
  </sheetData>
  <sheetProtection/>
  <mergeCells count="3">
    <mergeCell ref="B4:I4"/>
    <mergeCell ref="B17:I17"/>
    <mergeCell ref="B30:I30"/>
  </mergeCells>
  <conditionalFormatting sqref="B14:I16">
    <cfRule type="cellIs" priority="3" dxfId="115" operator="notEqual">
      <formula>0</formula>
    </cfRule>
  </conditionalFormatting>
  <conditionalFormatting sqref="B27:I27">
    <cfRule type="cellIs" priority="2" dxfId="115" operator="notBetween">
      <formula>1</formula>
      <formula>-1</formula>
    </cfRule>
  </conditionalFormatting>
  <conditionalFormatting sqref="B40:I40">
    <cfRule type="cellIs" priority="1" dxfId="115"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4"/>
  <sheetViews>
    <sheetView showGridLines="0" zoomScale="80" zoomScaleNormal="80" zoomScalePageLayoutView="0" workbookViewId="0" topLeftCell="A1">
      <selection activeCell="A1" sqref="A1"/>
    </sheetView>
  </sheetViews>
  <sheetFormatPr defaultColWidth="11.421875" defaultRowHeight="15"/>
  <cols>
    <col min="1" max="1" width="99.421875" style="31" customWidth="1"/>
    <col min="2" max="4" width="11.421875" style="31" customWidth="1"/>
    <col min="5" max="5" width="10.421875" style="31" customWidth="1"/>
    <col min="6" max="6" width="11.421875" style="31" customWidth="1"/>
    <col min="7" max="7" width="11.8515625" style="31" hidden="1" customWidth="1"/>
    <col min="8" max="9" width="11.57421875" style="31" hidden="1" customWidth="1"/>
    <col min="10" max="16384" width="11.421875" style="31" customWidth="1"/>
  </cols>
  <sheetData>
    <row r="1" spans="1:9" ht="16.5">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8">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4023.66399998</v>
      </c>
      <c r="C8" s="41">
        <v>3537.4339999099993</v>
      </c>
      <c r="D8" s="41">
        <v>3553.41700013</v>
      </c>
      <c r="E8" s="42">
        <v>3477.4859999200007</v>
      </c>
      <c r="F8" s="41">
        <v>3450.875000010001</v>
      </c>
      <c r="G8" s="50">
        <v>0</v>
      </c>
      <c r="H8" s="50">
        <v>0</v>
      </c>
      <c r="I8" s="50">
        <v>0</v>
      </c>
    </row>
    <row r="9" spans="1:9" ht="14.25">
      <c r="A9" s="43" t="str">
        <f>HLOOKUP(INDICE!$F$2,Nombres!$C$3:$D$636,34,FALSE)</f>
        <v>Comisiones netas</v>
      </c>
      <c r="B9" s="44">
        <v>1123.96199997</v>
      </c>
      <c r="C9" s="44">
        <v>934.0999999600001</v>
      </c>
      <c r="D9" s="44">
        <v>1022.9079999600001</v>
      </c>
      <c r="E9" s="45">
        <v>1041.66200013</v>
      </c>
      <c r="F9" s="44">
        <v>1132.9649999700002</v>
      </c>
      <c r="G9" s="44">
        <v>0</v>
      </c>
      <c r="H9" s="44">
        <v>0</v>
      </c>
      <c r="I9" s="44">
        <v>0</v>
      </c>
    </row>
    <row r="10" spans="1:9" ht="14.25">
      <c r="A10" s="43" t="str">
        <f>HLOOKUP(INDICE!$F$2,Nombres!$C$3:$D$636,35,FALSE)</f>
        <v>Resultados de operaciones financieras</v>
      </c>
      <c r="B10" s="44">
        <v>544.4839999500001</v>
      </c>
      <c r="C10" s="44">
        <v>469.6730000299999</v>
      </c>
      <c r="D10" s="44">
        <v>357.3669999700001</v>
      </c>
      <c r="E10" s="45">
        <v>174.97100007</v>
      </c>
      <c r="F10" s="44">
        <v>581.4600000199999</v>
      </c>
      <c r="G10" s="44">
        <v>0</v>
      </c>
      <c r="H10" s="44">
        <v>0</v>
      </c>
      <c r="I10" s="44">
        <v>0</v>
      </c>
    </row>
    <row r="11" spans="1:9" ht="14.25">
      <c r="A11" s="43" t="str">
        <f>HLOOKUP(INDICE!$F$2,Nombres!$C$3:$D$636,96,FALSE)</f>
        <v>Ingresos por dividendos</v>
      </c>
      <c r="B11" s="44">
        <v>4.770999999999939</v>
      </c>
      <c r="C11" s="44">
        <v>69.5230000000001</v>
      </c>
      <c r="D11" s="44">
        <v>4.285000009999948</v>
      </c>
      <c r="E11" s="45">
        <v>58.752999980000084</v>
      </c>
      <c r="F11" s="44">
        <v>5.848999999999975</v>
      </c>
      <c r="G11" s="44">
        <v>0</v>
      </c>
      <c r="H11" s="44">
        <v>0</v>
      </c>
      <c r="I11" s="44">
        <v>0</v>
      </c>
    </row>
    <row r="12" spans="1:9" ht="14.25">
      <c r="A12" s="43" t="str">
        <f>HLOOKUP(INDICE!$F$2,Nombres!$C$3:$D$636,97,FALSE)</f>
        <v>Part. gananc/pdas inversiones en dependientes, neg conjunt y asoc</v>
      </c>
      <c r="B12" s="44">
        <v>-7.762000000000002</v>
      </c>
      <c r="C12" s="44">
        <v>-9.286999999999997</v>
      </c>
      <c r="D12" s="44">
        <v>-9.142000000000001</v>
      </c>
      <c r="E12" s="45">
        <v>-12.913999999999998</v>
      </c>
      <c r="F12" s="44">
        <v>-5.805</v>
      </c>
      <c r="G12" s="44">
        <v>0</v>
      </c>
      <c r="H12" s="44">
        <v>0</v>
      </c>
      <c r="I12" s="44">
        <v>0</v>
      </c>
    </row>
    <row r="13" spans="1:9" ht="14.25">
      <c r="A13" s="43" t="str">
        <f>HLOOKUP(INDICE!$F$2,Nombres!$C$3:$D$636,98,FALSE)</f>
        <v>Otros productos/cargas de explotación</v>
      </c>
      <c r="B13" s="44">
        <v>88.77599998999997</v>
      </c>
      <c r="C13" s="44">
        <v>-139.8560000099998</v>
      </c>
      <c r="D13" s="44">
        <v>51.26300000999987</v>
      </c>
      <c r="E13" s="45">
        <v>-193.31599998999985</v>
      </c>
      <c r="F13" s="44">
        <v>-10.609000030000013</v>
      </c>
      <c r="G13" s="44">
        <v>-1E-05</v>
      </c>
      <c r="H13" s="44">
        <v>0</v>
      </c>
      <c r="I13" s="44">
        <v>0</v>
      </c>
    </row>
    <row r="14" spans="1:9" ht="14.25">
      <c r="A14" s="41" t="str">
        <f>HLOOKUP(INDICE!$F$2,Nombres!$C$3:$D$636,37,FALSE)</f>
        <v>Margen bruto</v>
      </c>
      <c r="B14" s="41">
        <f>+SUM(B8:B13)</f>
        <v>5777.89499989</v>
      </c>
      <c r="C14" s="41">
        <f aca="true" t="shared" si="0" ref="C14:I14">+SUM(C8:C13)</f>
        <v>4861.58699989</v>
      </c>
      <c r="D14" s="41">
        <f t="shared" si="0"/>
        <v>4980.09800008</v>
      </c>
      <c r="E14" s="42">
        <f t="shared" si="0"/>
        <v>4546.6420001100005</v>
      </c>
      <c r="F14" s="41">
        <f t="shared" si="0"/>
        <v>5154.734999970001</v>
      </c>
      <c r="G14" s="50">
        <f t="shared" si="0"/>
        <v>-1E-05</v>
      </c>
      <c r="H14" s="50">
        <f t="shared" si="0"/>
        <v>0</v>
      </c>
      <c r="I14" s="50">
        <f t="shared" si="0"/>
        <v>0</v>
      </c>
    </row>
    <row r="15" spans="1:9" ht="14.25">
      <c r="A15" s="43" t="str">
        <f>HLOOKUP(INDICE!$F$2,Nombres!$C$3:$D$636,38,FALSE)</f>
        <v>Gastos de explotación</v>
      </c>
      <c r="B15" s="44">
        <v>-2477.44099985</v>
      </c>
      <c r="C15" s="44">
        <v>-2182.42000008</v>
      </c>
      <c r="D15" s="44">
        <v>-2163.28300006</v>
      </c>
      <c r="E15" s="45">
        <v>-2264.3969999700003</v>
      </c>
      <c r="F15" s="44">
        <v>-2304.31200013</v>
      </c>
      <c r="G15" s="44">
        <v>0</v>
      </c>
      <c r="H15" s="44">
        <v>0</v>
      </c>
      <c r="I15" s="44">
        <v>0</v>
      </c>
    </row>
    <row r="16" spans="1:9" ht="14.25">
      <c r="A16" s="43" t="str">
        <f>HLOOKUP(INDICE!$F$2,Nombres!$C$3:$D$636,39,FALSE)</f>
        <v>  Gastos de administración</v>
      </c>
      <c r="B16" s="44">
        <v>-2132.13499982</v>
      </c>
      <c r="C16" s="44">
        <v>-1866.44900014</v>
      </c>
      <c r="D16" s="44">
        <v>-1848.34400004</v>
      </c>
      <c r="E16" s="45">
        <v>-1952.3760000000002</v>
      </c>
      <c r="F16" s="44">
        <v>-1995.78500011</v>
      </c>
      <c r="G16" s="44">
        <v>0</v>
      </c>
      <c r="H16" s="44">
        <v>0</v>
      </c>
      <c r="I16" s="44">
        <v>0</v>
      </c>
    </row>
    <row r="17" spans="1:9" ht="14.25">
      <c r="A17" s="46" t="str">
        <f>HLOOKUP(INDICE!$F$2,Nombres!$C$3:$D$636,40,FALSE)</f>
        <v>  Gastos de personal</v>
      </c>
      <c r="B17" s="44">
        <v>-1272.29799997</v>
      </c>
      <c r="C17" s="44">
        <v>-1112.57700008</v>
      </c>
      <c r="D17" s="44">
        <v>-1123.66699991</v>
      </c>
      <c r="E17" s="45">
        <v>-1185.9880000900002</v>
      </c>
      <c r="F17" s="44">
        <v>-1184.22700001</v>
      </c>
      <c r="G17" s="44">
        <v>0</v>
      </c>
      <c r="H17" s="44">
        <v>0</v>
      </c>
      <c r="I17" s="44">
        <v>0</v>
      </c>
    </row>
    <row r="18" spans="1:9" ht="14.25">
      <c r="A18" s="46" t="str">
        <f>HLOOKUP(INDICE!$F$2,Nombres!$C$3:$D$636,41,FALSE)</f>
        <v>  Otros gastos de administración</v>
      </c>
      <c r="B18" s="44">
        <v>-859.83699985</v>
      </c>
      <c r="C18" s="44">
        <v>-753.87200006</v>
      </c>
      <c r="D18" s="44">
        <v>-724.67700013</v>
      </c>
      <c r="E18" s="45">
        <v>-766.38799991</v>
      </c>
      <c r="F18" s="44">
        <v>-811.5580001000001</v>
      </c>
      <c r="G18" s="44">
        <v>0</v>
      </c>
      <c r="H18" s="44">
        <v>0</v>
      </c>
      <c r="I18" s="44">
        <v>0</v>
      </c>
    </row>
    <row r="19" spans="1:9" ht="14.25">
      <c r="A19" s="43" t="str">
        <f>HLOOKUP(INDICE!$F$2,Nombres!$C$3:$D$636,42,FALSE)</f>
        <v>  Amortización</v>
      </c>
      <c r="B19" s="44">
        <v>-345.30600003</v>
      </c>
      <c r="C19" s="44">
        <v>-315.97099994</v>
      </c>
      <c r="D19" s="44">
        <v>-314.93900002000004</v>
      </c>
      <c r="E19" s="45">
        <v>-312.02099996999993</v>
      </c>
      <c r="F19" s="44">
        <v>-308.52700001999995</v>
      </c>
      <c r="G19" s="44">
        <v>0</v>
      </c>
      <c r="H19" s="44">
        <v>0</v>
      </c>
      <c r="I19" s="44">
        <v>0</v>
      </c>
    </row>
    <row r="20" spans="1:9" ht="14.25">
      <c r="A20" s="41" t="str">
        <f>HLOOKUP(INDICE!$F$2,Nombres!$C$3:$D$636,43,FALSE)</f>
        <v>Margen neto</v>
      </c>
      <c r="B20" s="41">
        <f>+B14+B15</f>
        <v>3300.4540000399998</v>
      </c>
      <c r="C20" s="41">
        <f aca="true" t="shared" si="1" ref="C20:I20">+C14+C15</f>
        <v>2679.1669998099997</v>
      </c>
      <c r="D20" s="41">
        <f t="shared" si="1"/>
        <v>2816.81500002</v>
      </c>
      <c r="E20" s="42">
        <f t="shared" si="1"/>
        <v>2282.2450001400002</v>
      </c>
      <c r="F20" s="41">
        <f t="shared" si="1"/>
        <v>2850.422999840001</v>
      </c>
      <c r="G20" s="50">
        <f t="shared" si="1"/>
        <v>-1E-05</v>
      </c>
      <c r="H20" s="50">
        <f t="shared" si="1"/>
        <v>0</v>
      </c>
      <c r="I20" s="50">
        <f t="shared" si="1"/>
        <v>0</v>
      </c>
    </row>
    <row r="21" spans="1:9" ht="14.25">
      <c r="A21" s="43" t="str">
        <f>HLOOKUP(INDICE!$F$2,Nombres!$C$3:$D$636,44,FALSE)</f>
        <v>Deterioro de activos financieros no valorados a valor razonable con cambios en resultados</v>
      </c>
      <c r="B21" s="44">
        <v>-2164.17799997</v>
      </c>
      <c r="C21" s="44">
        <v>-1407.8679999899998</v>
      </c>
      <c r="D21" s="44">
        <v>-706.22500006</v>
      </c>
      <c r="E21" s="45">
        <v>-900.73999997</v>
      </c>
      <c r="F21" s="44">
        <v>-923.25300006</v>
      </c>
      <c r="G21" s="44">
        <v>0</v>
      </c>
      <c r="H21" s="44">
        <v>0</v>
      </c>
      <c r="I21" s="44">
        <v>0</v>
      </c>
    </row>
    <row r="22" spans="1:9" ht="14.25">
      <c r="A22" s="43" t="str">
        <f>HLOOKUP(INDICE!$F$2,Nombres!$C$3:$D$636,247,FALSE)</f>
        <v>Provisiones o reversión de provisiones</v>
      </c>
      <c r="B22" s="44">
        <v>-299.725</v>
      </c>
      <c r="C22" s="44">
        <v>-218.57399998000002</v>
      </c>
      <c r="D22" s="44">
        <v>-88.47400000999995</v>
      </c>
      <c r="E22" s="45">
        <v>-139.46600001999997</v>
      </c>
      <c r="F22" s="44">
        <v>-151.16800002000002</v>
      </c>
      <c r="G22" s="44">
        <v>0</v>
      </c>
      <c r="H22" s="44">
        <v>0</v>
      </c>
      <c r="I22" s="44">
        <v>0</v>
      </c>
    </row>
    <row r="23" spans="1:9" ht="14.25">
      <c r="A23" s="43" t="str">
        <f>HLOOKUP(INDICE!$F$2,Nombres!$C$3:$D$636,248,FALSE)</f>
        <v>Otros resultados</v>
      </c>
      <c r="B23" s="44">
        <v>-29.3309999699999</v>
      </c>
      <c r="C23" s="44">
        <v>-102.57900004</v>
      </c>
      <c r="D23" s="44">
        <v>-127.07399997999998</v>
      </c>
      <c r="E23" s="45">
        <v>-81.79298658000026</v>
      </c>
      <c r="F23" s="44">
        <v>-17.18800000000001</v>
      </c>
      <c r="G23" s="44">
        <v>0</v>
      </c>
      <c r="H23" s="44">
        <v>0</v>
      </c>
      <c r="I23" s="44">
        <v>0</v>
      </c>
    </row>
    <row r="24" spans="1:9" ht="14.25">
      <c r="A24" s="41" t="str">
        <f>HLOOKUP(INDICE!$F$2,Nombres!$C$3:$D$636,46,FALSE)</f>
        <v>Resultado antes de impuestos</v>
      </c>
      <c r="B24" s="50">
        <f aca="true" t="shared" si="2" ref="B24:I24">+B20+B21+B22+B23</f>
        <v>807.2200000999997</v>
      </c>
      <c r="C24" s="50">
        <f t="shared" si="2"/>
        <v>950.1459997999998</v>
      </c>
      <c r="D24" s="50">
        <f t="shared" si="2"/>
        <v>1895.0419999699996</v>
      </c>
      <c r="E24" s="42">
        <f t="shared" si="2"/>
        <v>1160.24601357</v>
      </c>
      <c r="F24" s="50">
        <f t="shared" si="2"/>
        <v>1758.813999760001</v>
      </c>
      <c r="G24" s="50">
        <f t="shared" si="2"/>
        <v>-1E-05</v>
      </c>
      <c r="H24" s="50">
        <f t="shared" si="2"/>
        <v>0</v>
      </c>
      <c r="I24" s="50">
        <f t="shared" si="2"/>
        <v>0</v>
      </c>
    </row>
    <row r="25" spans="1:9" ht="14.25">
      <c r="A25" s="43" t="str">
        <f>HLOOKUP(INDICE!$F$2,Nombres!$C$3:$D$636,47,FALSE)</f>
        <v>Impuesto sobre beneficios</v>
      </c>
      <c r="B25" s="44">
        <v>-204.10500000999997</v>
      </c>
      <c r="C25" s="44">
        <v>-272.5159999799999</v>
      </c>
      <c r="D25" s="44">
        <v>-514.60399996</v>
      </c>
      <c r="E25" s="45">
        <v>-336.79950410000015</v>
      </c>
      <c r="F25" s="44">
        <v>-489.26299997999996</v>
      </c>
      <c r="G25" s="44">
        <v>0</v>
      </c>
      <c r="H25" s="44">
        <v>0</v>
      </c>
      <c r="I25" s="44">
        <v>0</v>
      </c>
    </row>
    <row r="26" spans="1:9" ht="14.25">
      <c r="A26" s="90" t="str">
        <f>HLOOKUP(INDICE!$F$2,Nombres!$C$3:$D$636,99,FALSE)</f>
        <v>Resultado después de impuestos de operaciones continuadas</v>
      </c>
      <c r="B26" s="50">
        <f aca="true" t="shared" si="3" ref="B26:I26">+B24+B25</f>
        <v>603.1150000899997</v>
      </c>
      <c r="C26" s="50">
        <f t="shared" si="3"/>
        <v>677.62999982</v>
      </c>
      <c r="D26" s="50">
        <f t="shared" si="3"/>
        <v>1380.4380000099995</v>
      </c>
      <c r="E26" s="42">
        <f t="shared" si="3"/>
        <v>823.4465094699999</v>
      </c>
      <c r="F26" s="50">
        <f t="shared" si="3"/>
        <v>1269.5509997800011</v>
      </c>
      <c r="G26" s="50">
        <f t="shared" si="3"/>
        <v>-1E-05</v>
      </c>
      <c r="H26" s="50">
        <f t="shared" si="3"/>
        <v>0</v>
      </c>
      <c r="I26" s="50">
        <f t="shared" si="3"/>
        <v>0</v>
      </c>
    </row>
    <row r="27" spans="1:16" ht="14.25">
      <c r="A27" s="43" t="str">
        <f>HLOOKUP(INDICE!$F$2,Nombres!$C$3:$D$636,298,FALSE)</f>
        <v>Operaciones Corporativas y Discontinuadas (1)</v>
      </c>
      <c r="B27" s="44">
        <v>-2223.7850000000003</v>
      </c>
      <c r="C27" s="44">
        <v>119.91999999999999</v>
      </c>
      <c r="D27" s="44">
        <v>73.239</v>
      </c>
      <c r="E27" s="45">
        <v>606.3115058600002</v>
      </c>
      <c r="F27" s="44">
        <v>177.04100000000003</v>
      </c>
      <c r="G27" s="44">
        <v>0</v>
      </c>
      <c r="H27" s="44">
        <v>0</v>
      </c>
      <c r="I27" s="44">
        <v>0</v>
      </c>
      <c r="M27" s="286"/>
      <c r="N27" s="286"/>
      <c r="O27" s="286"/>
      <c r="P27" s="286"/>
    </row>
    <row r="28" spans="1:9" ht="14.25">
      <c r="A28" s="41" t="str">
        <f>HLOOKUP(INDICE!$F$2,Nombres!$C$3:$D$636,48,FALSE)</f>
        <v>Resultado del ejercicio</v>
      </c>
      <c r="B28" s="50">
        <f>+B26+B27</f>
        <v>-1620.6699999100006</v>
      </c>
      <c r="C28" s="50">
        <f aca="true" t="shared" si="4" ref="C28:I28">+C26+C27</f>
        <v>797.5499998199999</v>
      </c>
      <c r="D28" s="50">
        <f t="shared" si="4"/>
        <v>1453.6770000099996</v>
      </c>
      <c r="E28" s="42">
        <f t="shared" si="4"/>
        <v>1429.75801533</v>
      </c>
      <c r="F28" s="50">
        <f t="shared" si="4"/>
        <v>1446.591999780001</v>
      </c>
      <c r="G28" s="50">
        <f t="shared" si="4"/>
        <v>-1E-05</v>
      </c>
      <c r="H28" s="50">
        <f t="shared" si="4"/>
        <v>0</v>
      </c>
      <c r="I28" s="50">
        <f t="shared" si="4"/>
        <v>0</v>
      </c>
    </row>
    <row r="29" spans="1:9" ht="14.25">
      <c r="A29" s="43" t="str">
        <f>HLOOKUP(INDICE!$F$2,Nombres!$C$3:$D$636,49,FALSE)</f>
        <v>Minoritarios</v>
      </c>
      <c r="B29" s="44">
        <v>-171.79500001</v>
      </c>
      <c r="C29" s="44">
        <v>-161.60999998</v>
      </c>
      <c r="D29" s="44">
        <v>-312.23800001</v>
      </c>
      <c r="E29" s="45">
        <v>-109.99300000999999</v>
      </c>
      <c r="F29" s="44">
        <v>-236.81900001</v>
      </c>
      <c r="G29" s="44">
        <v>0</v>
      </c>
      <c r="H29" s="44">
        <v>0</v>
      </c>
      <c r="I29" s="44">
        <v>0</v>
      </c>
    </row>
    <row r="30" spans="1:9" ht="14.25">
      <c r="A30" s="47" t="str">
        <f>HLOOKUP(INDICE!$F$2,Nombres!$C$3:$D$636,50,FALSE)</f>
        <v>Resultado atribuido</v>
      </c>
      <c r="B30" s="47">
        <f>+B28+B29</f>
        <v>-1792.4649999200005</v>
      </c>
      <c r="C30" s="47">
        <f aca="true" t="shared" si="5" ref="C30:I30">+C28+C29</f>
        <v>635.9399998399999</v>
      </c>
      <c r="D30" s="47">
        <f t="shared" si="5"/>
        <v>1141.4389999999996</v>
      </c>
      <c r="E30" s="47">
        <f t="shared" si="5"/>
        <v>1319.76501532</v>
      </c>
      <c r="F30" s="47">
        <f>+F28+F29</f>
        <v>1209.772999770001</v>
      </c>
      <c r="G30" s="51">
        <f t="shared" si="5"/>
        <v>-1E-05</v>
      </c>
      <c r="H30" s="51">
        <f t="shared" si="5"/>
        <v>0</v>
      </c>
      <c r="I30" s="51">
        <f t="shared" si="5"/>
        <v>0</v>
      </c>
    </row>
    <row r="31" spans="1:9" ht="14.25">
      <c r="A31" s="48"/>
      <c r="B31" s="48"/>
      <c r="C31" s="48"/>
      <c r="D31" s="48"/>
      <c r="E31" s="48"/>
      <c r="F31" s="48"/>
      <c r="G31" s="273"/>
      <c r="H31" s="273"/>
      <c r="I31" s="273"/>
    </row>
    <row r="32" spans="1:9" ht="14.25">
      <c r="A32" s="47" t="str">
        <f>HLOOKUP(INDICE!$F$2,Nombres!$C$3:$D$636,301,FALSE)</f>
        <v>Resultado Atribuido sin Operaciones Corporativas y Discontinuadas</v>
      </c>
      <c r="B32" s="47">
        <f>+B30-B27</f>
        <v>431.3200000799998</v>
      </c>
      <c r="C32" s="47">
        <f aca="true" t="shared" si="6" ref="C32:I32">+C30-C27</f>
        <v>516.01999984</v>
      </c>
      <c r="D32" s="47">
        <f t="shared" si="6"/>
        <v>1068.1999999999996</v>
      </c>
      <c r="E32" s="47">
        <f t="shared" si="6"/>
        <v>713.4535094599997</v>
      </c>
      <c r="F32" s="47">
        <f t="shared" si="6"/>
        <v>1032.731999770001</v>
      </c>
      <c r="G32" s="47">
        <f t="shared" si="6"/>
        <v>-1E-05</v>
      </c>
      <c r="H32" s="47">
        <f t="shared" si="6"/>
        <v>0</v>
      </c>
      <c r="I32" s="47">
        <f t="shared" si="6"/>
        <v>0</v>
      </c>
    </row>
    <row r="33" spans="2:9" ht="17.25" customHeight="1">
      <c r="B33" s="48">
        <v>0</v>
      </c>
      <c r="C33" s="48">
        <v>0</v>
      </c>
      <c r="D33" s="48">
        <v>0</v>
      </c>
      <c r="E33" s="48">
        <v>0</v>
      </c>
      <c r="F33" s="48">
        <v>0</v>
      </c>
      <c r="G33" s="48">
        <v>0</v>
      </c>
      <c r="H33" s="48">
        <v>0</v>
      </c>
      <c r="I33" s="48">
        <v>0</v>
      </c>
    </row>
    <row r="34" spans="1:9" ht="12.75" customHeight="1">
      <c r="A34" s="43"/>
      <c r="B34" s="48">
        <v>0</v>
      </c>
      <c r="C34" s="48">
        <v>0</v>
      </c>
      <c r="D34" s="48">
        <v>0</v>
      </c>
      <c r="E34" s="48">
        <v>0</v>
      </c>
      <c r="F34" s="48">
        <v>0</v>
      </c>
      <c r="G34" s="48">
        <v>0</v>
      </c>
      <c r="H34" s="48">
        <v>0</v>
      </c>
      <c r="I34" s="48">
        <v>0</v>
      </c>
    </row>
    <row r="35" spans="1:9" ht="36" customHeight="1">
      <c r="A35" s="305"/>
      <c r="B35" s="305"/>
      <c r="C35" s="305"/>
      <c r="D35" s="305"/>
      <c r="E35" s="305"/>
      <c r="F35" s="305"/>
      <c r="G35" s="305"/>
      <c r="H35" s="305"/>
      <c r="I35" s="305"/>
    </row>
    <row r="36" spans="1:9" ht="15" customHeight="1">
      <c r="A36" s="305" t="str">
        <f>HLOOKUP(INDICE!$F$2,Nombres!$C$3:$D$636,274,FALSE)</f>
        <v>(1) Incluye 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v>
      </c>
      <c r="B36" s="305"/>
      <c r="C36" s="305"/>
      <c r="D36" s="305"/>
      <c r="E36" s="305"/>
      <c r="F36" s="305"/>
      <c r="G36" s="305"/>
      <c r="H36" s="305"/>
      <c r="I36" s="305"/>
    </row>
    <row r="37" spans="2:9" ht="14.25">
      <c r="B37" s="287">
        <f>+B30-España!B25-Mexico!B25-Turquia!B25-AdS!B25-'Resto de Negocios'!B25-'Centro Corporativo'!B27</f>
        <v>0</v>
      </c>
      <c r="C37" s="287">
        <f>+C30-España!C25-Mexico!C25-Turquia!C25-AdS!C25-'Resto de Negocios'!C25-'Centro Corporativo'!C27</f>
        <v>-8.242295734817162E-13</v>
      </c>
      <c r="D37" s="287">
        <f>+D30-España!D25-Mexico!D25-Turquia!D25-AdS!D25-'Resto de Negocios'!D25-'Centro Corporativo'!D27</f>
        <v>-2.5579538487363607E-13</v>
      </c>
      <c r="E37" s="287">
        <f>+E30-España!E25-Mexico!E25-Turquia!E25-AdS!E25-'Resto de Negocios'!E25-'Centro Corporativo'!E27</f>
        <v>-4.547473508864641E-13</v>
      </c>
      <c r="F37" s="287">
        <f>+F30-España!F25-Mexico!F25-Turquia!F25-AdS!F25-'Resto de Negocios'!F25-'Centro Corporativo'!F27</f>
        <v>5.613287612504791E-13</v>
      </c>
      <c r="G37" s="287">
        <f>+G30-España!G25-Mexico!G25-Turquia!G25-AdS!G25-'Resto de Negocios'!G25-'Centro Corporativo'!G27</f>
        <v>0</v>
      </c>
      <c r="H37" s="287">
        <f>+H30-España!H25-Mexico!H25-Turquia!H25-AdS!H25-'Resto de Negocios'!H25-'Centro Corporativo'!H27</f>
        <v>0</v>
      </c>
      <c r="I37" s="287">
        <f>+I30-España!I25-Mexico!I25-Turquia!I25-AdS!I25-'Resto de Negocios'!I25-'Centro Corporativo'!I27</f>
        <v>0</v>
      </c>
    </row>
    <row r="38" spans="1:9" ht="14.25">
      <c r="A38" s="43"/>
      <c r="B38" s="49"/>
      <c r="C38" s="49"/>
      <c r="D38" s="49"/>
      <c r="E38" s="49"/>
      <c r="F38" s="298"/>
      <c r="G38" s="49"/>
      <c r="H38" s="49"/>
      <c r="I38" s="49"/>
    </row>
    <row r="39" spans="2:9" ht="14.25">
      <c r="B39" s="274"/>
      <c r="C39" s="274"/>
      <c r="D39" s="274"/>
      <c r="E39" s="274"/>
      <c r="F39" s="274"/>
      <c r="G39" s="274"/>
      <c r="H39" s="274"/>
      <c r="I39" s="274"/>
    </row>
    <row r="41" spans="1:9" ht="16.5">
      <c r="A41" s="33" t="str">
        <f>HLOOKUP(INDICE!$F$2,Nombres!$C$3:$D$636,31,FALSE)</f>
        <v>Cuenta de resultados  </v>
      </c>
      <c r="B41" s="34"/>
      <c r="C41" s="34"/>
      <c r="D41" s="34"/>
      <c r="E41" s="34"/>
      <c r="F41" s="34"/>
      <c r="G41" s="34"/>
      <c r="H41" s="34"/>
      <c r="I41" s="34"/>
    </row>
    <row r="42" spans="1:9" ht="14.25">
      <c r="A42" s="35" t="str">
        <f>HLOOKUP(INDICE!$F$2,Nombres!$C$3:$D$636,73,FALSE)</f>
        <v>(Millones de euros constantes)</v>
      </c>
      <c r="B42" s="30"/>
      <c r="C42" s="36"/>
      <c r="D42" s="36"/>
      <c r="E42" s="36"/>
      <c r="F42" s="30"/>
      <c r="G42" s="30"/>
      <c r="H42" s="30"/>
      <c r="I42" s="30"/>
    </row>
    <row r="43" spans="1:9" ht="14.25">
      <c r="A43" s="37"/>
      <c r="B43" s="30"/>
      <c r="C43" s="36"/>
      <c r="D43" s="36"/>
      <c r="E43" s="36"/>
      <c r="F43" s="30"/>
      <c r="G43" s="30"/>
      <c r="H43" s="30"/>
      <c r="I43" s="30"/>
    </row>
    <row r="44" spans="1:9" ht="14.25">
      <c r="A44" s="38"/>
      <c r="B44" s="306">
        <f>+España!B6</f>
        <v>2020</v>
      </c>
      <c r="C44" s="306"/>
      <c r="D44" s="306"/>
      <c r="E44" s="307"/>
      <c r="F44" s="308">
        <f>+España!F6</f>
        <v>2021</v>
      </c>
      <c r="G44" s="306"/>
      <c r="H44" s="306"/>
      <c r="I44" s="306"/>
    </row>
    <row r="45" spans="1:9" ht="14.25">
      <c r="A45" s="38"/>
      <c r="B45" s="39" t="str">
        <f>+España!B7</f>
        <v>1er Trim.</v>
      </c>
      <c r="C45" s="39" t="str">
        <f>+España!C7</f>
        <v>2º Trim.</v>
      </c>
      <c r="D45" s="39" t="str">
        <f>+España!D7</f>
        <v>3er Trim.</v>
      </c>
      <c r="E45" s="40" t="str">
        <f>+España!E7</f>
        <v>4º Trim.</v>
      </c>
      <c r="F45" s="39" t="str">
        <f>+España!F7</f>
        <v>1er Trim.</v>
      </c>
      <c r="G45" s="39" t="str">
        <f>+España!G7</f>
        <v>2º Trim.</v>
      </c>
      <c r="H45" s="39" t="str">
        <f>+España!H7</f>
        <v>3er Trim.</v>
      </c>
      <c r="I45" s="39" t="str">
        <f>+España!I7</f>
        <v>4º Trim.</v>
      </c>
    </row>
    <row r="46" spans="1:9" ht="14.25">
      <c r="A46" s="41" t="str">
        <f>HLOOKUP(INDICE!$F$2,Nombres!$C$3:$D$636,33,FALSE)</f>
        <v>Margen de intereses</v>
      </c>
      <c r="B46" s="41">
        <v>3530.7276027397065</v>
      </c>
      <c r="C46" s="41">
        <v>3449.722848825944</v>
      </c>
      <c r="D46" s="41">
        <v>3614.3033343175875</v>
      </c>
      <c r="E46" s="42">
        <v>3608.626170221597</v>
      </c>
      <c r="F46" s="41">
        <v>3450.87500001</v>
      </c>
      <c r="G46" s="50">
        <v>0</v>
      </c>
      <c r="H46" s="50">
        <v>0</v>
      </c>
      <c r="I46" s="50">
        <v>0</v>
      </c>
    </row>
    <row r="47" spans="1:9" ht="14.25">
      <c r="A47" s="43" t="str">
        <f>HLOOKUP(INDICE!$F$2,Nombres!$C$3:$D$636,34,FALSE)</f>
        <v>Comisiones netas</v>
      </c>
      <c r="B47" s="44">
        <v>1030.1071888294184</v>
      </c>
      <c r="C47" s="44">
        <v>918.0645537791454</v>
      </c>
      <c r="D47" s="44">
        <v>1026.6787637443322</v>
      </c>
      <c r="E47" s="45">
        <v>1061.868354585732</v>
      </c>
      <c r="F47" s="44">
        <v>1132.96499997</v>
      </c>
      <c r="G47" s="44">
        <v>0</v>
      </c>
      <c r="H47" s="44">
        <v>0</v>
      </c>
      <c r="I47" s="44">
        <v>0</v>
      </c>
    </row>
    <row r="48" spans="1:9" ht="14.25">
      <c r="A48" s="43" t="str">
        <f>HLOOKUP(INDICE!$F$2,Nombres!$C$3:$D$636,35,FALSE)</f>
        <v>Resultados de operaciones financieras</v>
      </c>
      <c r="B48" s="44">
        <v>500.7606846375578</v>
      </c>
      <c r="C48" s="44">
        <v>452.1319368905317</v>
      </c>
      <c r="D48" s="44">
        <v>357.3457563980666</v>
      </c>
      <c r="E48" s="45">
        <v>190.0800417729743</v>
      </c>
      <c r="F48" s="44">
        <v>581.46000002</v>
      </c>
      <c r="G48" s="44">
        <v>0</v>
      </c>
      <c r="H48" s="44">
        <v>0</v>
      </c>
      <c r="I48" s="44">
        <v>0</v>
      </c>
    </row>
    <row r="49" spans="1:9" ht="14.25">
      <c r="A49" s="43" t="str">
        <f>HLOOKUP(INDICE!$F$2,Nombres!$C$3:$D$636,96,FALSE)</f>
        <v>Ingresos por dividendos</v>
      </c>
      <c r="B49" s="44">
        <v>4.5196083309743615</v>
      </c>
      <c r="C49" s="44">
        <v>68.3943121649835</v>
      </c>
      <c r="D49" s="44">
        <v>4.822986483768463</v>
      </c>
      <c r="E49" s="45">
        <v>59.15820084312822</v>
      </c>
      <c r="F49" s="44">
        <v>5.848999999999975</v>
      </c>
      <c r="G49" s="44">
        <v>0</v>
      </c>
      <c r="H49" s="44">
        <v>0</v>
      </c>
      <c r="I49" s="44">
        <v>0</v>
      </c>
    </row>
    <row r="50" spans="1:9" ht="14.25">
      <c r="A50" s="43" t="str">
        <f>HLOOKUP(INDICE!$F$2,Nombres!$C$3:$D$636,97,FALSE)</f>
        <v>Part. gananc/pdas inversiones en dependientes, neg conjunt y asoc</v>
      </c>
      <c r="B50" s="44">
        <v>-7.945360217001365</v>
      </c>
      <c r="C50" s="44">
        <v>-9.05980985192597</v>
      </c>
      <c r="D50" s="44">
        <v>-9.047568505349446</v>
      </c>
      <c r="E50" s="45">
        <v>-13.0258446507227</v>
      </c>
      <c r="F50" s="44">
        <v>-5.805000000000001</v>
      </c>
      <c r="G50" s="44">
        <v>0</v>
      </c>
      <c r="H50" s="44">
        <v>0</v>
      </c>
      <c r="I50" s="44">
        <v>0</v>
      </c>
    </row>
    <row r="51" spans="1:9" ht="14.25">
      <c r="A51" s="43" t="str">
        <f>HLOOKUP(INDICE!$F$2,Nombres!$C$3:$D$636,98,FALSE)</f>
        <v>Otros productos/cargas de explotación</v>
      </c>
      <c r="B51" s="44">
        <v>84.95449428278128</v>
      </c>
      <c r="C51" s="44">
        <v>-130.7526984277285</v>
      </c>
      <c r="D51" s="44">
        <v>51.23775236951846</v>
      </c>
      <c r="E51" s="45">
        <v>-196.24543260530956</v>
      </c>
      <c r="F51" s="44">
        <v>-10.609000030000022</v>
      </c>
      <c r="G51" s="44">
        <v>-1E-05</v>
      </c>
      <c r="H51" s="44">
        <v>0</v>
      </c>
      <c r="I51" s="44">
        <v>0</v>
      </c>
    </row>
    <row r="52" spans="1:9" ht="14.25">
      <c r="A52" s="41" t="str">
        <f>HLOOKUP(INDICE!$F$2,Nombres!$C$3:$D$636,37,FALSE)</f>
        <v>Margen bruto</v>
      </c>
      <c r="B52" s="41">
        <f>+SUM(B46:B51)</f>
        <v>5143.124218603437</v>
      </c>
      <c r="C52" s="41">
        <f aca="true" t="shared" si="7" ref="C52:I52">+SUM(C46:C51)</f>
        <v>4748.50114338095</v>
      </c>
      <c r="D52" s="41">
        <f t="shared" si="7"/>
        <v>5045.3410248079235</v>
      </c>
      <c r="E52" s="42">
        <f t="shared" si="7"/>
        <v>4710.4614901673995</v>
      </c>
      <c r="F52" s="41">
        <f t="shared" si="7"/>
        <v>5154.73499997</v>
      </c>
      <c r="G52" s="50">
        <f t="shared" si="7"/>
        <v>-1E-05</v>
      </c>
      <c r="H52" s="50">
        <f t="shared" si="7"/>
        <v>0</v>
      </c>
      <c r="I52" s="50">
        <f t="shared" si="7"/>
        <v>0</v>
      </c>
    </row>
    <row r="53" spans="1:9" ht="14.25">
      <c r="A53" s="43" t="str">
        <f>HLOOKUP(INDICE!$F$2,Nombres!$C$3:$D$636,38,FALSE)</f>
        <v>Gastos de explotación</v>
      </c>
      <c r="B53" s="44">
        <v>-2263.8163323023246</v>
      </c>
      <c r="C53" s="44">
        <v>-2144.663603493744</v>
      </c>
      <c r="D53" s="44">
        <v>-2191.818153929925</v>
      </c>
      <c r="E53" s="45">
        <v>-2316.0334162374547</v>
      </c>
      <c r="F53" s="44">
        <v>-2304.31200013</v>
      </c>
      <c r="G53" s="44">
        <v>0</v>
      </c>
      <c r="H53" s="44">
        <v>0</v>
      </c>
      <c r="I53" s="44">
        <v>0</v>
      </c>
    </row>
    <row r="54" spans="1:9" ht="14.25">
      <c r="A54" s="43" t="str">
        <f>HLOOKUP(INDICE!$F$2,Nombres!$C$3:$D$636,39,FALSE)</f>
        <v>  Gastos de administración</v>
      </c>
      <c r="B54" s="44">
        <v>-1944.8535867935188</v>
      </c>
      <c r="C54" s="44">
        <v>-1832.4830423111978</v>
      </c>
      <c r="D54" s="44">
        <v>-1873.6941534235784</v>
      </c>
      <c r="E54" s="45">
        <v>-1999.2725001694967</v>
      </c>
      <c r="F54" s="44">
        <v>-1995.78500011</v>
      </c>
      <c r="G54" s="44">
        <v>0</v>
      </c>
      <c r="H54" s="44">
        <v>0</v>
      </c>
      <c r="I54" s="44">
        <v>0</v>
      </c>
    </row>
    <row r="55" spans="1:9" ht="14.25">
      <c r="A55" s="46" t="str">
        <f>HLOOKUP(INDICE!$F$2,Nombres!$C$3:$D$636,40,FALSE)</f>
        <v>  Gastos de personal</v>
      </c>
      <c r="B55" s="44">
        <v>-1164.353098659926</v>
      </c>
      <c r="C55" s="44">
        <v>-1087.9268414397009</v>
      </c>
      <c r="D55" s="44">
        <v>-1134.6909355404716</v>
      </c>
      <c r="E55" s="45">
        <v>-1214.7083637377627</v>
      </c>
      <c r="F55" s="44">
        <v>-1184.2270000099998</v>
      </c>
      <c r="G55" s="44">
        <v>0</v>
      </c>
      <c r="H55" s="44">
        <v>0</v>
      </c>
      <c r="I55" s="44">
        <v>0</v>
      </c>
    </row>
    <row r="56" spans="1:9" ht="14.25">
      <c r="A56" s="46" t="str">
        <f>HLOOKUP(INDICE!$F$2,Nombres!$C$3:$D$636,41,FALSE)</f>
        <v>  Otros gastos de administración</v>
      </c>
      <c r="B56" s="44">
        <v>-780.500488133593</v>
      </c>
      <c r="C56" s="44">
        <v>-744.5562008714967</v>
      </c>
      <c r="D56" s="44">
        <v>-739.0032178831073</v>
      </c>
      <c r="E56" s="45">
        <v>-784.5641364317339</v>
      </c>
      <c r="F56" s="44">
        <v>-811.5580001000001</v>
      </c>
      <c r="G56" s="44">
        <v>0</v>
      </c>
      <c r="H56" s="44">
        <v>0</v>
      </c>
      <c r="I56" s="44">
        <v>0</v>
      </c>
    </row>
    <row r="57" spans="1:9" ht="14.25">
      <c r="A57" s="43" t="str">
        <f>HLOOKUP(INDICE!$F$2,Nombres!$C$3:$D$636,42,FALSE)</f>
        <v>  Amortización</v>
      </c>
      <c r="B57" s="44">
        <v>-318.96274550880537</v>
      </c>
      <c r="C57" s="44">
        <v>-312.1805611825464</v>
      </c>
      <c r="D57" s="44">
        <v>-318.12400050634625</v>
      </c>
      <c r="E57" s="45">
        <v>-316.76091606795785</v>
      </c>
      <c r="F57" s="44">
        <v>-308.52700002</v>
      </c>
      <c r="G57" s="44">
        <v>0</v>
      </c>
      <c r="H57" s="44">
        <v>0</v>
      </c>
      <c r="I57" s="44">
        <v>0</v>
      </c>
    </row>
    <row r="58" spans="1:9" ht="14.25">
      <c r="A58" s="41" t="str">
        <f>HLOOKUP(INDICE!$F$2,Nombres!$C$3:$D$636,43,FALSE)</f>
        <v>Margen neto</v>
      </c>
      <c r="B58" s="41">
        <f>+B52+B53</f>
        <v>2879.3078863011124</v>
      </c>
      <c r="C58" s="41">
        <f aca="true" t="shared" si="8" ref="C58:I58">+C52+C53</f>
        <v>2603.8375398872063</v>
      </c>
      <c r="D58" s="41">
        <f t="shared" si="8"/>
        <v>2853.5228708779987</v>
      </c>
      <c r="E58" s="42">
        <f t="shared" si="8"/>
        <v>2394.4280739299447</v>
      </c>
      <c r="F58" s="41">
        <f t="shared" si="8"/>
        <v>2850.42299984</v>
      </c>
      <c r="G58" s="50">
        <f t="shared" si="8"/>
        <v>-1E-05</v>
      </c>
      <c r="H58" s="50">
        <f t="shared" si="8"/>
        <v>0</v>
      </c>
      <c r="I58" s="50">
        <f t="shared" si="8"/>
        <v>0</v>
      </c>
    </row>
    <row r="59" spans="1:9" ht="14.25">
      <c r="A59" s="43" t="str">
        <f>HLOOKUP(INDICE!$F$2,Nombres!$C$3:$D$636,44,FALSE)</f>
        <v>Deterioro de activos financieros no valorados a valor razonable con cambios en resultados</v>
      </c>
      <c r="B59" s="44">
        <v>-1939.0930905221414</v>
      </c>
      <c r="C59" s="44">
        <v>-1402.9456919175198</v>
      </c>
      <c r="D59" s="44">
        <v>-787.9349499557726</v>
      </c>
      <c r="E59" s="45">
        <v>-921.9809220507957</v>
      </c>
      <c r="F59" s="44">
        <v>-923.25300006</v>
      </c>
      <c r="G59" s="44">
        <v>0</v>
      </c>
      <c r="H59" s="44">
        <v>0</v>
      </c>
      <c r="I59" s="44">
        <v>0</v>
      </c>
    </row>
    <row r="60" spans="1:9" ht="14.25">
      <c r="A60" s="43" t="str">
        <f>HLOOKUP(INDICE!$F$2,Nombres!$C$3:$D$636,247,FALSE)</f>
        <v>Provisiones o reversión de provisiones</v>
      </c>
      <c r="B60" s="44">
        <v>-289.53333312522955</v>
      </c>
      <c r="C60" s="44">
        <v>-212.33470246005584</v>
      </c>
      <c r="D60" s="44">
        <v>-88.61657155140784</v>
      </c>
      <c r="E60" s="45">
        <v>-138.66671932678133</v>
      </c>
      <c r="F60" s="44">
        <v>-151.16800002000002</v>
      </c>
      <c r="G60" s="44">
        <v>0</v>
      </c>
      <c r="H60" s="44">
        <v>0</v>
      </c>
      <c r="I60" s="44">
        <v>0</v>
      </c>
    </row>
    <row r="61" spans="1:9" ht="14.25">
      <c r="A61" s="43" t="str">
        <f>HLOOKUP(INDICE!$F$2,Nombres!$C$3:$D$636,248,FALSE)</f>
        <v>Otros resultados</v>
      </c>
      <c r="B61" s="44">
        <v>-29.66574216745464</v>
      </c>
      <c r="C61" s="44">
        <v>-99.25885795022754</v>
      </c>
      <c r="D61" s="44">
        <v>-128.48612558808284</v>
      </c>
      <c r="E61" s="45">
        <v>-82.98331878489591</v>
      </c>
      <c r="F61" s="44">
        <v>-17.18800000000001</v>
      </c>
      <c r="G61" s="44">
        <v>0</v>
      </c>
      <c r="H61" s="44">
        <v>0</v>
      </c>
      <c r="I61" s="44">
        <v>0</v>
      </c>
    </row>
    <row r="62" spans="1:9" ht="14.25">
      <c r="A62" s="41" t="str">
        <f>HLOOKUP(INDICE!$F$2,Nombres!$C$3:$D$636,46,FALSE)</f>
        <v>Resultado antes de impuestos</v>
      </c>
      <c r="B62" s="41">
        <f aca="true" t="shared" si="9" ref="B62:I62">+B58+B59+B60+B61</f>
        <v>621.0157204862868</v>
      </c>
      <c r="C62" s="41">
        <f t="shared" si="9"/>
        <v>889.2982875594032</v>
      </c>
      <c r="D62" s="41">
        <f t="shared" si="9"/>
        <v>1848.4852237827356</v>
      </c>
      <c r="E62" s="42">
        <f t="shared" si="9"/>
        <v>1250.7971137674717</v>
      </c>
      <c r="F62" s="41">
        <f t="shared" si="9"/>
        <v>1758.8139997600001</v>
      </c>
      <c r="G62" s="41">
        <f t="shared" si="9"/>
        <v>-1E-05</v>
      </c>
      <c r="H62" s="41">
        <f t="shared" si="9"/>
        <v>0</v>
      </c>
      <c r="I62" s="41">
        <f t="shared" si="9"/>
        <v>0</v>
      </c>
    </row>
    <row r="63" spans="1:9" ht="14.25">
      <c r="A63" s="43" t="str">
        <f>HLOOKUP(INDICE!$F$2,Nombres!$C$3:$D$636,47,FALSE)</f>
        <v>Impuesto sobre beneficios</v>
      </c>
      <c r="B63" s="44">
        <v>-156.68189111166643</v>
      </c>
      <c r="C63" s="44">
        <v>-256.95701020005976</v>
      </c>
      <c r="D63" s="44">
        <v>-504.6785892339243</v>
      </c>
      <c r="E63" s="45">
        <v>-357.1052162168908</v>
      </c>
      <c r="F63" s="44">
        <v>-489.2629999800001</v>
      </c>
      <c r="G63" s="44">
        <v>0</v>
      </c>
      <c r="H63" s="44">
        <v>0</v>
      </c>
      <c r="I63" s="44">
        <v>0</v>
      </c>
    </row>
    <row r="64" spans="1:9" ht="14.25">
      <c r="A64" s="90" t="str">
        <f>HLOOKUP(INDICE!$F$2,Nombres!$C$3:$D$636,99,FALSE)</f>
        <v>Resultado después de impuestos de operaciones continuadas</v>
      </c>
      <c r="B64" s="41">
        <f aca="true" t="shared" si="10" ref="B64:I64">+B62+B63</f>
        <v>464.33382937462034</v>
      </c>
      <c r="C64" s="41">
        <f t="shared" si="10"/>
        <v>632.3412773593434</v>
      </c>
      <c r="D64" s="41">
        <f t="shared" si="10"/>
        <v>1343.8066345488114</v>
      </c>
      <c r="E64" s="42">
        <f t="shared" si="10"/>
        <v>893.691897550581</v>
      </c>
      <c r="F64" s="41">
        <f t="shared" si="10"/>
        <v>1269.55099978</v>
      </c>
      <c r="G64" s="41">
        <f t="shared" si="10"/>
        <v>-1E-05</v>
      </c>
      <c r="H64" s="41">
        <f t="shared" si="10"/>
        <v>0</v>
      </c>
      <c r="I64" s="41">
        <f t="shared" si="10"/>
        <v>0</v>
      </c>
    </row>
    <row r="65" spans="1:9" ht="14.25">
      <c r="A65" s="43" t="str">
        <f>HLOOKUP(INDICE!$F$2,Nombres!$C$3:$D$636,298,FALSE)</f>
        <v>Operaciones Corporativas y Discontinuadas (1)</v>
      </c>
      <c r="B65" s="44">
        <v>-2211.942694349565</v>
      </c>
      <c r="C65" s="44">
        <v>109.76303229206098</v>
      </c>
      <c r="D65" s="44">
        <v>67.99008849417774</v>
      </c>
      <c r="E65" s="45">
        <v>591.2705840606143</v>
      </c>
      <c r="F65" s="44">
        <v>177.041</v>
      </c>
      <c r="G65" s="44">
        <v>0</v>
      </c>
      <c r="H65" s="44">
        <v>0</v>
      </c>
      <c r="I65" s="44">
        <v>0</v>
      </c>
    </row>
    <row r="66" spans="1:9" ht="14.25">
      <c r="A66" s="41" t="str">
        <f>HLOOKUP(INDICE!$F$2,Nombres!$C$3:$D$636,48,FALSE)</f>
        <v>Resultado del ejercicio</v>
      </c>
      <c r="B66" s="41">
        <f>+B64+B65</f>
        <v>-1747.6088649749447</v>
      </c>
      <c r="C66" s="41">
        <f aca="true" t="shared" si="11" ref="C66:I66">+C64+C65</f>
        <v>742.1043096514044</v>
      </c>
      <c r="D66" s="41">
        <f t="shared" si="11"/>
        <v>1411.7967230429892</v>
      </c>
      <c r="E66" s="42">
        <f t="shared" si="11"/>
        <v>1484.9624816111952</v>
      </c>
      <c r="F66" s="41">
        <f t="shared" si="11"/>
        <v>1446.59199978</v>
      </c>
      <c r="G66" s="41">
        <f t="shared" si="11"/>
        <v>-1E-05</v>
      </c>
      <c r="H66" s="41">
        <f t="shared" si="11"/>
        <v>0</v>
      </c>
      <c r="I66" s="41">
        <f t="shared" si="11"/>
        <v>0</v>
      </c>
    </row>
    <row r="67" spans="1:9" ht="14.25">
      <c r="A67" s="43" t="str">
        <f>HLOOKUP(INDICE!$F$2,Nombres!$C$3:$D$636,49,FALSE)</f>
        <v>Minoritarios</v>
      </c>
      <c r="B67" s="44">
        <v>-127.42859704164913</v>
      </c>
      <c r="C67" s="44">
        <v>-133.25737759261665</v>
      </c>
      <c r="D67" s="44">
        <v>-284.73084776589917</v>
      </c>
      <c r="E67" s="45">
        <v>-138.03019444654805</v>
      </c>
      <c r="F67" s="44">
        <v>-236.81900000999997</v>
      </c>
      <c r="G67" s="44">
        <v>0</v>
      </c>
      <c r="H67" s="44">
        <v>0</v>
      </c>
      <c r="I67" s="44">
        <v>0</v>
      </c>
    </row>
    <row r="68" spans="1:9" ht="14.25">
      <c r="A68" s="47" t="str">
        <f>HLOOKUP(INDICE!$F$2,Nombres!$C$3:$D$636,50,FALSE)</f>
        <v>Resultado atribuido</v>
      </c>
      <c r="B68" s="47">
        <f>+B66+B67</f>
        <v>-1875.0374620165937</v>
      </c>
      <c r="C68" s="47">
        <f aca="true" t="shared" si="12" ref="C68:I68">+C66+C67</f>
        <v>608.8469320587877</v>
      </c>
      <c r="D68" s="47">
        <f t="shared" si="12"/>
        <v>1127.06587527709</v>
      </c>
      <c r="E68" s="47">
        <f t="shared" si="12"/>
        <v>1346.9322871646473</v>
      </c>
      <c r="F68" s="47">
        <f t="shared" si="12"/>
        <v>1209.7729997699998</v>
      </c>
      <c r="G68" s="51">
        <f t="shared" si="12"/>
        <v>-1E-05</v>
      </c>
      <c r="H68" s="51">
        <f t="shared" si="12"/>
        <v>0</v>
      </c>
      <c r="I68" s="51">
        <f t="shared" si="12"/>
        <v>0</v>
      </c>
    </row>
    <row r="69" spans="1:9" ht="14.25" customHeight="1">
      <c r="A69" s="48"/>
      <c r="B69" s="48"/>
      <c r="C69" s="48"/>
      <c r="D69" s="48"/>
      <c r="E69" s="48"/>
      <c r="F69" s="48"/>
      <c r="G69" s="273"/>
      <c r="H69" s="273"/>
      <c r="I69" s="273"/>
    </row>
    <row r="70" spans="1:9" ht="15" customHeight="1">
      <c r="A70" s="47" t="str">
        <f>HLOOKUP(INDICE!$F$2,Nombres!$C$3:$D$636,301,FALSE)</f>
        <v>Resultado Atribuido sin Operaciones Corporativas y Discontinuadas</v>
      </c>
      <c r="B70" s="47">
        <f>+B68-B65</f>
        <v>336.9052323329713</v>
      </c>
      <c r="C70" s="47">
        <f aca="true" t="shared" si="13" ref="C70:I70">+C68-C65</f>
        <v>499.08389976672674</v>
      </c>
      <c r="D70" s="47">
        <f t="shared" si="13"/>
        <v>1059.0757867829122</v>
      </c>
      <c r="E70" s="47">
        <f t="shared" si="13"/>
        <v>755.661703104033</v>
      </c>
      <c r="F70" s="47">
        <f t="shared" si="13"/>
        <v>1032.73199977</v>
      </c>
      <c r="G70" s="47">
        <f t="shared" si="13"/>
        <v>-1E-05</v>
      </c>
      <c r="H70" s="47">
        <f t="shared" si="13"/>
        <v>0</v>
      </c>
      <c r="I70" s="47">
        <f t="shared" si="13"/>
        <v>0</v>
      </c>
    </row>
    <row r="71" spans="2:9" ht="14.25">
      <c r="B71" s="48">
        <v>0</v>
      </c>
      <c r="C71" s="48">
        <v>1.0231815394945443E-12</v>
      </c>
      <c r="D71" s="48">
        <v>0</v>
      </c>
      <c r="E71" s="48">
        <v>0</v>
      </c>
      <c r="F71" s="48">
        <v>0</v>
      </c>
      <c r="G71" s="48">
        <v>0</v>
      </c>
      <c r="H71" s="48">
        <v>0</v>
      </c>
      <c r="I71" s="48">
        <v>0</v>
      </c>
    </row>
    <row r="72" spans="1:9" ht="14.25">
      <c r="A72" s="43"/>
      <c r="B72" s="48">
        <v>0</v>
      </c>
      <c r="C72" s="48">
        <v>1.1368683772161603E-12</v>
      </c>
      <c r="D72" s="48">
        <v>0</v>
      </c>
      <c r="E72" s="48">
        <v>0</v>
      </c>
      <c r="F72" s="48">
        <v>0</v>
      </c>
      <c r="G72" s="48">
        <v>0</v>
      </c>
      <c r="H72" s="48">
        <v>0</v>
      </c>
      <c r="I72" s="48">
        <v>0</v>
      </c>
    </row>
    <row r="73" spans="1:9" ht="37.5" customHeight="1">
      <c r="A73" s="305"/>
      <c r="B73" s="305"/>
      <c r="C73" s="305"/>
      <c r="D73" s="305"/>
      <c r="E73" s="305"/>
      <c r="F73" s="305"/>
      <c r="G73" s="305"/>
      <c r="H73" s="305"/>
      <c r="I73" s="305"/>
    </row>
    <row r="74" spans="1:9" ht="15" customHeight="1">
      <c r="A74" s="305" t="str">
        <f>HLOOKUP(INDICE!$F$2,Nombres!$C$3:$D$636,274,FALSE)</f>
        <v>(1) Incluye 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v>
      </c>
      <c r="B74" s="305"/>
      <c r="C74" s="305"/>
      <c r="D74" s="305"/>
      <c r="E74" s="305"/>
      <c r="F74" s="305"/>
      <c r="G74" s="305"/>
      <c r="H74" s="305"/>
      <c r="I74" s="305"/>
    </row>
    <row r="75" spans="2:9" ht="14.25">
      <c r="B75" s="272"/>
      <c r="C75" s="272"/>
      <c r="D75" s="272"/>
      <c r="E75" s="272"/>
      <c r="F75" s="272"/>
      <c r="G75" s="272"/>
      <c r="H75" s="272"/>
      <c r="I75" s="272"/>
    </row>
    <row r="76" spans="1:9" ht="14.25">
      <c r="A76" s="43"/>
      <c r="B76" s="272"/>
      <c r="C76" s="272"/>
      <c r="D76" s="272"/>
      <c r="E76" s="272"/>
      <c r="F76" s="272"/>
      <c r="G76" s="272"/>
      <c r="H76" s="272"/>
      <c r="I76" s="272"/>
    </row>
    <row r="77" spans="1:9" ht="14.25">
      <c r="A77"/>
      <c r="B77" s="272"/>
      <c r="C77" s="272"/>
      <c r="D77" s="272"/>
      <c r="E77" s="272"/>
      <c r="F77" s="272"/>
      <c r="G77" s="272"/>
      <c r="H77" s="272"/>
      <c r="I77" s="272"/>
    </row>
    <row r="78" spans="2:9" ht="14.25">
      <c r="B78" s="272"/>
      <c r="C78" s="272"/>
      <c r="D78" s="272"/>
      <c r="E78" s="272"/>
      <c r="F78" s="272"/>
      <c r="G78" s="272"/>
      <c r="H78" s="272"/>
      <c r="I78" s="272"/>
    </row>
    <row r="90" ht="14.25">
      <c r="A90"/>
    </row>
    <row r="1004" ht="14.25">
      <c r="A1004" s="31" t="s">
        <v>396</v>
      </c>
    </row>
  </sheetData>
  <sheetProtection/>
  <mergeCells count="8">
    <mergeCell ref="A73:I73"/>
    <mergeCell ref="A74:I74"/>
    <mergeCell ref="B6:E6"/>
    <mergeCell ref="F6:I6"/>
    <mergeCell ref="A35:I35"/>
    <mergeCell ref="A36:I36"/>
    <mergeCell ref="B44:E44"/>
    <mergeCell ref="F44:I44"/>
  </mergeCells>
  <conditionalFormatting sqref="B38:I38">
    <cfRule type="cellIs" priority="44" dxfId="14" operator="notBetween">
      <formula>0.4</formula>
      <formula>-0.4</formula>
    </cfRule>
  </conditionalFormatting>
  <conditionalFormatting sqref="B39:I39">
    <cfRule type="cellIs" priority="43" dxfId="14" operator="notBetween">
      <formula>0.4</formula>
      <formula>-0.4</formula>
    </cfRule>
  </conditionalFormatting>
  <conditionalFormatting sqref="B71:I71">
    <cfRule type="cellIs" priority="40" dxfId="115" operator="notBetween">
      <formula>0.5</formula>
      <formula>-0.5</formula>
    </cfRule>
  </conditionalFormatting>
  <conditionalFormatting sqref="D71">
    <cfRule type="cellIs" priority="38" dxfId="115" operator="notBetween">
      <formula>0.5</formula>
      <formula>-0.5</formula>
    </cfRule>
  </conditionalFormatting>
  <conditionalFormatting sqref="F71">
    <cfRule type="cellIs" priority="36" dxfId="115" operator="notBetween">
      <formula>0.5</formula>
      <formula>-0.5</formula>
    </cfRule>
  </conditionalFormatting>
  <conditionalFormatting sqref="H71">
    <cfRule type="cellIs" priority="34" dxfId="115" operator="notBetween">
      <formula>0.5</formula>
      <formula>-0.5</formula>
    </cfRule>
  </conditionalFormatting>
  <conditionalFormatting sqref="E33">
    <cfRule type="cellIs" priority="27" dxfId="115" operator="notBetween">
      <formula>0.5</formula>
      <formula>-0.5</formula>
    </cfRule>
  </conditionalFormatting>
  <conditionalFormatting sqref="C33">
    <cfRule type="cellIs" priority="25" dxfId="115" operator="notBetween">
      <formula>0.5</formula>
      <formula>-0.5</formula>
    </cfRule>
  </conditionalFormatting>
  <conditionalFormatting sqref="H33">
    <cfRule type="cellIs" priority="30" dxfId="115" operator="notBetween">
      <formula>0.5</formula>
      <formula>-0.5</formula>
    </cfRule>
  </conditionalFormatting>
  <conditionalFormatting sqref="I33">
    <cfRule type="cellIs" priority="42" dxfId="115" operator="notBetween">
      <formula>0.5</formula>
      <formula>-0.5</formula>
    </cfRule>
  </conditionalFormatting>
  <conditionalFormatting sqref="B76:G76">
    <cfRule type="cellIs" priority="41" dxfId="14" operator="notBetween">
      <formula>0.4</formula>
      <formula>-0.4</formula>
    </cfRule>
  </conditionalFormatting>
  <conditionalFormatting sqref="I71">
    <cfRule type="cellIs" priority="33" dxfId="115" operator="notBetween">
      <formula>0.5</formula>
      <formula>-0.5</formula>
    </cfRule>
  </conditionalFormatting>
  <conditionalFormatting sqref="C71">
    <cfRule type="cellIs" priority="39" dxfId="115" operator="notBetween">
      <formula>0.5</formula>
      <formula>-0.5</formula>
    </cfRule>
  </conditionalFormatting>
  <conditionalFormatting sqref="E71">
    <cfRule type="cellIs" priority="37" dxfId="115" operator="notBetween">
      <formula>0.5</formula>
      <formula>-0.5</formula>
    </cfRule>
  </conditionalFormatting>
  <conditionalFormatting sqref="G71">
    <cfRule type="cellIs" priority="35" dxfId="115" operator="notBetween">
      <formula>0.5</formula>
      <formula>-0.5</formula>
    </cfRule>
  </conditionalFormatting>
  <conditionalFormatting sqref="G33">
    <cfRule type="cellIs" priority="29" dxfId="115" operator="notBetween">
      <formula>0.5</formula>
      <formula>-0.5</formula>
    </cfRule>
  </conditionalFormatting>
  <conditionalFormatting sqref="H76">
    <cfRule type="cellIs" priority="32" dxfId="14" operator="notBetween">
      <formula>0.4</formula>
      <formula>-0.4</formula>
    </cfRule>
  </conditionalFormatting>
  <conditionalFormatting sqref="I76">
    <cfRule type="cellIs" priority="31" dxfId="14" operator="notBetween">
      <formula>0.4</formula>
      <formula>-0.4</formula>
    </cfRule>
  </conditionalFormatting>
  <conditionalFormatting sqref="F33">
    <cfRule type="cellIs" priority="28" dxfId="115" operator="notBetween">
      <formula>0.5</formula>
      <formula>-0.5</formula>
    </cfRule>
  </conditionalFormatting>
  <conditionalFormatting sqref="D33">
    <cfRule type="cellIs" priority="26" dxfId="115" operator="notBetween">
      <formula>0.5</formula>
      <formula>-0.5</formula>
    </cfRule>
  </conditionalFormatting>
  <conditionalFormatting sqref="D34">
    <cfRule type="cellIs" priority="22" dxfId="115" operator="notBetween">
      <formula>0.5</formula>
      <formula>-0.5</formula>
    </cfRule>
  </conditionalFormatting>
  <conditionalFormatting sqref="B33:I33">
    <cfRule type="cellIs" priority="24" dxfId="115" operator="notBetween">
      <formula>0.5</formula>
      <formula>-0.5</formula>
    </cfRule>
  </conditionalFormatting>
  <conditionalFormatting sqref="C34">
    <cfRule type="cellIs" priority="23" dxfId="115" operator="notBetween">
      <formula>0.5</formula>
      <formula>-0.5</formula>
    </cfRule>
  </conditionalFormatting>
  <conditionalFormatting sqref="B34:E34">
    <cfRule type="cellIs" priority="21" dxfId="115" operator="notBetween">
      <formula>0.5</formula>
      <formula>-0.5</formula>
    </cfRule>
  </conditionalFormatting>
  <conditionalFormatting sqref="B37:I37">
    <cfRule type="cellIs" priority="20" dxfId="61" operator="notBetween">
      <formula>-1</formula>
      <formula>1</formula>
    </cfRule>
  </conditionalFormatting>
  <conditionalFormatting sqref="F33">
    <cfRule type="cellIs" priority="19" dxfId="115" operator="notBetween">
      <formula>0.5</formula>
      <formula>-0.5</formula>
    </cfRule>
  </conditionalFormatting>
  <conditionalFormatting sqref="G33">
    <cfRule type="cellIs" priority="18" dxfId="115" operator="notBetween">
      <formula>0.5</formula>
      <formula>-0.5</formula>
    </cfRule>
  </conditionalFormatting>
  <conditionalFormatting sqref="H33">
    <cfRule type="cellIs" priority="17" dxfId="115" operator="notBetween">
      <formula>0.5</formula>
      <formula>-0.5</formula>
    </cfRule>
  </conditionalFormatting>
  <conditionalFormatting sqref="I33">
    <cfRule type="cellIs" priority="16" dxfId="115" operator="notBetween">
      <formula>0.5</formula>
      <formula>-0.5</formula>
    </cfRule>
  </conditionalFormatting>
  <conditionalFormatting sqref="D33">
    <cfRule type="cellIs" priority="15" dxfId="115" operator="notBetween">
      <formula>0.5</formula>
      <formula>-0.5</formula>
    </cfRule>
  </conditionalFormatting>
  <conditionalFormatting sqref="C33">
    <cfRule type="cellIs" priority="14" dxfId="115" operator="notBetween">
      <formula>0.5</formula>
      <formula>-0.5</formula>
    </cfRule>
  </conditionalFormatting>
  <conditionalFormatting sqref="B33">
    <cfRule type="cellIs" priority="13" dxfId="115" operator="notBetween">
      <formula>0.5</formula>
      <formula>-0.5</formula>
    </cfRule>
  </conditionalFormatting>
  <conditionalFormatting sqref="F34:I34">
    <cfRule type="cellIs" priority="12" dxfId="115" operator="notBetween">
      <formula>0.5</formula>
      <formula>-0.5</formula>
    </cfRule>
  </conditionalFormatting>
  <conditionalFormatting sqref="B72:I72">
    <cfRule type="cellIs" priority="11" dxfId="115" operator="notBetween">
      <formula>0.5</formula>
      <formula>-0.5</formula>
    </cfRule>
  </conditionalFormatting>
  <conditionalFormatting sqref="D72">
    <cfRule type="cellIs" priority="9" dxfId="115" operator="notBetween">
      <formula>0.5</formula>
      <formula>-0.5</formula>
    </cfRule>
  </conditionalFormatting>
  <conditionalFormatting sqref="F72">
    <cfRule type="cellIs" priority="7" dxfId="115" operator="notBetween">
      <formula>0.5</formula>
      <formula>-0.5</formula>
    </cfRule>
  </conditionalFormatting>
  <conditionalFormatting sqref="H72">
    <cfRule type="cellIs" priority="5" dxfId="115" operator="notBetween">
      <formula>0.5</formula>
      <formula>-0.5</formula>
    </cfRule>
  </conditionalFormatting>
  <conditionalFormatting sqref="I72">
    <cfRule type="cellIs" priority="4" dxfId="115" operator="notBetween">
      <formula>0.5</formula>
      <formula>-0.5</formula>
    </cfRule>
  </conditionalFormatting>
  <conditionalFormatting sqref="C72">
    <cfRule type="cellIs" priority="10" dxfId="115" operator="notBetween">
      <formula>0.5</formula>
      <formula>-0.5</formula>
    </cfRule>
  </conditionalFormatting>
  <conditionalFormatting sqref="E72">
    <cfRule type="cellIs" priority="8" dxfId="115" operator="notBetween">
      <formula>0.5</formula>
      <formula>-0.5</formula>
    </cfRule>
  </conditionalFormatting>
  <conditionalFormatting sqref="G72">
    <cfRule type="cellIs" priority="6" dxfId="115" operator="notBetween">
      <formula>0.5</formula>
      <formula>-0.5</formula>
    </cfRule>
  </conditionalFormatting>
  <conditionalFormatting sqref="B77:G77">
    <cfRule type="cellIs" priority="3" dxfId="14" operator="notBetween">
      <formula>0.4</formula>
      <formula>-0.4</formula>
    </cfRule>
  </conditionalFormatting>
  <conditionalFormatting sqref="H77">
    <cfRule type="cellIs" priority="2" dxfId="14" operator="notBetween">
      <formula>0.4</formula>
      <formula>-0.4</formula>
    </cfRule>
  </conditionalFormatting>
  <conditionalFormatting sqref="I77">
    <cfRule type="cellIs" priority="1" dxfId="14" operator="notBetween">
      <formula>0.4</formula>
      <formula>-0.4</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P18" sqref="P18"/>
    </sheetView>
  </sheetViews>
  <sheetFormatPr defaultColWidth="11.421875" defaultRowHeight="15"/>
  <cols>
    <col min="1" max="1" width="86.421875" style="31" customWidth="1"/>
    <col min="2" max="2" width="10.421875" style="31" customWidth="1"/>
    <col min="3" max="6" width="11.421875" style="31" customWidth="1"/>
    <col min="7" max="9" width="0" style="31" hidden="1" customWidth="1"/>
    <col min="10" max="18" width="11.421875" style="31" customWidth="1"/>
  </cols>
  <sheetData>
    <row r="1" spans="1:9" ht="16.5">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6.5">
      <c r="A3" s="33" t="str">
        <f>HLOOKUP(INDICE!$F$2,Nombres!$C$3:$D$636,51,FALSE)</f>
        <v>Balances</v>
      </c>
      <c r="B3" s="34"/>
      <c r="C3" s="34"/>
      <c r="D3" s="34"/>
      <c r="E3" s="34"/>
      <c r="F3" s="34"/>
      <c r="G3" s="34"/>
      <c r="H3" s="34"/>
      <c r="I3" s="34"/>
    </row>
    <row r="4" spans="1:9" ht="14.25">
      <c r="A4" s="35" t="str">
        <f>HLOOKUP(INDICE!$F$2,Nombres!$C$3:$D$636,32,FALSE)</f>
        <v>(Millones de euros)</v>
      </c>
      <c r="B4" s="30"/>
      <c r="C4" s="52"/>
      <c r="D4" s="52"/>
      <c r="E4" s="52"/>
      <c r="F4" s="30"/>
      <c r="G4" s="58"/>
      <c r="H4" s="58"/>
      <c r="I4" s="58"/>
    </row>
    <row r="5" spans="1:9" ht="14.25">
      <c r="A5" s="30"/>
      <c r="B5" s="53">
        <f>+España!B30</f>
        <v>43921</v>
      </c>
      <c r="C5" s="53">
        <f>+España!C30</f>
        <v>44012</v>
      </c>
      <c r="D5" s="53">
        <f>+España!D30</f>
        <v>44104</v>
      </c>
      <c r="E5" s="53">
        <f>+España!E30</f>
        <v>44196</v>
      </c>
      <c r="F5" s="53">
        <f>+España!F30</f>
        <v>44286</v>
      </c>
      <c r="G5" s="53">
        <f>+España!G30</f>
        <v>44377</v>
      </c>
      <c r="H5" s="53">
        <f>+España!H30</f>
        <v>44469</v>
      </c>
      <c r="I5" s="53">
        <f>+España!I30</f>
        <v>44561</v>
      </c>
    </row>
    <row r="6" spans="1:18" ht="14.25">
      <c r="A6" s="43" t="str">
        <f>HLOOKUP(INDICE!$F$2,Nombres!$C$3:$D$636,52,FALSE)</f>
        <v>Efectivo, saldos en efectivo en bancos centrales y otros depósitos a la vista</v>
      </c>
      <c r="B6" s="44">
        <v>44852.634</v>
      </c>
      <c r="C6" s="44">
        <v>55022.643</v>
      </c>
      <c r="D6" s="44">
        <v>59768.64599999999</v>
      </c>
      <c r="E6" s="44">
        <v>65519.834</v>
      </c>
      <c r="F6" s="44">
        <v>54949.79</v>
      </c>
      <c r="G6" s="44">
        <v>0</v>
      </c>
      <c r="H6" s="44">
        <v>0</v>
      </c>
      <c r="I6" s="44">
        <v>0</v>
      </c>
      <c r="J6" s="54"/>
      <c r="K6" s="54"/>
      <c r="O6" s="54"/>
      <c r="P6" s="54"/>
      <c r="Q6" s="54"/>
      <c r="R6" s="54"/>
    </row>
    <row r="7" spans="1:18" ht="14.25">
      <c r="A7" s="43" t="str">
        <f>HLOOKUP(INDICE!$F$2,Nombres!$C$3:$D$636,131,FALSE)</f>
        <v>Activos financieros mantenidos para negociar</v>
      </c>
      <c r="B7" s="44">
        <v>125269.15699999999</v>
      </c>
      <c r="C7" s="44">
        <v>117329.254</v>
      </c>
      <c r="D7" s="44">
        <v>105395.332</v>
      </c>
      <c r="E7" s="44">
        <v>108257.212</v>
      </c>
      <c r="F7" s="44">
        <v>101050.452</v>
      </c>
      <c r="G7" s="44">
        <v>0</v>
      </c>
      <c r="H7" s="44">
        <v>0</v>
      </c>
      <c r="I7" s="44">
        <v>0</v>
      </c>
      <c r="J7" s="54"/>
      <c r="K7" s="54"/>
      <c r="O7" s="54"/>
      <c r="P7" s="54"/>
      <c r="Q7" s="54"/>
      <c r="R7" s="54"/>
    </row>
    <row r="8" spans="1:18" ht="14.25">
      <c r="A8" s="43" t="str">
        <f>HLOOKUP(INDICE!$F$2,Nombres!$C$3:$D$636,132,FALSE)</f>
        <v>Activos financieros no destinados a negociación valorados obligatoriamente a valor razonable con cambios en resultados</v>
      </c>
      <c r="B8" s="44">
        <v>5078.670999999999</v>
      </c>
      <c r="C8" s="44">
        <v>4980.128000000001</v>
      </c>
      <c r="D8" s="44">
        <v>5122.607999999999</v>
      </c>
      <c r="E8" s="44">
        <v>5197.768</v>
      </c>
      <c r="F8" s="44">
        <v>5488.333</v>
      </c>
      <c r="G8" s="44">
        <v>0</v>
      </c>
      <c r="H8" s="44">
        <v>0</v>
      </c>
      <c r="I8" s="44">
        <v>0</v>
      </c>
      <c r="J8" s="54"/>
      <c r="K8" s="54"/>
      <c r="O8" s="54"/>
      <c r="P8" s="54"/>
      <c r="Q8" s="54"/>
      <c r="R8" s="54"/>
    </row>
    <row r="9" spans="1:18" ht="14.25">
      <c r="A9" s="43" t="str">
        <f>HLOOKUP(INDICE!$F$2,Nombres!$C$3:$D$636,133,FALSE)</f>
        <v>Activos financieros designados a valor razonable con cambios en resultados</v>
      </c>
      <c r="B9" s="44">
        <v>1174.787</v>
      </c>
      <c r="C9" s="44">
        <v>1097.759</v>
      </c>
      <c r="D9" s="44">
        <v>1117.3410000000001</v>
      </c>
      <c r="E9" s="44">
        <v>1116.604</v>
      </c>
      <c r="F9" s="44">
        <v>1110.309</v>
      </c>
      <c r="G9" s="44">
        <v>0</v>
      </c>
      <c r="H9" s="44">
        <v>0</v>
      </c>
      <c r="I9" s="44">
        <v>0</v>
      </c>
      <c r="J9" s="54"/>
      <c r="K9" s="54"/>
      <c r="O9" s="54"/>
      <c r="P9" s="54"/>
      <c r="Q9" s="54"/>
      <c r="R9" s="54"/>
    </row>
    <row r="10" spans="1:18" ht="14.25">
      <c r="A10" s="43" t="str">
        <f>HLOOKUP(INDICE!$F$2,Nombres!$C$3:$D$636,134,FALSE)</f>
        <v>Activos financieros designados a valor razonable con cambios en otro resultado global acumulado</v>
      </c>
      <c r="B10" s="44">
        <v>55038.233</v>
      </c>
      <c r="C10" s="44">
        <v>64574.515999999996</v>
      </c>
      <c r="D10" s="44">
        <v>66877.15699999999</v>
      </c>
      <c r="E10" s="44">
        <v>69440.268</v>
      </c>
      <c r="F10" s="44">
        <v>72771.319</v>
      </c>
      <c r="G10" s="44">
        <v>0</v>
      </c>
      <c r="H10" s="44">
        <v>0</v>
      </c>
      <c r="I10" s="44">
        <v>0</v>
      </c>
      <c r="J10" s="54"/>
      <c r="K10" s="54"/>
      <c r="O10" s="54"/>
      <c r="P10" s="54"/>
      <c r="Q10" s="54"/>
      <c r="R10" s="54"/>
    </row>
    <row r="11" spans="1:18" ht="14.25">
      <c r="A11" s="43" t="str">
        <f>HLOOKUP(INDICE!$F$2,Nombres!$C$3:$D$636,135,FALSE)</f>
        <v>Activos financieros a coste amortizado</v>
      </c>
      <c r="B11" s="44">
        <v>374495.626</v>
      </c>
      <c r="C11" s="44">
        <v>381967.28699999995</v>
      </c>
      <c r="D11" s="44">
        <v>363708.148</v>
      </c>
      <c r="E11" s="44">
        <v>367667.77999999997</v>
      </c>
      <c r="F11" s="44">
        <v>363753.935</v>
      </c>
      <c r="G11" s="44">
        <v>0</v>
      </c>
      <c r="H11" s="44">
        <v>0</v>
      </c>
      <c r="I11" s="44">
        <v>0</v>
      </c>
      <c r="J11" s="54"/>
      <c r="K11" s="54"/>
      <c r="O11" s="54"/>
      <c r="P11" s="54"/>
      <c r="Q11" s="54"/>
      <c r="R11" s="54"/>
    </row>
    <row r="12" spans="1:18" ht="14.25">
      <c r="A12" s="55" t="str">
        <f>HLOOKUP(INDICE!$F$2,Nombres!$C$3:$D$636,136,FALSE)</f>
        <v>. Préstamos y anticipos en bancos centrales  y entidades de crédito</v>
      </c>
      <c r="B12" s="56">
        <v>18820.734</v>
      </c>
      <c r="C12" s="56">
        <v>19583.765000000003</v>
      </c>
      <c r="D12" s="56">
        <v>18759.134000000002</v>
      </c>
      <c r="E12" s="56">
        <v>20784.075</v>
      </c>
      <c r="F12" s="56">
        <v>16963.208</v>
      </c>
      <c r="G12" s="56">
        <v>0</v>
      </c>
      <c r="H12" s="56">
        <v>0</v>
      </c>
      <c r="I12" s="56">
        <v>0</v>
      </c>
      <c r="J12" s="54"/>
      <c r="K12" s="54"/>
      <c r="O12" s="54"/>
      <c r="P12" s="54"/>
      <c r="Q12" s="54"/>
      <c r="R12" s="54"/>
    </row>
    <row r="13" spans="1:18" ht="14.25">
      <c r="A13" s="55" t="str">
        <f>HLOOKUP(INDICE!$F$2,Nombres!$C$3:$D$636,137,FALSE)</f>
        <v>. Préstamos y anticipos a la clientela</v>
      </c>
      <c r="B13" s="56">
        <v>321542.534</v>
      </c>
      <c r="C13" s="56">
        <v>326818.425</v>
      </c>
      <c r="D13" s="56">
        <v>309766.44800000003</v>
      </c>
      <c r="E13" s="56">
        <v>311146.959</v>
      </c>
      <c r="F13" s="56">
        <v>310683.014</v>
      </c>
      <c r="G13" s="56">
        <v>0</v>
      </c>
      <c r="H13" s="56">
        <v>0</v>
      </c>
      <c r="I13" s="56">
        <v>0</v>
      </c>
      <c r="J13" s="54"/>
      <c r="K13" s="54"/>
      <c r="O13" s="54"/>
      <c r="P13" s="54"/>
      <c r="Q13" s="54"/>
      <c r="R13" s="54"/>
    </row>
    <row r="14" spans="1:18" ht="14.25">
      <c r="A14" s="55" t="str">
        <f>HLOOKUP(INDICE!$F$2,Nombres!$C$3:$D$636,138,FALSE)</f>
        <v>. Valores representativos de deuda</v>
      </c>
      <c r="B14" s="56">
        <v>34132.358</v>
      </c>
      <c r="C14" s="56">
        <v>35565.097</v>
      </c>
      <c r="D14" s="56">
        <v>35182.566</v>
      </c>
      <c r="E14" s="56">
        <v>35736.746</v>
      </c>
      <c r="F14" s="56">
        <v>36107.713</v>
      </c>
      <c r="G14" s="56">
        <v>0</v>
      </c>
      <c r="H14" s="56">
        <v>0</v>
      </c>
      <c r="I14" s="56">
        <v>0</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4.25">
      <c r="A16" s="43" t="str">
        <f>HLOOKUP(INDICE!$F$2,Nombres!$C$3:$D$636,140,FALSE)</f>
        <v>Inversiones en negocios conjuntos y asociadas</v>
      </c>
      <c r="B16" s="44">
        <v>1439.709</v>
      </c>
      <c r="C16" s="44">
        <v>1366.363</v>
      </c>
      <c r="D16" s="44">
        <v>1240.676</v>
      </c>
      <c r="E16" s="44">
        <v>1436.547</v>
      </c>
      <c r="F16" s="44">
        <v>1416.136</v>
      </c>
      <c r="G16" s="44">
        <v>0</v>
      </c>
      <c r="H16" s="44">
        <v>0</v>
      </c>
      <c r="I16" s="44">
        <v>0</v>
      </c>
      <c r="J16" s="54"/>
      <c r="K16" s="54"/>
      <c r="O16" s="54"/>
      <c r="P16" s="54"/>
      <c r="Q16" s="54"/>
      <c r="R16" s="54"/>
    </row>
    <row r="17" spans="1:18" ht="14.25">
      <c r="A17" s="43" t="str">
        <f>HLOOKUP(INDICE!$F$2,Nombres!$C$3:$D$636,56,FALSE)</f>
        <v>Activos tangibles</v>
      </c>
      <c r="B17" s="44">
        <v>8424.149000000001</v>
      </c>
      <c r="C17" s="44">
        <v>8162.518</v>
      </c>
      <c r="D17" s="44">
        <v>7844.151</v>
      </c>
      <c r="E17" s="44">
        <v>7822.708</v>
      </c>
      <c r="F17" s="44">
        <v>7703.314</v>
      </c>
      <c r="G17" s="44">
        <v>0</v>
      </c>
      <c r="H17" s="44">
        <v>0</v>
      </c>
      <c r="I17" s="44">
        <v>0</v>
      </c>
      <c r="J17" s="54"/>
      <c r="K17" s="54"/>
      <c r="O17" s="54"/>
      <c r="P17" s="54"/>
      <c r="Q17" s="54"/>
      <c r="R17" s="54"/>
    </row>
    <row r="18" spans="1:18" ht="14.25">
      <c r="A18" s="43" t="str">
        <f>HLOOKUP(INDICE!$F$2,Nombres!$C$3:$D$636,141,FALSE)</f>
        <v>Activos Intangibles</v>
      </c>
      <c r="B18" s="44">
        <v>2517.857</v>
      </c>
      <c r="C18" s="44">
        <v>2487.336</v>
      </c>
      <c r="D18" s="44">
        <v>2326.124</v>
      </c>
      <c r="E18" s="44">
        <v>2344.518</v>
      </c>
      <c r="F18" s="44">
        <v>2297.155</v>
      </c>
      <c r="G18" s="44">
        <v>0</v>
      </c>
      <c r="H18" s="44">
        <v>0</v>
      </c>
      <c r="I18" s="44">
        <v>0</v>
      </c>
      <c r="J18" s="54"/>
      <c r="K18" s="54"/>
      <c r="O18" s="54"/>
      <c r="P18" s="54"/>
      <c r="Q18" s="54"/>
      <c r="R18" s="54"/>
    </row>
    <row r="19" spans="1:18" ht="14.25">
      <c r="A19" s="43" t="str">
        <f>HLOOKUP(INDICE!$F$2,Nombres!$C$3:$D$636,57,FALSE)</f>
        <v>Otros activos</v>
      </c>
      <c r="B19" s="44">
        <v>111796.15100000001</v>
      </c>
      <c r="C19" s="44">
        <v>115896.66300000003</v>
      </c>
      <c r="D19" s="44">
        <v>112494.408</v>
      </c>
      <c r="E19" s="44">
        <v>107372.624</v>
      </c>
      <c r="F19" s="44">
        <v>109164.539</v>
      </c>
      <c r="G19" s="44">
        <v>0</v>
      </c>
      <c r="H19" s="44">
        <v>0</v>
      </c>
      <c r="I19" s="44">
        <v>0</v>
      </c>
      <c r="J19" s="54"/>
      <c r="K19" s="54"/>
      <c r="O19" s="54"/>
      <c r="P19" s="54"/>
      <c r="Q19" s="54"/>
      <c r="R19" s="54"/>
    </row>
    <row r="20" spans="1:18" ht="14.25">
      <c r="A20" s="47" t="str">
        <f>HLOOKUP(INDICE!$F$2,Nombres!$C$3:$D$636,58,FALSE)</f>
        <v>Total activo / pasivo</v>
      </c>
      <c r="B20" s="47">
        <f aca="true" t="shared" si="0" ref="B20:I20">+SUM(B6:B11,B16:B19)</f>
        <v>730086.9739999999</v>
      </c>
      <c r="C20" s="47">
        <f t="shared" si="0"/>
        <v>752884.4670000001</v>
      </c>
      <c r="D20" s="47">
        <f t="shared" si="0"/>
        <v>725894.5909999998</v>
      </c>
      <c r="E20" s="47">
        <f t="shared" si="0"/>
        <v>736175.863</v>
      </c>
      <c r="F20" s="47">
        <f t="shared" si="0"/>
        <v>719705.2820000001</v>
      </c>
      <c r="G20" s="47">
        <f t="shared" si="0"/>
        <v>0</v>
      </c>
      <c r="H20" s="47">
        <f t="shared" si="0"/>
        <v>0</v>
      </c>
      <c r="I20" s="47">
        <f t="shared" si="0"/>
        <v>0</v>
      </c>
      <c r="J20" s="54"/>
      <c r="K20" s="54"/>
      <c r="O20" s="54"/>
      <c r="P20" s="54"/>
      <c r="Q20" s="54"/>
      <c r="R20" s="54"/>
    </row>
    <row r="21" spans="1:18" ht="14.25">
      <c r="A21" s="43" t="str">
        <f>HLOOKUP(INDICE!$F$2,Nombres!$C$3:$D$636,59,FALSE)</f>
        <v>Pasivos financieros mantenidos para negociar y designados a valor razonable con cambios en resultados</v>
      </c>
      <c r="B21" s="58">
        <v>112711.995</v>
      </c>
      <c r="C21" s="58">
        <v>107553.829</v>
      </c>
      <c r="D21" s="58">
        <v>93789.774</v>
      </c>
      <c r="E21" s="58">
        <v>86488.361</v>
      </c>
      <c r="F21" s="58">
        <v>81253.025</v>
      </c>
      <c r="G21" s="58">
        <v>0</v>
      </c>
      <c r="H21" s="58">
        <v>0</v>
      </c>
      <c r="I21" s="58">
        <v>0</v>
      </c>
      <c r="O21" s="54"/>
      <c r="P21" s="54"/>
      <c r="Q21" s="54"/>
      <c r="R21" s="54"/>
    </row>
    <row r="22" spans="1:18" ht="14.25">
      <c r="A22" s="43" t="str">
        <f>HLOOKUP(INDICE!$F$2,Nombres!$C$3:$D$636,142,FALSE)</f>
        <v>Pasivos financieros designados a valor razonable con cambios en resultados</v>
      </c>
      <c r="B22" s="58">
        <v>8641.245</v>
      </c>
      <c r="C22" s="58">
        <v>9203.246</v>
      </c>
      <c r="D22" s="58">
        <v>9381.738</v>
      </c>
      <c r="E22" s="58">
        <v>10049.991</v>
      </c>
      <c r="F22" s="58">
        <v>9713.58</v>
      </c>
      <c r="G22" s="58">
        <v>0</v>
      </c>
      <c r="H22" s="58">
        <v>0</v>
      </c>
      <c r="I22" s="58">
        <v>0</v>
      </c>
      <c r="J22" s="59"/>
      <c r="K22" s="59"/>
      <c r="L22" s="59"/>
      <c r="M22" s="59"/>
      <c r="N22" s="59"/>
      <c r="O22" s="54"/>
      <c r="P22" s="54"/>
      <c r="Q22" s="54"/>
      <c r="R22" s="54"/>
    </row>
    <row r="23" spans="1:18" ht="14.25">
      <c r="A23" s="43" t="str">
        <f>HLOOKUP(INDICE!$F$2,Nombres!$C$3:$D$636,143,FALSE)</f>
        <v>Pasivos financieros a coste amortizado</v>
      </c>
      <c r="B23" s="58">
        <v>458852.044</v>
      </c>
      <c r="C23" s="58">
        <v>479905.163</v>
      </c>
      <c r="D23" s="58">
        <v>470763.902</v>
      </c>
      <c r="E23" s="58">
        <v>490605.732</v>
      </c>
      <c r="F23" s="58">
        <v>475812.855</v>
      </c>
      <c r="G23" s="58">
        <v>0</v>
      </c>
      <c r="H23" s="58">
        <v>0</v>
      </c>
      <c r="I23" s="58">
        <v>0</v>
      </c>
      <c r="J23" s="59"/>
      <c r="K23" s="59"/>
      <c r="L23" s="59"/>
      <c r="M23" s="59"/>
      <c r="N23" s="59"/>
      <c r="O23" s="54"/>
      <c r="P23" s="54"/>
      <c r="Q23" s="54"/>
      <c r="R23" s="54"/>
    </row>
    <row r="24" spans="1:18" ht="14.25">
      <c r="A24" s="55" t="str">
        <f>HLOOKUP(INDICE!$F$2,Nombres!$C$3:$D$636,60,FALSE)</f>
        <v>Depósitos de bancos centrales y entidades de crédito</v>
      </c>
      <c r="B24" s="58">
        <v>65566.03899999999</v>
      </c>
      <c r="C24" s="58">
        <v>73709.45100000002</v>
      </c>
      <c r="D24" s="58">
        <v>67834.44</v>
      </c>
      <c r="E24" s="58">
        <v>72806.322</v>
      </c>
      <c r="F24" s="58">
        <v>74123.35800000001</v>
      </c>
      <c r="G24" s="58">
        <v>0</v>
      </c>
      <c r="H24" s="58">
        <v>0</v>
      </c>
      <c r="I24" s="58">
        <v>0</v>
      </c>
      <c r="O24" s="54"/>
      <c r="P24" s="54"/>
      <c r="Q24" s="54"/>
      <c r="R24" s="54"/>
    </row>
    <row r="25" spans="1:18" ht="14.25">
      <c r="A25" s="55" t="str">
        <f>HLOOKUP(INDICE!$F$2,Nombres!$C$3:$D$636,61,FALSE)</f>
        <v>Depósitos de la clientela</v>
      </c>
      <c r="B25" s="58">
        <v>318347.133</v>
      </c>
      <c r="C25" s="58">
        <v>331350.86</v>
      </c>
      <c r="D25" s="58">
        <v>326447.1</v>
      </c>
      <c r="E25" s="58">
        <v>342661.067</v>
      </c>
      <c r="F25" s="58">
        <v>331063.659</v>
      </c>
      <c r="G25" s="58">
        <v>0</v>
      </c>
      <c r="H25" s="58">
        <v>0</v>
      </c>
      <c r="I25" s="58">
        <v>0</v>
      </c>
      <c r="O25" s="54"/>
      <c r="P25" s="54"/>
      <c r="Q25" s="54"/>
      <c r="R25" s="54"/>
    </row>
    <row r="26" spans="1:18" ht="14.25">
      <c r="A26" s="55" t="str">
        <f>HLOOKUP(INDICE!$F$2,Nombres!$C$3:$D$636,62,FALSE)</f>
        <v>Valores representativos de deuda emitidos</v>
      </c>
      <c r="B26" s="58">
        <v>61588.140999999996</v>
      </c>
      <c r="C26" s="58">
        <v>61359.477999999996</v>
      </c>
      <c r="D26" s="58">
        <v>64092.18800000001</v>
      </c>
      <c r="E26" s="58">
        <v>61779.985</v>
      </c>
      <c r="F26" s="58">
        <v>57417.941</v>
      </c>
      <c r="G26" s="58">
        <v>0</v>
      </c>
      <c r="H26" s="58">
        <v>0</v>
      </c>
      <c r="I26" s="58">
        <v>0</v>
      </c>
      <c r="O26" s="54"/>
      <c r="P26" s="54"/>
      <c r="Q26" s="54"/>
      <c r="R26" s="54"/>
    </row>
    <row r="27" spans="1:18" ht="14.25">
      <c r="A27" s="55" t="str">
        <f>HLOOKUP(INDICE!$F$2,Nombres!$C$3:$D$636,144,FALSE)</f>
        <v>. Otros pasivos financieros</v>
      </c>
      <c r="B27" s="58">
        <v>13350.731</v>
      </c>
      <c r="C27" s="58">
        <v>13485.374</v>
      </c>
      <c r="D27" s="58">
        <v>12390.174</v>
      </c>
      <c r="E27" s="58">
        <v>13358.358</v>
      </c>
      <c r="F27" s="58">
        <v>13207.897</v>
      </c>
      <c r="G27" s="58">
        <v>0</v>
      </c>
      <c r="H27" s="58">
        <v>0</v>
      </c>
      <c r="I27" s="58">
        <v>0</v>
      </c>
      <c r="O27" s="54"/>
      <c r="P27" s="54"/>
      <c r="Q27" s="54"/>
      <c r="R27" s="54"/>
    </row>
    <row r="28" spans="1:18" ht="14.25">
      <c r="A28" s="43" t="str">
        <f>HLOOKUP(INDICE!$F$2,Nombres!$C$3:$D$636,145,FALSE)</f>
        <v>Pasivos amparados por contratos de seguros o reaseguro</v>
      </c>
      <c r="B28" s="58">
        <v>9593.095</v>
      </c>
      <c r="C28" s="58">
        <v>9462.217</v>
      </c>
      <c r="D28" s="58">
        <v>9504.696</v>
      </c>
      <c r="E28" s="58">
        <v>9951.33</v>
      </c>
      <c r="F28" s="58">
        <v>10325.477</v>
      </c>
      <c r="G28" s="58">
        <v>0</v>
      </c>
      <c r="H28" s="58">
        <v>0</v>
      </c>
      <c r="I28" s="58">
        <v>0</v>
      </c>
      <c r="O28" s="54"/>
      <c r="P28" s="54"/>
      <c r="Q28" s="54"/>
      <c r="R28" s="54"/>
    </row>
    <row r="29" spans="1:18" ht="14.25">
      <c r="A29" s="43" t="str">
        <f>HLOOKUP(INDICE!$F$2,Nombres!$C$3:$D$636,63,FALSE)</f>
        <v>Otros pasivos</v>
      </c>
      <c r="B29" s="58">
        <v>91114.35</v>
      </c>
      <c r="C29" s="58">
        <v>97205.195</v>
      </c>
      <c r="D29" s="58">
        <v>93932.95799999998</v>
      </c>
      <c r="E29" s="58">
        <v>89060.619</v>
      </c>
      <c r="F29" s="58">
        <v>91889.053</v>
      </c>
      <c r="G29" s="58">
        <v>0</v>
      </c>
      <c r="H29" s="58">
        <v>0</v>
      </c>
      <c r="I29" s="58">
        <v>0</v>
      </c>
      <c r="O29" s="54"/>
      <c r="P29" s="54"/>
      <c r="Q29" s="54"/>
      <c r="R29" s="54"/>
    </row>
    <row r="30" spans="1:18" ht="14.25">
      <c r="A30" s="41" t="str">
        <f>HLOOKUP(INDICE!$F$2,Nombres!$C$3:$D$636,146,FALSE)</f>
        <v>Total pasivo</v>
      </c>
      <c r="B30" s="60">
        <f aca="true" t="shared" si="1" ref="B30:I30">+SUM(B21:B23,B28:B29)</f>
        <v>680912.7289999999</v>
      </c>
      <c r="C30" s="60">
        <f t="shared" si="1"/>
        <v>703329.6499999999</v>
      </c>
      <c r="D30" s="60">
        <f t="shared" si="1"/>
        <v>677373.068</v>
      </c>
      <c r="E30" s="60">
        <f t="shared" si="1"/>
        <v>686156.033</v>
      </c>
      <c r="F30" s="60">
        <f t="shared" si="1"/>
        <v>668993.9899999999</v>
      </c>
      <c r="G30" s="60">
        <f t="shared" si="1"/>
        <v>0</v>
      </c>
      <c r="H30" s="60">
        <f t="shared" si="1"/>
        <v>0</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5988.998</v>
      </c>
      <c r="C32" s="58">
        <v>5835.816</v>
      </c>
      <c r="D32" s="58">
        <v>5404.432</v>
      </c>
      <c r="E32" s="58">
        <v>5471.443</v>
      </c>
      <c r="F32" s="58">
        <v>5395.961</v>
      </c>
      <c r="G32" s="58">
        <v>0</v>
      </c>
      <c r="H32" s="58">
        <v>0</v>
      </c>
      <c r="I32" s="58">
        <v>0</v>
      </c>
      <c r="O32" s="54"/>
      <c r="P32" s="54"/>
      <c r="Q32" s="54"/>
      <c r="R32" s="54"/>
    </row>
    <row r="33" spans="1:18" ht="15" customHeight="1" hidden="1">
      <c r="A33" s="43" t="str">
        <f>HLOOKUP(INDICE!$F$2,Nombres!$C$3:$D$636,148,FALSE)</f>
        <v>Otro resultado global acumulado</v>
      </c>
      <c r="B33" s="58">
        <v>-12804.735</v>
      </c>
      <c r="C33" s="58">
        <v>-12822.452</v>
      </c>
      <c r="D33" s="58">
        <v>-14552.254</v>
      </c>
      <c r="E33" s="58">
        <v>-14355.727</v>
      </c>
      <c r="F33" s="58">
        <v>-14718.023</v>
      </c>
      <c r="G33" s="58">
        <v>0</v>
      </c>
      <c r="H33" s="58">
        <v>0</v>
      </c>
      <c r="I33" s="58">
        <v>0</v>
      </c>
      <c r="O33" s="54"/>
      <c r="P33" s="54"/>
      <c r="Q33" s="54"/>
      <c r="R33" s="54"/>
    </row>
    <row r="34" spans="1:18" ht="15" customHeight="1" hidden="1">
      <c r="A34" s="43" t="str">
        <f>HLOOKUP(INDICE!$F$2,Nombres!$C$3:$D$636,149,FALSE)</f>
        <v>Fondos propios</v>
      </c>
      <c r="B34" s="58">
        <v>55989.982</v>
      </c>
      <c r="C34" s="58">
        <v>56541.453</v>
      </c>
      <c r="D34" s="58">
        <v>57669.345</v>
      </c>
      <c r="E34" s="58">
        <v>58904.114</v>
      </c>
      <c r="F34" s="58">
        <v>60033.351</v>
      </c>
      <c r="G34" s="58">
        <v>0</v>
      </c>
      <c r="H34" s="58">
        <v>0</v>
      </c>
      <c r="I34" s="58">
        <v>0</v>
      </c>
      <c r="O34" s="54"/>
      <c r="P34" s="54"/>
      <c r="Q34" s="54"/>
      <c r="R34" s="54"/>
    </row>
    <row r="35" spans="1:18" ht="14.25">
      <c r="A35" s="41" t="str">
        <f>HLOOKUP(INDICE!$F$2,Nombres!$C$3:$D$636,150,FALSE)</f>
        <v>Patrimonio neto</v>
      </c>
      <c r="B35" s="60">
        <f aca="true" t="shared" si="2" ref="B35:I35">+B32+B33+B34</f>
        <v>49174.245</v>
      </c>
      <c r="C35" s="60">
        <f t="shared" si="2"/>
        <v>49554.817</v>
      </c>
      <c r="D35" s="60">
        <f t="shared" si="2"/>
        <v>48521.523</v>
      </c>
      <c r="E35" s="60">
        <f t="shared" si="2"/>
        <v>50019.83</v>
      </c>
      <c r="F35" s="60">
        <f t="shared" si="2"/>
        <v>50711.289000000004</v>
      </c>
      <c r="G35" s="60">
        <f t="shared" si="2"/>
        <v>0</v>
      </c>
      <c r="H35" s="60">
        <f t="shared" si="2"/>
        <v>0</v>
      </c>
      <c r="I35" s="60">
        <f t="shared" si="2"/>
        <v>0</v>
      </c>
      <c r="O35" s="54"/>
      <c r="P35" s="54"/>
      <c r="Q35" s="54"/>
      <c r="R35" s="54"/>
    </row>
    <row r="36" spans="1:18" ht="14.25">
      <c r="A36" s="43"/>
      <c r="B36" s="58"/>
      <c r="C36" s="58"/>
      <c r="D36" s="58"/>
      <c r="E36" s="58"/>
      <c r="F36" s="58"/>
      <c r="G36" s="58"/>
      <c r="H36" s="58"/>
      <c r="I36" s="58"/>
      <c r="O36" s="54"/>
      <c r="P36" s="54"/>
      <c r="Q36" s="54"/>
      <c r="R36" s="54"/>
    </row>
    <row r="37" spans="1:18" ht="14.25">
      <c r="A37" s="47" t="str">
        <f>HLOOKUP(INDICE!$F$2,Nombres!$C$3:$D$636,151,FALSE)</f>
        <v>Total patrimonio neto y pasivo</v>
      </c>
      <c r="B37" s="47">
        <f>+B20</f>
        <v>730086.9739999999</v>
      </c>
      <c r="C37" s="47">
        <f aca="true" t="shared" si="3" ref="C37:I37">+C20</f>
        <v>752884.4670000001</v>
      </c>
      <c r="D37" s="47">
        <f t="shared" si="3"/>
        <v>725894.5909999998</v>
      </c>
      <c r="E37" s="47">
        <f t="shared" si="3"/>
        <v>736175.863</v>
      </c>
      <c r="F37" s="47">
        <f t="shared" si="3"/>
        <v>719705.2820000001</v>
      </c>
      <c r="G37" s="47">
        <f t="shared" si="3"/>
        <v>0</v>
      </c>
      <c r="H37" s="47">
        <f t="shared" si="3"/>
        <v>0</v>
      </c>
      <c r="I37" s="47">
        <f t="shared" si="3"/>
        <v>0</v>
      </c>
      <c r="O37" s="54"/>
      <c r="P37" s="54"/>
      <c r="Q37" s="54"/>
      <c r="R37" s="54"/>
    </row>
    <row r="38" spans="1:9" ht="14.2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4.2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05" t="str">
        <f>HLOOKUP(INDICE!$F$2,Nombres!$C$3:$D$636,297,FALSE)</f>
        <v>Cifras considerando la clasificación de las sociedades incluidas en el acuerdo de venta suscrito con PNC y Paraguay como Activos y Pasivos No corrientes en Venta.</v>
      </c>
      <c r="B40" s="305"/>
      <c r="C40" s="305"/>
      <c r="D40" s="305"/>
      <c r="E40" s="305"/>
      <c r="F40" s="305"/>
      <c r="G40" s="305"/>
      <c r="H40" s="305"/>
      <c r="I40" s="305"/>
    </row>
    <row r="41" spans="1:9" ht="14.25">
      <c r="A41" s="62"/>
      <c r="B41" s="58"/>
      <c r="C41" s="58"/>
      <c r="D41" s="58"/>
      <c r="E41" s="58"/>
      <c r="F41" s="58"/>
      <c r="G41" s="58"/>
      <c r="H41" s="58"/>
      <c r="I41" s="58"/>
    </row>
    <row r="42" spans="1:9" ht="14.25">
      <c r="A42" s="43"/>
      <c r="B42" s="58"/>
      <c r="C42" s="58"/>
      <c r="D42" s="58"/>
      <c r="E42" s="58"/>
      <c r="F42" s="58"/>
      <c r="G42" s="58"/>
      <c r="H42" s="58"/>
      <c r="I42" s="58"/>
    </row>
    <row r="43" spans="1:9" ht="14.25">
      <c r="A43" s="62"/>
      <c r="B43" s="291">
        <v>-0.0010000501060858369</v>
      </c>
      <c r="C43" s="291">
        <v>-9.988434612751007E-08</v>
      </c>
      <c r="D43" s="291">
        <v>-1.0128132998943329E-08</v>
      </c>
      <c r="E43" s="291">
        <v>-7.008202373981476E-08</v>
      </c>
      <c r="F43" s="291">
        <v>4.98257577419281E-08</v>
      </c>
      <c r="G43" s="291">
        <v>0</v>
      </c>
      <c r="H43" s="291">
        <v>0</v>
      </c>
      <c r="I43" s="291">
        <v>0</v>
      </c>
    </row>
    <row r="44" ht="14.25">
      <c r="B44" s="54"/>
    </row>
    <row r="46" ht="14.25">
      <c r="B46" s="54"/>
    </row>
    <row r="1000" ht="14.25">
      <c r="A1000" s="31" t="s">
        <v>396</v>
      </c>
    </row>
  </sheetData>
  <sheetProtection/>
  <mergeCells count="1">
    <mergeCell ref="A40:I40"/>
  </mergeCells>
  <conditionalFormatting sqref="F39:I39">
    <cfRule type="cellIs" priority="11" dxfId="115" operator="notBetween">
      <formula>0.5</formula>
      <formula>-0.5</formula>
    </cfRule>
  </conditionalFormatting>
  <conditionalFormatting sqref="I38">
    <cfRule type="cellIs" priority="10" dxfId="61" operator="notBetween">
      <formula>0.001</formula>
      <formula>-0.001</formula>
    </cfRule>
  </conditionalFormatting>
  <conditionalFormatting sqref="H38">
    <cfRule type="cellIs" priority="9" dxfId="61" operator="notBetween">
      <formula>0.001</formula>
      <formula>-0.001</formula>
    </cfRule>
  </conditionalFormatting>
  <conditionalFormatting sqref="G38">
    <cfRule type="cellIs" priority="8" dxfId="61" operator="notBetween">
      <formula>0.001</formula>
      <formula>-0.001</formula>
    </cfRule>
  </conditionalFormatting>
  <conditionalFormatting sqref="F38">
    <cfRule type="cellIs" priority="7" dxfId="61" operator="notBetween">
      <formula>0.001</formula>
      <formula>-0.001</formula>
    </cfRule>
  </conditionalFormatting>
  <conditionalFormatting sqref="B39:E39">
    <cfRule type="cellIs" priority="6" dxfId="115" operator="notBetween">
      <formula>0.5</formula>
      <formula>-0.5</formula>
    </cfRule>
  </conditionalFormatting>
  <conditionalFormatting sqref="E38">
    <cfRule type="cellIs" priority="5" dxfId="61" operator="notBetween">
      <formula>0.001</formula>
      <formula>-0.001</formula>
    </cfRule>
  </conditionalFormatting>
  <conditionalFormatting sqref="D38">
    <cfRule type="cellIs" priority="4" dxfId="61" operator="notBetween">
      <formula>0.001</formula>
      <formula>-0.001</formula>
    </cfRule>
  </conditionalFormatting>
  <conditionalFormatting sqref="C38">
    <cfRule type="cellIs" priority="3" dxfId="61" operator="notBetween">
      <formula>0.001</formula>
      <formula>-0.001</formula>
    </cfRule>
  </conditionalFormatting>
  <conditionalFormatting sqref="B38">
    <cfRule type="cellIs" priority="2" dxfId="61" operator="notBetween">
      <formula>0.001</formula>
      <formula>-0.001</formula>
    </cfRule>
  </conditionalFormatting>
  <conditionalFormatting sqref="B43:I43">
    <cfRule type="cellIs" priority="1" dxfId="115"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P18" sqref="P18"/>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v>2020</v>
      </c>
      <c r="C6" s="306"/>
      <c r="D6" s="306"/>
      <c r="E6" s="307"/>
      <c r="F6" s="306">
        <v>2021</v>
      </c>
      <c r="G6" s="306"/>
      <c r="H6" s="306"/>
      <c r="I6" s="306"/>
    </row>
    <row r="7" spans="1:9" ht="14.2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4.25">
      <c r="A8" s="41" t="str">
        <f>HLOOKUP(INDICE!$F$2,Nombres!$C$3:$D$636,33,FALSE)</f>
        <v>Margen de intereses</v>
      </c>
      <c r="B8" s="41">
        <v>877.8096668000001</v>
      </c>
      <c r="C8" s="41">
        <v>923.44822285</v>
      </c>
      <c r="D8" s="41">
        <v>884.9603164399999</v>
      </c>
      <c r="E8" s="42">
        <v>880.15234159</v>
      </c>
      <c r="F8" s="50">
        <v>866.61565699</v>
      </c>
      <c r="G8" s="50">
        <v>0</v>
      </c>
      <c r="H8" s="50">
        <v>0</v>
      </c>
      <c r="I8" s="50">
        <v>0</v>
      </c>
    </row>
    <row r="9" spans="1:9" ht="14.25">
      <c r="A9" s="43" t="str">
        <f>HLOOKUP(INDICE!$F$2,Nombres!$C$3:$D$636,34,FALSE)</f>
        <v>Comisiones netas</v>
      </c>
      <c r="B9" s="44">
        <v>468.96759342999997</v>
      </c>
      <c r="C9" s="44">
        <v>439.29343689000007</v>
      </c>
      <c r="D9" s="44">
        <v>440.73397405000003</v>
      </c>
      <c r="E9" s="45">
        <v>452.7029224899999</v>
      </c>
      <c r="F9" s="44">
        <v>507.05175289</v>
      </c>
      <c r="G9" s="44">
        <v>0</v>
      </c>
      <c r="H9" s="44">
        <v>0</v>
      </c>
      <c r="I9" s="44">
        <v>0</v>
      </c>
    </row>
    <row r="10" spans="1:9" ht="14.25">
      <c r="A10" s="43" t="str">
        <f>HLOOKUP(INDICE!$F$2,Nombres!$C$3:$D$636,35,FALSE)</f>
        <v>Resultados de operaciones financieras</v>
      </c>
      <c r="B10" s="44">
        <v>60.64055025000001</v>
      </c>
      <c r="C10" s="44">
        <v>104.47637606999999</v>
      </c>
      <c r="D10" s="44">
        <v>51.46485344999999</v>
      </c>
      <c r="E10" s="45">
        <v>-42.81551508999997</v>
      </c>
      <c r="F10" s="44">
        <v>201.26180053</v>
      </c>
      <c r="G10" s="44">
        <v>0</v>
      </c>
      <c r="H10" s="44">
        <v>0</v>
      </c>
      <c r="I10" s="44">
        <v>0</v>
      </c>
    </row>
    <row r="11" spans="1:9" ht="14.25">
      <c r="A11" s="43" t="str">
        <f>HLOOKUP(INDICE!$F$2,Nombres!$C$3:$D$636,36,FALSE)</f>
        <v>Otros ingresos y cargas de explotación</v>
      </c>
      <c r="B11" s="44">
        <v>103.48548299</v>
      </c>
      <c r="C11" s="44">
        <v>-69.52901882999987</v>
      </c>
      <c r="D11" s="44">
        <v>107.36149530999987</v>
      </c>
      <c r="E11" s="45">
        <v>-115.96233868999991</v>
      </c>
      <c r="F11" s="44">
        <v>70.82128579</v>
      </c>
      <c r="G11" s="44">
        <v>-1E-05</v>
      </c>
      <c r="H11" s="44">
        <v>0</v>
      </c>
      <c r="I11" s="44">
        <v>0</v>
      </c>
    </row>
    <row r="12" spans="1:9" ht="14.25">
      <c r="A12" s="41" t="str">
        <f>HLOOKUP(INDICE!$F$2,Nombres!$C$3:$D$636,37,FALSE)</f>
        <v>Margen bruto</v>
      </c>
      <c r="B12" s="41">
        <f>+SUM(B8:B11)</f>
        <v>1510.90329347</v>
      </c>
      <c r="C12" s="41">
        <f aca="true" t="shared" si="0" ref="C12:I12">+SUM(C8:C11)</f>
        <v>1397.6890169800004</v>
      </c>
      <c r="D12" s="41">
        <f t="shared" si="0"/>
        <v>1484.5206392499997</v>
      </c>
      <c r="E12" s="42">
        <f t="shared" si="0"/>
        <v>1174.0774102999999</v>
      </c>
      <c r="F12" s="50">
        <f t="shared" si="0"/>
        <v>1645.7504962</v>
      </c>
      <c r="G12" s="50">
        <f t="shared" si="0"/>
        <v>-1E-05</v>
      </c>
      <c r="H12" s="50">
        <f t="shared" si="0"/>
        <v>0</v>
      </c>
      <c r="I12" s="50">
        <f t="shared" si="0"/>
        <v>0</v>
      </c>
    </row>
    <row r="13" spans="1:9" ht="14.25">
      <c r="A13" s="43" t="str">
        <f>HLOOKUP(INDICE!$F$2,Nombres!$C$3:$D$636,38,FALSE)</f>
        <v>Gastos de explotación</v>
      </c>
      <c r="B13" s="44">
        <v>-779.94065571</v>
      </c>
      <c r="C13" s="44">
        <v>-752.91281476</v>
      </c>
      <c r="D13" s="44">
        <v>-750.09928035</v>
      </c>
      <c r="E13" s="45">
        <v>-756.20599251</v>
      </c>
      <c r="F13" s="44">
        <v>-752.83664029</v>
      </c>
      <c r="G13" s="44">
        <v>0</v>
      </c>
      <c r="H13" s="44">
        <v>0</v>
      </c>
      <c r="I13" s="44">
        <v>0</v>
      </c>
    </row>
    <row r="14" spans="1:9" ht="14.25">
      <c r="A14" s="43" t="str">
        <f>HLOOKUP(INDICE!$F$2,Nombres!$C$3:$D$636,39,FALSE)</f>
        <v>  Gastos de administración</v>
      </c>
      <c r="B14" s="44">
        <v>-664.88033622</v>
      </c>
      <c r="C14" s="44">
        <v>-637.6084672700001</v>
      </c>
      <c r="D14" s="44">
        <v>-634.2195968599999</v>
      </c>
      <c r="E14" s="45">
        <v>-642.82477497</v>
      </c>
      <c r="F14" s="44">
        <v>-642.73646265</v>
      </c>
      <c r="G14" s="44">
        <v>0</v>
      </c>
      <c r="H14" s="44">
        <v>0</v>
      </c>
      <c r="I14" s="44">
        <v>0</v>
      </c>
    </row>
    <row r="15" spans="1:9" ht="14.25">
      <c r="A15" s="46" t="str">
        <f>HLOOKUP(INDICE!$F$2,Nombres!$C$3:$D$636,40,FALSE)</f>
        <v>  Gastos de personal</v>
      </c>
      <c r="B15" s="44">
        <v>-440.09057207000006</v>
      </c>
      <c r="C15" s="44">
        <v>-425.54149299999995</v>
      </c>
      <c r="D15" s="44">
        <v>-425.16207999999995</v>
      </c>
      <c r="E15" s="45">
        <v>-447.26262397000005</v>
      </c>
      <c r="F15" s="44">
        <v>-427.85188208</v>
      </c>
      <c r="G15" s="44">
        <v>0</v>
      </c>
      <c r="H15" s="44">
        <v>0</v>
      </c>
      <c r="I15" s="44">
        <v>0</v>
      </c>
    </row>
    <row r="16" spans="1:9" ht="14.25">
      <c r="A16" s="46" t="str">
        <f>HLOOKUP(INDICE!$F$2,Nombres!$C$3:$D$636,41,FALSE)</f>
        <v>  Otros gastos de administración</v>
      </c>
      <c r="B16" s="44">
        <v>-224.78976415</v>
      </c>
      <c r="C16" s="44">
        <v>-212.06697426999997</v>
      </c>
      <c r="D16" s="44">
        <v>-209.05751686</v>
      </c>
      <c r="E16" s="45">
        <v>-195.56215099999994</v>
      </c>
      <c r="F16" s="44">
        <v>-214.88458057000003</v>
      </c>
      <c r="G16" s="44">
        <v>0</v>
      </c>
      <c r="H16" s="44">
        <v>0</v>
      </c>
      <c r="I16" s="44">
        <v>0</v>
      </c>
    </row>
    <row r="17" spans="1:9" ht="14.25">
      <c r="A17" s="43" t="str">
        <f>HLOOKUP(INDICE!$F$2,Nombres!$C$3:$D$636,42,FALSE)</f>
        <v>  Amortización</v>
      </c>
      <c r="B17" s="44">
        <v>-115.06031949</v>
      </c>
      <c r="C17" s="44">
        <v>-115.30434749000003</v>
      </c>
      <c r="D17" s="44">
        <v>-115.87968349</v>
      </c>
      <c r="E17" s="45">
        <v>-113.38121753999998</v>
      </c>
      <c r="F17" s="44">
        <v>-110.10017764</v>
      </c>
      <c r="G17" s="44">
        <v>0</v>
      </c>
      <c r="H17" s="44">
        <v>0</v>
      </c>
      <c r="I17" s="44">
        <v>0</v>
      </c>
    </row>
    <row r="18" spans="1:9" ht="14.25">
      <c r="A18" s="41" t="str">
        <f>HLOOKUP(INDICE!$F$2,Nombres!$C$3:$D$636,43,FALSE)</f>
        <v>Margen neto</v>
      </c>
      <c r="B18" s="41">
        <f>+B12+B13</f>
        <v>730.9626377600001</v>
      </c>
      <c r="C18" s="41">
        <f aca="true" t="shared" si="1" ref="C18:I18">+C12+C13</f>
        <v>644.7762022200004</v>
      </c>
      <c r="D18" s="41">
        <f t="shared" si="1"/>
        <v>734.4213588999997</v>
      </c>
      <c r="E18" s="42">
        <f t="shared" si="1"/>
        <v>417.8714177899999</v>
      </c>
      <c r="F18" s="50">
        <f t="shared" si="1"/>
        <v>892.91385591</v>
      </c>
      <c r="G18" s="50">
        <f t="shared" si="1"/>
        <v>-1E-05</v>
      </c>
      <c r="H18" s="50">
        <f t="shared" si="1"/>
        <v>0</v>
      </c>
      <c r="I18" s="50">
        <f t="shared" si="1"/>
        <v>0</v>
      </c>
    </row>
    <row r="19" spans="1:9" ht="14.25">
      <c r="A19" s="43" t="str">
        <f>HLOOKUP(INDICE!$F$2,Nombres!$C$3:$D$636,44,FALSE)</f>
        <v>Deterioro de activos financieros no valorados a valor razonable con cambios en resultados</v>
      </c>
      <c r="B19" s="44">
        <v>-659.9339739100001</v>
      </c>
      <c r="C19" s="44">
        <v>-222.67384441999994</v>
      </c>
      <c r="D19" s="44">
        <v>-192.35347537</v>
      </c>
      <c r="E19" s="45">
        <v>-92.34482373000003</v>
      </c>
      <c r="F19" s="44">
        <v>-185.08454727999998</v>
      </c>
      <c r="G19" s="44">
        <v>0</v>
      </c>
      <c r="H19" s="44">
        <v>0</v>
      </c>
      <c r="I19" s="44">
        <v>0</v>
      </c>
    </row>
    <row r="20" spans="1:9" ht="14.25">
      <c r="A20" s="43" t="str">
        <f>HLOOKUP(INDICE!$F$2,Nombres!$C$3:$D$636,45,FALSE)</f>
        <v>Provisiones o reversión de provisiones y otros resultados</v>
      </c>
      <c r="B20" s="44">
        <v>-265.03520912</v>
      </c>
      <c r="C20" s="44">
        <v>-100.13329746999999</v>
      </c>
      <c r="D20" s="44">
        <v>-64.80930900000001</v>
      </c>
      <c r="E20" s="45">
        <v>-107.97342595000003</v>
      </c>
      <c r="F20" s="44">
        <v>-185.52941320999997</v>
      </c>
      <c r="G20" s="44">
        <v>0</v>
      </c>
      <c r="H20" s="44">
        <v>0</v>
      </c>
      <c r="I20" s="44">
        <v>0</v>
      </c>
    </row>
    <row r="21" spans="1:9" ht="14.25">
      <c r="A21" s="41" t="str">
        <f>HLOOKUP(INDICE!$F$2,Nombres!$C$3:$D$636,46,FALSE)</f>
        <v>Resultado antes de impuestos</v>
      </c>
      <c r="B21" s="41">
        <f>+B18+B19+B20</f>
        <v>-194.00654526999995</v>
      </c>
      <c r="C21" s="41">
        <f aca="true" t="shared" si="2" ref="C21:I21">+C18+C19+C20</f>
        <v>321.9690603300005</v>
      </c>
      <c r="D21" s="41">
        <f t="shared" si="2"/>
        <v>477.2585745299998</v>
      </c>
      <c r="E21" s="42">
        <f t="shared" si="2"/>
        <v>217.55316810999983</v>
      </c>
      <c r="F21" s="50">
        <f t="shared" si="2"/>
        <v>522.29989542</v>
      </c>
      <c r="G21" s="50">
        <f t="shared" si="2"/>
        <v>-1E-05</v>
      </c>
      <c r="H21" s="50">
        <f t="shared" si="2"/>
        <v>0</v>
      </c>
      <c r="I21" s="50">
        <f t="shared" si="2"/>
        <v>0</v>
      </c>
    </row>
    <row r="22" spans="1:9" ht="14.25">
      <c r="A22" s="43" t="str">
        <f>HLOOKUP(INDICE!$F$2,Nombres!$C$3:$D$636,47,FALSE)</f>
        <v>Impuesto sobre beneficios</v>
      </c>
      <c r="B22" s="44">
        <v>64.73109778000003</v>
      </c>
      <c r="C22" s="44">
        <v>-83.10083947999999</v>
      </c>
      <c r="D22" s="44">
        <v>-115.65019870000002</v>
      </c>
      <c r="E22" s="45">
        <v>-33.29094359999999</v>
      </c>
      <c r="F22" s="44">
        <v>-140.48859756000002</v>
      </c>
      <c r="G22" s="44">
        <v>0</v>
      </c>
      <c r="H22" s="44">
        <v>0</v>
      </c>
      <c r="I22" s="44">
        <v>0</v>
      </c>
    </row>
    <row r="23" spans="1:9" ht="14.25">
      <c r="A23" s="41" t="str">
        <f>HLOOKUP(INDICE!$F$2,Nombres!$C$3:$D$636,48,FALSE)</f>
        <v>Resultado del ejercicio</v>
      </c>
      <c r="B23" s="41">
        <f>+B21+B22</f>
        <v>-129.27544748999992</v>
      </c>
      <c r="C23" s="41">
        <f aca="true" t="shared" si="3" ref="C23:I23">+C21+C22</f>
        <v>238.8682208500005</v>
      </c>
      <c r="D23" s="41">
        <f t="shared" si="3"/>
        <v>361.6083758299998</v>
      </c>
      <c r="E23" s="42">
        <f t="shared" si="3"/>
        <v>184.26222450999984</v>
      </c>
      <c r="F23" s="50">
        <f t="shared" si="3"/>
        <v>381.81129785999997</v>
      </c>
      <c r="G23" s="50">
        <f t="shared" si="3"/>
        <v>-1E-05</v>
      </c>
      <c r="H23" s="50">
        <f t="shared" si="3"/>
        <v>0</v>
      </c>
      <c r="I23" s="50">
        <f t="shared" si="3"/>
        <v>0</v>
      </c>
    </row>
    <row r="24" spans="1:9" ht="14.25">
      <c r="A24" s="43" t="str">
        <f>HLOOKUP(INDICE!$F$2,Nombres!$C$3:$D$636,49,FALSE)</f>
        <v>Minoritarios</v>
      </c>
      <c r="B24" s="44">
        <v>-1.19072057</v>
      </c>
      <c r="C24" s="44">
        <v>-0.77747563</v>
      </c>
      <c r="D24" s="44">
        <v>-0.5121923700000001</v>
      </c>
      <c r="E24" s="45">
        <v>-0.99890466</v>
      </c>
      <c r="F24" s="44">
        <v>-0.6923230899999999</v>
      </c>
      <c r="G24" s="44">
        <v>0</v>
      </c>
      <c r="H24" s="44">
        <v>0</v>
      </c>
      <c r="I24" s="44">
        <v>0</v>
      </c>
    </row>
    <row r="25" spans="1:9" ht="14.25">
      <c r="A25" s="47" t="str">
        <f>HLOOKUP(INDICE!$F$2,Nombres!$C$3:$D$636,50,FALSE)</f>
        <v>Resultado atribuido</v>
      </c>
      <c r="B25" s="47">
        <f>+B23+B24</f>
        <v>-130.46616805999992</v>
      </c>
      <c r="C25" s="47">
        <f aca="true" t="shared" si="4" ref="C25:I25">+C23+C24</f>
        <v>238.0907452200005</v>
      </c>
      <c r="D25" s="47">
        <f t="shared" si="4"/>
        <v>361.0961834599998</v>
      </c>
      <c r="E25" s="47">
        <f t="shared" si="4"/>
        <v>183.26331984999985</v>
      </c>
      <c r="F25" s="51">
        <f t="shared" si="4"/>
        <v>381.11897476999997</v>
      </c>
      <c r="G25" s="51">
        <f t="shared" si="4"/>
        <v>-1E-05</v>
      </c>
      <c r="H25" s="51">
        <f t="shared" si="4"/>
        <v>0</v>
      </c>
      <c r="I25" s="51">
        <f t="shared" si="4"/>
        <v>0</v>
      </c>
    </row>
    <row r="26" spans="1:9" ht="14.25">
      <c r="A26" s="62"/>
      <c r="B26" s="63">
        <v>0</v>
      </c>
      <c r="C26" s="63">
        <v>3.979039320256561E-13</v>
      </c>
      <c r="D26" s="63">
        <v>0</v>
      </c>
      <c r="E26" s="63">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v>43921</v>
      </c>
      <c r="C30" s="53">
        <v>44012</v>
      </c>
      <c r="D30" s="53">
        <v>44104</v>
      </c>
      <c r="E30" s="53">
        <v>44196</v>
      </c>
      <c r="F30" s="53">
        <v>44286</v>
      </c>
      <c r="G30" s="53">
        <v>44377</v>
      </c>
      <c r="H30" s="53">
        <v>44469</v>
      </c>
      <c r="I30" s="53">
        <v>44561</v>
      </c>
    </row>
    <row r="31" spans="1:11" ht="14.25">
      <c r="A31" s="43" t="str">
        <f>HLOOKUP(INDICE!$F$2,Nombres!$C$3:$D$636,52,FALSE)</f>
        <v>Efectivo, saldos en efectivo en bancos centrales y otros depósitos a la vista</v>
      </c>
      <c r="B31" s="44">
        <v>20051.933555</v>
      </c>
      <c r="C31" s="44">
        <v>32197.690152999996</v>
      </c>
      <c r="D31" s="44">
        <v>35204.241601</v>
      </c>
      <c r="E31" s="45">
        <v>38356.060688</v>
      </c>
      <c r="F31" s="44">
        <v>26118.438338</v>
      </c>
      <c r="G31" s="44">
        <v>0</v>
      </c>
      <c r="H31" s="44">
        <v>0</v>
      </c>
      <c r="I31" s="44">
        <v>0</v>
      </c>
      <c r="K31" s="54"/>
    </row>
    <row r="32" spans="1:11" ht="14.25">
      <c r="A32" s="43" t="str">
        <f>HLOOKUP(INDICE!$F$2,Nombres!$C$3:$D$636,53,FALSE)</f>
        <v>Activos financieros a valor razonable</v>
      </c>
      <c r="B32" s="58">
        <v>154599.47485821001</v>
      </c>
      <c r="C32" s="58">
        <v>146203.74026055</v>
      </c>
      <c r="D32" s="58">
        <v>137383.86937515</v>
      </c>
      <c r="E32" s="65">
        <v>137968.88566853</v>
      </c>
      <c r="F32" s="44">
        <v>135928.98560393</v>
      </c>
      <c r="G32" s="44">
        <v>0</v>
      </c>
      <c r="H32" s="44">
        <v>0</v>
      </c>
      <c r="I32" s="44">
        <v>0</v>
      </c>
      <c r="K32" s="54"/>
    </row>
    <row r="33" spans="1:11" ht="14.25">
      <c r="A33" s="43" t="str">
        <f>HLOOKUP(INDICE!$F$2,Nombres!$C$3:$D$636,54,FALSE)</f>
        <v>Activos financieros a coste amortizado</v>
      </c>
      <c r="B33" s="44">
        <v>198605.40127084</v>
      </c>
      <c r="C33" s="44">
        <v>203500.2349866</v>
      </c>
      <c r="D33" s="44">
        <v>195888.23964015</v>
      </c>
      <c r="E33" s="45">
        <v>198173.47336224996</v>
      </c>
      <c r="F33" s="44">
        <v>195620.58664919</v>
      </c>
      <c r="G33" s="44">
        <v>0</v>
      </c>
      <c r="H33" s="44">
        <v>0</v>
      </c>
      <c r="I33" s="44">
        <v>0</v>
      </c>
      <c r="K33" s="54"/>
    </row>
    <row r="34" spans="1:11" ht="14.25">
      <c r="A34" s="43" t="str">
        <f>HLOOKUP(INDICE!$F$2,Nombres!$C$3:$D$636,55,FALSE)</f>
        <v>    de los que préstamos y anticipos a la clientela</v>
      </c>
      <c r="B34" s="44">
        <v>168341.93295984002</v>
      </c>
      <c r="C34" s="44">
        <v>172026.2070996</v>
      </c>
      <c r="D34" s="44">
        <v>166475.30912015</v>
      </c>
      <c r="E34" s="45">
        <v>167997.72822425002</v>
      </c>
      <c r="F34" s="44">
        <v>166092.53404819002</v>
      </c>
      <c r="G34" s="44">
        <v>0</v>
      </c>
      <c r="H34" s="44">
        <v>0</v>
      </c>
      <c r="I34" s="44">
        <v>0</v>
      </c>
      <c r="K34" s="54"/>
    </row>
    <row r="35" spans="1:11" ht="14.25">
      <c r="A35" s="43" t="str">
        <f>HLOOKUP(INDICE!$F$2,Nombres!$C$3:$D$636,121,FALSE)</f>
        <v>Posiciones inter-áreas activo</v>
      </c>
      <c r="B35" s="44">
        <v>34578.665391549875</v>
      </c>
      <c r="C35" s="44">
        <v>31754.578453779977</v>
      </c>
      <c r="D35" s="44">
        <v>28237.7315211799</v>
      </c>
      <c r="E35" s="45">
        <v>26474.65149420011</v>
      </c>
      <c r="F35" s="44">
        <v>28484.757509959978</v>
      </c>
      <c r="G35" s="44">
        <v>0</v>
      </c>
      <c r="H35" s="44">
        <v>0</v>
      </c>
      <c r="I35" s="44">
        <v>0</v>
      </c>
      <c r="K35" s="54"/>
    </row>
    <row r="36" spans="1:11" ht="14.25">
      <c r="A36" s="43" t="str">
        <f>HLOOKUP(INDICE!$F$2,Nombres!$C$3:$D$636,56,FALSE)</f>
        <v>Activos tangibles</v>
      </c>
      <c r="B36" s="58">
        <v>3219.124845</v>
      </c>
      <c r="C36" s="58">
        <v>3149.0445779999995</v>
      </c>
      <c r="D36" s="58">
        <v>3055.447739</v>
      </c>
      <c r="E36" s="65">
        <v>2901.766363</v>
      </c>
      <c r="F36" s="44">
        <v>2825.418143</v>
      </c>
      <c r="G36" s="44">
        <v>0</v>
      </c>
      <c r="H36" s="44">
        <v>0</v>
      </c>
      <c r="I36" s="44">
        <v>0</v>
      </c>
      <c r="K36" s="54"/>
    </row>
    <row r="37" spans="1:11" ht="14.25">
      <c r="A37" s="43" t="str">
        <f>HLOOKUP(INDICE!$F$2,Nombres!$C$3:$D$636,57,FALSE)</f>
        <v>Otros activos</v>
      </c>
      <c r="B37" s="58">
        <f aca="true" t="shared" si="5" ref="B37:I37">+B38-B36-B33-B32-B31-B35</f>
        <v>7361.732705410075</v>
      </c>
      <c r="C37" s="58">
        <f t="shared" si="5"/>
        <v>7125.983596060025</v>
      </c>
      <c r="D37" s="58">
        <f t="shared" si="5"/>
        <v>7076.032322460043</v>
      </c>
      <c r="E37" s="65">
        <f t="shared" si="5"/>
        <v>6534.584474229952</v>
      </c>
      <c r="F37" s="44">
        <f t="shared" si="5"/>
        <v>5925.951341200045</v>
      </c>
      <c r="G37" s="44">
        <f t="shared" si="5"/>
        <v>0</v>
      </c>
      <c r="H37" s="44">
        <f t="shared" si="5"/>
        <v>0</v>
      </c>
      <c r="I37" s="44">
        <f t="shared" si="5"/>
        <v>0</v>
      </c>
      <c r="K37" s="54"/>
    </row>
    <row r="38" spans="1:11" ht="14.25">
      <c r="A38" s="47" t="str">
        <f>HLOOKUP(INDICE!$F$2,Nombres!$C$3:$D$636,58,FALSE)</f>
        <v>Total activo / pasivo</v>
      </c>
      <c r="B38" s="47">
        <v>418416.33262600994</v>
      </c>
      <c r="C38" s="47">
        <v>423931.27202798997</v>
      </c>
      <c r="D38" s="47">
        <v>406845.56219893997</v>
      </c>
      <c r="E38" s="47">
        <v>410409.42205021</v>
      </c>
      <c r="F38" s="51">
        <v>394904.13758528</v>
      </c>
      <c r="G38" s="51">
        <v>0</v>
      </c>
      <c r="H38" s="51">
        <v>0</v>
      </c>
      <c r="I38" s="51">
        <v>0</v>
      </c>
      <c r="K38" s="54"/>
    </row>
    <row r="39" spans="1:11" ht="14.25">
      <c r="A39" s="43" t="str">
        <f>HLOOKUP(INDICE!$F$2,Nombres!$C$3:$D$636,59,FALSE)</f>
        <v>Pasivos financieros mantenidos para negociar y designados a valor razonable con cambios en resultados</v>
      </c>
      <c r="B39" s="58">
        <v>109020.14439500001</v>
      </c>
      <c r="C39" s="58">
        <v>96490.68054700001</v>
      </c>
      <c r="D39" s="58">
        <v>84175.98843299998</v>
      </c>
      <c r="E39" s="65">
        <v>73920.89025055002</v>
      </c>
      <c r="F39" s="44">
        <v>70950.039919</v>
      </c>
      <c r="G39" s="44">
        <v>0</v>
      </c>
      <c r="H39" s="44">
        <v>0</v>
      </c>
      <c r="I39" s="44">
        <v>0</v>
      </c>
      <c r="K39" s="54"/>
    </row>
    <row r="40" spans="1:11" ht="14.25">
      <c r="A40" s="43" t="str">
        <f>HLOOKUP(INDICE!$F$2,Nombres!$C$3:$D$636,60,FALSE)</f>
        <v>Depósitos de bancos centrales y entidades de crédito</v>
      </c>
      <c r="B40" s="58">
        <v>55279.53084162</v>
      </c>
      <c r="C40" s="58">
        <v>60532.569948000004</v>
      </c>
      <c r="D40" s="58">
        <v>54427.276649</v>
      </c>
      <c r="E40" s="65">
        <v>58783.359699</v>
      </c>
      <c r="F40" s="44">
        <v>59594.62790700001</v>
      </c>
      <c r="G40" s="44">
        <v>0</v>
      </c>
      <c r="H40" s="44">
        <v>0</v>
      </c>
      <c r="I40" s="44">
        <v>0</v>
      </c>
      <c r="K40" s="54"/>
    </row>
    <row r="41" spans="1:11" ht="15.75" customHeight="1">
      <c r="A41" s="43" t="str">
        <f>HLOOKUP(INDICE!$F$2,Nombres!$C$3:$D$636,61,FALSE)</f>
        <v>Depósitos de la clientela</v>
      </c>
      <c r="B41" s="58">
        <v>186327.389049</v>
      </c>
      <c r="C41" s="58">
        <v>195675.714629</v>
      </c>
      <c r="D41" s="58">
        <v>195682.23994699997</v>
      </c>
      <c r="E41" s="65">
        <v>206427.720641</v>
      </c>
      <c r="F41" s="44">
        <v>196589.82502999998</v>
      </c>
      <c r="G41" s="44">
        <v>0</v>
      </c>
      <c r="H41" s="44">
        <v>0</v>
      </c>
      <c r="I41" s="44">
        <v>0</v>
      </c>
      <c r="K41" s="54"/>
    </row>
    <row r="42" spans="1:11" ht="14.25">
      <c r="A42" s="43" t="str">
        <f>HLOOKUP(INDICE!$F$2,Nombres!$C$3:$D$636,62,FALSE)</f>
        <v>Valores representativos de deuda emitidos</v>
      </c>
      <c r="B42" s="44">
        <v>39244.85684196</v>
      </c>
      <c r="C42" s="44">
        <v>40773.41336239</v>
      </c>
      <c r="D42" s="44">
        <v>43011.47680101001</v>
      </c>
      <c r="E42" s="45">
        <v>41016.01248291999</v>
      </c>
      <c r="F42" s="44">
        <v>37855.60884842</v>
      </c>
      <c r="G42" s="44">
        <v>0</v>
      </c>
      <c r="H42" s="44">
        <v>0</v>
      </c>
      <c r="I42" s="44">
        <v>0</v>
      </c>
      <c r="K42" s="54"/>
    </row>
    <row r="43" spans="1:11" ht="14.25">
      <c r="A43" s="43" t="str">
        <f>HLOOKUP(INDICE!$F$2,Nombres!$C$3:$D$636,122,FALSE)</f>
        <v>Posiciones inter-áreas pasivo</v>
      </c>
      <c r="B43" s="44">
        <v>0</v>
      </c>
      <c r="C43" s="44">
        <v>0</v>
      </c>
      <c r="D43" s="44">
        <v>0</v>
      </c>
      <c r="E43" s="45">
        <v>0</v>
      </c>
      <c r="F43" s="44">
        <v>0</v>
      </c>
      <c r="G43" s="44">
        <v>0</v>
      </c>
      <c r="H43" s="44">
        <v>0</v>
      </c>
      <c r="I43" s="44">
        <v>0</v>
      </c>
      <c r="K43" s="54"/>
    </row>
    <row r="44" spans="1:11" ht="14.25">
      <c r="A44" s="43" t="str">
        <f>HLOOKUP(INDICE!$F$2,Nombres!$C$3:$D$636,63,FALSE)</f>
        <v>Otros pasivos</v>
      </c>
      <c r="B44" s="44">
        <f>+B38-B39-B40-B41-B42-B45-B43</f>
        <v>14797.202950929945</v>
      </c>
      <c r="C44" s="44">
        <f aca="true" t="shared" si="6" ref="C44:I44">+C38-C39-C40-C41-C42-C45-C43</f>
        <v>17003.441695699927</v>
      </c>
      <c r="D44" s="44">
        <f t="shared" si="6"/>
        <v>16386.742863709995</v>
      </c>
      <c r="E44" s="45">
        <f t="shared" si="6"/>
        <v>16955.399050099997</v>
      </c>
      <c r="F44" s="44">
        <f t="shared" si="6"/>
        <v>17254.443639269997</v>
      </c>
      <c r="G44" s="44">
        <f t="shared" si="6"/>
        <v>0</v>
      </c>
      <c r="H44" s="44">
        <f t="shared" si="6"/>
        <v>0</v>
      </c>
      <c r="I44" s="44">
        <f t="shared" si="6"/>
        <v>0</v>
      </c>
      <c r="K44" s="54"/>
    </row>
    <row r="45" spans="1:11" ht="14.25">
      <c r="A45" s="43" t="str">
        <f>HLOOKUP(INDICE!$F$2,Nombres!$C$3:$D$636,282,FALSE)</f>
        <v>Dotación de capital regulatorio</v>
      </c>
      <c r="B45" s="44">
        <v>13747.2085475</v>
      </c>
      <c r="C45" s="44">
        <v>13455.451845900001</v>
      </c>
      <c r="D45" s="44">
        <v>13161.83750522</v>
      </c>
      <c r="E45" s="45">
        <v>13306.039926640002</v>
      </c>
      <c r="F45" s="44">
        <v>12659.592241590002</v>
      </c>
      <c r="G45" s="44">
        <v>0</v>
      </c>
      <c r="H45" s="44">
        <v>0</v>
      </c>
      <c r="I45" s="44">
        <v>0</v>
      </c>
      <c r="K45" s="54"/>
    </row>
    <row r="46" spans="1:9" ht="14.25">
      <c r="A46" s="62"/>
      <c r="B46" s="58"/>
      <c r="C46" s="58"/>
      <c r="D46" s="58"/>
      <c r="E46" s="58"/>
      <c r="F46" s="58"/>
      <c r="G46" s="58"/>
      <c r="H46" s="58"/>
      <c r="I46" s="58"/>
    </row>
    <row r="47" spans="1:9" ht="14.25">
      <c r="A47" s="43"/>
      <c r="B47" s="58"/>
      <c r="C47" s="58"/>
      <c r="D47" s="58"/>
      <c r="E47" s="58"/>
      <c r="F47" s="58"/>
      <c r="G47" s="58"/>
      <c r="H47" s="58"/>
      <c r="I47" s="58"/>
    </row>
    <row r="48" spans="1:9" ht="16.5">
      <c r="A48" s="66" t="str">
        <f>HLOOKUP(INDICE!$F$2,Nombres!$C$3:$D$636,65,FALSE)</f>
        <v>Indicadores relevantes y de gestión</v>
      </c>
      <c r="B48" s="67"/>
      <c r="C48" s="67"/>
      <c r="D48" s="67"/>
      <c r="E48" s="67"/>
      <c r="F48" s="67"/>
      <c r="G48" s="67"/>
      <c r="H48" s="67"/>
      <c r="I48" s="67"/>
    </row>
    <row r="49" spans="1:9" ht="14.25">
      <c r="A49" s="35" t="str">
        <f>HLOOKUP(INDICE!$F$2,Nombres!$C$3:$D$636,32,FALSE)</f>
        <v>(Millones de euros)</v>
      </c>
      <c r="B49" s="30"/>
      <c r="C49" s="30"/>
      <c r="D49" s="30"/>
      <c r="E49" s="30"/>
      <c r="F49" s="30"/>
      <c r="G49" s="58"/>
      <c r="H49" s="58"/>
      <c r="I49" s="58"/>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173752.79226962</v>
      </c>
      <c r="C51" s="44">
        <v>176580.61895756997</v>
      </c>
      <c r="D51" s="44">
        <v>171988.81991</v>
      </c>
      <c r="E51" s="45">
        <v>173403.71629300003</v>
      </c>
      <c r="F51" s="44">
        <v>171564.450283</v>
      </c>
      <c r="G51" s="44">
        <v>0</v>
      </c>
      <c r="H51" s="44">
        <v>0</v>
      </c>
      <c r="I51" s="44">
        <v>0</v>
      </c>
    </row>
    <row r="52" spans="1:9" ht="14.25">
      <c r="A52" s="43" t="str">
        <f>HLOOKUP(INDICE!$F$2,Nombres!$C$3:$D$636,67,FALSE)</f>
        <v>Depósitos de clientes en gestión (**)</v>
      </c>
      <c r="B52" s="44">
        <v>186327.38868800004</v>
      </c>
      <c r="C52" s="44">
        <v>195675.71426799998</v>
      </c>
      <c r="D52" s="44">
        <v>195682.23958599998</v>
      </c>
      <c r="E52" s="45">
        <v>205808.50891099998</v>
      </c>
      <c r="F52" s="44">
        <v>196004.84808</v>
      </c>
      <c r="G52" s="44">
        <v>0</v>
      </c>
      <c r="H52" s="44">
        <v>0</v>
      </c>
      <c r="I52" s="44">
        <v>0</v>
      </c>
    </row>
    <row r="53" spans="1:9" ht="14.25">
      <c r="A53" s="43" t="str">
        <f>HLOOKUP(INDICE!$F$2,Nombres!$C$3:$D$636,68,FALSE)</f>
        <v>Fondos de inversión</v>
      </c>
      <c r="B53" s="44">
        <v>35963.94521486</v>
      </c>
      <c r="C53" s="44">
        <v>37635.00173682</v>
      </c>
      <c r="D53" s="44">
        <v>37421.75498915</v>
      </c>
      <c r="E53" s="45">
        <v>38434.09314594</v>
      </c>
      <c r="F53" s="44">
        <v>39871.25105099999</v>
      </c>
      <c r="G53" s="44">
        <v>0</v>
      </c>
      <c r="H53" s="44">
        <v>0</v>
      </c>
      <c r="I53" s="44">
        <v>0</v>
      </c>
    </row>
    <row r="54" spans="1:9" ht="14.25">
      <c r="A54" s="43" t="str">
        <f>HLOOKUP(INDICE!$F$2,Nombres!$C$3:$D$636,69,FALSE)</f>
        <v>Fondos de pensiones</v>
      </c>
      <c r="B54" s="44">
        <v>22564.26787486</v>
      </c>
      <c r="C54" s="44">
        <v>23338.87407048</v>
      </c>
      <c r="D54" s="44">
        <v>23469.23278831</v>
      </c>
      <c r="E54" s="45">
        <v>24272.90178402</v>
      </c>
      <c r="F54" s="44">
        <v>24581.019303769997</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61" spans="2:9" ht="14.25">
      <c r="B61" s="54"/>
      <c r="C61" s="54"/>
      <c r="D61" s="54"/>
      <c r="E61" s="54"/>
      <c r="F61" s="54"/>
      <c r="G61" s="54"/>
      <c r="H61" s="54"/>
      <c r="I61" s="54"/>
    </row>
    <row r="1000" ht="14.25">
      <c r="A1000" s="31" t="s">
        <v>396</v>
      </c>
    </row>
  </sheetData>
  <sheetProtection/>
  <mergeCells count="2">
    <mergeCell ref="B6:E6"/>
    <mergeCell ref="F6:I6"/>
  </mergeCells>
  <conditionalFormatting sqref="B26:I26">
    <cfRule type="cellIs" priority="1" dxfId="14"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P18" sqref="P18"/>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1545.28894412</v>
      </c>
      <c r="C8" s="41">
        <v>1171.92793003</v>
      </c>
      <c r="D8" s="41">
        <v>1318.7832245</v>
      </c>
      <c r="E8" s="42">
        <v>1378.6220557400002</v>
      </c>
      <c r="F8" s="50">
        <v>1366.2208904400002</v>
      </c>
      <c r="G8" s="50">
        <v>0</v>
      </c>
      <c r="H8" s="50">
        <v>0</v>
      </c>
      <c r="I8" s="50">
        <v>0</v>
      </c>
    </row>
    <row r="9" spans="1:9" ht="14.25">
      <c r="A9" s="43" t="str">
        <f>HLOOKUP(INDICE!$F$2,Nombres!$C$3:$D$636,34,FALSE)</f>
        <v>Comisiones netas</v>
      </c>
      <c r="B9" s="44">
        <v>295.60459267</v>
      </c>
      <c r="C9" s="44">
        <v>215.74048713000002</v>
      </c>
      <c r="D9" s="44">
        <v>251.72344403</v>
      </c>
      <c r="E9" s="45">
        <v>297.84946498000005</v>
      </c>
      <c r="F9" s="44">
        <v>281.56553275000005</v>
      </c>
      <c r="G9" s="44">
        <v>0</v>
      </c>
      <c r="H9" s="44">
        <v>0</v>
      </c>
      <c r="I9" s="44">
        <v>0</v>
      </c>
    </row>
    <row r="10" spans="1:9" ht="14.25">
      <c r="A10" s="43" t="str">
        <f>HLOOKUP(INDICE!$F$2,Nombres!$C$3:$D$636,35,FALSE)</f>
        <v>Resultados de operaciones financieras</v>
      </c>
      <c r="B10" s="44">
        <v>78.26088806000001</v>
      </c>
      <c r="C10" s="44">
        <v>153.29599518999999</v>
      </c>
      <c r="D10" s="44">
        <v>98.60487913</v>
      </c>
      <c r="E10" s="45">
        <v>92.64355686000002</v>
      </c>
      <c r="F10" s="44">
        <v>69.14014961999999</v>
      </c>
      <c r="G10" s="44">
        <v>0</v>
      </c>
      <c r="H10" s="44">
        <v>0</v>
      </c>
      <c r="I10" s="44">
        <v>0</v>
      </c>
    </row>
    <row r="11" spans="1:9" ht="14.25">
      <c r="A11" s="43" t="str">
        <f>HLOOKUP(INDICE!$F$2,Nombres!$C$3:$D$636,36,FALSE)</f>
        <v>Otros ingresos y cargas de explotación</v>
      </c>
      <c r="B11" s="44">
        <v>73.94899999</v>
      </c>
      <c r="C11" s="44">
        <v>18.98699999000008</v>
      </c>
      <c r="D11" s="44">
        <v>14.536000010000034</v>
      </c>
      <c r="E11" s="45">
        <v>18.778999999999964</v>
      </c>
      <c r="F11" s="44">
        <v>43.806999969999964</v>
      </c>
      <c r="G11" s="44">
        <v>0</v>
      </c>
      <c r="H11" s="44">
        <v>0</v>
      </c>
      <c r="I11" s="44">
        <v>0</v>
      </c>
    </row>
    <row r="12" spans="1:9" ht="14.25">
      <c r="A12" s="41" t="str">
        <f>HLOOKUP(INDICE!$F$2,Nombres!$C$3:$D$636,37,FALSE)</f>
        <v>Margen bruto</v>
      </c>
      <c r="B12" s="41">
        <f>+SUM(B8:B11)</f>
        <v>1993.10342484</v>
      </c>
      <c r="C12" s="41">
        <f aca="true" t="shared" si="0" ref="C12:I12">+SUM(C8:C11)</f>
        <v>1559.9514123400002</v>
      </c>
      <c r="D12" s="41">
        <f t="shared" si="0"/>
        <v>1683.6475476699998</v>
      </c>
      <c r="E12" s="42">
        <f t="shared" si="0"/>
        <v>1787.8940775800002</v>
      </c>
      <c r="F12" s="50">
        <f t="shared" si="0"/>
        <v>1760.7335727800003</v>
      </c>
      <c r="G12" s="50">
        <f t="shared" si="0"/>
        <v>0</v>
      </c>
      <c r="H12" s="50">
        <f t="shared" si="0"/>
        <v>0</v>
      </c>
      <c r="I12" s="50">
        <f t="shared" si="0"/>
        <v>0</v>
      </c>
    </row>
    <row r="13" spans="1:9" ht="14.25">
      <c r="A13" s="43" t="str">
        <f>HLOOKUP(INDICE!$F$2,Nombres!$C$3:$D$636,38,FALSE)</f>
        <v>Gastos de explotación</v>
      </c>
      <c r="B13" s="44">
        <v>-662.45626868</v>
      </c>
      <c r="C13" s="44">
        <v>-539.74462109</v>
      </c>
      <c r="D13" s="44">
        <v>-543.00960506</v>
      </c>
      <c r="E13" s="45">
        <v>-599.18878454</v>
      </c>
      <c r="F13" s="44">
        <v>-622.31016494</v>
      </c>
      <c r="G13" s="44">
        <v>0</v>
      </c>
      <c r="H13" s="44">
        <v>0</v>
      </c>
      <c r="I13" s="44">
        <v>0</v>
      </c>
    </row>
    <row r="14" spans="1:9" ht="14.25">
      <c r="A14" s="43" t="str">
        <f>HLOOKUP(INDICE!$F$2,Nombres!$C$3:$D$636,39,FALSE)</f>
        <v>  Gastos de administración</v>
      </c>
      <c r="B14" s="44">
        <v>-576.90420865</v>
      </c>
      <c r="C14" s="44">
        <v>-466.62441115999997</v>
      </c>
      <c r="D14" s="44">
        <v>-468.64338205</v>
      </c>
      <c r="E14" s="45">
        <v>-520.67002754</v>
      </c>
      <c r="F14" s="44">
        <v>-543.9133599200001</v>
      </c>
      <c r="G14" s="44">
        <v>0</v>
      </c>
      <c r="H14" s="44">
        <v>0</v>
      </c>
      <c r="I14" s="44">
        <v>0</v>
      </c>
    </row>
    <row r="15" spans="1:9" ht="14.25">
      <c r="A15" s="46" t="str">
        <f>HLOOKUP(INDICE!$F$2,Nombres!$C$3:$D$636,40,FALSE)</f>
        <v>  Gastos de personal</v>
      </c>
      <c r="B15" s="44">
        <v>-288.0072626</v>
      </c>
      <c r="C15" s="44">
        <v>-206.45298853000003</v>
      </c>
      <c r="D15" s="44">
        <v>-227.88140429999999</v>
      </c>
      <c r="E15" s="45">
        <v>-253.24898643000006</v>
      </c>
      <c r="F15" s="44">
        <v>-255.18485251</v>
      </c>
      <c r="G15" s="44">
        <v>0</v>
      </c>
      <c r="H15" s="44">
        <v>0</v>
      </c>
      <c r="I15" s="44">
        <v>0</v>
      </c>
    </row>
    <row r="16" spans="1:9" ht="14.25">
      <c r="A16" s="46" t="str">
        <f>HLOOKUP(INDICE!$F$2,Nombres!$C$3:$D$636,41,FALSE)</f>
        <v>  Otros gastos de administración</v>
      </c>
      <c r="B16" s="44">
        <v>-288.89694605</v>
      </c>
      <c r="C16" s="44">
        <v>-260.17142263</v>
      </c>
      <c r="D16" s="44">
        <v>-240.76197775000003</v>
      </c>
      <c r="E16" s="45">
        <v>-267.42104111</v>
      </c>
      <c r="F16" s="44">
        <v>-288.72850741</v>
      </c>
      <c r="G16" s="44">
        <v>0</v>
      </c>
      <c r="H16" s="44">
        <v>0</v>
      </c>
      <c r="I16" s="44">
        <v>0</v>
      </c>
    </row>
    <row r="17" spans="1:9" ht="14.25">
      <c r="A17" s="43" t="str">
        <f>HLOOKUP(INDICE!$F$2,Nombres!$C$3:$D$636,42,FALSE)</f>
        <v>  Amortización</v>
      </c>
      <c r="B17" s="44">
        <v>-85.55206003</v>
      </c>
      <c r="C17" s="44">
        <v>-73.12020993</v>
      </c>
      <c r="D17" s="44">
        <v>-74.36622301</v>
      </c>
      <c r="E17" s="45">
        <v>-78.518757</v>
      </c>
      <c r="F17" s="44">
        <v>-78.39680502</v>
      </c>
      <c r="G17" s="44">
        <v>0</v>
      </c>
      <c r="H17" s="44">
        <v>0</v>
      </c>
      <c r="I17" s="44">
        <v>0</v>
      </c>
    </row>
    <row r="18" spans="1:9" ht="14.25">
      <c r="A18" s="41" t="str">
        <f>HLOOKUP(INDICE!$F$2,Nombres!$C$3:$D$636,43,FALSE)</f>
        <v>Margen neto</v>
      </c>
      <c r="B18" s="41">
        <f>+B12+B13</f>
        <v>1330.64715616</v>
      </c>
      <c r="C18" s="41">
        <f aca="true" t="shared" si="1" ref="C18:I18">+C12+C13</f>
        <v>1020.2067912500002</v>
      </c>
      <c r="D18" s="41">
        <f t="shared" si="1"/>
        <v>1140.6379426099998</v>
      </c>
      <c r="E18" s="42">
        <f t="shared" si="1"/>
        <v>1188.70529304</v>
      </c>
      <c r="F18" s="50">
        <f t="shared" si="1"/>
        <v>1138.4234078400002</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-773.1019999700001</v>
      </c>
      <c r="C19" s="44">
        <v>-621.3509999999999</v>
      </c>
      <c r="D19" s="44">
        <v>-354.77100005000005</v>
      </c>
      <c r="E19" s="45">
        <v>-423.13399993999997</v>
      </c>
      <c r="F19" s="44">
        <v>-457.89600006</v>
      </c>
      <c r="G19" s="44">
        <v>0</v>
      </c>
      <c r="H19" s="44">
        <v>0</v>
      </c>
      <c r="I19" s="44">
        <v>0</v>
      </c>
    </row>
    <row r="20" spans="1:9" ht="14.25">
      <c r="A20" s="43" t="str">
        <f>HLOOKUP(INDICE!$F$2,Nombres!$C$3:$D$636,45,FALSE)</f>
        <v>Provisiones o reversión de provisiones y otros resultados</v>
      </c>
      <c r="B20" s="44">
        <v>-12.61499997</v>
      </c>
      <c r="C20" s="44">
        <v>-51.25200002</v>
      </c>
      <c r="D20" s="44">
        <v>15.984000009999997</v>
      </c>
      <c r="E20" s="45">
        <v>15.26099998000001</v>
      </c>
      <c r="F20" s="44">
        <v>1.8089999800000047</v>
      </c>
      <c r="G20" s="44">
        <v>0</v>
      </c>
      <c r="H20" s="44">
        <v>0</v>
      </c>
      <c r="I20" s="44">
        <v>0</v>
      </c>
    </row>
    <row r="21" spans="1:9" ht="14.25">
      <c r="A21" s="41" t="str">
        <f>HLOOKUP(INDICE!$F$2,Nombres!$C$3:$D$636,46,FALSE)</f>
        <v>Resultado antes de impuestos</v>
      </c>
      <c r="B21" s="41">
        <f>+B18+B19+B20</f>
        <v>544.9301562199998</v>
      </c>
      <c r="C21" s="41">
        <f aca="true" t="shared" si="2" ref="C21:I21">+C18+C19+C20</f>
        <v>347.6037912300003</v>
      </c>
      <c r="D21" s="41">
        <f t="shared" si="2"/>
        <v>801.8509425699997</v>
      </c>
      <c r="E21" s="42">
        <f t="shared" si="2"/>
        <v>780.8322930800001</v>
      </c>
      <c r="F21" s="50">
        <f t="shared" si="2"/>
        <v>682.3364077600002</v>
      </c>
      <c r="G21" s="50">
        <f t="shared" si="2"/>
        <v>0</v>
      </c>
      <c r="H21" s="50">
        <f t="shared" si="2"/>
        <v>0</v>
      </c>
      <c r="I21" s="50">
        <f t="shared" si="2"/>
        <v>0</v>
      </c>
    </row>
    <row r="22" spans="1:9" ht="14.25">
      <c r="A22" s="43" t="str">
        <f>HLOOKUP(INDICE!$F$2,Nombres!$C$3:$D$636,47,FALSE)</f>
        <v>Impuesto sobre beneficios</v>
      </c>
      <c r="B22" s="44">
        <v>-172.27255225000002</v>
      </c>
      <c r="C22" s="44">
        <v>-64.34253133999998</v>
      </c>
      <c r="D22" s="44">
        <v>-251.48274954999994</v>
      </c>
      <c r="E22" s="45">
        <v>-225.7838080100001</v>
      </c>
      <c r="F22" s="44">
        <v>-189.35086325</v>
      </c>
      <c r="G22" s="44">
        <v>0</v>
      </c>
      <c r="H22" s="44">
        <v>0</v>
      </c>
      <c r="I22" s="44">
        <v>0</v>
      </c>
    </row>
    <row r="23" spans="1:9" ht="14.25">
      <c r="A23" s="41" t="str">
        <f>HLOOKUP(INDICE!$F$2,Nombres!$C$3:$D$636,48,FALSE)</f>
        <v>Resultado del ejercicio</v>
      </c>
      <c r="B23" s="41">
        <f>+B21+B22</f>
        <v>372.65760396999985</v>
      </c>
      <c r="C23" s="41">
        <f aca="true" t="shared" si="3" ref="C23:I23">+C21+C22</f>
        <v>283.2612598900003</v>
      </c>
      <c r="D23" s="41">
        <f t="shared" si="3"/>
        <v>550.3681930199998</v>
      </c>
      <c r="E23" s="42">
        <f t="shared" si="3"/>
        <v>555.04848507</v>
      </c>
      <c r="F23" s="50">
        <f t="shared" si="3"/>
        <v>492.9855445100002</v>
      </c>
      <c r="G23" s="50">
        <f t="shared" si="3"/>
        <v>0</v>
      </c>
      <c r="H23" s="50">
        <f t="shared" si="3"/>
        <v>0</v>
      </c>
      <c r="I23" s="50">
        <f t="shared" si="3"/>
        <v>0</v>
      </c>
    </row>
    <row r="24" spans="1:9" ht="14.25">
      <c r="A24" s="43" t="str">
        <f>HLOOKUP(INDICE!$F$2,Nombres!$C$3:$D$636,49,FALSE)</f>
        <v>Minoritarios</v>
      </c>
      <c r="B24" s="44">
        <v>-0.06799999999999999</v>
      </c>
      <c r="C24" s="44">
        <v>-0.05400000000000001</v>
      </c>
      <c r="D24" s="44">
        <v>-0.11200000000000002</v>
      </c>
      <c r="E24" s="45">
        <v>-0.09899999999999999</v>
      </c>
      <c r="F24" s="44">
        <v>-0.085</v>
      </c>
      <c r="G24" s="44">
        <v>0</v>
      </c>
      <c r="H24" s="44">
        <v>0</v>
      </c>
      <c r="I24" s="44">
        <v>0</v>
      </c>
    </row>
    <row r="25" spans="1:9" ht="14.25">
      <c r="A25" s="47" t="str">
        <f>HLOOKUP(INDICE!$F$2,Nombres!$C$3:$D$636,50,FALSE)</f>
        <v>Resultado atribuido</v>
      </c>
      <c r="B25" s="47">
        <f>+B23+B24</f>
        <v>372.58960396999987</v>
      </c>
      <c r="C25" s="47">
        <f aca="true" t="shared" si="4" ref="C25:I25">+C23+C24</f>
        <v>283.20725989000033</v>
      </c>
      <c r="D25" s="47">
        <f t="shared" si="4"/>
        <v>550.2561930199998</v>
      </c>
      <c r="E25" s="47">
        <f t="shared" si="4"/>
        <v>554.9494850699999</v>
      </c>
      <c r="F25" s="51">
        <f t="shared" si="4"/>
        <v>492.9005445100002</v>
      </c>
      <c r="G25" s="51">
        <f t="shared" si="4"/>
        <v>0</v>
      </c>
      <c r="H25" s="51">
        <f t="shared" si="4"/>
        <v>0</v>
      </c>
      <c r="I25" s="51">
        <f t="shared" si="4"/>
        <v>0</v>
      </c>
    </row>
    <row r="26" spans="1:9" ht="14.25">
      <c r="A26" s="62"/>
      <c r="B26" s="63">
        <v>0</v>
      </c>
      <c r="C26" s="63">
        <v>0</v>
      </c>
      <c r="D26" s="63">
        <v>0</v>
      </c>
      <c r="E26" s="63">
        <v>0</v>
      </c>
      <c r="F26" s="63">
        <v>-4.547473508864641E-13</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5851.538999979999</v>
      </c>
      <c r="C31" s="44">
        <v>6565.50000001</v>
      </c>
      <c r="D31" s="44">
        <v>7990.55000001</v>
      </c>
      <c r="E31" s="45">
        <v>9161.194</v>
      </c>
      <c r="F31" s="44">
        <v>10641.473</v>
      </c>
      <c r="G31" s="44">
        <v>0</v>
      </c>
      <c r="H31" s="44">
        <v>0</v>
      </c>
      <c r="I31" s="44">
        <v>0</v>
      </c>
    </row>
    <row r="32" spans="1:9" ht="14.25">
      <c r="A32" s="43" t="str">
        <f>HLOOKUP(INDICE!$F$2,Nombres!$C$3:$D$636,53,FALSE)</f>
        <v>Activos financieros a valor razonable</v>
      </c>
      <c r="B32" s="58">
        <v>34750.406</v>
      </c>
      <c r="C32" s="58">
        <v>33941.22699999</v>
      </c>
      <c r="D32" s="58">
        <v>31937.569</v>
      </c>
      <c r="E32" s="65">
        <v>36360.08799999</v>
      </c>
      <c r="F32" s="44">
        <v>33914.79300004</v>
      </c>
      <c r="G32" s="44">
        <v>0</v>
      </c>
      <c r="H32" s="44">
        <v>0</v>
      </c>
      <c r="I32" s="44">
        <v>0</v>
      </c>
    </row>
    <row r="33" spans="1:9" ht="14.25">
      <c r="A33" s="43" t="str">
        <f>HLOOKUP(INDICE!$F$2,Nombres!$C$3:$D$636,54,FALSE)</f>
        <v>Activos financieros a coste amortizado</v>
      </c>
      <c r="B33" s="44">
        <v>58838.916000020006</v>
      </c>
      <c r="C33" s="44">
        <v>58417.727000009996</v>
      </c>
      <c r="D33" s="44">
        <v>56834.839999970005</v>
      </c>
      <c r="E33" s="45">
        <v>59818.64699994001</v>
      </c>
      <c r="F33" s="44">
        <v>60857.970999929996</v>
      </c>
      <c r="G33" s="44">
        <v>0</v>
      </c>
      <c r="H33" s="44">
        <v>0</v>
      </c>
      <c r="I33" s="44">
        <v>0</v>
      </c>
    </row>
    <row r="34" spans="1:9" ht="14.25">
      <c r="A34" s="43" t="str">
        <f>HLOOKUP(INDICE!$F$2,Nombres!$C$3:$D$636,55,FALSE)</f>
        <v>    de los que préstamos y anticipos a la clientela</v>
      </c>
      <c r="B34" s="44">
        <v>50484.05000001</v>
      </c>
      <c r="C34" s="44">
        <v>49439.644999990014</v>
      </c>
      <c r="D34" s="44">
        <v>47788.48999997</v>
      </c>
      <c r="E34" s="45">
        <v>50002.42099997</v>
      </c>
      <c r="F34" s="44">
        <v>51524.61899994</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1597.9159999899998</v>
      </c>
      <c r="C36" s="44">
        <v>1582.5459999999998</v>
      </c>
      <c r="D36" s="44">
        <v>1537.93599998</v>
      </c>
      <c r="E36" s="45">
        <v>1647.24400001</v>
      </c>
      <c r="F36" s="44">
        <v>1643.95599999</v>
      </c>
      <c r="G36" s="44">
        <v>0</v>
      </c>
      <c r="H36" s="44">
        <v>0</v>
      </c>
      <c r="I36" s="44">
        <v>0</v>
      </c>
    </row>
    <row r="37" spans="1:9" ht="14.25">
      <c r="A37" s="43" t="str">
        <f>HLOOKUP(INDICE!$F$2,Nombres!$C$3:$D$636,57,FALSE)</f>
        <v>Otros activos</v>
      </c>
      <c r="B37" s="58">
        <f>+B38-B36-B33-B32-B31</f>
        <v>3168.9820001199805</v>
      </c>
      <c r="C37" s="58">
        <f aca="true" t="shared" si="5" ref="C37:I37">+C38-C36-C33-C32-C31</f>
        <v>3171.9056668200037</v>
      </c>
      <c r="D37" s="58">
        <f t="shared" si="5"/>
        <v>3126.052783909985</v>
      </c>
      <c r="E37" s="65">
        <f t="shared" si="5"/>
        <v>3249.284000010015</v>
      </c>
      <c r="F37" s="44">
        <f t="shared" si="5"/>
        <v>3354.11505898</v>
      </c>
      <c r="G37" s="44">
        <f t="shared" si="5"/>
        <v>0</v>
      </c>
      <c r="H37" s="44">
        <f t="shared" si="5"/>
        <v>0</v>
      </c>
      <c r="I37" s="44">
        <f t="shared" si="5"/>
        <v>0</v>
      </c>
    </row>
    <row r="38" spans="1:9" ht="14.25">
      <c r="A38" s="47" t="str">
        <f>HLOOKUP(INDICE!$F$2,Nombres!$C$3:$D$636,58,FALSE)</f>
        <v>Total activo / pasivo</v>
      </c>
      <c r="B38" s="47">
        <v>104207.75900010999</v>
      </c>
      <c r="C38" s="47">
        <v>103678.90566683</v>
      </c>
      <c r="D38" s="47">
        <v>101426.94778386998</v>
      </c>
      <c r="E38" s="71">
        <v>110236.45699995002</v>
      </c>
      <c r="F38" s="47">
        <v>110412.30805893999</v>
      </c>
      <c r="G38" s="51">
        <v>0</v>
      </c>
      <c r="H38" s="51">
        <v>0</v>
      </c>
      <c r="I38" s="51">
        <v>0</v>
      </c>
    </row>
    <row r="39" spans="1:9" ht="14.25">
      <c r="A39" s="43" t="str">
        <f>HLOOKUP(INDICE!$F$2,Nombres!$C$3:$D$636,59,FALSE)</f>
        <v>Pasivos financieros mantenidos para negociar y designados a valor razonable con cambios en resultados</v>
      </c>
      <c r="B39" s="58">
        <v>25597.628</v>
      </c>
      <c r="C39" s="58">
        <v>24494.13500001</v>
      </c>
      <c r="D39" s="58">
        <v>21571.643000009997</v>
      </c>
      <c r="E39" s="65">
        <v>23801.29199999</v>
      </c>
      <c r="F39" s="44">
        <v>21138.310999990004</v>
      </c>
      <c r="G39" s="44">
        <v>0</v>
      </c>
      <c r="H39" s="44">
        <v>0</v>
      </c>
      <c r="I39" s="44">
        <v>0</v>
      </c>
    </row>
    <row r="40" spans="1:9" ht="15.75" customHeight="1">
      <c r="A40" s="43" t="str">
        <f>HLOOKUP(INDICE!$F$2,Nombres!$C$3:$D$636,60,FALSE)</f>
        <v>Depósitos de bancos centrales y entidades de crédito</v>
      </c>
      <c r="B40" s="58">
        <v>3269.7840000200003</v>
      </c>
      <c r="C40" s="58">
        <v>3096.1010000200004</v>
      </c>
      <c r="D40" s="58">
        <v>3462.97800001</v>
      </c>
      <c r="E40" s="65">
        <v>5125.24700001</v>
      </c>
      <c r="F40" s="44">
        <v>5023.4619999999995</v>
      </c>
      <c r="G40" s="44">
        <v>0</v>
      </c>
      <c r="H40" s="44">
        <v>0</v>
      </c>
      <c r="I40" s="44">
        <v>0</v>
      </c>
    </row>
    <row r="41" spans="1:9" ht="14.25">
      <c r="A41" s="43" t="str">
        <f>HLOOKUP(INDICE!$F$2,Nombres!$C$3:$D$636,61,FALSE)</f>
        <v>Depósitos de la clientela</v>
      </c>
      <c r="B41" s="58">
        <v>49072.30400001</v>
      </c>
      <c r="C41" s="58">
        <v>50398.496000009996</v>
      </c>
      <c r="D41" s="58">
        <v>50769.70800001001</v>
      </c>
      <c r="E41" s="65">
        <v>54051.79900002</v>
      </c>
      <c r="F41" s="44">
        <v>56832.47199996999</v>
      </c>
      <c r="G41" s="44">
        <v>0</v>
      </c>
      <c r="H41" s="44">
        <v>0</v>
      </c>
      <c r="I41" s="44">
        <v>0</v>
      </c>
    </row>
    <row r="42" spans="1:9" ht="14.25">
      <c r="A42" s="43" t="str">
        <f>HLOOKUP(INDICE!$F$2,Nombres!$C$3:$D$636,62,FALSE)</f>
        <v>Valores representativos de deuda emitidos</v>
      </c>
      <c r="B42" s="44">
        <v>8759.41093415</v>
      </c>
      <c r="C42" s="44">
        <v>7868.527832860001</v>
      </c>
      <c r="D42" s="44">
        <v>7882.03794195</v>
      </c>
      <c r="E42" s="45">
        <v>7640.004248069999</v>
      </c>
      <c r="F42" s="44">
        <v>7575.2311366700005</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11059.102741229995</v>
      </c>
      <c r="C44" s="58">
        <f aca="true" t="shared" si="6" ref="C44:I44">+C38-C39-C40-C41-C42-C45</f>
        <v>11219.794094679997</v>
      </c>
      <c r="D44" s="58">
        <f t="shared" si="6"/>
        <v>11324.416410859978</v>
      </c>
      <c r="E44" s="65">
        <f t="shared" si="6"/>
        <v>12910.80143673002</v>
      </c>
      <c r="F44" s="44">
        <f t="shared" si="6"/>
        <v>12742.700459369997</v>
      </c>
      <c r="G44" s="44">
        <f t="shared" si="6"/>
        <v>0</v>
      </c>
      <c r="H44" s="44">
        <f t="shared" si="6"/>
        <v>0</v>
      </c>
      <c r="I44" s="44">
        <f t="shared" si="6"/>
        <v>0</v>
      </c>
    </row>
    <row r="45" spans="1:9" ht="14.25">
      <c r="A45" s="43" t="str">
        <f>HLOOKUP(INDICE!$F$2,Nombres!$C$3:$D$636,282,FALSE)</f>
        <v>Dotación de capital regulatorio</v>
      </c>
      <c r="B45" s="44">
        <v>6449.5293247</v>
      </c>
      <c r="C45" s="44">
        <v>6601.85173925</v>
      </c>
      <c r="D45" s="44">
        <v>6416.164431030002</v>
      </c>
      <c r="E45" s="44">
        <v>6707.313315129999</v>
      </c>
      <c r="F45" s="44">
        <v>7100.131462939999</v>
      </c>
      <c r="G45" s="44">
        <v>0</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66" t="str">
        <f>HLOOKUP(INDICE!$F$2,Nombres!$C$3:$D$636,65,FALSE)</f>
        <v>Indicadores relevantes y de gestión</v>
      </c>
      <c r="B48" s="67"/>
      <c r="C48" s="67"/>
      <c r="D48" s="67"/>
      <c r="E48" s="67"/>
      <c r="F48" s="78"/>
      <c r="G48" s="78"/>
      <c r="H48" s="78"/>
      <c r="I48" s="78"/>
    </row>
    <row r="49" spans="1:9" ht="14.25">
      <c r="A49" s="35" t="str">
        <f>HLOOKUP(INDICE!$F$2,Nombres!$C$3:$D$636,32,FALSE)</f>
        <v>(Millones de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4.25">
      <c r="A51" s="43" t="str">
        <f>HLOOKUP(INDICE!$F$2,Nombres!$C$3:$D$636,66,FALSE)</f>
        <v>Préstamos y anticipos a la clientela bruto (*)</v>
      </c>
      <c r="B51" s="44">
        <v>52422.30330213001</v>
      </c>
      <c r="C51" s="44">
        <v>51411.49488526001</v>
      </c>
      <c r="D51" s="44">
        <v>49803.25699866</v>
      </c>
      <c r="E51" s="45">
        <v>52213.20047512001</v>
      </c>
      <c r="F51" s="44">
        <v>53660.75163941001</v>
      </c>
      <c r="G51" s="44">
        <v>0</v>
      </c>
      <c r="H51" s="44">
        <v>0</v>
      </c>
      <c r="I51" s="44">
        <v>0</v>
      </c>
    </row>
    <row r="52" spans="1:9" ht="14.25">
      <c r="A52" s="43" t="str">
        <f>HLOOKUP(INDICE!$F$2,Nombres!$C$3:$D$636,67,FALSE)</f>
        <v>Depósitos de clientes en gestión (**)</v>
      </c>
      <c r="B52" s="44">
        <v>48936.727390880005</v>
      </c>
      <c r="C52" s="44">
        <v>50131.30069513001</v>
      </c>
      <c r="D52" s="44">
        <v>50432.03554927</v>
      </c>
      <c r="E52" s="45">
        <v>53774.65489324</v>
      </c>
      <c r="F52" s="44">
        <v>56488.99468851001</v>
      </c>
      <c r="G52" s="44">
        <v>0</v>
      </c>
      <c r="H52" s="44">
        <v>0</v>
      </c>
      <c r="I52" s="44">
        <v>0</v>
      </c>
    </row>
    <row r="53" spans="1:9" ht="14.25">
      <c r="A53" s="43" t="str">
        <f>HLOOKUP(INDICE!$F$2,Nombres!$C$3:$D$636,68,FALSE)</f>
        <v>Fondos de inversión</v>
      </c>
      <c r="B53" s="44">
        <v>18539.349153289997</v>
      </c>
      <c r="C53" s="44">
        <v>19359.339192389998</v>
      </c>
      <c r="D53" s="44">
        <v>19592.429874099995</v>
      </c>
      <c r="E53" s="45">
        <v>20660.16778547</v>
      </c>
      <c r="F53" s="44">
        <v>21935.72547235</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2078.08252384</v>
      </c>
      <c r="C55" s="44">
        <v>1912.0187057399999</v>
      </c>
      <c r="D55" s="44">
        <v>1735.1617847599998</v>
      </c>
      <c r="E55" s="45">
        <v>1863.4363527599999</v>
      </c>
      <c r="F55" s="44">
        <v>1898.5095293499999</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1391.8490694340744</v>
      </c>
      <c r="C64" s="41">
        <v>1253.1495599889192</v>
      </c>
      <c r="D64" s="41">
        <v>1392.69421425979</v>
      </c>
      <c r="E64" s="42">
        <v>1377.5686308583813</v>
      </c>
      <c r="F64" s="50">
        <v>1366.2208904400004</v>
      </c>
      <c r="G64" s="50">
        <v>0</v>
      </c>
      <c r="H64" s="50">
        <v>0</v>
      </c>
      <c r="I64" s="50">
        <v>0</v>
      </c>
    </row>
    <row r="65" spans="1:9" ht="14.25">
      <c r="A65" s="43" t="str">
        <f>HLOOKUP(INDICE!$F$2,Nombres!$C$3:$D$636,34,FALSE)</f>
        <v>Comisiones netas</v>
      </c>
      <c r="B65" s="44">
        <v>266.2524564054785</v>
      </c>
      <c r="C65" s="44">
        <v>231.50208357995535</v>
      </c>
      <c r="D65" s="44">
        <v>265.63402359229053</v>
      </c>
      <c r="E65" s="45">
        <v>297.65469089803037</v>
      </c>
      <c r="F65" s="44">
        <v>281.56553275</v>
      </c>
      <c r="G65" s="44">
        <v>0</v>
      </c>
      <c r="H65" s="44">
        <v>0</v>
      </c>
      <c r="I65" s="44">
        <v>0</v>
      </c>
    </row>
    <row r="66" spans="1:9" ht="14.25">
      <c r="A66" s="43" t="str">
        <f>HLOOKUP(INDICE!$F$2,Nombres!$C$3:$D$636,35,FALSE)</f>
        <v>Resultados de operaciones financieras</v>
      </c>
      <c r="B66" s="44">
        <v>70.48995246738558</v>
      </c>
      <c r="C66" s="44">
        <v>154.91260728276407</v>
      </c>
      <c r="D66" s="44">
        <v>104.89767628436559</v>
      </c>
      <c r="E66" s="45">
        <v>92.55500505652118</v>
      </c>
      <c r="F66" s="44">
        <v>69.14014962</v>
      </c>
      <c r="G66" s="44">
        <v>0</v>
      </c>
      <c r="H66" s="44">
        <v>0</v>
      </c>
      <c r="I66" s="44">
        <v>0</v>
      </c>
    </row>
    <row r="67" spans="1:9" ht="14.25">
      <c r="A67" s="43" t="str">
        <f>HLOOKUP(INDICE!$F$2,Nombres!$C$3:$D$636,36,FALSE)</f>
        <v>Otros ingresos y cargas de explotación</v>
      </c>
      <c r="B67" s="44">
        <v>66.6062144644899</v>
      </c>
      <c r="C67" s="44">
        <v>23.85973063900917</v>
      </c>
      <c r="D67" s="44">
        <v>17.051129883948853</v>
      </c>
      <c r="E67" s="45">
        <v>18.748831824505103</v>
      </c>
      <c r="F67" s="44">
        <v>43.806999969999964</v>
      </c>
      <c r="G67" s="44">
        <v>0</v>
      </c>
      <c r="H67" s="44">
        <v>0</v>
      </c>
      <c r="I67" s="44">
        <v>0</v>
      </c>
    </row>
    <row r="68" spans="1:9" ht="14.25">
      <c r="A68" s="41" t="str">
        <f>HLOOKUP(INDICE!$F$2,Nombres!$C$3:$D$636,37,FALSE)</f>
        <v>Margen bruto</v>
      </c>
      <c r="B68" s="41">
        <f>+SUM(B64:B67)</f>
        <v>1795.1976927714284</v>
      </c>
      <c r="C68" s="41">
        <f aca="true" t="shared" si="9" ref="C68:I68">+SUM(C64:C67)</f>
        <v>1663.4239814906477</v>
      </c>
      <c r="D68" s="41">
        <f t="shared" si="9"/>
        <v>1780.277044020395</v>
      </c>
      <c r="E68" s="42">
        <f t="shared" si="9"/>
        <v>1786.5271586374379</v>
      </c>
      <c r="F68" s="50">
        <f t="shared" si="9"/>
        <v>1760.7335727800003</v>
      </c>
      <c r="G68" s="50">
        <f t="shared" si="9"/>
        <v>0</v>
      </c>
      <c r="H68" s="50">
        <f t="shared" si="9"/>
        <v>0</v>
      </c>
      <c r="I68" s="50">
        <f t="shared" si="9"/>
        <v>0</v>
      </c>
    </row>
    <row r="69" spans="1:9" ht="14.25">
      <c r="A69" s="43" t="str">
        <f>HLOOKUP(INDICE!$F$2,Nombres!$C$3:$D$636,38,FALSE)</f>
        <v>Gastos de explotación</v>
      </c>
      <c r="B69" s="44">
        <v>-596.6774981543037</v>
      </c>
      <c r="C69" s="44">
        <v>-573.571272189972</v>
      </c>
      <c r="D69" s="44">
        <v>-575.6936859138902</v>
      </c>
      <c r="E69" s="45">
        <v>-598.7336331382663</v>
      </c>
      <c r="F69" s="44">
        <v>-622.31016494</v>
      </c>
      <c r="G69" s="44">
        <v>0</v>
      </c>
      <c r="H69" s="44">
        <v>0</v>
      </c>
      <c r="I69" s="44">
        <v>0</v>
      </c>
    </row>
    <row r="70" spans="1:9" ht="14.25">
      <c r="A70" s="43" t="str">
        <f>HLOOKUP(INDICE!$F$2,Nombres!$C$3:$D$636,39,FALSE)</f>
        <v>  Gastos de administración</v>
      </c>
      <c r="B70" s="44">
        <v>-519.6203525673767</v>
      </c>
      <c r="C70" s="44">
        <v>-496.17334259894795</v>
      </c>
      <c r="D70" s="44">
        <v>-497.01252908770346</v>
      </c>
      <c r="E70" s="45">
        <v>-520.2758287037517</v>
      </c>
      <c r="F70" s="44">
        <v>-543.91335992</v>
      </c>
      <c r="G70" s="44">
        <v>0</v>
      </c>
      <c r="H70" s="44">
        <v>0</v>
      </c>
      <c r="I70" s="44">
        <v>0</v>
      </c>
    </row>
    <row r="71" spans="1:9" ht="14.25">
      <c r="A71" s="46" t="str">
        <f>HLOOKUP(INDICE!$F$2,Nombres!$C$3:$D$636,40,FALSE)</f>
        <v>  Gastos de personal</v>
      </c>
      <c r="B71" s="44">
        <v>-259.409505235505</v>
      </c>
      <c r="C71" s="44">
        <v>-221.9089713958902</v>
      </c>
      <c r="D71" s="44">
        <v>-241.3261372275729</v>
      </c>
      <c r="E71" s="45">
        <v>-253.06121881930966</v>
      </c>
      <c r="F71" s="44">
        <v>-255.18485250999998</v>
      </c>
      <c r="G71" s="44">
        <v>0</v>
      </c>
      <c r="H71" s="44">
        <v>0</v>
      </c>
      <c r="I71" s="44">
        <v>0</v>
      </c>
    </row>
    <row r="72" spans="1:9" ht="14.25">
      <c r="A72" s="46" t="str">
        <f>HLOOKUP(INDICE!$F$2,Nombres!$C$3:$D$636,41,FALSE)</f>
        <v>  Otros gastos de administración</v>
      </c>
      <c r="B72" s="44">
        <v>-260.21084733187166</v>
      </c>
      <c r="C72" s="44">
        <v>-274.26437120305775</v>
      </c>
      <c r="D72" s="44">
        <v>-255.68639186013058</v>
      </c>
      <c r="E72" s="45">
        <v>-267.2146098844421</v>
      </c>
      <c r="F72" s="44">
        <v>-288.72850740999996</v>
      </c>
      <c r="G72" s="44">
        <v>0</v>
      </c>
      <c r="H72" s="44">
        <v>0</v>
      </c>
      <c r="I72" s="44">
        <v>0</v>
      </c>
    </row>
    <row r="73" spans="1:9" ht="14.25">
      <c r="A73" s="43" t="str">
        <f>HLOOKUP(INDICE!$F$2,Nombres!$C$3:$D$636,42,FALSE)</f>
        <v>  Amortización</v>
      </c>
      <c r="B73" s="44">
        <v>-77.05714558692702</v>
      </c>
      <c r="C73" s="44">
        <v>-77.39792959102398</v>
      </c>
      <c r="D73" s="44">
        <v>-78.68115682618688</v>
      </c>
      <c r="E73" s="45">
        <v>-78.45780443451459</v>
      </c>
      <c r="F73" s="44">
        <v>-78.39680501999999</v>
      </c>
      <c r="G73" s="44">
        <v>0</v>
      </c>
      <c r="H73" s="44">
        <v>0</v>
      </c>
      <c r="I73" s="44">
        <v>0</v>
      </c>
    </row>
    <row r="74" spans="1:9" ht="14.25">
      <c r="A74" s="41" t="str">
        <f>HLOOKUP(INDICE!$F$2,Nombres!$C$3:$D$636,43,FALSE)</f>
        <v>Margen neto</v>
      </c>
      <c r="B74" s="41">
        <f>+B68+B69</f>
        <v>1198.5201946171246</v>
      </c>
      <c r="C74" s="41">
        <f aca="true" t="shared" si="10" ref="C74:I74">+C68+C69</f>
        <v>1089.8527093006758</v>
      </c>
      <c r="D74" s="41">
        <f t="shared" si="10"/>
        <v>1204.5833581065046</v>
      </c>
      <c r="E74" s="42">
        <f t="shared" si="10"/>
        <v>1187.7935254991717</v>
      </c>
      <c r="F74" s="50">
        <f t="shared" si="10"/>
        <v>1138.4234078400002</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-696.3366322721234</v>
      </c>
      <c r="C75" s="44">
        <v>-661.0545678208817</v>
      </c>
      <c r="D75" s="44">
        <v>-392.5664446655694</v>
      </c>
      <c r="E75" s="45">
        <v>-422.656851814729</v>
      </c>
      <c r="F75" s="44">
        <v>-457.89600006000006</v>
      </c>
      <c r="G75" s="44">
        <v>0</v>
      </c>
      <c r="H75" s="44">
        <v>0</v>
      </c>
      <c r="I75" s="44">
        <v>0</v>
      </c>
    </row>
    <row r="76" spans="1:9" ht="14.25">
      <c r="A76" s="43" t="str">
        <f>HLOOKUP(INDICE!$F$2,Nombres!$C$3:$D$636,45,FALSE)</f>
        <v>Provisiones o reversión de provisiones y otros resultados</v>
      </c>
      <c r="B76" s="44">
        <v>-11.362390209265543</v>
      </c>
      <c r="C76" s="44">
        <v>-50.80715137057338</v>
      </c>
      <c r="D76" s="44">
        <v>14.266458916888034</v>
      </c>
      <c r="E76" s="45">
        <v>15.277230888740869</v>
      </c>
      <c r="F76" s="44">
        <v>1.8089999799999967</v>
      </c>
      <c r="G76" s="44">
        <v>0</v>
      </c>
      <c r="H76" s="44">
        <v>0</v>
      </c>
      <c r="I76" s="44">
        <v>0</v>
      </c>
    </row>
    <row r="77" spans="1:9" ht="14.25">
      <c r="A77" s="41" t="str">
        <f>HLOOKUP(INDICE!$F$2,Nombres!$C$3:$D$636,46,FALSE)</f>
        <v>Resultado antes de impuestos</v>
      </c>
      <c r="B77" s="41">
        <f>+B74+B75+B76</f>
        <v>490.82117213573565</v>
      </c>
      <c r="C77" s="41">
        <f aca="true" t="shared" si="11" ref="C77:I77">+C74+C75+C76</f>
        <v>377.99099010922066</v>
      </c>
      <c r="D77" s="41">
        <f t="shared" si="11"/>
        <v>826.2833723578233</v>
      </c>
      <c r="E77" s="42">
        <f t="shared" si="11"/>
        <v>780.4139045731836</v>
      </c>
      <c r="F77" s="50">
        <f t="shared" si="11"/>
        <v>682.3364077600002</v>
      </c>
      <c r="G77" s="50">
        <f t="shared" si="11"/>
        <v>0</v>
      </c>
      <c r="H77" s="50">
        <f t="shared" si="11"/>
        <v>0</v>
      </c>
      <c r="I77" s="50">
        <f t="shared" si="11"/>
        <v>0</v>
      </c>
    </row>
    <row r="78" spans="1:9" ht="14.25">
      <c r="A78" s="43" t="str">
        <f>HLOOKUP(INDICE!$F$2,Nombres!$C$3:$D$636,47,FALSE)</f>
        <v>Impuesto sobre beneficios</v>
      </c>
      <c r="B78" s="44">
        <v>-155.1667035803082</v>
      </c>
      <c r="C78" s="44">
        <v>-75.15961955947962</v>
      </c>
      <c r="D78" s="44">
        <v>-257.97622386601125</v>
      </c>
      <c r="E78" s="45">
        <v>-225.66338422127745</v>
      </c>
      <c r="F78" s="44">
        <v>-189.35086325000003</v>
      </c>
      <c r="G78" s="44">
        <v>0</v>
      </c>
      <c r="H78" s="44">
        <v>0</v>
      </c>
      <c r="I78" s="44">
        <v>0</v>
      </c>
    </row>
    <row r="79" spans="1:9" ht="14.25">
      <c r="A79" s="41" t="str">
        <f>HLOOKUP(INDICE!$F$2,Nombres!$C$3:$D$636,48,FALSE)</f>
        <v>Resultado del ejercicio</v>
      </c>
      <c r="B79" s="41">
        <f>+B77+B78</f>
        <v>335.65446855542746</v>
      </c>
      <c r="C79" s="41">
        <f aca="true" t="shared" si="12" ref="C79:I79">+C77+C78</f>
        <v>302.83137054974105</v>
      </c>
      <c r="D79" s="41">
        <f t="shared" si="12"/>
        <v>568.3071484918121</v>
      </c>
      <c r="E79" s="42">
        <f t="shared" si="12"/>
        <v>554.7505203519061</v>
      </c>
      <c r="F79" s="50">
        <f t="shared" si="12"/>
        <v>492.9855445100001</v>
      </c>
      <c r="G79" s="50">
        <f t="shared" si="12"/>
        <v>0</v>
      </c>
      <c r="H79" s="50">
        <f t="shared" si="12"/>
        <v>0</v>
      </c>
      <c r="I79" s="50">
        <f t="shared" si="12"/>
        <v>0</v>
      </c>
    </row>
    <row r="80" spans="1:9" ht="14.25">
      <c r="A80" s="43" t="str">
        <f>HLOOKUP(INDICE!$F$2,Nombres!$C$3:$D$636,49,FALSE)</f>
        <v>Minoritarios</v>
      </c>
      <c r="B80" s="44">
        <v>-0.06124792200297222</v>
      </c>
      <c r="C80" s="44">
        <v>-0.057509559543490324</v>
      </c>
      <c r="D80" s="44">
        <v>-0.11534066075482333</v>
      </c>
      <c r="E80" s="45">
        <v>-0.09894117597509011</v>
      </c>
      <c r="F80" s="44">
        <v>-0.085</v>
      </c>
      <c r="G80" s="44">
        <v>0</v>
      </c>
      <c r="H80" s="44">
        <v>0</v>
      </c>
      <c r="I80" s="44">
        <v>0</v>
      </c>
    </row>
    <row r="81" spans="1:9" ht="14.25">
      <c r="A81" s="47" t="str">
        <f>HLOOKUP(INDICE!$F$2,Nombres!$C$3:$D$636,50,FALSE)</f>
        <v>Resultado atribuido</v>
      </c>
      <c r="B81" s="47">
        <f>+B79+B80</f>
        <v>335.5932206334245</v>
      </c>
      <c r="C81" s="47">
        <f aca="true" t="shared" si="13" ref="C81:I81">+C79+C80</f>
        <v>302.77386099019753</v>
      </c>
      <c r="D81" s="47">
        <f t="shared" si="13"/>
        <v>568.1918078310573</v>
      </c>
      <c r="E81" s="47">
        <f t="shared" si="13"/>
        <v>554.6515791759309</v>
      </c>
      <c r="F81" s="51">
        <f t="shared" si="13"/>
        <v>492.90054451000015</v>
      </c>
      <c r="G81" s="51">
        <f t="shared" si="13"/>
        <v>0</v>
      </c>
      <c r="H81" s="51">
        <f t="shared" si="13"/>
        <v>0</v>
      </c>
      <c r="I81" s="51">
        <f t="shared" si="13"/>
        <v>0</v>
      </c>
    </row>
    <row r="82" spans="1:9" ht="14.25">
      <c r="A82" s="62"/>
      <c r="B82" s="63">
        <v>0</v>
      </c>
      <c r="C82" s="63">
        <v>0</v>
      </c>
      <c r="D82" s="63">
        <v>0</v>
      </c>
      <c r="E82" s="63">
        <v>0</v>
      </c>
      <c r="F82" s="63">
        <v>-5.115907697472721E-13</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6368.943257495359</v>
      </c>
      <c r="C87" s="44">
        <v>7083.192456758705</v>
      </c>
      <c r="D87" s="44">
        <v>8699.614713977764</v>
      </c>
      <c r="E87" s="45">
        <v>9300.379728815842</v>
      </c>
      <c r="F87" s="44">
        <v>10641.473</v>
      </c>
      <c r="G87" s="44">
        <v>0</v>
      </c>
      <c r="H87" s="44">
        <v>0</v>
      </c>
      <c r="I87" s="44">
        <v>0</v>
      </c>
    </row>
    <row r="88" spans="1:9" ht="14.25">
      <c r="A88" s="43" t="str">
        <f>HLOOKUP(INDICE!$F$2,Nombres!$C$3:$D$636,53,FALSE)</f>
        <v>Activos financieros a valor razonable</v>
      </c>
      <c r="B88" s="58">
        <v>37823.10328781586</v>
      </c>
      <c r="C88" s="58">
        <v>36617.507129555685</v>
      </c>
      <c r="D88" s="58">
        <v>34771.642152384054</v>
      </c>
      <c r="E88" s="65">
        <v>36912.50565953163</v>
      </c>
      <c r="F88" s="44">
        <v>33914.79300004</v>
      </c>
      <c r="G88" s="44">
        <v>0</v>
      </c>
      <c r="H88" s="44">
        <v>0</v>
      </c>
      <c r="I88" s="44">
        <v>0</v>
      </c>
    </row>
    <row r="89" spans="1:9" ht="14.25">
      <c r="A89" s="43" t="str">
        <f>HLOOKUP(INDICE!$F$2,Nombres!$C$3:$D$636,54,FALSE)</f>
        <v>Activos financieros a coste amortizado</v>
      </c>
      <c r="B89" s="44">
        <v>64041.56536219685</v>
      </c>
      <c r="C89" s="44">
        <v>63023.98952506738</v>
      </c>
      <c r="D89" s="44">
        <v>61878.24496808008</v>
      </c>
      <c r="E89" s="45">
        <v>60727.469799617</v>
      </c>
      <c r="F89" s="44">
        <v>60857.970999929996</v>
      </c>
      <c r="G89" s="44">
        <v>0</v>
      </c>
      <c r="H89" s="44">
        <v>0</v>
      </c>
      <c r="I89" s="44">
        <v>0</v>
      </c>
    </row>
    <row r="90" spans="1:9" ht="14.25">
      <c r="A90" s="43" t="str">
        <f>HLOOKUP(INDICE!$F$2,Nombres!$C$3:$D$636,55,FALSE)</f>
        <v>    de los que préstamos y anticipos a la clientela</v>
      </c>
      <c r="B90" s="44">
        <v>54947.9461488202</v>
      </c>
      <c r="C90" s="44">
        <v>53337.9819554069</v>
      </c>
      <c r="D90" s="44">
        <v>52029.14076778168</v>
      </c>
      <c r="E90" s="45">
        <v>50762.106190507104</v>
      </c>
      <c r="F90" s="44">
        <v>51524.61899994</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1739.2067854653362</v>
      </c>
      <c r="C92" s="44">
        <v>1707.3304226116193</v>
      </c>
      <c r="D92" s="44">
        <v>1674.4092277209165</v>
      </c>
      <c r="E92" s="45">
        <v>1672.2705256658169</v>
      </c>
      <c r="F92" s="44">
        <v>1643.95599999</v>
      </c>
      <c r="G92" s="44">
        <v>0</v>
      </c>
      <c r="H92" s="44">
        <v>0</v>
      </c>
      <c r="I92" s="44">
        <v>0</v>
      </c>
    </row>
    <row r="93" spans="1:9" ht="14.25">
      <c r="A93" s="43" t="str">
        <f>HLOOKUP(INDICE!$F$2,Nombres!$C$3:$D$636,57,FALSE)</f>
        <v>Otros activos</v>
      </c>
      <c r="B93" s="58">
        <f>+B94-B92-B89-B88-B87</f>
        <v>3449.1894427871684</v>
      </c>
      <c r="C93" s="58">
        <f aca="true" t="shared" si="15" ref="C93:I93">+C94-C92-C89-C88-C87</f>
        <v>3422.0117725589225</v>
      </c>
      <c r="D93" s="58">
        <f t="shared" si="15"/>
        <v>3403.4521773270353</v>
      </c>
      <c r="E93" s="65">
        <f t="shared" si="15"/>
        <v>3298.650268388443</v>
      </c>
      <c r="F93" s="44">
        <f t="shared" si="15"/>
        <v>3354.11505898</v>
      </c>
      <c r="G93" s="44">
        <f t="shared" si="15"/>
        <v>0</v>
      </c>
      <c r="H93" s="44">
        <f t="shared" si="15"/>
        <v>0</v>
      </c>
      <c r="I93" s="44">
        <f t="shared" si="15"/>
        <v>0</v>
      </c>
    </row>
    <row r="94" spans="1:9" ht="14.25">
      <c r="A94" s="47" t="str">
        <f>HLOOKUP(INDICE!$F$2,Nombres!$C$3:$D$636,58,FALSE)</f>
        <v>Total activo / pasivo</v>
      </c>
      <c r="B94" s="47">
        <v>113422.00813576058</v>
      </c>
      <c r="C94" s="47">
        <v>111854.03130655231</v>
      </c>
      <c r="D94" s="47">
        <v>110427.36323948985</v>
      </c>
      <c r="E94" s="47">
        <v>111911.27598201873</v>
      </c>
      <c r="F94" s="51">
        <v>110412.30805893999</v>
      </c>
      <c r="G94" s="51">
        <v>0</v>
      </c>
      <c r="H94" s="51">
        <v>0</v>
      </c>
      <c r="I94" s="51">
        <v>0</v>
      </c>
    </row>
    <row r="95" spans="1:9" ht="14.25">
      <c r="A95" s="43" t="str">
        <f>HLOOKUP(INDICE!$F$2,Nombres!$C$3:$D$636,59,FALSE)</f>
        <v>Pasivos financieros mantenidos para negociar y designados a valor razonable con cambios en resultados</v>
      </c>
      <c r="B95" s="58">
        <v>27861.01917103033</v>
      </c>
      <c r="C95" s="58">
        <v>26425.50792272271</v>
      </c>
      <c r="D95" s="58">
        <v>23485.865534578665</v>
      </c>
      <c r="E95" s="65">
        <v>24162.904271684856</v>
      </c>
      <c r="F95" s="44">
        <v>21138.310999990004</v>
      </c>
      <c r="G95" s="44">
        <v>0</v>
      </c>
      <c r="H95" s="44">
        <v>0</v>
      </c>
      <c r="I95" s="44">
        <v>0</v>
      </c>
    </row>
    <row r="96" spans="1:9" ht="14.25">
      <c r="A96" s="43" t="str">
        <f>HLOOKUP(INDICE!$F$2,Nombres!$C$3:$D$636,60,FALSE)</f>
        <v>Depósitos de bancos centrales y entidades de crédito</v>
      </c>
      <c r="B96" s="58">
        <v>3558.9045480966224</v>
      </c>
      <c r="C96" s="58">
        <v>3340.229875663901</v>
      </c>
      <c r="D96" s="58">
        <v>3770.2754332343306</v>
      </c>
      <c r="E96" s="65">
        <v>5203.114714530356</v>
      </c>
      <c r="F96" s="44">
        <v>5023.4619999999995</v>
      </c>
      <c r="G96" s="44">
        <v>0</v>
      </c>
      <c r="H96" s="44">
        <v>0</v>
      </c>
      <c r="I96" s="44">
        <v>0</v>
      </c>
    </row>
    <row r="97" spans="1:9" ht="14.25">
      <c r="A97" s="43" t="str">
        <f>HLOOKUP(INDICE!$F$2,Nombres!$C$3:$D$636,61,FALSE)</f>
        <v>Depósitos de la clientela</v>
      </c>
      <c r="B97" s="58">
        <v>53411.37087041452</v>
      </c>
      <c r="C97" s="58">
        <v>54372.438763035694</v>
      </c>
      <c r="D97" s="58">
        <v>55274.90582509199</v>
      </c>
      <c r="E97" s="65">
        <v>54873.00626160895</v>
      </c>
      <c r="F97" s="44">
        <v>56832.47199996999</v>
      </c>
      <c r="G97" s="44">
        <v>0</v>
      </c>
      <c r="H97" s="44">
        <v>0</v>
      </c>
      <c r="I97" s="44">
        <v>0</v>
      </c>
    </row>
    <row r="98" spans="1:9" ht="14.25">
      <c r="A98" s="43" t="str">
        <f>HLOOKUP(INDICE!$F$2,Nombres!$C$3:$D$636,62,FALSE)</f>
        <v>Valores representativos de deuda emitidos</v>
      </c>
      <c r="B98" s="44">
        <v>9533.934783460634</v>
      </c>
      <c r="C98" s="44">
        <v>8488.964586311016</v>
      </c>
      <c r="D98" s="44">
        <v>8581.473522577722</v>
      </c>
      <c r="E98" s="45">
        <v>7756.078589408449</v>
      </c>
      <c r="F98" s="44">
        <v>7575.2311366700005</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12036.969733594176</v>
      </c>
      <c r="C100" s="58">
        <f aca="true" t="shared" si="16" ref="C100:I100">+C94-C95-C96-C97-C98-C101</f>
        <v>12104.479612779272</v>
      </c>
      <c r="D100" s="58">
        <f t="shared" si="16"/>
        <v>12329.321465356661</v>
      </c>
      <c r="E100" s="65">
        <f t="shared" si="16"/>
        <v>13106.954831971712</v>
      </c>
      <c r="F100" s="44">
        <f t="shared" si="16"/>
        <v>12742.700459369997</v>
      </c>
      <c r="G100" s="44">
        <f t="shared" si="16"/>
        <v>0</v>
      </c>
      <c r="H100" s="44">
        <f t="shared" si="16"/>
        <v>0</v>
      </c>
      <c r="I100" s="44">
        <f t="shared" si="16"/>
        <v>0</v>
      </c>
    </row>
    <row r="101" spans="1:9" ht="14.25">
      <c r="A101" s="43" t="str">
        <f>HLOOKUP(INDICE!$F$2,Nombres!$C$3:$D$636,282,FALSE)</f>
        <v>Dotación de capital regulatorio</v>
      </c>
      <c r="B101" s="44">
        <v>7019.809029164304</v>
      </c>
      <c r="C101" s="44">
        <v>7122.410546039708</v>
      </c>
      <c r="D101" s="44">
        <v>6985.521458650469</v>
      </c>
      <c r="E101" s="44">
        <v>6809.217312814422</v>
      </c>
      <c r="F101" s="44">
        <v>7100.131462939999</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66" t="str">
        <f>HLOOKUP(INDICE!$F$2,Nombres!$C$3:$D$636,65,FALSE)</f>
        <v>Indicadores relevantes y de gestión</v>
      </c>
      <c r="B104" s="67"/>
      <c r="C104" s="67"/>
      <c r="D104" s="67"/>
      <c r="E104" s="67"/>
      <c r="F104" s="72"/>
      <c r="G104" s="72"/>
      <c r="H104" s="72"/>
      <c r="I104" s="72"/>
    </row>
    <row r="105" spans="1:9" ht="14.25">
      <c r="A105" s="35" t="str">
        <f>HLOOKUP(INDICE!$F$2,Nombres!$C$3:$D$636,73,FALSE)</f>
        <v>(Millones de euros constantes)</v>
      </c>
      <c r="B105" s="30"/>
      <c r="C105" s="30"/>
      <c r="D105" s="30"/>
      <c r="E105" s="30"/>
      <c r="F105" s="70"/>
      <c r="G105" s="70"/>
      <c r="H105" s="70"/>
      <c r="I105" s="70"/>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57057.58351087102</v>
      </c>
      <c r="C107" s="44">
        <v>55465.31303958688</v>
      </c>
      <c r="D107" s="44">
        <v>54222.69398089197</v>
      </c>
      <c r="E107" s="45">
        <v>53006.47396784782</v>
      </c>
      <c r="F107" s="44">
        <v>53660.75163941001</v>
      </c>
      <c r="G107" s="44">
        <v>0</v>
      </c>
      <c r="H107" s="44">
        <v>0</v>
      </c>
      <c r="I107" s="44">
        <v>0</v>
      </c>
    </row>
    <row r="108" spans="1:9" ht="14.25">
      <c r="A108" s="43" t="str">
        <f>HLOOKUP(INDICE!$F$2,Nombres!$C$3:$D$636,67,FALSE)</f>
        <v>Depósitos de clientes en gestión (**)</v>
      </c>
      <c r="B108" s="44">
        <v>53263.80631849142</v>
      </c>
      <c r="C108" s="44">
        <v>54084.17499515748</v>
      </c>
      <c r="D108" s="44">
        <v>54907.26902650379</v>
      </c>
      <c r="E108" s="45">
        <v>54591.65151323691</v>
      </c>
      <c r="F108" s="44">
        <v>56488.99468851001</v>
      </c>
      <c r="G108" s="44">
        <v>0</v>
      </c>
      <c r="H108" s="44">
        <v>0</v>
      </c>
      <c r="I108" s="44">
        <v>0</v>
      </c>
    </row>
    <row r="109" spans="1:9" ht="14.25">
      <c r="A109" s="43" t="str">
        <f>HLOOKUP(INDICE!$F$2,Nombres!$C$3:$D$636,68,FALSE)</f>
        <v>Fondos de inversión</v>
      </c>
      <c r="B109" s="44">
        <v>20178.63382412767</v>
      </c>
      <c r="C109" s="44">
        <v>20885.83129010146</v>
      </c>
      <c r="D109" s="44">
        <v>21331.021170643395</v>
      </c>
      <c r="E109" s="45">
        <v>20974.05705696433</v>
      </c>
      <c r="F109" s="44">
        <v>21935.72547235</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2261.8305506935767</v>
      </c>
      <c r="C111" s="44">
        <v>2062.7821907940724</v>
      </c>
      <c r="D111" s="44">
        <v>1889.136416618521</v>
      </c>
      <c r="E111" s="45">
        <v>1891.7474819491465</v>
      </c>
      <c r="F111" s="44">
        <v>1898.5095293499999</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HLOOKUP(INDICE!$F$2,Nombres!$C$3:$D$636,74,FALSE)</f>
        <v>(Millones de pesos mexicanos)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34138.19111623784</v>
      </c>
      <c r="C120" s="41">
        <v>30736.277456811848</v>
      </c>
      <c r="D120" s="41">
        <v>34158.92017100016</v>
      </c>
      <c r="E120" s="42">
        <v>33787.93162903715</v>
      </c>
      <c r="F120" s="50">
        <v>33509.60308059932</v>
      </c>
      <c r="G120" s="50">
        <v>0</v>
      </c>
      <c r="H120" s="50">
        <v>0</v>
      </c>
      <c r="I120" s="50">
        <v>0</v>
      </c>
    </row>
    <row r="121" spans="1:9" ht="14.25">
      <c r="A121" s="43" t="str">
        <f>HLOOKUP(INDICE!$F$2,Nombres!$C$3:$D$636,34,FALSE)</f>
        <v>Comisiones netas</v>
      </c>
      <c r="B121" s="44">
        <v>6530.433106251778</v>
      </c>
      <c r="C121" s="44">
        <v>5678.102997384022</v>
      </c>
      <c r="D121" s="44">
        <v>6515.264667350748</v>
      </c>
      <c r="E121" s="45">
        <v>7300.64268294067</v>
      </c>
      <c r="F121" s="44">
        <v>6906.020329253886</v>
      </c>
      <c r="G121" s="44">
        <v>0</v>
      </c>
      <c r="H121" s="44">
        <v>0</v>
      </c>
      <c r="I121" s="44">
        <v>0</v>
      </c>
    </row>
    <row r="122" spans="1:9" ht="14.25">
      <c r="A122" s="43" t="str">
        <f>HLOOKUP(INDICE!$F$2,Nombres!$C$3:$D$636,35,FALSE)</f>
        <v>Resultados de operaciones financieras</v>
      </c>
      <c r="B122" s="44">
        <v>1728.9227129235874</v>
      </c>
      <c r="C122" s="44">
        <v>3799.5759093936626</v>
      </c>
      <c r="D122" s="44">
        <v>2572.8485934907894</v>
      </c>
      <c r="E122" s="45">
        <v>2270.1171562147865</v>
      </c>
      <c r="F122" s="44">
        <v>1695.8157988297858</v>
      </c>
      <c r="G122" s="44">
        <v>0</v>
      </c>
      <c r="H122" s="44">
        <v>0</v>
      </c>
      <c r="I122" s="44">
        <v>0</v>
      </c>
    </row>
    <row r="123" spans="1:9" ht="14.25">
      <c r="A123" s="43" t="str">
        <f>HLOOKUP(INDICE!$F$2,Nombres!$C$3:$D$636,36,FALSE)</f>
        <v>Otros ingresos y cargas de explotación</v>
      </c>
      <c r="B123" s="44">
        <v>1633.6654087374682</v>
      </c>
      <c r="C123" s="44">
        <v>585.2129102386382</v>
      </c>
      <c r="D123" s="44">
        <v>418.21684801119716</v>
      </c>
      <c r="E123" s="45">
        <v>459.8567603967312</v>
      </c>
      <c r="F123" s="44">
        <v>1074.4640134098381</v>
      </c>
      <c r="G123" s="44">
        <v>0</v>
      </c>
      <c r="H123" s="44">
        <v>0</v>
      </c>
      <c r="I123" s="44">
        <v>0</v>
      </c>
    </row>
    <row r="124" spans="1:9" ht="14.25">
      <c r="A124" s="41" t="str">
        <f>HLOOKUP(INDICE!$F$2,Nombres!$C$3:$D$636,37,FALSE)</f>
        <v>Margen bruto</v>
      </c>
      <c r="B124" s="41">
        <f>+SUM(B120:B123)</f>
        <v>44031.21234415067</v>
      </c>
      <c r="C124" s="41">
        <f aca="true" t="shared" si="19" ref="C124:I124">+SUM(C120:C123)</f>
        <v>40799.16927382817</v>
      </c>
      <c r="D124" s="41">
        <f t="shared" si="19"/>
        <v>43665.25027985289</v>
      </c>
      <c r="E124" s="42">
        <f t="shared" si="19"/>
        <v>43818.54822858934</v>
      </c>
      <c r="F124" s="50">
        <f t="shared" si="19"/>
        <v>43185.90322209283</v>
      </c>
      <c r="G124" s="50">
        <f t="shared" si="19"/>
        <v>0</v>
      </c>
      <c r="H124" s="50">
        <f t="shared" si="19"/>
        <v>0</v>
      </c>
      <c r="I124" s="50">
        <f t="shared" si="19"/>
        <v>0</v>
      </c>
    </row>
    <row r="125" spans="1:9" ht="14.25">
      <c r="A125" s="43" t="str">
        <f>HLOOKUP(INDICE!$F$2,Nombres!$C$3:$D$636,38,FALSE)</f>
        <v>Gastos de explotación</v>
      </c>
      <c r="B125" s="44">
        <v>-14634.841459521544</v>
      </c>
      <c r="C125" s="44">
        <v>-14068.109925716613</v>
      </c>
      <c r="D125" s="44">
        <v>-14120.166838298606</v>
      </c>
      <c r="E125" s="45">
        <v>-14685.272738734762</v>
      </c>
      <c r="F125" s="44">
        <v>-15263.53956822146</v>
      </c>
      <c r="G125" s="44">
        <v>0</v>
      </c>
      <c r="H125" s="44">
        <v>0</v>
      </c>
      <c r="I125" s="44">
        <v>0</v>
      </c>
    </row>
    <row r="126" spans="1:9" ht="14.25">
      <c r="A126" s="43" t="str">
        <f>HLOOKUP(INDICE!$F$2,Nombres!$C$3:$D$636,39,FALSE)</f>
        <v>  Gastos de administración</v>
      </c>
      <c r="B126" s="44">
        <v>-12744.843743039342</v>
      </c>
      <c r="C126" s="44">
        <v>-12169.753724311942</v>
      </c>
      <c r="D126" s="44">
        <v>-12190.336637620892</v>
      </c>
      <c r="E126" s="45">
        <v>-12760.920751751784</v>
      </c>
      <c r="F126" s="44">
        <v>-13340.683727420137</v>
      </c>
      <c r="G126" s="44">
        <v>0</v>
      </c>
      <c r="H126" s="44">
        <v>0</v>
      </c>
      <c r="I126" s="44">
        <v>0</v>
      </c>
    </row>
    <row r="127" spans="1:9" ht="14.25">
      <c r="A127" s="46" t="str">
        <f>HLOOKUP(INDICE!$F$2,Nombres!$C$3:$D$636,40,FALSE)</f>
        <v>  Gastos de personal</v>
      </c>
      <c r="B127" s="44">
        <v>-6362.594523771981</v>
      </c>
      <c r="C127" s="44">
        <v>-5442.810605176379</v>
      </c>
      <c r="D127" s="44">
        <v>-5919.059742137179</v>
      </c>
      <c r="E127" s="45">
        <v>-6206.888693523581</v>
      </c>
      <c r="F127" s="44">
        <v>-6258.97552850142</v>
      </c>
      <c r="G127" s="44">
        <v>0</v>
      </c>
      <c r="H127" s="44">
        <v>0</v>
      </c>
      <c r="I127" s="44">
        <v>0</v>
      </c>
    </row>
    <row r="128" spans="1:9" ht="14.25">
      <c r="A128" s="46" t="str">
        <f>HLOOKUP(INDICE!$F$2,Nombres!$C$3:$D$636,41,FALSE)</f>
        <v>  Otros gastos de administración</v>
      </c>
      <c r="B128" s="44">
        <v>-6382.24921926736</v>
      </c>
      <c r="C128" s="44">
        <v>-6726.943119135563</v>
      </c>
      <c r="D128" s="44">
        <v>-6271.276895483714</v>
      </c>
      <c r="E128" s="45">
        <v>-6554.032058228204</v>
      </c>
      <c r="F128" s="44">
        <v>-7081.708198918718</v>
      </c>
      <c r="G128" s="44">
        <v>0</v>
      </c>
      <c r="H128" s="44">
        <v>0</v>
      </c>
      <c r="I128" s="44">
        <v>0</v>
      </c>
    </row>
    <row r="129" spans="1:9" ht="14.25">
      <c r="A129" s="43" t="str">
        <f>HLOOKUP(INDICE!$F$2,Nombres!$C$3:$D$636,42,FALSE)</f>
        <v>  Amortización</v>
      </c>
      <c r="B129" s="44">
        <v>-1889.9977164822017</v>
      </c>
      <c r="C129" s="44">
        <v>-1898.3562014046718</v>
      </c>
      <c r="D129" s="44">
        <v>-1929.8302006777142</v>
      </c>
      <c r="E129" s="45">
        <v>-1924.351986982978</v>
      </c>
      <c r="F129" s="44">
        <v>-1922.8558408013214</v>
      </c>
      <c r="G129" s="44">
        <v>0</v>
      </c>
      <c r="H129" s="44">
        <v>0</v>
      </c>
      <c r="I129" s="44">
        <v>0</v>
      </c>
    </row>
    <row r="130" spans="1:9" ht="14.25">
      <c r="A130" s="41" t="str">
        <f>HLOOKUP(INDICE!$F$2,Nombres!$C$3:$D$636,43,FALSE)</f>
        <v>Margen neto</v>
      </c>
      <c r="B130" s="41">
        <f>+B124+B125</f>
        <v>29396.370884629127</v>
      </c>
      <c r="C130" s="41">
        <f aca="true" t="shared" si="20" ref="C130:I130">+C124+C125</f>
        <v>26731.059348111557</v>
      </c>
      <c r="D130" s="41">
        <f t="shared" si="20"/>
        <v>29545.08344155428</v>
      </c>
      <c r="E130" s="42">
        <f t="shared" si="20"/>
        <v>29133.275489854575</v>
      </c>
      <c r="F130" s="50">
        <f t="shared" si="20"/>
        <v>27922.36365387137</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-17079.2031663381</v>
      </c>
      <c r="C131" s="44">
        <v>-16213.832138930902</v>
      </c>
      <c r="D131" s="44">
        <v>-9628.564337988364</v>
      </c>
      <c r="E131" s="45">
        <v>-10366.598434200449</v>
      </c>
      <c r="F131" s="44">
        <v>-11230.916846296415</v>
      </c>
      <c r="G131" s="44">
        <v>0</v>
      </c>
      <c r="H131" s="44">
        <v>0</v>
      </c>
      <c r="I131" s="44">
        <v>0</v>
      </c>
    </row>
    <row r="132" spans="1:9" ht="14.25">
      <c r="A132" s="43" t="str">
        <f>HLOOKUP(INDICE!$F$2,Nombres!$C$3:$D$636,45,FALSE)</f>
        <v>Provisiones o reversión de provisiones y otros resultados</v>
      </c>
      <c r="B132" s="44">
        <v>-278.6878671111182</v>
      </c>
      <c r="C132" s="44">
        <v>-1246.1582808439798</v>
      </c>
      <c r="D132" s="44">
        <v>349.9166050056751</v>
      </c>
      <c r="E132" s="45">
        <v>374.70803355049446</v>
      </c>
      <c r="F132" s="44">
        <v>44.36974410711076</v>
      </c>
      <c r="G132" s="44">
        <v>0</v>
      </c>
      <c r="H132" s="44">
        <v>0</v>
      </c>
      <c r="I132" s="44">
        <v>0</v>
      </c>
    </row>
    <row r="133" spans="1:9" ht="14.25">
      <c r="A133" s="41" t="str">
        <f>HLOOKUP(INDICE!$F$2,Nombres!$C$3:$D$636,46,FALSE)</f>
        <v>Resultado antes de impuestos</v>
      </c>
      <c r="B133" s="41">
        <f>+B130+B131+B132</f>
        <v>12038.479851179909</v>
      </c>
      <c r="C133" s="41">
        <f aca="true" t="shared" si="21" ref="C133:I133">+C130+C131+C132</f>
        <v>9271.068928336676</v>
      </c>
      <c r="D133" s="41">
        <f t="shared" si="21"/>
        <v>20266.43570857159</v>
      </c>
      <c r="E133" s="42">
        <f t="shared" si="21"/>
        <v>19141.38508920462</v>
      </c>
      <c r="F133" s="50">
        <f t="shared" si="21"/>
        <v>16735.816551682063</v>
      </c>
      <c r="G133" s="50">
        <f t="shared" si="21"/>
        <v>0</v>
      </c>
      <c r="H133" s="50">
        <f t="shared" si="21"/>
        <v>0</v>
      </c>
      <c r="I133" s="50">
        <f t="shared" si="21"/>
        <v>0</v>
      </c>
    </row>
    <row r="134" spans="1:9" ht="14.25">
      <c r="A134" s="43" t="str">
        <f>HLOOKUP(INDICE!$F$2,Nombres!$C$3:$D$636,47,FALSE)</f>
        <v>Impuesto sobre beneficios</v>
      </c>
      <c r="B134" s="44">
        <v>-3805.8081856928584</v>
      </c>
      <c r="C134" s="44">
        <v>-1843.4566743565824</v>
      </c>
      <c r="D134" s="44">
        <v>-6327.440113434218</v>
      </c>
      <c r="E134" s="45">
        <v>-5534.895922023584</v>
      </c>
      <c r="F134" s="44">
        <v>-4644.250658788325</v>
      </c>
      <c r="G134" s="44">
        <v>0</v>
      </c>
      <c r="H134" s="44">
        <v>0</v>
      </c>
      <c r="I134" s="44">
        <v>0</v>
      </c>
    </row>
    <row r="135" spans="1:9" ht="14.25">
      <c r="A135" s="41" t="str">
        <f>HLOOKUP(INDICE!$F$2,Nombres!$C$3:$D$636,48,FALSE)</f>
        <v>Resultado del ejercicio</v>
      </c>
      <c r="B135" s="41">
        <f>+B133+B134</f>
        <v>8232.67166548705</v>
      </c>
      <c r="C135" s="41">
        <f aca="true" t="shared" si="22" ref="C135:I135">+C133+C134</f>
        <v>7427.612253980093</v>
      </c>
      <c r="D135" s="41">
        <f t="shared" si="22"/>
        <v>13938.99559513737</v>
      </c>
      <c r="E135" s="42">
        <f t="shared" si="22"/>
        <v>13606.489167181036</v>
      </c>
      <c r="F135" s="50">
        <f t="shared" si="22"/>
        <v>12091.565892893737</v>
      </c>
      <c r="G135" s="50">
        <f t="shared" si="22"/>
        <v>0</v>
      </c>
      <c r="H135" s="50">
        <f t="shared" si="22"/>
        <v>0</v>
      </c>
      <c r="I135" s="50">
        <f t="shared" si="22"/>
        <v>0</v>
      </c>
    </row>
    <row r="136" spans="1:9" ht="14.25">
      <c r="A136" s="43" t="str">
        <f>HLOOKUP(INDICE!$F$2,Nombres!$C$3:$D$636,49,FALSE)</f>
        <v>Minoritarios</v>
      </c>
      <c r="B136" s="44">
        <v>-1.502241379993918</v>
      </c>
      <c r="C136" s="44">
        <v>-1.4105497340344517</v>
      </c>
      <c r="D136" s="44">
        <v>-2.8289859919382696</v>
      </c>
      <c r="E136" s="45">
        <v>-2.4267521880632548</v>
      </c>
      <c r="F136" s="44">
        <v>-2.084813869983809</v>
      </c>
      <c r="G136" s="44">
        <v>0</v>
      </c>
      <c r="H136" s="44">
        <v>0</v>
      </c>
      <c r="I136" s="44">
        <v>0</v>
      </c>
    </row>
    <row r="137" spans="1:9" ht="14.25">
      <c r="A137" s="47" t="str">
        <f>HLOOKUP(INDICE!$F$2,Nombres!$C$3:$D$636,50,FALSE)</f>
        <v>Resultado atribuido</v>
      </c>
      <c r="B137" s="47">
        <f>+B135+B136</f>
        <v>8231.169424107056</v>
      </c>
      <c r="C137" s="47">
        <f aca="true" t="shared" si="23" ref="C137:I137">+C135+C136</f>
        <v>7426.201704246058</v>
      </c>
      <c r="D137" s="47">
        <f t="shared" si="23"/>
        <v>13936.166609145432</v>
      </c>
      <c r="E137" s="47">
        <f t="shared" si="23"/>
        <v>13604.062414992974</v>
      </c>
      <c r="F137" s="51">
        <f t="shared" si="23"/>
        <v>12089.481079023753</v>
      </c>
      <c r="G137" s="51">
        <f t="shared" si="23"/>
        <v>0</v>
      </c>
      <c r="H137" s="51">
        <f t="shared" si="23"/>
        <v>0</v>
      </c>
      <c r="I137" s="51">
        <f t="shared" si="23"/>
        <v>0</v>
      </c>
    </row>
    <row r="138" spans="1:9" ht="14.25">
      <c r="A138" s="62"/>
      <c r="B138" s="63">
        <v>0</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HLOOKUP(INDICE!$F$2,Nombres!$C$3:$D$636,74,FALSE)</f>
        <v>(Millones de pesos mexicanos)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153176.90670873935</v>
      </c>
      <c r="C143" s="44">
        <v>170355.02850054484</v>
      </c>
      <c r="D143" s="44">
        <v>209230.95364002298</v>
      </c>
      <c r="E143" s="45">
        <v>223679.71270588966</v>
      </c>
      <c r="F143" s="44">
        <v>255933.81053383587</v>
      </c>
      <c r="G143" s="44">
        <v>0</v>
      </c>
      <c r="H143" s="44">
        <v>0</v>
      </c>
      <c r="I143" s="44">
        <v>0</v>
      </c>
    </row>
    <row r="144" spans="1:9" ht="14.25">
      <c r="A144" s="43" t="str">
        <f>HLOOKUP(INDICE!$F$2,Nombres!$C$3:$D$636,53,FALSE)</f>
        <v>Activos financieros a valor razonable</v>
      </c>
      <c r="B144" s="58">
        <v>909668.3279340717</v>
      </c>
      <c r="C144" s="58">
        <v>880673.0169702156</v>
      </c>
      <c r="D144" s="58">
        <v>836278.8567502454</v>
      </c>
      <c r="E144" s="65">
        <v>887767.9086152557</v>
      </c>
      <c r="F144" s="44">
        <v>815671.1205268765</v>
      </c>
      <c r="G144" s="44">
        <v>0</v>
      </c>
      <c r="H144" s="44">
        <v>0</v>
      </c>
      <c r="I144" s="44">
        <v>0</v>
      </c>
    </row>
    <row r="145" spans="1:9" ht="14.25">
      <c r="A145" s="43" t="str">
        <f>HLOOKUP(INDICE!$F$2,Nombres!$C$3:$D$636,54,FALSE)</f>
        <v>Activos financieros a coste amortizado</v>
      </c>
      <c r="B145" s="44">
        <v>1540238.0719002676</v>
      </c>
      <c r="C145" s="44">
        <v>1515764.7624717986</v>
      </c>
      <c r="D145" s="44">
        <v>1488208.9184295156</v>
      </c>
      <c r="E145" s="45">
        <v>1460532.0851628738</v>
      </c>
      <c r="F145" s="44">
        <v>1463670.7173311217</v>
      </c>
      <c r="G145" s="44">
        <v>0</v>
      </c>
      <c r="H145" s="44">
        <v>0</v>
      </c>
      <c r="I145" s="44">
        <v>0</v>
      </c>
    </row>
    <row r="146" spans="1:9" ht="14.25">
      <c r="A146" s="43" t="str">
        <f>HLOOKUP(INDICE!$F$2,Nombres!$C$3:$D$636,55,FALSE)</f>
        <v>    de los que préstamos y anticipos a la clientela</v>
      </c>
      <c r="B146" s="44">
        <v>1321531.0736470008</v>
      </c>
      <c r="C146" s="44">
        <v>1282810.4688168894</v>
      </c>
      <c r="D146" s="44">
        <v>1251332.0529497862</v>
      </c>
      <c r="E146" s="45">
        <v>1220859.1111455811</v>
      </c>
      <c r="F146" s="44">
        <v>1239198.001720131</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41828.966714518494</v>
      </c>
      <c r="C148" s="44">
        <v>41062.32106206878</v>
      </c>
      <c r="D148" s="44">
        <v>40270.546572230334</v>
      </c>
      <c r="E148" s="45">
        <v>40219.10950458394</v>
      </c>
      <c r="F148" s="44">
        <v>39538.12817336504</v>
      </c>
      <c r="G148" s="44">
        <v>0</v>
      </c>
      <c r="H148" s="44">
        <v>0</v>
      </c>
      <c r="I148" s="44">
        <v>0</v>
      </c>
    </row>
    <row r="149" spans="1:9" ht="14.25">
      <c r="A149" s="43" t="str">
        <f>HLOOKUP(INDICE!$F$2,Nombres!$C$3:$D$636,57,FALSE)</f>
        <v>Otros activos</v>
      </c>
      <c r="B149" s="58">
        <f>+B150-B148-B145-B144-B143</f>
        <v>82955.07561270904</v>
      </c>
      <c r="C149" s="58">
        <f aca="true" t="shared" si="25" ref="C149:I149">+C150-C148-C145-C144-C143</f>
        <v>82301.43633711617</v>
      </c>
      <c r="D149" s="58">
        <f t="shared" si="25"/>
        <v>81855.06693603218</v>
      </c>
      <c r="E149" s="65">
        <f t="shared" si="25"/>
        <v>79334.51814491447</v>
      </c>
      <c r="F149" s="44">
        <f t="shared" si="25"/>
        <v>80668.47963751564</v>
      </c>
      <c r="G149" s="44">
        <f t="shared" si="25"/>
        <v>0</v>
      </c>
      <c r="H149" s="44">
        <f t="shared" si="25"/>
        <v>0</v>
      </c>
      <c r="I149" s="44">
        <f t="shared" si="25"/>
        <v>0</v>
      </c>
    </row>
    <row r="150" spans="1:9" ht="14.25">
      <c r="A150" s="47" t="str">
        <f>HLOOKUP(INDICE!$F$2,Nombres!$C$3:$D$636,58,FALSE)</f>
        <v>Total activo / pasivo</v>
      </c>
      <c r="B150" s="47">
        <v>2727867.3488703063</v>
      </c>
      <c r="C150" s="47">
        <v>2690156.565341744</v>
      </c>
      <c r="D150" s="47">
        <v>2655844.3423280464</v>
      </c>
      <c r="E150" s="47">
        <v>2691533.3341335175</v>
      </c>
      <c r="F150" s="51">
        <v>2655482.256202715</v>
      </c>
      <c r="G150" s="51">
        <v>0</v>
      </c>
      <c r="H150" s="51">
        <v>0</v>
      </c>
      <c r="I150" s="51">
        <v>0</v>
      </c>
    </row>
    <row r="151" spans="1:9" ht="14.25">
      <c r="A151" s="43" t="str">
        <f>HLOOKUP(INDICE!$F$2,Nombres!$C$3:$D$636,59,FALSE)</f>
        <v>Pasivos financieros mantenidos para negociar y designados a valor razonable con cambios en resultados</v>
      </c>
      <c r="B151" s="58">
        <v>670074.2276748761</v>
      </c>
      <c r="C151" s="58">
        <v>635549.3208463241</v>
      </c>
      <c r="D151" s="58">
        <v>564849.157626017</v>
      </c>
      <c r="E151" s="65">
        <v>581132.3454766653</v>
      </c>
      <c r="F151" s="44">
        <v>508389.06253643084</v>
      </c>
      <c r="G151" s="44">
        <v>0</v>
      </c>
      <c r="H151" s="44">
        <v>0</v>
      </c>
      <c r="I151" s="44">
        <v>0</v>
      </c>
    </row>
    <row r="152" spans="1:9" ht="14.25">
      <c r="A152" s="43" t="str">
        <f>HLOOKUP(INDICE!$F$2,Nombres!$C$3:$D$636,60,FALSE)</f>
        <v>Depósitos de bancos centrales y entidades de crédito</v>
      </c>
      <c r="B152" s="58">
        <v>85593.78972446463</v>
      </c>
      <c r="C152" s="58">
        <v>80334.53264765351</v>
      </c>
      <c r="D152" s="58">
        <v>90677.38633455834</v>
      </c>
      <c r="E152" s="65">
        <v>125138.03075330133</v>
      </c>
      <c r="F152" s="44">
        <v>120817.27517721696</v>
      </c>
      <c r="G152" s="44">
        <v>0</v>
      </c>
      <c r="H152" s="44">
        <v>0</v>
      </c>
      <c r="I152" s="44">
        <v>0</v>
      </c>
    </row>
    <row r="153" spans="1:9" ht="14.25">
      <c r="A153" s="43" t="str">
        <f>HLOOKUP(INDICE!$F$2,Nombres!$C$3:$D$636,61,FALSE)</f>
        <v>Depósitos de la clientela</v>
      </c>
      <c r="B153" s="58">
        <v>1284575.5162561713</v>
      </c>
      <c r="C153" s="58">
        <v>1307689.77571445</v>
      </c>
      <c r="D153" s="58">
        <v>1329394.650037144</v>
      </c>
      <c r="E153" s="65">
        <v>1319728.7243956374</v>
      </c>
      <c r="F153" s="44">
        <v>1366855.0510826702</v>
      </c>
      <c r="G153" s="44">
        <v>0</v>
      </c>
      <c r="H153" s="44">
        <v>0</v>
      </c>
      <c r="I153" s="44">
        <v>0</v>
      </c>
    </row>
    <row r="154" spans="1:9" ht="14.25">
      <c r="A154" s="43" t="str">
        <f>HLOOKUP(INDICE!$F$2,Nombres!$C$3:$D$636,62,FALSE)</f>
        <v>Valores representativos de deuda emitidos</v>
      </c>
      <c r="B154" s="44">
        <v>229296.85190313045</v>
      </c>
      <c r="C154" s="44">
        <v>204164.6916795604</v>
      </c>
      <c r="D154" s="44">
        <v>206389.58710213675</v>
      </c>
      <c r="E154" s="45">
        <v>186538.34372245302</v>
      </c>
      <c r="F154" s="44">
        <v>182188.85397562105</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289496.3442748213</v>
      </c>
      <c r="C156" s="58">
        <f aca="true" t="shared" si="26" ref="C156:I156">+C150-C151-C152-C153-C154-C157</f>
        <v>291119.9973751494</v>
      </c>
      <c r="D156" s="58">
        <f t="shared" si="26"/>
        <v>296527.5788347478</v>
      </c>
      <c r="E156" s="65">
        <f t="shared" si="26"/>
        <v>315230.1278818632</v>
      </c>
      <c r="F156" s="44">
        <f t="shared" si="26"/>
        <v>306469.5916681671</v>
      </c>
      <c r="G156" s="44">
        <f t="shared" si="26"/>
        <v>0</v>
      </c>
      <c r="H156" s="44">
        <f t="shared" si="26"/>
        <v>0</v>
      </c>
      <c r="I156" s="44">
        <f t="shared" si="26"/>
        <v>0</v>
      </c>
    </row>
    <row r="157" spans="1:9" ht="15.75" customHeight="1">
      <c r="A157" s="43" t="str">
        <f>HLOOKUP(INDICE!$F$2,Nombres!$C$3:$D$636,282,FALSE)</f>
        <v>Dotación de capital regulatorio</v>
      </c>
      <c r="B157" s="44">
        <v>168830.61903684266</v>
      </c>
      <c r="C157" s="44">
        <v>171298.2470786067</v>
      </c>
      <c r="D157" s="44">
        <v>168005.9823934426</v>
      </c>
      <c r="E157" s="44">
        <v>163765.76190359757</v>
      </c>
      <c r="F157" s="44">
        <v>170762.42176260875</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6" t="str">
        <f>HLOOKUP(INDICE!$F$2,Nombres!$C$3:$D$636,65,FALSE)</f>
        <v>Indicadores relevantes y de gestión</v>
      </c>
      <c r="B160" s="67"/>
      <c r="C160" s="67"/>
      <c r="D160" s="67"/>
      <c r="E160" s="67"/>
      <c r="F160" s="72"/>
      <c r="G160" s="72"/>
      <c r="H160" s="72"/>
      <c r="I160" s="72"/>
    </row>
    <row r="161" spans="1:9" ht="14.25">
      <c r="A161" s="35" t="str">
        <f>HLOOKUP(INDICE!$F$2,Nombres!$C$3:$D$636,74,FALSE)</f>
        <v>(Millones de pesos mexicanos)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1372269.117986747</v>
      </c>
      <c r="C163" s="44">
        <v>1333974.057790076</v>
      </c>
      <c r="D163" s="44">
        <v>1304088.3238570238</v>
      </c>
      <c r="E163" s="45">
        <v>1274837.5028112999</v>
      </c>
      <c r="F163" s="44">
        <v>1290573.2733789755</v>
      </c>
      <c r="G163" s="44">
        <v>0</v>
      </c>
      <c r="H163" s="44">
        <v>0</v>
      </c>
      <c r="I163" s="44">
        <v>0</v>
      </c>
    </row>
    <row r="164" spans="1:9" ht="14.25">
      <c r="A164" s="43" t="str">
        <f>HLOOKUP(INDICE!$F$2,Nombres!$C$3:$D$636,67,FALSE)</f>
        <v>Depósitos de clientes en gestión (**)</v>
      </c>
      <c r="B164" s="44">
        <v>1281026.5002436892</v>
      </c>
      <c r="C164" s="44">
        <v>1300756.8591387172</v>
      </c>
      <c r="D164" s="44">
        <v>1320552.7644490178</v>
      </c>
      <c r="E164" s="45">
        <v>1312961.97388444</v>
      </c>
      <c r="F164" s="44">
        <v>1358594.2156556693</v>
      </c>
      <c r="G164" s="44">
        <v>0</v>
      </c>
      <c r="H164" s="44">
        <v>0</v>
      </c>
      <c r="I164" s="44">
        <v>0</v>
      </c>
    </row>
    <row r="165" spans="1:9" ht="14.25">
      <c r="A165" s="43" t="str">
        <f>HLOOKUP(INDICE!$F$2,Nombres!$C$3:$D$636,68,FALSE)</f>
        <v>Fondos de inversión</v>
      </c>
      <c r="B165" s="44">
        <v>485308.250650633</v>
      </c>
      <c r="C165" s="44">
        <v>502316.7740257847</v>
      </c>
      <c r="D165" s="44">
        <v>513023.857766748</v>
      </c>
      <c r="E165" s="45">
        <v>504438.656654297</v>
      </c>
      <c r="F165" s="44">
        <v>527567.3590453749</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54398.381842518575</v>
      </c>
      <c r="C167" s="44">
        <v>49611.14935791888</v>
      </c>
      <c r="D167" s="44">
        <v>45434.86430153178</v>
      </c>
      <c r="E167" s="45">
        <v>45497.66198937253</v>
      </c>
      <c r="F167" s="44">
        <v>45660.29328659152</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5" operator="notBetween">
      <formula>0.5</formula>
      <formula>-0.5</formula>
    </cfRule>
  </conditionalFormatting>
  <conditionalFormatting sqref="B82:I82">
    <cfRule type="cellIs" priority="2" dxfId="115" operator="notBetween">
      <formula>0.5</formula>
      <formula>-0.5</formula>
    </cfRule>
  </conditionalFormatting>
  <conditionalFormatting sqref="B138:I138">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P18" sqref="P18"/>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819.493</v>
      </c>
      <c r="C8" s="41">
        <v>714.7619999899996</v>
      </c>
      <c r="D8" s="41">
        <v>683.9560000199999</v>
      </c>
      <c r="E8" s="42">
        <v>564.5439999900001</v>
      </c>
      <c r="F8" s="50">
        <v>529.5730000000001</v>
      </c>
      <c r="G8" s="50">
        <v>0</v>
      </c>
      <c r="H8" s="50">
        <v>0</v>
      </c>
      <c r="I8" s="50">
        <v>0</v>
      </c>
    </row>
    <row r="9" spans="1:9" ht="14.25">
      <c r="A9" s="43" t="str">
        <f>HLOOKUP(INDICE!$F$2,Nombres!$C$3:$D$636,34,FALSE)</f>
        <v>Comisiones netas</v>
      </c>
      <c r="B9" s="44">
        <v>165.06999995</v>
      </c>
      <c r="C9" s="44">
        <v>99.06400002000001</v>
      </c>
      <c r="D9" s="44">
        <v>127.24000000999996</v>
      </c>
      <c r="E9" s="45">
        <v>118.89200001000006</v>
      </c>
      <c r="F9" s="44">
        <v>154.401</v>
      </c>
      <c r="G9" s="44">
        <v>0</v>
      </c>
      <c r="H9" s="44">
        <v>0</v>
      </c>
      <c r="I9" s="44">
        <v>0</v>
      </c>
    </row>
    <row r="10" spans="1:9" ht="14.25">
      <c r="A10" s="43" t="str">
        <f>HLOOKUP(INDICE!$F$2,Nombres!$C$3:$D$636,35,FALSE)</f>
        <v>Resultados de operaciones financieras</v>
      </c>
      <c r="B10" s="44">
        <v>66.84599998</v>
      </c>
      <c r="C10" s="44">
        <v>59.775000009999985</v>
      </c>
      <c r="D10" s="44">
        <v>79.42800002000004</v>
      </c>
      <c r="E10" s="45">
        <v>21.16799998999999</v>
      </c>
      <c r="F10" s="44">
        <v>125.63700000999998</v>
      </c>
      <c r="G10" s="44">
        <v>0</v>
      </c>
      <c r="H10" s="44">
        <v>0</v>
      </c>
      <c r="I10" s="44">
        <v>0</v>
      </c>
    </row>
    <row r="11" spans="1:9" ht="14.25">
      <c r="A11" s="43" t="str">
        <f>HLOOKUP(INDICE!$F$2,Nombres!$C$3:$D$636,36,FALSE)</f>
        <v>Otros ingresos y cargas de explotación</v>
      </c>
      <c r="B11" s="44">
        <v>21.869000000000018</v>
      </c>
      <c r="C11" s="44">
        <v>10.061000000000018</v>
      </c>
      <c r="D11" s="44">
        <v>18.81700001</v>
      </c>
      <c r="E11" s="45">
        <v>2.439999990000004</v>
      </c>
      <c r="F11" s="44">
        <v>24.439999999999998</v>
      </c>
      <c r="G11" s="44">
        <v>0</v>
      </c>
      <c r="H11" s="44">
        <v>0</v>
      </c>
      <c r="I11" s="44">
        <v>0</v>
      </c>
    </row>
    <row r="12" spans="1:9" ht="14.25">
      <c r="A12" s="41" t="str">
        <f>HLOOKUP(INDICE!$F$2,Nombres!$C$3:$D$636,37,FALSE)</f>
        <v>Margen bruto</v>
      </c>
      <c r="B12" s="41">
        <f>+SUM(B8:B11)</f>
        <v>1073.27799993</v>
      </c>
      <c r="C12" s="41">
        <f aca="true" t="shared" si="0" ref="C12:I12">+SUM(C8:C11)</f>
        <v>883.6620000199996</v>
      </c>
      <c r="D12" s="41">
        <f t="shared" si="0"/>
        <v>909.4410000599999</v>
      </c>
      <c r="E12" s="42">
        <f t="shared" si="0"/>
        <v>707.0439999800002</v>
      </c>
      <c r="F12" s="50">
        <f t="shared" si="0"/>
        <v>834.05100001</v>
      </c>
      <c r="G12" s="50">
        <f t="shared" si="0"/>
        <v>0</v>
      </c>
      <c r="H12" s="50">
        <f t="shared" si="0"/>
        <v>0</v>
      </c>
      <c r="I12" s="50">
        <f t="shared" si="0"/>
        <v>0</v>
      </c>
    </row>
    <row r="13" spans="1:9" ht="14.25">
      <c r="A13" s="43" t="str">
        <f>HLOOKUP(INDICE!$F$2,Nombres!$C$3:$D$636,38,FALSE)</f>
        <v>Gastos de explotación</v>
      </c>
      <c r="B13" s="44">
        <v>-309.88871792</v>
      </c>
      <c r="C13" s="44">
        <v>-252.57887997</v>
      </c>
      <c r="D13" s="44">
        <v>-229.31690742</v>
      </c>
      <c r="E13" s="45">
        <v>-237.70630896999995</v>
      </c>
      <c r="F13" s="44">
        <v>-264.95964426</v>
      </c>
      <c r="G13" s="44">
        <v>0</v>
      </c>
      <c r="H13" s="44">
        <v>0</v>
      </c>
      <c r="I13" s="44">
        <v>0</v>
      </c>
    </row>
    <row r="14" spans="1:9" ht="14.25">
      <c r="A14" s="43" t="str">
        <f>HLOOKUP(INDICE!$F$2,Nombres!$C$3:$D$636,39,FALSE)</f>
        <v>  Gastos de administración</v>
      </c>
      <c r="B14" s="44">
        <v>-262.03969592</v>
      </c>
      <c r="C14" s="44">
        <v>-217.17585795999997</v>
      </c>
      <c r="D14" s="44">
        <v>-194.02888543</v>
      </c>
      <c r="E14" s="45">
        <v>-206.71428699</v>
      </c>
      <c r="F14" s="44">
        <v>-231.18662226000004</v>
      </c>
      <c r="G14" s="44">
        <v>0</v>
      </c>
      <c r="H14" s="44">
        <v>0</v>
      </c>
      <c r="I14" s="44">
        <v>0</v>
      </c>
    </row>
    <row r="15" spans="1:9" ht="14.25">
      <c r="A15" s="46" t="str">
        <f>HLOOKUP(INDICE!$F$2,Nombres!$C$3:$D$636,40,FALSE)</f>
        <v>  Gastos de personal</v>
      </c>
      <c r="B15" s="44">
        <v>-156.81167561</v>
      </c>
      <c r="C15" s="44">
        <v>-150.30583696999997</v>
      </c>
      <c r="D15" s="44">
        <v>-130.36995616000002</v>
      </c>
      <c r="E15" s="45">
        <v>-123.43996326</v>
      </c>
      <c r="F15" s="44">
        <v>-141.8752291</v>
      </c>
      <c r="G15" s="44">
        <v>0</v>
      </c>
      <c r="H15" s="44">
        <v>0</v>
      </c>
      <c r="I15" s="44">
        <v>0</v>
      </c>
    </row>
    <row r="16" spans="1:9" ht="14.25">
      <c r="A16" s="46" t="str">
        <f>HLOOKUP(INDICE!$F$2,Nombres!$C$3:$D$636,41,FALSE)</f>
        <v>  Otros gastos de administración</v>
      </c>
      <c r="B16" s="44">
        <v>-105.22802031</v>
      </c>
      <c r="C16" s="44">
        <v>-66.87002099</v>
      </c>
      <c r="D16" s="44">
        <v>-63.65892927</v>
      </c>
      <c r="E16" s="45">
        <v>-83.27432372999999</v>
      </c>
      <c r="F16" s="44">
        <v>-89.31139316000001</v>
      </c>
      <c r="G16" s="44">
        <v>0</v>
      </c>
      <c r="H16" s="44">
        <v>0</v>
      </c>
      <c r="I16" s="44">
        <v>0</v>
      </c>
    </row>
    <row r="17" spans="1:9" ht="14.25">
      <c r="A17" s="43" t="str">
        <f>HLOOKUP(INDICE!$F$2,Nombres!$C$3:$D$636,42,FALSE)</f>
        <v>  Amortización</v>
      </c>
      <c r="B17" s="44">
        <v>-47.849022</v>
      </c>
      <c r="C17" s="44">
        <v>-35.403022009999994</v>
      </c>
      <c r="D17" s="44">
        <v>-35.28802199</v>
      </c>
      <c r="E17" s="45">
        <v>-30.992021979999997</v>
      </c>
      <c r="F17" s="44">
        <v>-33.773022</v>
      </c>
      <c r="G17" s="44">
        <v>0</v>
      </c>
      <c r="H17" s="44">
        <v>0</v>
      </c>
      <c r="I17" s="44">
        <v>0</v>
      </c>
    </row>
    <row r="18" spans="1:9" ht="14.25">
      <c r="A18" s="41" t="str">
        <f>HLOOKUP(INDICE!$F$2,Nombres!$C$3:$D$636,43,FALSE)</f>
        <v>Margen neto</v>
      </c>
      <c r="B18" s="41">
        <f>+B12+B13</f>
        <v>763.3892820100001</v>
      </c>
      <c r="C18" s="41">
        <f aca="true" t="shared" si="1" ref="C18:I18">+C12+C13</f>
        <v>631.0831200499996</v>
      </c>
      <c r="D18" s="41">
        <f t="shared" si="1"/>
        <v>680.1240926399998</v>
      </c>
      <c r="E18" s="42">
        <f t="shared" si="1"/>
        <v>469.33769101000024</v>
      </c>
      <c r="F18" s="50">
        <f t="shared" si="1"/>
        <v>569.09135575</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-403.24300001</v>
      </c>
      <c r="C19" s="44">
        <v>-215.16299999000003</v>
      </c>
      <c r="D19" s="44">
        <v>-61.251999999999995</v>
      </c>
      <c r="E19" s="45">
        <v>-215.31000000999998</v>
      </c>
      <c r="F19" s="44">
        <v>-122.84000001000001</v>
      </c>
      <c r="G19" s="44">
        <v>0</v>
      </c>
      <c r="H19" s="44">
        <v>0</v>
      </c>
      <c r="I19" s="44">
        <v>0</v>
      </c>
    </row>
    <row r="20" spans="1:9" ht="14.25">
      <c r="A20" s="43" t="str">
        <f>HLOOKUP(INDICE!$F$2,Nombres!$C$3:$D$636,45,FALSE)</f>
        <v>Provisiones o reversión de provisiones y otros resultados</v>
      </c>
      <c r="B20" s="44">
        <v>-20.217</v>
      </c>
      <c r="C20" s="44">
        <v>-40.53700000000002</v>
      </c>
      <c r="D20" s="44">
        <v>-9.180999989999956</v>
      </c>
      <c r="E20" s="45">
        <v>-56.78800001999997</v>
      </c>
      <c r="F20" s="44">
        <v>34.80999999999998</v>
      </c>
      <c r="G20" s="44">
        <v>0</v>
      </c>
      <c r="H20" s="44">
        <v>0</v>
      </c>
      <c r="I20" s="44">
        <v>0</v>
      </c>
    </row>
    <row r="21" spans="1:9" ht="14.25">
      <c r="A21" s="41" t="str">
        <f>HLOOKUP(INDICE!$F$2,Nombres!$C$3:$D$636,46,FALSE)</f>
        <v>Resultado antes de impuestos</v>
      </c>
      <c r="B21" s="41">
        <f>+B18+B19+B20</f>
        <v>339.9292820000001</v>
      </c>
      <c r="C21" s="41">
        <f aca="true" t="shared" si="2" ref="C21:I21">+C18+C19+C20</f>
        <v>375.38312005999956</v>
      </c>
      <c r="D21" s="41">
        <f t="shared" si="2"/>
        <v>609.69109265</v>
      </c>
      <c r="E21" s="42">
        <f t="shared" si="2"/>
        <v>197.2396909800003</v>
      </c>
      <c r="F21" s="50">
        <f t="shared" si="2"/>
        <v>481.06135574</v>
      </c>
      <c r="G21" s="50">
        <f t="shared" si="2"/>
        <v>0</v>
      </c>
      <c r="H21" s="50">
        <f t="shared" si="2"/>
        <v>0</v>
      </c>
      <c r="I21" s="50">
        <f t="shared" si="2"/>
        <v>0</v>
      </c>
    </row>
    <row r="22" spans="1:9" ht="14.25">
      <c r="A22" s="43" t="str">
        <f>HLOOKUP(INDICE!$F$2,Nombres!$C$3:$D$636,47,FALSE)</f>
        <v>Impuesto sobre beneficios</v>
      </c>
      <c r="B22" s="44">
        <v>-78.24558461999999</v>
      </c>
      <c r="C22" s="44">
        <v>-96.93393603</v>
      </c>
      <c r="D22" s="44">
        <v>-132.35332775</v>
      </c>
      <c r="E22" s="45">
        <v>-72.21390731000001</v>
      </c>
      <c r="F22" s="44">
        <v>-93.89860671</v>
      </c>
      <c r="G22" s="44">
        <v>0</v>
      </c>
      <c r="H22" s="44">
        <v>0</v>
      </c>
      <c r="I22" s="44">
        <v>0</v>
      </c>
    </row>
    <row r="23" spans="1:9" ht="14.25">
      <c r="A23" s="41" t="str">
        <f>HLOOKUP(INDICE!$F$2,Nombres!$C$3:$D$636,48,FALSE)</f>
        <v>Resultado del ejercicio</v>
      </c>
      <c r="B23" s="41">
        <f>+B21+B22</f>
        <v>261.6836973800001</v>
      </c>
      <c r="C23" s="41">
        <f aca="true" t="shared" si="3" ref="C23:I23">+C21+C22</f>
        <v>278.44918402999957</v>
      </c>
      <c r="D23" s="41">
        <f t="shared" si="3"/>
        <v>477.33776489999997</v>
      </c>
      <c r="E23" s="42">
        <f t="shared" si="3"/>
        <v>125.02578367000028</v>
      </c>
      <c r="F23" s="50">
        <f t="shared" si="3"/>
        <v>387.16274903</v>
      </c>
      <c r="G23" s="50">
        <f t="shared" si="3"/>
        <v>0</v>
      </c>
      <c r="H23" s="50">
        <f t="shared" si="3"/>
        <v>0</v>
      </c>
      <c r="I23" s="50">
        <f t="shared" si="3"/>
        <v>0</v>
      </c>
    </row>
    <row r="24" spans="1:9" ht="14.25">
      <c r="A24" s="43" t="str">
        <f>HLOOKUP(INDICE!$F$2,Nombres!$C$3:$D$636,49,FALSE)</f>
        <v>Minoritarios</v>
      </c>
      <c r="B24" s="44">
        <v>-132.898</v>
      </c>
      <c r="C24" s="44">
        <v>-141.088</v>
      </c>
      <c r="D24" s="44">
        <v>-240.952</v>
      </c>
      <c r="E24" s="45">
        <v>-64.26400001</v>
      </c>
      <c r="F24" s="44">
        <v>-196.24699999999999</v>
      </c>
      <c r="G24" s="44">
        <v>0</v>
      </c>
      <c r="H24" s="44">
        <v>0</v>
      </c>
      <c r="I24" s="44">
        <v>0</v>
      </c>
    </row>
    <row r="25" spans="1:9" ht="14.25">
      <c r="A25" s="47" t="str">
        <f>HLOOKUP(INDICE!$F$2,Nombres!$C$3:$D$636,50,FALSE)</f>
        <v>Resultado atribuido</v>
      </c>
      <c r="B25" s="47">
        <f>+B23+B24</f>
        <v>128.78569738000013</v>
      </c>
      <c r="C25" s="47">
        <f aca="true" t="shared" si="4" ref="C25:I25">+C23+C24</f>
        <v>137.36118402999958</v>
      </c>
      <c r="D25" s="47">
        <f t="shared" si="4"/>
        <v>236.38576489999997</v>
      </c>
      <c r="E25" s="47">
        <f t="shared" si="4"/>
        <v>60.761783660000276</v>
      </c>
      <c r="F25" s="51">
        <f t="shared" si="4"/>
        <v>190.91574903</v>
      </c>
      <c r="G25" s="51">
        <f t="shared" si="4"/>
        <v>0</v>
      </c>
      <c r="H25" s="51">
        <f t="shared" si="4"/>
        <v>0</v>
      </c>
      <c r="I25" s="51">
        <f t="shared" si="4"/>
        <v>0</v>
      </c>
    </row>
    <row r="26" spans="1:9" ht="14.25">
      <c r="A26" s="62"/>
      <c r="B26" s="63">
        <v>0</v>
      </c>
      <c r="C26" s="63">
        <v>0</v>
      </c>
      <c r="D26" s="63">
        <v>0</v>
      </c>
      <c r="E26" s="63">
        <v>1.1368683772161603E-13</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5194.189</v>
      </c>
      <c r="C31" s="44">
        <v>5489.2119999999995</v>
      </c>
      <c r="D31" s="44">
        <v>5510.271</v>
      </c>
      <c r="E31" s="45">
        <v>5477.186000000001</v>
      </c>
      <c r="F31" s="44">
        <v>6682.253</v>
      </c>
      <c r="G31" s="44">
        <v>0</v>
      </c>
      <c r="H31" s="44">
        <v>0</v>
      </c>
      <c r="I31" s="44">
        <v>0</v>
      </c>
    </row>
    <row r="32" spans="1:9" ht="14.25">
      <c r="A32" s="43" t="str">
        <f>HLOOKUP(INDICE!$F$2,Nombres!$C$3:$D$636,53,FALSE)</f>
        <v>Activos financieros a valor razonable</v>
      </c>
      <c r="B32" s="58">
        <v>5058.879</v>
      </c>
      <c r="C32" s="58">
        <v>5712.279</v>
      </c>
      <c r="D32" s="58">
        <v>5429.875999999999</v>
      </c>
      <c r="E32" s="65">
        <v>5331.522999999999</v>
      </c>
      <c r="F32" s="44">
        <v>5492.143</v>
      </c>
      <c r="G32" s="44">
        <v>0</v>
      </c>
      <c r="H32" s="44">
        <v>0</v>
      </c>
      <c r="I32" s="44">
        <v>0</v>
      </c>
    </row>
    <row r="33" spans="1:9" ht="14.25">
      <c r="A33" s="43" t="str">
        <f>HLOOKUP(INDICE!$F$2,Nombres!$C$3:$D$636,54,FALSE)</f>
        <v>Activos financieros a coste amortizado</v>
      </c>
      <c r="B33" s="44">
        <v>50862.558000000005</v>
      </c>
      <c r="C33" s="44">
        <v>50078.886999999995</v>
      </c>
      <c r="D33" s="44">
        <v>45251.355</v>
      </c>
      <c r="E33" s="45">
        <v>46705.471999999994</v>
      </c>
      <c r="F33" s="44">
        <v>44633.130000000005</v>
      </c>
      <c r="G33" s="44">
        <v>0</v>
      </c>
      <c r="H33" s="44">
        <v>0</v>
      </c>
      <c r="I33" s="44">
        <v>0</v>
      </c>
    </row>
    <row r="34" spans="1:9" ht="14.25">
      <c r="A34" s="43" t="str">
        <f>HLOOKUP(INDICE!$F$2,Nombres!$C$3:$D$636,55,FALSE)</f>
        <v>    de los que préstamos y anticipos a la clientela</v>
      </c>
      <c r="B34" s="44">
        <v>39916.31599999999</v>
      </c>
      <c r="C34" s="44">
        <v>41196.41400000001</v>
      </c>
      <c r="D34" s="44">
        <v>36797.241</v>
      </c>
      <c r="E34" s="45">
        <v>37295.429000000004</v>
      </c>
      <c r="F34" s="44">
        <v>36858.534</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1033.449</v>
      </c>
      <c r="C36" s="44">
        <v>942.0169999999999</v>
      </c>
      <c r="D36" s="44">
        <v>827.0029999999999</v>
      </c>
      <c r="E36" s="45">
        <v>900.807</v>
      </c>
      <c r="F36" s="44">
        <v>871.2429999999999</v>
      </c>
      <c r="G36" s="44">
        <v>0</v>
      </c>
      <c r="H36" s="44">
        <v>0</v>
      </c>
      <c r="I36" s="44">
        <v>0</v>
      </c>
    </row>
    <row r="37" spans="1:9" ht="14.25">
      <c r="A37" s="43" t="str">
        <f>HLOOKUP(INDICE!$F$2,Nombres!$C$3:$D$636,57,FALSE)</f>
        <v>Otros activos</v>
      </c>
      <c r="B37" s="58">
        <f>+B38-B36-B33-B32-B31</f>
        <v>1354.8760000399916</v>
      </c>
      <c r="C37" s="58">
        <f aca="true" t="shared" si="5" ref="C37:I37">+C38-C36-C33-C32-C31</f>
        <v>1302.464000000009</v>
      </c>
      <c r="D37" s="58">
        <f t="shared" si="5"/>
        <v>1109.6209999999974</v>
      </c>
      <c r="E37" s="65">
        <f t="shared" si="5"/>
        <v>1170.1390215599995</v>
      </c>
      <c r="F37" s="44">
        <f t="shared" si="5"/>
        <v>1197.1020000099898</v>
      </c>
      <c r="G37" s="44">
        <f t="shared" si="5"/>
        <v>0</v>
      </c>
      <c r="H37" s="44">
        <f t="shared" si="5"/>
        <v>0</v>
      </c>
      <c r="I37" s="44">
        <f t="shared" si="5"/>
        <v>0</v>
      </c>
    </row>
    <row r="38" spans="1:9" ht="14.25">
      <c r="A38" s="47" t="str">
        <f>HLOOKUP(INDICE!$F$2,Nombres!$C$3:$D$636,58,FALSE)</f>
        <v>Total activo / pasivo</v>
      </c>
      <c r="B38" s="51">
        <v>63503.95100004</v>
      </c>
      <c r="C38" s="51">
        <v>63524.859000000004</v>
      </c>
      <c r="D38" s="51">
        <v>58128.126</v>
      </c>
      <c r="E38" s="80">
        <v>59585.127021559994</v>
      </c>
      <c r="F38" s="51">
        <v>58875.871000009996</v>
      </c>
      <c r="G38" s="51">
        <v>0</v>
      </c>
      <c r="H38" s="51">
        <v>0</v>
      </c>
      <c r="I38" s="51">
        <v>0</v>
      </c>
    </row>
    <row r="39" spans="1:9" ht="14.25">
      <c r="A39" s="43" t="str">
        <f>HLOOKUP(INDICE!$F$2,Nombres!$C$3:$D$636,59,FALSE)</f>
        <v>Pasivos financieros mantenidos para negociar y designados a valor razonable con cambios en resultados</v>
      </c>
      <c r="B39" s="58">
        <v>2336.191</v>
      </c>
      <c r="C39" s="58">
        <v>2248.6989999999996</v>
      </c>
      <c r="D39" s="58">
        <v>2163.924</v>
      </c>
      <c r="E39" s="65">
        <v>2335.963</v>
      </c>
      <c r="F39" s="44">
        <v>2061.667</v>
      </c>
      <c r="G39" s="44">
        <v>0</v>
      </c>
      <c r="H39" s="44">
        <v>0</v>
      </c>
      <c r="I39" s="44">
        <v>0</v>
      </c>
    </row>
    <row r="40" spans="1:9" ht="15.75" customHeight="1">
      <c r="A40" s="43" t="str">
        <f>HLOOKUP(INDICE!$F$2,Nombres!$C$3:$D$636,60,FALSE)</f>
        <v>Depósitos de bancos centrales y entidades de crédito</v>
      </c>
      <c r="B40" s="58">
        <v>4414.611</v>
      </c>
      <c r="C40" s="58">
        <v>5571.6900000000005</v>
      </c>
      <c r="D40" s="58">
        <v>3726.4350000000004</v>
      </c>
      <c r="E40" s="65">
        <v>3380.7119999999995</v>
      </c>
      <c r="F40" s="44">
        <v>4671.436</v>
      </c>
      <c r="G40" s="44">
        <v>0</v>
      </c>
      <c r="H40" s="44">
        <v>0</v>
      </c>
      <c r="I40" s="44">
        <v>0</v>
      </c>
    </row>
    <row r="41" spans="1:9" ht="14.25">
      <c r="A41" s="43" t="str">
        <f>HLOOKUP(INDICE!$F$2,Nombres!$C$3:$D$636,61,FALSE)</f>
        <v>Depósitos de la clientela</v>
      </c>
      <c r="B41" s="58">
        <v>41058.386</v>
      </c>
      <c r="C41" s="58">
        <v>40131.886</v>
      </c>
      <c r="D41" s="58">
        <v>38130.409999999996</v>
      </c>
      <c r="E41" s="65">
        <v>39353.42600000001</v>
      </c>
      <c r="F41" s="44">
        <v>38089.234</v>
      </c>
      <c r="G41" s="44">
        <v>0</v>
      </c>
      <c r="H41" s="44">
        <v>0</v>
      </c>
      <c r="I41" s="44">
        <v>0</v>
      </c>
    </row>
    <row r="42" spans="1:9" ht="14.25">
      <c r="A42" s="43" t="str">
        <f>HLOOKUP(INDICE!$F$2,Nombres!$C$3:$D$636,62,FALSE)</f>
        <v>Valores representativos de deuda emitidos</v>
      </c>
      <c r="B42" s="44">
        <v>5120.445076800001</v>
      </c>
      <c r="C42" s="44">
        <v>5018.526176</v>
      </c>
      <c r="D42" s="44">
        <v>4229.6461632</v>
      </c>
      <c r="E42" s="45">
        <v>4037.0064272399995</v>
      </c>
      <c r="F42" s="44">
        <v>4242.74763894</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3479.0703696400014</v>
      </c>
      <c r="C44" s="58">
        <f aca="true" t="shared" si="6" ref="C44:I44">+C38-C39-C40-C41-C42-C45</f>
        <v>3715.6891158000035</v>
      </c>
      <c r="D44" s="58">
        <f t="shared" si="6"/>
        <v>3901.206617970004</v>
      </c>
      <c r="E44" s="65">
        <f t="shared" si="6"/>
        <v>4308.340876909984</v>
      </c>
      <c r="F44" s="44">
        <f t="shared" si="6"/>
        <v>3364.9573332099962</v>
      </c>
      <c r="G44" s="44">
        <f t="shared" si="6"/>
        <v>0</v>
      </c>
      <c r="H44" s="44">
        <f t="shared" si="6"/>
        <v>0</v>
      </c>
      <c r="I44" s="44">
        <f t="shared" si="6"/>
        <v>0</v>
      </c>
    </row>
    <row r="45" spans="1:9" ht="14.25">
      <c r="A45" s="43" t="str">
        <f>HLOOKUP(INDICE!$F$2,Nombres!$C$3:$D$636,282,FALSE)</f>
        <v>Dotación de capital regulatorio</v>
      </c>
      <c r="B45" s="44">
        <v>7095.2475536</v>
      </c>
      <c r="C45" s="44">
        <v>6838.3687082</v>
      </c>
      <c r="D45" s="44">
        <v>5976.50421883</v>
      </c>
      <c r="E45" s="44">
        <v>6169.678717410001</v>
      </c>
      <c r="F45" s="44">
        <v>6445.829027860001</v>
      </c>
      <c r="G45" s="44">
        <v>0</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Indicadores relevantes y de gestión</v>
      </c>
      <c r="B48" s="34"/>
      <c r="C48" s="34"/>
      <c r="D48" s="34"/>
      <c r="E48" s="34"/>
      <c r="F48" s="81"/>
      <c r="G48" s="81"/>
      <c r="H48" s="81"/>
      <c r="I48" s="81"/>
    </row>
    <row r="49" spans="1:9" ht="14.25">
      <c r="A49" s="35" t="str">
        <f>HLOOKUP(INDICE!$F$2,Nombres!$C$3:$D$636,32,FALSE)</f>
        <v>(Millones de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4.25">
      <c r="A51" s="43" t="str">
        <f>HLOOKUP(INDICE!$F$2,Nombres!$C$3:$D$636,66,FALSE)</f>
        <v>Préstamos y anticipos a la clientela bruto (*)</v>
      </c>
      <c r="B51" s="44">
        <v>42779.227999999996</v>
      </c>
      <c r="C51" s="44">
        <v>44061.442</v>
      </c>
      <c r="D51" s="44">
        <v>39401.64</v>
      </c>
      <c r="E51" s="45">
        <v>39633.030999999995</v>
      </c>
      <c r="F51" s="44">
        <v>39266.594000000005</v>
      </c>
      <c r="G51" s="44">
        <v>0</v>
      </c>
      <c r="H51" s="44">
        <v>0</v>
      </c>
      <c r="I51" s="44">
        <v>0</v>
      </c>
    </row>
    <row r="52" spans="1:9" ht="14.25">
      <c r="A52" s="43" t="str">
        <f>HLOOKUP(INDICE!$F$2,Nombres!$C$3:$D$636,67,FALSE)</f>
        <v>Depósitos de clientes en gestión (**)</v>
      </c>
      <c r="B52" s="44">
        <v>41050.208999999995</v>
      </c>
      <c r="C52" s="44">
        <v>39929.238999999994</v>
      </c>
      <c r="D52" s="44">
        <v>38125.38</v>
      </c>
      <c r="E52" s="45">
        <v>39345.543000000005</v>
      </c>
      <c r="F52" s="44">
        <v>38086.758</v>
      </c>
      <c r="G52" s="44">
        <v>0</v>
      </c>
      <c r="H52" s="44">
        <v>0</v>
      </c>
      <c r="I52" s="44">
        <v>0</v>
      </c>
    </row>
    <row r="53" spans="1:9" ht="14.25">
      <c r="A53" s="43" t="str">
        <f>HLOOKUP(INDICE!$F$2,Nombres!$C$3:$D$636,68,FALSE)</f>
        <v>Fondos de inversión</v>
      </c>
      <c r="B53" s="44">
        <v>1502.553</v>
      </c>
      <c r="C53" s="44">
        <v>1754.509</v>
      </c>
      <c r="D53" s="44">
        <v>1216.837</v>
      </c>
      <c r="E53" s="45">
        <v>1087.446</v>
      </c>
      <c r="F53" s="44">
        <v>1232.623</v>
      </c>
      <c r="G53" s="44">
        <v>0</v>
      </c>
      <c r="H53" s="44">
        <v>0</v>
      </c>
      <c r="I53" s="44">
        <v>0</v>
      </c>
    </row>
    <row r="54" spans="1:9" ht="14.25">
      <c r="A54" s="43" t="str">
        <f>HLOOKUP(INDICE!$F$2,Nombres!$C$3:$D$636,69,FALSE)</f>
        <v>Fondos de pensiones</v>
      </c>
      <c r="B54" s="44">
        <v>2360.204</v>
      </c>
      <c r="C54" s="44">
        <v>2457.219</v>
      </c>
      <c r="D54" s="44">
        <v>2214.174</v>
      </c>
      <c r="E54" s="45">
        <v>2337.185</v>
      </c>
      <c r="F54" s="44">
        <v>2434.119</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619.7809768408883</v>
      </c>
      <c r="C64" s="41">
        <v>611.3474649980888</v>
      </c>
      <c r="D64" s="41">
        <v>659.1872617277279</v>
      </c>
      <c r="E64" s="42">
        <v>622.3131294964469</v>
      </c>
      <c r="F64" s="50">
        <v>529.5729999999998</v>
      </c>
      <c r="G64" s="50">
        <v>0</v>
      </c>
      <c r="H64" s="50">
        <v>0</v>
      </c>
      <c r="I64" s="50">
        <v>0</v>
      </c>
    </row>
    <row r="65" spans="1:9" ht="14.25">
      <c r="A65" s="43" t="str">
        <f>HLOOKUP(INDICE!$F$2,Nombres!$C$3:$D$636,34,FALSE)</f>
        <v>Comisiones netas</v>
      </c>
      <c r="B65" s="44">
        <v>124.84212289322345</v>
      </c>
      <c r="C65" s="44">
        <v>87.10626888120913</v>
      </c>
      <c r="D65" s="44">
        <v>121.57281884375209</v>
      </c>
      <c r="E65" s="45">
        <v>127.21250978000914</v>
      </c>
      <c r="F65" s="44">
        <v>154.401</v>
      </c>
      <c r="G65" s="44">
        <v>0</v>
      </c>
      <c r="H65" s="44">
        <v>0</v>
      </c>
      <c r="I65" s="44">
        <v>0</v>
      </c>
    </row>
    <row r="66" spans="1:9" ht="14.25">
      <c r="A66" s="43" t="str">
        <f>HLOOKUP(INDICE!$F$2,Nombres!$C$3:$D$636,35,FALSE)</f>
        <v>Resultados de operaciones financieras</v>
      </c>
      <c r="B66" s="44">
        <v>50.55550098110707</v>
      </c>
      <c r="C66" s="44">
        <v>51.048674610823774</v>
      </c>
      <c r="D66" s="44">
        <v>73.9867219472858</v>
      </c>
      <c r="E66" s="45">
        <v>29.569810306824447</v>
      </c>
      <c r="F66" s="44">
        <v>125.63700001000001</v>
      </c>
      <c r="G66" s="44">
        <v>0</v>
      </c>
      <c r="H66" s="44">
        <v>0</v>
      </c>
      <c r="I66" s="44">
        <v>0</v>
      </c>
    </row>
    <row r="67" spans="1:9" ht="14.25">
      <c r="A67" s="43" t="str">
        <f>HLOOKUP(INDICE!$F$2,Nombres!$C$3:$D$636,36,FALSE)</f>
        <v>Otros ingresos y cargas de explotación</v>
      </c>
      <c r="B67" s="44">
        <v>16.53948256120965</v>
      </c>
      <c r="C67" s="44">
        <v>9.082028301179434</v>
      </c>
      <c r="D67" s="44">
        <v>17.62408255833163</v>
      </c>
      <c r="E67" s="45">
        <v>4.778465378609338</v>
      </c>
      <c r="F67" s="44">
        <v>24.44000000000001</v>
      </c>
      <c r="G67" s="44">
        <v>0</v>
      </c>
      <c r="H67" s="44">
        <v>0</v>
      </c>
      <c r="I67" s="44">
        <v>0</v>
      </c>
    </row>
    <row r="68" spans="1:9" ht="14.25">
      <c r="A68" s="41" t="str">
        <f>HLOOKUP(INDICE!$F$2,Nombres!$C$3:$D$636,37,FALSE)</f>
        <v>Margen bruto</v>
      </c>
      <c r="B68" s="41">
        <f>+SUM(B64:B67)</f>
        <v>811.7180832764285</v>
      </c>
      <c r="C68" s="41">
        <f aca="true" t="shared" si="9" ref="C68:I68">+SUM(C64:C67)</f>
        <v>758.5844367913012</v>
      </c>
      <c r="D68" s="41">
        <f t="shared" si="9"/>
        <v>872.3708850770975</v>
      </c>
      <c r="E68" s="42">
        <f t="shared" si="9"/>
        <v>783.8739149618898</v>
      </c>
      <c r="F68" s="50">
        <f t="shared" si="9"/>
        <v>834.0510000099998</v>
      </c>
      <c r="G68" s="50">
        <f t="shared" si="9"/>
        <v>0</v>
      </c>
      <c r="H68" s="50">
        <f t="shared" si="9"/>
        <v>0</v>
      </c>
      <c r="I68" s="50">
        <f t="shared" si="9"/>
        <v>0</v>
      </c>
    </row>
    <row r="69" spans="1:9" ht="14.25">
      <c r="A69" s="43" t="str">
        <f>HLOOKUP(INDICE!$F$2,Nombres!$C$3:$D$636,38,FALSE)</f>
        <v>Gastos de explotación</v>
      </c>
      <c r="B69" s="44">
        <v>-234.36824024662576</v>
      </c>
      <c r="C69" s="44">
        <v>-216.9712420296201</v>
      </c>
      <c r="D69" s="44">
        <v>-223.40367075182087</v>
      </c>
      <c r="E69" s="45">
        <v>-254.81345663882453</v>
      </c>
      <c r="F69" s="44">
        <v>-264.95964426</v>
      </c>
      <c r="G69" s="44">
        <v>0</v>
      </c>
      <c r="H69" s="44">
        <v>0</v>
      </c>
      <c r="I69" s="44">
        <v>0</v>
      </c>
    </row>
    <row r="70" spans="1:9" ht="14.25">
      <c r="A70" s="43" t="str">
        <f>HLOOKUP(INDICE!$F$2,Nombres!$C$3:$D$636,39,FALSE)</f>
        <v>  Gastos de administración</v>
      </c>
      <c r="B70" s="44">
        <v>-198.18011710702459</v>
      </c>
      <c r="C70" s="44">
        <v>-186.35563357140387</v>
      </c>
      <c r="D70" s="44">
        <v>-189.18989397887302</v>
      </c>
      <c r="E70" s="45">
        <v>-220.81417922475282</v>
      </c>
      <c r="F70" s="44">
        <v>-231.18662226000004</v>
      </c>
      <c r="G70" s="44">
        <v>0</v>
      </c>
      <c r="H70" s="44">
        <v>0</v>
      </c>
      <c r="I70" s="44">
        <v>0</v>
      </c>
    </row>
    <row r="71" spans="1:9" ht="14.25">
      <c r="A71" s="46" t="str">
        <f>HLOOKUP(INDICE!$F$2,Nombres!$C$3:$D$636,40,FALSE)</f>
        <v>  Gastos de personal</v>
      </c>
      <c r="B71" s="44">
        <v>-118.59636810762541</v>
      </c>
      <c r="C71" s="44">
        <v>-127.84317729163499</v>
      </c>
      <c r="D71" s="44">
        <v>-126.37865461378698</v>
      </c>
      <c r="E71" s="45">
        <v>-133.65917183581112</v>
      </c>
      <c r="F71" s="44">
        <v>-141.8752291</v>
      </c>
      <c r="G71" s="44">
        <v>0</v>
      </c>
      <c r="H71" s="44">
        <v>0</v>
      </c>
      <c r="I71" s="44">
        <v>0</v>
      </c>
    </row>
    <row r="72" spans="1:9" ht="14.25">
      <c r="A72" s="46" t="str">
        <f>HLOOKUP(INDICE!$F$2,Nombres!$C$3:$D$636,41,FALSE)</f>
        <v>  Otros gastos de administración</v>
      </c>
      <c r="B72" s="44">
        <v>-79.58374899939915</v>
      </c>
      <c r="C72" s="44">
        <v>-58.51245627976886</v>
      </c>
      <c r="D72" s="44">
        <v>-62.81123936508606</v>
      </c>
      <c r="E72" s="45">
        <v>-87.15500738894175</v>
      </c>
      <c r="F72" s="44">
        <v>-89.31139316</v>
      </c>
      <c r="G72" s="44">
        <v>0</v>
      </c>
      <c r="H72" s="44">
        <v>0</v>
      </c>
      <c r="I72" s="44">
        <v>0</v>
      </c>
    </row>
    <row r="73" spans="1:9" ht="14.25">
      <c r="A73" s="43" t="str">
        <f>HLOOKUP(INDICE!$F$2,Nombres!$C$3:$D$636,42,FALSE)</f>
        <v>  Amortización</v>
      </c>
      <c r="B73" s="44">
        <v>-36.18812313960114</v>
      </c>
      <c r="C73" s="44">
        <v>-30.615608458216244</v>
      </c>
      <c r="D73" s="44">
        <v>-34.21377677294785</v>
      </c>
      <c r="E73" s="45">
        <v>-33.99927741407171</v>
      </c>
      <c r="F73" s="44">
        <v>-33.773022</v>
      </c>
      <c r="G73" s="44">
        <v>0</v>
      </c>
      <c r="H73" s="44">
        <v>0</v>
      </c>
      <c r="I73" s="44">
        <v>0</v>
      </c>
    </row>
    <row r="74" spans="1:9" ht="14.25">
      <c r="A74" s="41" t="str">
        <f>HLOOKUP(INDICE!$F$2,Nombres!$C$3:$D$636,43,FALSE)</f>
        <v>Margen neto</v>
      </c>
      <c r="B74" s="41">
        <f>+B68+B69</f>
        <v>577.3498430298027</v>
      </c>
      <c r="C74" s="41">
        <f aca="true" t="shared" si="10" ref="C74:I74">+C68+C69</f>
        <v>541.6131947616811</v>
      </c>
      <c r="D74" s="41">
        <f t="shared" si="10"/>
        <v>648.9672143252766</v>
      </c>
      <c r="E74" s="42">
        <f t="shared" si="10"/>
        <v>529.0604583230653</v>
      </c>
      <c r="F74" s="50">
        <f t="shared" si="10"/>
        <v>569.0913557499998</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-304.97190390942706</v>
      </c>
      <c r="C75" s="44">
        <v>-191.2540919053735</v>
      </c>
      <c r="D75" s="44">
        <v>-82.96515888100961</v>
      </c>
      <c r="E75" s="45">
        <v>-228.90097037232871</v>
      </c>
      <c r="F75" s="44">
        <v>-122.84000000999998</v>
      </c>
      <c r="G75" s="44">
        <v>0</v>
      </c>
      <c r="H75" s="44">
        <v>0</v>
      </c>
      <c r="I75" s="44">
        <v>0</v>
      </c>
    </row>
    <row r="76" spans="1:9" ht="14.25">
      <c r="A76" s="43" t="str">
        <f>HLOOKUP(INDICE!$F$2,Nombres!$C$3:$D$636,45,FALSE)</f>
        <v>Provisiones o reversión de provisiones y otros resultados</v>
      </c>
      <c r="B76" s="44">
        <v>-15.290078144404198</v>
      </c>
      <c r="C76" s="44">
        <v>-33.460603688780495</v>
      </c>
      <c r="D76" s="44">
        <v>-10.846547064083595</v>
      </c>
      <c r="E76" s="45">
        <v>-54.82458101319378</v>
      </c>
      <c r="F76" s="44">
        <v>34.80999999999998</v>
      </c>
      <c r="G76" s="44">
        <v>0</v>
      </c>
      <c r="H76" s="44">
        <v>0</v>
      </c>
      <c r="I76" s="44">
        <v>0</v>
      </c>
    </row>
    <row r="77" spans="1:9" ht="14.25">
      <c r="A77" s="41" t="str">
        <f>HLOOKUP(INDICE!$F$2,Nombres!$C$3:$D$636,46,FALSE)</f>
        <v>Resultado antes de impuestos</v>
      </c>
      <c r="B77" s="41">
        <f>+B74+B75+B76</f>
        <v>257.08786097597147</v>
      </c>
      <c r="C77" s="41">
        <f aca="true" t="shared" si="11" ref="C77:I77">+C74+C75+C76</f>
        <v>316.8984991675271</v>
      </c>
      <c r="D77" s="41">
        <f t="shared" si="11"/>
        <v>555.1555083801834</v>
      </c>
      <c r="E77" s="42">
        <f t="shared" si="11"/>
        <v>245.33490693754277</v>
      </c>
      <c r="F77" s="50">
        <f t="shared" si="11"/>
        <v>481.06135573999984</v>
      </c>
      <c r="G77" s="50">
        <f t="shared" si="11"/>
        <v>0</v>
      </c>
      <c r="H77" s="50">
        <f t="shared" si="11"/>
        <v>0</v>
      </c>
      <c r="I77" s="50">
        <f t="shared" si="11"/>
        <v>0</v>
      </c>
    </row>
    <row r="78" spans="1:9" ht="14.25">
      <c r="A78" s="43" t="str">
        <f>HLOOKUP(INDICE!$F$2,Nombres!$C$3:$D$636,47,FALSE)</f>
        <v>Impuesto sobre beneficios</v>
      </c>
      <c r="B78" s="44">
        <v>-59.17698487878479</v>
      </c>
      <c r="C78" s="44">
        <v>-81.39188424749418</v>
      </c>
      <c r="D78" s="44">
        <v>-121.50456423533461</v>
      </c>
      <c r="E78" s="45">
        <v>-80.810739933964</v>
      </c>
      <c r="F78" s="44">
        <v>-93.89860671</v>
      </c>
      <c r="G78" s="44">
        <v>0</v>
      </c>
      <c r="H78" s="44">
        <v>0</v>
      </c>
      <c r="I78" s="44">
        <v>0</v>
      </c>
    </row>
    <row r="79" spans="1:9" ht="14.25">
      <c r="A79" s="41" t="str">
        <f>HLOOKUP(INDICE!$F$2,Nombres!$C$3:$D$636,48,FALSE)</f>
        <v>Resultado del ejercicio</v>
      </c>
      <c r="B79" s="41">
        <f>+B77+B78</f>
        <v>197.91087609718667</v>
      </c>
      <c r="C79" s="41">
        <f aca="true" t="shared" si="12" ref="C79:I79">+C77+C78</f>
        <v>235.50661492003294</v>
      </c>
      <c r="D79" s="41">
        <f t="shared" si="12"/>
        <v>433.6509441448488</v>
      </c>
      <c r="E79" s="42">
        <f t="shared" si="12"/>
        <v>164.52416700357878</v>
      </c>
      <c r="F79" s="50">
        <f t="shared" si="12"/>
        <v>387.1627490299999</v>
      </c>
      <c r="G79" s="50">
        <f t="shared" si="12"/>
        <v>0</v>
      </c>
      <c r="H79" s="50">
        <f t="shared" si="12"/>
        <v>0</v>
      </c>
      <c r="I79" s="50">
        <f t="shared" si="12"/>
        <v>0</v>
      </c>
    </row>
    <row r="80" spans="1:9" ht="14.25">
      <c r="A80" s="43" t="str">
        <f>HLOOKUP(INDICE!$F$2,Nombres!$C$3:$D$636,49,FALSE)</f>
        <v>Minoritarios</v>
      </c>
      <c r="B80" s="44">
        <v>-100.51050132240343</v>
      </c>
      <c r="C80" s="44">
        <v>-119.34340644905082</v>
      </c>
      <c r="D80" s="44">
        <v>-218.96610879092142</v>
      </c>
      <c r="E80" s="45">
        <v>-84.15798379804764</v>
      </c>
      <c r="F80" s="44">
        <v>-196.247</v>
      </c>
      <c r="G80" s="44">
        <v>0</v>
      </c>
      <c r="H80" s="44">
        <v>0</v>
      </c>
      <c r="I80" s="44">
        <v>0</v>
      </c>
    </row>
    <row r="81" spans="1:9" ht="14.25">
      <c r="A81" s="47" t="str">
        <f>HLOOKUP(INDICE!$F$2,Nombres!$C$3:$D$636,50,FALSE)</f>
        <v>Resultado atribuido</v>
      </c>
      <c r="B81" s="47">
        <f>+B79+B80</f>
        <v>97.40037477478324</v>
      </c>
      <c r="C81" s="47">
        <f aca="true" t="shared" si="13" ref="C81:I81">+C79+C80</f>
        <v>116.16320847098213</v>
      </c>
      <c r="D81" s="47">
        <f t="shared" si="13"/>
        <v>214.68483535392735</v>
      </c>
      <c r="E81" s="47">
        <f t="shared" si="13"/>
        <v>80.36618320553114</v>
      </c>
      <c r="F81" s="51">
        <f t="shared" si="13"/>
        <v>190.91574902999986</v>
      </c>
      <c r="G81" s="51">
        <f t="shared" si="13"/>
        <v>0</v>
      </c>
      <c r="H81" s="51">
        <f t="shared" si="13"/>
        <v>0</v>
      </c>
      <c r="I81" s="51">
        <f t="shared" si="13"/>
        <v>0</v>
      </c>
    </row>
    <row r="82" spans="1:9" ht="14.25">
      <c r="A82" s="62"/>
      <c r="B82" s="63">
        <v>0</v>
      </c>
      <c r="C82" s="63">
        <v>2.1316282072803006E-13</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3848.9341070061696</v>
      </c>
      <c r="C87" s="44">
        <v>4332.723931426619</v>
      </c>
      <c r="D87" s="44">
        <v>5155.573864134901</v>
      </c>
      <c r="E87" s="45">
        <v>5132.559767247503</v>
      </c>
      <c r="F87" s="44">
        <v>6682.253</v>
      </c>
      <c r="G87" s="44">
        <v>0</v>
      </c>
      <c r="H87" s="44">
        <v>0</v>
      </c>
      <c r="I87" s="44">
        <v>0</v>
      </c>
    </row>
    <row r="88" spans="1:9" ht="14.25">
      <c r="A88" s="43" t="str">
        <f>HLOOKUP(INDICE!$F$2,Nombres!$C$3:$D$636,53,FALSE)</f>
        <v>Activos financieros a valor razonable</v>
      </c>
      <c r="B88" s="58">
        <v>3748.6683534844933</v>
      </c>
      <c r="C88" s="58">
        <v>4508.794327179514</v>
      </c>
      <c r="D88" s="58">
        <v>5080.353904752299</v>
      </c>
      <c r="E88" s="65">
        <v>4996.061928142427</v>
      </c>
      <c r="F88" s="44">
        <v>5492.143</v>
      </c>
      <c r="G88" s="44">
        <v>0</v>
      </c>
      <c r="H88" s="44">
        <v>0</v>
      </c>
      <c r="I88" s="44">
        <v>0</v>
      </c>
    </row>
    <row r="89" spans="1:9" ht="14.25">
      <c r="A89" s="43" t="str">
        <f>HLOOKUP(INDICE!$F$2,Nombres!$C$3:$D$636,54,FALSE)</f>
        <v>Activos financieros a coste amortizado</v>
      </c>
      <c r="B89" s="44">
        <v>37689.54773416592</v>
      </c>
      <c r="C89" s="44">
        <v>39528.076555270476</v>
      </c>
      <c r="D89" s="44">
        <v>42338.51713548936</v>
      </c>
      <c r="E89" s="45">
        <v>43766.74929379882</v>
      </c>
      <c r="F89" s="44">
        <v>44633.130000000005</v>
      </c>
      <c r="G89" s="44">
        <v>0</v>
      </c>
      <c r="H89" s="44">
        <v>0</v>
      </c>
      <c r="I89" s="44">
        <v>0</v>
      </c>
    </row>
    <row r="90" spans="1:9" ht="14.25">
      <c r="A90" s="43" t="str">
        <f>HLOOKUP(INDICE!$F$2,Nombres!$C$3:$D$636,55,FALSE)</f>
        <v>    de los que préstamos y anticipos a la clientela</v>
      </c>
      <c r="B90" s="44">
        <v>29578.297993861233</v>
      </c>
      <c r="C90" s="44">
        <v>32516.996761421968</v>
      </c>
      <c r="D90" s="44">
        <v>34428.59597502068</v>
      </c>
      <c r="E90" s="45">
        <v>34948.78910222069</v>
      </c>
      <c r="F90" s="44">
        <v>36858.534</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765.793679042372</v>
      </c>
      <c r="C92" s="44">
        <v>743.549274415109</v>
      </c>
      <c r="D92" s="44">
        <v>773.7686680675332</v>
      </c>
      <c r="E92" s="45">
        <v>844.1279456740963</v>
      </c>
      <c r="F92" s="44">
        <v>871.2429999999999</v>
      </c>
      <c r="G92" s="44">
        <v>0</v>
      </c>
      <c r="H92" s="44">
        <v>0</v>
      </c>
      <c r="I92" s="44">
        <v>0</v>
      </c>
    </row>
    <row r="93" spans="1:9" ht="14.25">
      <c r="A93" s="43" t="str">
        <f>HLOOKUP(INDICE!$F$2,Nombres!$C$3:$D$636,57,FALSE)</f>
        <v>Otros activos</v>
      </c>
      <c r="B93" s="58">
        <f>+B94-B92-B89-B88-B87</f>
        <v>1003.9735649430663</v>
      </c>
      <c r="C93" s="58">
        <f aca="true" t="shared" si="15" ref="C93:I93">+C94-C92-C89-C88-C87</f>
        <v>1028.0559290881156</v>
      </c>
      <c r="D93" s="58">
        <f t="shared" si="15"/>
        <v>1038.1944965493121</v>
      </c>
      <c r="E93" s="65">
        <f t="shared" si="15"/>
        <v>1096.5135133525155</v>
      </c>
      <c r="F93" s="44">
        <f t="shared" si="15"/>
        <v>1197.1020000099898</v>
      </c>
      <c r="G93" s="44">
        <f t="shared" si="15"/>
        <v>0</v>
      </c>
      <c r="H93" s="44">
        <f t="shared" si="15"/>
        <v>0</v>
      </c>
      <c r="I93" s="44">
        <f t="shared" si="15"/>
        <v>0</v>
      </c>
    </row>
    <row r="94" spans="1:9" ht="14.25">
      <c r="A94" s="47" t="str">
        <f>HLOOKUP(INDICE!$F$2,Nombres!$C$3:$D$636,58,FALSE)</f>
        <v>Total activo / pasivo</v>
      </c>
      <c r="B94" s="47">
        <v>47056.91743864202</v>
      </c>
      <c r="C94" s="47">
        <v>50141.20001737984</v>
      </c>
      <c r="D94" s="47">
        <v>54386.408068993405</v>
      </c>
      <c r="E94" s="47">
        <v>55836.01244821536</v>
      </c>
      <c r="F94" s="47">
        <v>58875.871000009996</v>
      </c>
      <c r="G94" s="47">
        <v>0</v>
      </c>
      <c r="H94" s="47">
        <v>0</v>
      </c>
      <c r="I94" s="47">
        <v>0</v>
      </c>
    </row>
    <row r="95" spans="1:9" ht="14.25">
      <c r="A95" s="43" t="str">
        <f>HLOOKUP(INDICE!$F$2,Nombres!$C$3:$D$636,59,FALSE)</f>
        <v>Pasivos financieros mantenidos para negociar y designados a valor razonable con cambios en resultados</v>
      </c>
      <c r="B95" s="58">
        <v>1731.135547894166</v>
      </c>
      <c r="C95" s="58">
        <v>1774.934539215302</v>
      </c>
      <c r="D95" s="58">
        <v>2024.631822713302</v>
      </c>
      <c r="E95" s="65">
        <v>2188.983487429271</v>
      </c>
      <c r="F95" s="44">
        <v>2061.667</v>
      </c>
      <c r="G95" s="44">
        <v>0</v>
      </c>
      <c r="H95" s="44">
        <v>0</v>
      </c>
      <c r="I95" s="44">
        <v>0</v>
      </c>
    </row>
    <row r="96" spans="1:9" ht="14.25">
      <c r="A96" s="43" t="str">
        <f>HLOOKUP(INDICE!$F$2,Nombres!$C$3:$D$636,60,FALSE)</f>
        <v>Depósitos de bancos centrales y entidades de crédito</v>
      </c>
      <c r="B96" s="58">
        <v>3271.260796837507</v>
      </c>
      <c r="C96" s="58">
        <v>4397.825152588454</v>
      </c>
      <c r="D96" s="58">
        <v>3486.563708463257</v>
      </c>
      <c r="E96" s="65">
        <v>3167.996558059346</v>
      </c>
      <c r="F96" s="44">
        <v>4671.436</v>
      </c>
      <c r="G96" s="44">
        <v>0</v>
      </c>
      <c r="H96" s="44">
        <v>0</v>
      </c>
      <c r="I96" s="44">
        <v>0</v>
      </c>
    </row>
    <row r="97" spans="1:9" ht="14.25">
      <c r="A97" s="43" t="str">
        <f>HLOOKUP(INDICE!$F$2,Nombres!$C$3:$D$636,61,FALSE)</f>
        <v>Depósitos de la clientela</v>
      </c>
      <c r="B97" s="58">
        <v>30424.58067159755</v>
      </c>
      <c r="C97" s="58">
        <v>31676.747570595726</v>
      </c>
      <c r="D97" s="58">
        <v>35675.948646581644</v>
      </c>
      <c r="E97" s="65">
        <v>36877.29629611845</v>
      </c>
      <c r="F97" s="44">
        <v>38089.234</v>
      </c>
      <c r="G97" s="44">
        <v>0</v>
      </c>
      <c r="H97" s="44">
        <v>0</v>
      </c>
      <c r="I97" s="44">
        <v>0</v>
      </c>
    </row>
    <row r="98" spans="1:9" ht="14.25">
      <c r="A98" s="43" t="str">
        <f>HLOOKUP(INDICE!$F$2,Nombres!$C$3:$D$636,62,FALSE)</f>
        <v>Valores representativos de deuda emitidos</v>
      </c>
      <c r="B98" s="44">
        <v>3794.2892911958625</v>
      </c>
      <c r="C98" s="44">
        <v>3961.2039876117224</v>
      </c>
      <c r="D98" s="44">
        <v>3957.3830785332298</v>
      </c>
      <c r="E98" s="45">
        <v>3782.9967374800876</v>
      </c>
      <c r="F98" s="44">
        <v>4242.74763894</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2578.0179747756565</v>
      </c>
      <c r="C100" s="58">
        <f aca="true" t="shared" si="16" ref="C100:I100">+C94-C95-C96-C97-C98-C101</f>
        <v>2932.8535960658846</v>
      </c>
      <c r="D100" s="58">
        <f t="shared" si="16"/>
        <v>3650.0852459336766</v>
      </c>
      <c r="E100" s="65">
        <f t="shared" si="16"/>
        <v>4037.2587398741025</v>
      </c>
      <c r="F100" s="44">
        <f t="shared" si="16"/>
        <v>3364.9573332099962</v>
      </c>
      <c r="G100" s="44">
        <f t="shared" si="16"/>
        <v>0</v>
      </c>
      <c r="H100" s="44">
        <f t="shared" si="16"/>
        <v>0</v>
      </c>
      <c r="I100" s="44">
        <f t="shared" si="16"/>
        <v>0</v>
      </c>
    </row>
    <row r="101" spans="1:9" ht="14.25">
      <c r="A101" s="43" t="str">
        <f>HLOOKUP(INDICE!$F$2,Nombres!$C$3:$D$636,282,FALSE)</f>
        <v>Dotación de capital regulatorio</v>
      </c>
      <c r="B101" s="44">
        <v>5257.633156341274</v>
      </c>
      <c r="C101" s="44">
        <v>5397.635171302743</v>
      </c>
      <c r="D101" s="44">
        <v>5591.795566768298</v>
      </c>
      <c r="E101" s="44">
        <v>5781.480629254099</v>
      </c>
      <c r="F101" s="44">
        <v>6445.829027860001</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31699.7378648704</v>
      </c>
      <c r="C107" s="44">
        <v>34778.40976201428</v>
      </c>
      <c r="D107" s="44">
        <v>36865.34934271876</v>
      </c>
      <c r="E107" s="45">
        <v>37139.308463264366</v>
      </c>
      <c r="F107" s="44">
        <v>39266.594000000005</v>
      </c>
      <c r="G107" s="44">
        <v>0</v>
      </c>
      <c r="H107" s="44">
        <v>0</v>
      </c>
      <c r="I107" s="44">
        <v>0</v>
      </c>
    </row>
    <row r="108" spans="1:9" ht="14.25">
      <c r="A108" s="43" t="str">
        <f>HLOOKUP(INDICE!$F$2,Nombres!$C$3:$D$636,67,FALSE)</f>
        <v>Depósitos de clientes en gestión (**)</v>
      </c>
      <c r="B108" s="44">
        <v>30418.521451535868</v>
      </c>
      <c r="C108" s="44">
        <v>31516.795011552305</v>
      </c>
      <c r="D108" s="44">
        <v>35671.242428586804</v>
      </c>
      <c r="E108" s="45">
        <v>36869.90929691024</v>
      </c>
      <c r="F108" s="44">
        <v>38086.758</v>
      </c>
      <c r="G108" s="44">
        <v>0</v>
      </c>
      <c r="H108" s="44">
        <v>0</v>
      </c>
      <c r="I108" s="44">
        <v>0</v>
      </c>
    </row>
    <row r="109" spans="1:9" ht="14.25">
      <c r="A109" s="43" t="str">
        <f>HLOOKUP(INDICE!$F$2,Nombres!$C$3:$D$636,68,FALSE)</f>
        <v>Fondos de inversión</v>
      </c>
      <c r="B109" s="44">
        <v>1113.403360810406</v>
      </c>
      <c r="C109" s="44">
        <v>1384.8623686247472</v>
      </c>
      <c r="D109" s="44">
        <v>1138.5089833353604</v>
      </c>
      <c r="E109" s="45">
        <v>1019.0235622186699</v>
      </c>
      <c r="F109" s="44">
        <v>1232.623</v>
      </c>
      <c r="G109" s="44">
        <v>0</v>
      </c>
      <c r="H109" s="44">
        <v>0</v>
      </c>
      <c r="I109" s="44">
        <v>0</v>
      </c>
    </row>
    <row r="110" spans="1:9" ht="14.25">
      <c r="A110" s="43" t="str">
        <f>HLOOKUP(INDICE!$F$2,Nombres!$C$3:$D$636,69,FALSE)</f>
        <v>Fondos de pensiones</v>
      </c>
      <c r="B110" s="44">
        <v>1748.9293660843666</v>
      </c>
      <c r="C110" s="44">
        <v>1939.5227522741307</v>
      </c>
      <c r="D110" s="44">
        <v>2071.6472211706155</v>
      </c>
      <c r="E110" s="45">
        <v>2190.1285988123013</v>
      </c>
      <c r="F110" s="44">
        <v>2434.119</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HLOOKUP(INDICE!$F$2,Nombres!$C$3:$D$636,77,FALSE)</f>
        <v>(Millones de liras turcas)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5525.709360629243</v>
      </c>
      <c r="C120" s="41">
        <v>5450.519677379742</v>
      </c>
      <c r="D120" s="41">
        <v>5877.039403665936</v>
      </c>
      <c r="E120" s="42">
        <v>5548.284980330708</v>
      </c>
      <c r="F120" s="50">
        <v>4721.45256563392</v>
      </c>
      <c r="G120" s="50">
        <v>0</v>
      </c>
      <c r="H120" s="50">
        <v>0</v>
      </c>
      <c r="I120" s="50">
        <v>0</v>
      </c>
    </row>
    <row r="121" spans="1:9" ht="14.25">
      <c r="A121" s="43" t="str">
        <f>HLOOKUP(INDICE!$F$2,Nombres!$C$3:$D$636,34,FALSE)</f>
        <v>Comisiones netas</v>
      </c>
      <c r="B121" s="44">
        <v>1113.0404333933097</v>
      </c>
      <c r="C121" s="44">
        <v>776.6032571373223</v>
      </c>
      <c r="D121" s="44">
        <v>1083.8926785186961</v>
      </c>
      <c r="E121" s="45">
        <v>1134.1738167949545</v>
      </c>
      <c r="F121" s="44">
        <v>1376.5750851845605</v>
      </c>
      <c r="G121" s="44">
        <v>0</v>
      </c>
      <c r="H121" s="44">
        <v>0</v>
      </c>
      <c r="I121" s="44">
        <v>0</v>
      </c>
    </row>
    <row r="122" spans="1:9" ht="14.25">
      <c r="A122" s="43" t="str">
        <f>HLOOKUP(INDICE!$F$2,Nombres!$C$3:$D$636,35,FALSE)</f>
        <v>Resultados de operaciones financieras</v>
      </c>
      <c r="B122" s="44">
        <v>450.73181565932595</v>
      </c>
      <c r="C122" s="44">
        <v>455.1287465816515</v>
      </c>
      <c r="D122" s="44">
        <v>659.6348344059388</v>
      </c>
      <c r="E122" s="45">
        <v>263.63212765466676</v>
      </c>
      <c r="F122" s="44">
        <v>1120.1272270976117</v>
      </c>
      <c r="G122" s="44">
        <v>0</v>
      </c>
      <c r="H122" s="44">
        <v>0</v>
      </c>
      <c r="I122" s="44">
        <v>0</v>
      </c>
    </row>
    <row r="123" spans="1:9" ht="14.25">
      <c r="A123" s="43" t="str">
        <f>HLOOKUP(INDICE!$F$2,Nombres!$C$3:$D$636,36,FALSE)</f>
        <v>Otros ingresos y cargas de explotación</v>
      </c>
      <c r="B123" s="44">
        <v>147.45914609105975</v>
      </c>
      <c r="C123" s="44">
        <v>80.97158620957545</v>
      </c>
      <c r="D123" s="44">
        <v>157.12898847180452</v>
      </c>
      <c r="E123" s="45">
        <v>42.60280947410109</v>
      </c>
      <c r="F123" s="44">
        <v>217.8968729600887</v>
      </c>
      <c r="G123" s="44">
        <v>0</v>
      </c>
      <c r="H123" s="44">
        <v>0</v>
      </c>
      <c r="I123" s="44">
        <v>0</v>
      </c>
    </row>
    <row r="124" spans="1:9" ht="14.25">
      <c r="A124" s="41" t="str">
        <f>HLOOKUP(INDICE!$F$2,Nombres!$C$3:$D$636,37,FALSE)</f>
        <v>Margen bruto</v>
      </c>
      <c r="B124" s="41">
        <f>+SUM(B120:B123)</f>
        <v>7236.940755772938</v>
      </c>
      <c r="C124" s="41">
        <f aca="true" t="shared" si="19" ref="C124:I124">+SUM(C120:C123)</f>
        <v>6763.223267308291</v>
      </c>
      <c r="D124" s="41">
        <f t="shared" si="19"/>
        <v>7777.6959050623755</v>
      </c>
      <c r="E124" s="42">
        <f t="shared" si="19"/>
        <v>6988.693734254431</v>
      </c>
      <c r="F124" s="50">
        <f t="shared" si="19"/>
        <v>7436.05175087618</v>
      </c>
      <c r="G124" s="50">
        <f t="shared" si="19"/>
        <v>0</v>
      </c>
      <c r="H124" s="50">
        <f t="shared" si="19"/>
        <v>0</v>
      </c>
      <c r="I124" s="50">
        <f t="shared" si="19"/>
        <v>0</v>
      </c>
    </row>
    <row r="125" spans="1:9" ht="14.25">
      <c r="A125" s="43" t="str">
        <f>HLOOKUP(INDICE!$F$2,Nombres!$C$3:$D$636,38,FALSE)</f>
        <v>Gastos de explotación</v>
      </c>
      <c r="B125" s="44">
        <v>-2089.5297328518227</v>
      </c>
      <c r="C125" s="44">
        <v>-1934.4253339001957</v>
      </c>
      <c r="D125" s="44">
        <v>-1991.7741924970137</v>
      </c>
      <c r="E125" s="45">
        <v>-2271.810776994723</v>
      </c>
      <c r="F125" s="44">
        <v>-2362.26996501111</v>
      </c>
      <c r="G125" s="44">
        <v>0</v>
      </c>
      <c r="H125" s="44">
        <v>0</v>
      </c>
      <c r="I125" s="44">
        <v>0</v>
      </c>
    </row>
    <row r="126" spans="1:9" ht="14.25">
      <c r="A126" s="43" t="str">
        <f>HLOOKUP(INDICE!$F$2,Nombres!$C$3:$D$636,39,FALSE)</f>
        <v>  Gastos de administración</v>
      </c>
      <c r="B126" s="44">
        <v>-1766.8914811982345</v>
      </c>
      <c r="C126" s="44">
        <v>-1661.4693049797474</v>
      </c>
      <c r="D126" s="44">
        <v>-1686.7383917204238</v>
      </c>
      <c r="E126" s="45">
        <v>-1968.6873632701404</v>
      </c>
      <c r="F126" s="44">
        <v>-2061.163750436139</v>
      </c>
      <c r="G126" s="44">
        <v>0</v>
      </c>
      <c r="H126" s="44">
        <v>0</v>
      </c>
      <c r="I126" s="44">
        <v>0</v>
      </c>
    </row>
    <row r="127" spans="1:9" ht="14.25">
      <c r="A127" s="46" t="str">
        <f>HLOOKUP(INDICE!$F$2,Nombres!$C$3:$D$636,40,FALSE)</f>
        <v>  Gastos de personal</v>
      </c>
      <c r="B127" s="44">
        <v>-1057.3558819588861</v>
      </c>
      <c r="C127" s="44">
        <v>-1139.7965859709284</v>
      </c>
      <c r="D127" s="44">
        <v>-1126.739511016664</v>
      </c>
      <c r="E127" s="45">
        <v>-1191.6495738730932</v>
      </c>
      <c r="F127" s="44">
        <v>-1264.9005225608093</v>
      </c>
      <c r="G127" s="44">
        <v>0</v>
      </c>
      <c r="H127" s="44">
        <v>0</v>
      </c>
      <c r="I127" s="44">
        <v>0</v>
      </c>
    </row>
    <row r="128" spans="1:9" ht="14.25">
      <c r="A128" s="46" t="str">
        <f>HLOOKUP(INDICE!$F$2,Nombres!$C$3:$D$636,41,FALSE)</f>
        <v>  Otros gastos de administración</v>
      </c>
      <c r="B128" s="44">
        <v>-709.5355992393481</v>
      </c>
      <c r="C128" s="44">
        <v>-521.6727190088191</v>
      </c>
      <c r="D128" s="44">
        <v>-559.9988807037596</v>
      </c>
      <c r="E128" s="45">
        <v>-777.037789397047</v>
      </c>
      <c r="F128" s="44">
        <v>-796.2632278753299</v>
      </c>
      <c r="G128" s="44">
        <v>0</v>
      </c>
      <c r="H128" s="44">
        <v>0</v>
      </c>
      <c r="I128" s="44">
        <v>0</v>
      </c>
    </row>
    <row r="129" spans="1:9" ht="14.25">
      <c r="A129" s="43" t="str">
        <f>HLOOKUP(INDICE!$F$2,Nombres!$C$3:$D$636,42,FALSE)</f>
        <v>  Amortización</v>
      </c>
      <c r="B129" s="44">
        <v>-322.63825165358895</v>
      </c>
      <c r="C129" s="44">
        <v>-272.95602892044855</v>
      </c>
      <c r="D129" s="44">
        <v>-305.03580077658967</v>
      </c>
      <c r="E129" s="45">
        <v>-303.12341372458246</v>
      </c>
      <c r="F129" s="44">
        <v>-301.10621457497064</v>
      </c>
      <c r="G129" s="44">
        <v>0</v>
      </c>
      <c r="H129" s="44">
        <v>0</v>
      </c>
      <c r="I129" s="44">
        <v>0</v>
      </c>
    </row>
    <row r="130" spans="1:9" ht="14.25">
      <c r="A130" s="41" t="str">
        <f>HLOOKUP(INDICE!$F$2,Nombres!$C$3:$D$636,43,FALSE)</f>
        <v>Margen neto</v>
      </c>
      <c r="B130" s="41">
        <f>+B124+B125</f>
        <v>5147.411022921116</v>
      </c>
      <c r="C130" s="41">
        <f aca="true" t="shared" si="20" ref="C130:I130">+C124+C125</f>
        <v>4828.797933408096</v>
      </c>
      <c r="D130" s="41">
        <f t="shared" si="20"/>
        <v>5785.921712565361</v>
      </c>
      <c r="E130" s="42">
        <f t="shared" si="20"/>
        <v>4716.882957259708</v>
      </c>
      <c r="F130" s="50">
        <f t="shared" si="20"/>
        <v>5073.781785865071</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-2719.002626945532</v>
      </c>
      <c r="C131" s="44">
        <v>-1705.1419217267726</v>
      </c>
      <c r="D131" s="44">
        <v>-739.6828430772881</v>
      </c>
      <c r="E131" s="45">
        <v>-2040.7858290368383</v>
      </c>
      <c r="F131" s="44">
        <v>-1095.190338649602</v>
      </c>
      <c r="G131" s="44">
        <v>0</v>
      </c>
      <c r="H131" s="44">
        <v>0</v>
      </c>
      <c r="I131" s="44">
        <v>0</v>
      </c>
    </row>
    <row r="132" spans="1:9" ht="14.25">
      <c r="A132" s="43" t="str">
        <f>HLOOKUP(INDICE!$F$2,Nombres!$C$3:$D$636,45,FALSE)</f>
        <v>Provisiones o reversión de provisiones y otros resultados</v>
      </c>
      <c r="B132" s="44">
        <v>-136.31997606305518</v>
      </c>
      <c r="C132" s="44">
        <v>-298.32082287815376</v>
      </c>
      <c r="D132" s="44">
        <v>-96.70330145982993</v>
      </c>
      <c r="E132" s="45">
        <v>-488.7931572881339</v>
      </c>
      <c r="F132" s="44">
        <v>310.35147904012643</v>
      </c>
      <c r="G132" s="44">
        <v>0</v>
      </c>
      <c r="H132" s="44">
        <v>0</v>
      </c>
      <c r="I132" s="44">
        <v>0</v>
      </c>
    </row>
    <row r="133" spans="1:9" ht="14.25">
      <c r="A133" s="41" t="str">
        <f>HLOOKUP(INDICE!$F$2,Nombres!$C$3:$D$636,46,FALSE)</f>
        <v>Resultado antes de impuestos</v>
      </c>
      <c r="B133" s="41">
        <f>+B130+B131+B132</f>
        <v>2292.0884199125285</v>
      </c>
      <c r="C133" s="41">
        <f aca="true" t="shared" si="21" ref="C133:I133">+C130+C131+C132</f>
        <v>2825.3351888031693</v>
      </c>
      <c r="D133" s="41">
        <f t="shared" si="21"/>
        <v>4949.535568028243</v>
      </c>
      <c r="E133" s="42">
        <f t="shared" si="21"/>
        <v>2187.3039709347354</v>
      </c>
      <c r="F133" s="50">
        <f t="shared" si="21"/>
        <v>4288.942926255595</v>
      </c>
      <c r="G133" s="50">
        <f t="shared" si="21"/>
        <v>0</v>
      </c>
      <c r="H133" s="50">
        <f t="shared" si="21"/>
        <v>0</v>
      </c>
      <c r="I133" s="50">
        <f t="shared" si="21"/>
        <v>0</v>
      </c>
    </row>
    <row r="134" spans="1:9" ht="14.25">
      <c r="A134" s="43" t="str">
        <f>HLOOKUP(INDICE!$F$2,Nombres!$C$3:$D$636,47,FALSE)</f>
        <v>Impuesto sobre beneficios</v>
      </c>
      <c r="B134" s="44">
        <v>-527.5973795537502</v>
      </c>
      <c r="C134" s="44">
        <v>-725.6561809271068</v>
      </c>
      <c r="D134" s="44">
        <v>-1083.2841488239624</v>
      </c>
      <c r="E134" s="45">
        <v>-720.4749399837041</v>
      </c>
      <c r="F134" s="44">
        <v>-837.1609156063096</v>
      </c>
      <c r="G134" s="44">
        <v>0</v>
      </c>
      <c r="H134" s="44">
        <v>0</v>
      </c>
      <c r="I134" s="44">
        <v>0</v>
      </c>
    </row>
    <row r="135" spans="1:9" ht="14.25">
      <c r="A135" s="41" t="str">
        <f>HLOOKUP(INDICE!$F$2,Nombres!$C$3:$D$636,48,FALSE)</f>
        <v>Resultado del ejercicio</v>
      </c>
      <c r="B135" s="41">
        <f>+B133+B134</f>
        <v>1764.4910403587783</v>
      </c>
      <c r="C135" s="41">
        <f aca="true" t="shared" si="22" ref="C135:I135">+C133+C134</f>
        <v>2099.6790078760623</v>
      </c>
      <c r="D135" s="41">
        <f t="shared" si="22"/>
        <v>3866.2514192042804</v>
      </c>
      <c r="E135" s="42">
        <f t="shared" si="22"/>
        <v>1466.8290309510312</v>
      </c>
      <c r="F135" s="50">
        <f t="shared" si="22"/>
        <v>3451.7820106492854</v>
      </c>
      <c r="G135" s="50">
        <f t="shared" si="22"/>
        <v>0</v>
      </c>
      <c r="H135" s="50">
        <f t="shared" si="22"/>
        <v>0</v>
      </c>
      <c r="I135" s="50">
        <f t="shared" si="22"/>
        <v>0</v>
      </c>
    </row>
    <row r="136" spans="1:9" ht="14.25">
      <c r="A136" s="43" t="str">
        <f>HLOOKUP(INDICE!$F$2,Nombres!$C$3:$D$636,49,FALSE)</f>
        <v>Minoritarios</v>
      </c>
      <c r="B136" s="44">
        <v>-896.1098174223639</v>
      </c>
      <c r="C136" s="44">
        <v>-1064.0161650430875</v>
      </c>
      <c r="D136" s="44">
        <v>-1952.210736079393</v>
      </c>
      <c r="E136" s="45">
        <v>-750.3175738224381</v>
      </c>
      <c r="F136" s="44">
        <v>-1749.6566132487123</v>
      </c>
      <c r="G136" s="44">
        <v>0</v>
      </c>
      <c r="H136" s="44">
        <v>0</v>
      </c>
      <c r="I136" s="44">
        <v>0</v>
      </c>
    </row>
    <row r="137" spans="1:9" ht="14.25">
      <c r="A137" s="47" t="str">
        <f>HLOOKUP(INDICE!$F$2,Nombres!$C$3:$D$636,50,FALSE)</f>
        <v>Resultado atribuido</v>
      </c>
      <c r="B137" s="47">
        <f>+B135+B136</f>
        <v>868.3812229364144</v>
      </c>
      <c r="C137" s="47">
        <f aca="true" t="shared" si="23" ref="C137:I137">+C135+C136</f>
        <v>1035.6628428329748</v>
      </c>
      <c r="D137" s="47">
        <f t="shared" si="23"/>
        <v>1914.0406831248874</v>
      </c>
      <c r="E137" s="47">
        <f t="shared" si="23"/>
        <v>716.5114571285931</v>
      </c>
      <c r="F137" s="51">
        <f t="shared" si="23"/>
        <v>1702.125397400573</v>
      </c>
      <c r="G137" s="51">
        <f t="shared" si="23"/>
        <v>0</v>
      </c>
      <c r="H137" s="51">
        <f t="shared" si="23"/>
        <v>0</v>
      </c>
      <c r="I137" s="51">
        <f t="shared" si="23"/>
        <v>0</v>
      </c>
    </row>
    <row r="138" spans="1:9" ht="14.25">
      <c r="A138" s="62"/>
      <c r="B138" s="63">
        <v>0</v>
      </c>
      <c r="C138" s="63">
        <v>0</v>
      </c>
      <c r="D138" s="63">
        <v>-1.8189894035458565E-12</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HLOOKUP(INDICE!$F$2,Nombres!$C$3:$D$636,77,FALSE)</f>
        <v>(Millones de liras turcas)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37430.8841906874</v>
      </c>
      <c r="C143" s="44">
        <v>42135.74023318286</v>
      </c>
      <c r="D143" s="44">
        <v>50137.955828782106</v>
      </c>
      <c r="E143" s="45">
        <v>49914.14373655185</v>
      </c>
      <c r="F143" s="44">
        <v>64984.91042509099</v>
      </c>
      <c r="G143" s="44">
        <v>0</v>
      </c>
      <c r="H143" s="44">
        <v>0</v>
      </c>
      <c r="I143" s="44">
        <v>0</v>
      </c>
    </row>
    <row r="144" spans="1:9" ht="14.25">
      <c r="A144" s="43" t="str">
        <f>HLOOKUP(INDICE!$F$2,Nombres!$C$3:$D$636,53,FALSE)</f>
        <v>Activos financieros a valor razonable</v>
      </c>
      <c r="B144" s="58">
        <v>36455.79973768773</v>
      </c>
      <c r="C144" s="58">
        <v>43848.02483188216</v>
      </c>
      <c r="D144" s="58">
        <v>49406.441723785276</v>
      </c>
      <c r="E144" s="65">
        <v>48586.702251253126</v>
      </c>
      <c r="F144" s="44">
        <v>53411.09067507478</v>
      </c>
      <c r="G144" s="44">
        <v>0</v>
      </c>
      <c r="H144" s="44">
        <v>0</v>
      </c>
      <c r="I144" s="44">
        <v>0</v>
      </c>
    </row>
    <row r="145" spans="1:9" ht="14.25">
      <c r="A145" s="43" t="str">
        <f>HLOOKUP(INDICE!$F$2,Nombres!$C$3:$D$636,54,FALSE)</f>
        <v>Activos financieros a coste amortizado</v>
      </c>
      <c r="B145" s="44">
        <v>366530.85171527666</v>
      </c>
      <c r="C145" s="44">
        <v>384410.5445005436</v>
      </c>
      <c r="D145" s="44">
        <v>411742.0791432106</v>
      </c>
      <c r="E145" s="45">
        <v>425631.6368827893</v>
      </c>
      <c r="F145" s="44">
        <v>434057.1892506077</v>
      </c>
      <c r="G145" s="44">
        <v>0</v>
      </c>
      <c r="H145" s="44">
        <v>0</v>
      </c>
      <c r="I145" s="44">
        <v>0</v>
      </c>
    </row>
    <row r="146" spans="1:9" ht="14.25">
      <c r="A146" s="43" t="str">
        <f>HLOOKUP(INDICE!$F$2,Nombres!$C$3:$D$636,55,FALSE)</f>
        <v>    de los que préstamos y anticipos a la clientela</v>
      </c>
      <c r="B146" s="44">
        <v>287648.9479907032</v>
      </c>
      <c r="C146" s="44">
        <v>316227.7935052714</v>
      </c>
      <c r="D146" s="44">
        <v>334818.09585754486</v>
      </c>
      <c r="E146" s="45">
        <v>339876.97401957214</v>
      </c>
      <c r="F146" s="44">
        <v>358449.2431505018</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7447.343528697495</v>
      </c>
      <c r="C148" s="44">
        <v>7231.016693697059</v>
      </c>
      <c r="D148" s="44">
        <v>7524.9002969672965</v>
      </c>
      <c r="E148" s="45">
        <v>8209.14427169208</v>
      </c>
      <c r="F148" s="44">
        <v>8472.838175011862</v>
      </c>
      <c r="G148" s="44">
        <v>0</v>
      </c>
      <c r="H148" s="44">
        <v>0</v>
      </c>
      <c r="I148" s="44">
        <v>0</v>
      </c>
    </row>
    <row r="149" spans="1:9" ht="14.25">
      <c r="A149" s="43" t="str">
        <f>HLOOKUP(INDICE!$F$2,Nombres!$C$3:$D$636,57,FALSE)</f>
        <v>Otros activos</v>
      </c>
      <c r="B149" s="58">
        <f>+B150-B148-B145-B144-B143</f>
        <v>9763.642919084872</v>
      </c>
      <c r="C149" s="58">
        <f aca="true" t="shared" si="25" ref="C149:I149">+C150-C148-C145-C144-C143</f>
        <v>9997.843910396019</v>
      </c>
      <c r="D149" s="58">
        <f t="shared" si="25"/>
        <v>10096.441478956061</v>
      </c>
      <c r="E149" s="65">
        <f t="shared" si="25"/>
        <v>10663.593917368285</v>
      </c>
      <c r="F149" s="44">
        <f t="shared" si="25"/>
        <v>11641.816950113454</v>
      </c>
      <c r="G149" s="44">
        <f t="shared" si="25"/>
        <v>0</v>
      </c>
      <c r="H149" s="44">
        <f t="shared" si="25"/>
        <v>0</v>
      </c>
      <c r="I149" s="44">
        <f t="shared" si="25"/>
        <v>0</v>
      </c>
    </row>
    <row r="150" spans="1:9" ht="14.25">
      <c r="A150" s="47" t="str">
        <f>HLOOKUP(INDICE!$F$2,Nombres!$C$3:$D$636,58,FALSE)</f>
        <v>Total activo / pasivo</v>
      </c>
      <c r="B150" s="47">
        <v>457628.52209143416</v>
      </c>
      <c r="C150" s="47">
        <v>487623.17016970174</v>
      </c>
      <c r="D150" s="47">
        <v>528907.8184717014</v>
      </c>
      <c r="E150" s="71">
        <v>543005.2210596546</v>
      </c>
      <c r="F150" s="51">
        <v>572567.8454758988</v>
      </c>
      <c r="G150" s="51">
        <v>0</v>
      </c>
      <c r="H150" s="51">
        <v>0</v>
      </c>
      <c r="I150" s="51">
        <v>0</v>
      </c>
    </row>
    <row r="151" spans="1:9" ht="14.25">
      <c r="A151" s="43" t="str">
        <f>HLOOKUP(INDICE!$F$2,Nombres!$C$3:$D$636,59,FALSE)</f>
        <v>Pasivos financieros mantenidos para negociar y designados a valor razonable con cambios en resultados</v>
      </c>
      <c r="B151" s="58">
        <v>16835.29320329433</v>
      </c>
      <c r="C151" s="58">
        <v>17261.238393892974</v>
      </c>
      <c r="D151" s="58">
        <v>19689.544475914427</v>
      </c>
      <c r="E151" s="65">
        <v>21287.864415279462</v>
      </c>
      <c r="F151" s="44">
        <v>20049.71157502807</v>
      </c>
      <c r="G151" s="44">
        <v>0</v>
      </c>
      <c r="H151" s="44">
        <v>0</v>
      </c>
      <c r="I151" s="44">
        <v>0</v>
      </c>
    </row>
    <row r="152" spans="1:9" ht="14.25">
      <c r="A152" s="43" t="str">
        <f>HLOOKUP(INDICE!$F$2,Nombres!$C$3:$D$636,60,FALSE)</f>
        <v>Depósitos de bancos centrales y entidades de crédito</v>
      </c>
      <c r="B152" s="58">
        <v>31813.011249289295</v>
      </c>
      <c r="C152" s="58">
        <v>42768.84960898261</v>
      </c>
      <c r="D152" s="58">
        <v>33906.83206485265</v>
      </c>
      <c r="E152" s="65">
        <v>30808.766527170275</v>
      </c>
      <c r="F152" s="44">
        <v>45429.71510006361</v>
      </c>
      <c r="G152" s="44">
        <v>0</v>
      </c>
      <c r="H152" s="44">
        <v>0</v>
      </c>
      <c r="I152" s="44">
        <v>0</v>
      </c>
    </row>
    <row r="153" spans="1:9" ht="14.25">
      <c r="A153" s="43" t="str">
        <f>HLOOKUP(INDICE!$F$2,Nombres!$C$3:$D$636,61,FALSE)</f>
        <v>Depósitos de la clientela</v>
      </c>
      <c r="B153" s="58">
        <v>295879.0470317004</v>
      </c>
      <c r="C153" s="58">
        <v>308056.37012447463</v>
      </c>
      <c r="D153" s="58">
        <v>346948.6005884922</v>
      </c>
      <c r="E153" s="65">
        <v>358631.706480254</v>
      </c>
      <c r="F153" s="44">
        <v>370417.8006505186</v>
      </c>
      <c r="G153" s="44">
        <v>0</v>
      </c>
      <c r="H153" s="44">
        <v>0</v>
      </c>
      <c r="I153" s="44">
        <v>0</v>
      </c>
    </row>
    <row r="154" spans="1:9" ht="14.25">
      <c r="A154" s="43" t="str">
        <f>HLOOKUP(INDICE!$F$2,Nombres!$C$3:$D$636,62,FALSE)</f>
        <v>Valores representativos de deuda emitidos</v>
      </c>
      <c r="B154" s="44">
        <v>36899.463356931425</v>
      </c>
      <c r="C154" s="44">
        <v>38522.70877957793</v>
      </c>
      <c r="D154" s="44">
        <v>38485.55043878954</v>
      </c>
      <c r="E154" s="45">
        <v>36789.64327204535</v>
      </c>
      <c r="F154" s="44">
        <v>41260.72078874927</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25071.224804728277</v>
      </c>
      <c r="C156" s="58">
        <f aca="true" t="shared" si="26" ref="C156:I156">+C150-C151-C152-C153-C154-C157</f>
        <v>28522.001221780898</v>
      </c>
      <c r="D156" s="58">
        <f t="shared" si="26"/>
        <v>35497.07901675472</v>
      </c>
      <c r="E156" s="65">
        <f t="shared" si="26"/>
        <v>39262.34124533068</v>
      </c>
      <c r="F156" s="44">
        <f t="shared" si="26"/>
        <v>32724.21006551305</v>
      </c>
      <c r="G156" s="44">
        <f t="shared" si="26"/>
        <v>0</v>
      </c>
      <c r="H156" s="44">
        <f t="shared" si="26"/>
        <v>0</v>
      </c>
      <c r="I156" s="44">
        <f t="shared" si="26"/>
        <v>0</v>
      </c>
    </row>
    <row r="157" spans="1:9" ht="15.75" customHeight="1">
      <c r="A157" s="43" t="str">
        <f>HLOOKUP(INDICE!$F$2,Nombres!$C$3:$D$636,282,FALSE)</f>
        <v>Dotación de capital regulatorio</v>
      </c>
      <c r="B157" s="44">
        <v>51130.482445490474</v>
      </c>
      <c r="C157" s="44">
        <v>52492.002040992666</v>
      </c>
      <c r="D157" s="44">
        <v>54380.211886897836</v>
      </c>
      <c r="E157" s="44">
        <v>56224.899119574824</v>
      </c>
      <c r="F157" s="44">
        <v>62685.68729602627</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HLOOKUP(INDICE!$F$2,Nombres!$C$3:$D$636,77,FALSE)</f>
        <v>(Millones de liras turcas)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308279.95073629625</v>
      </c>
      <c r="C163" s="44">
        <v>338220.0349360624</v>
      </c>
      <c r="D163" s="44">
        <v>358515.52235844184</v>
      </c>
      <c r="E163" s="45">
        <v>361179.7748057516</v>
      </c>
      <c r="F163" s="44">
        <v>381867.6266505346</v>
      </c>
      <c r="G163" s="44">
        <v>0</v>
      </c>
      <c r="H163" s="44">
        <v>0</v>
      </c>
      <c r="I163" s="44">
        <v>0</v>
      </c>
    </row>
    <row r="164" spans="1:9" ht="14.25">
      <c r="A164" s="43" t="str">
        <f>HLOOKUP(INDICE!$F$2,Nombres!$C$3:$D$636,67,FALSE)</f>
        <v>Depósitos de clientes en gestión (**)</v>
      </c>
      <c r="B164" s="44">
        <v>295820.1211166004</v>
      </c>
      <c r="C164" s="44">
        <v>306500.8314877754</v>
      </c>
      <c r="D164" s="44">
        <v>346902.83261849236</v>
      </c>
      <c r="E164" s="45">
        <v>358559.86791295424</v>
      </c>
      <c r="F164" s="44">
        <v>370393.72155051853</v>
      </c>
      <c r="G164" s="44">
        <v>0</v>
      </c>
      <c r="H164" s="44">
        <v>0</v>
      </c>
      <c r="I164" s="44">
        <v>0</v>
      </c>
    </row>
    <row r="165" spans="1:9" ht="14.25">
      <c r="A165" s="43" t="str">
        <f>HLOOKUP(INDICE!$F$2,Nombres!$C$3:$D$636,68,FALSE)</f>
        <v>Fondos de inversión</v>
      </c>
      <c r="B165" s="44">
        <v>10827.847683896356</v>
      </c>
      <c r="C165" s="44">
        <v>13467.786534894522</v>
      </c>
      <c r="D165" s="44">
        <v>11071.999862951881</v>
      </c>
      <c r="E165" s="45">
        <v>9910.004142590438</v>
      </c>
      <c r="F165" s="44">
        <v>11987.258675016783</v>
      </c>
      <c r="G165" s="44">
        <v>0</v>
      </c>
      <c r="H165" s="44">
        <v>0</v>
      </c>
      <c r="I165" s="44">
        <v>0</v>
      </c>
    </row>
    <row r="166" spans="1:9" ht="14.25">
      <c r="A166" s="43" t="str">
        <f>HLOOKUP(INDICE!$F$2,Nombres!$C$3:$D$636,69,FALSE)</f>
        <v>Fondos de pensiones</v>
      </c>
      <c r="B166" s="44">
        <v>17008.33808519428</v>
      </c>
      <c r="C166" s="44">
        <v>18861.858765892328</v>
      </c>
      <c r="D166" s="44">
        <v>20146.76922591244</v>
      </c>
      <c r="E166" s="45">
        <v>21299.000623479453</v>
      </c>
      <c r="F166" s="44">
        <v>23671.807275033145</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5" operator="notBetween">
      <formula>0.5</formula>
      <formula>-0.5</formula>
    </cfRule>
  </conditionalFormatting>
  <conditionalFormatting sqref="B82:I82">
    <cfRule type="cellIs" priority="2" dxfId="115" operator="notBetween">
      <formula>0.5</formula>
      <formula>-0.5</formula>
    </cfRule>
  </conditionalFormatting>
  <conditionalFormatting sqref="B138:I138">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P18" sqref="P18"/>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HLOOKUP(INDICE!$F$2,Nombres!$C$3:$D$636,300,FALSE)</f>
        <v>América del Sur  (incluye Paraguay)</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763.1889958799999</v>
      </c>
      <c r="C8" s="41">
        <v>679.60597805</v>
      </c>
      <c r="D8" s="41">
        <v>626.5529847900001</v>
      </c>
      <c r="E8" s="42">
        <v>632.04092009</v>
      </c>
      <c r="F8" s="50">
        <v>659.8777555500001</v>
      </c>
      <c r="G8" s="50">
        <v>0</v>
      </c>
      <c r="H8" s="50">
        <v>0</v>
      </c>
      <c r="I8" s="50">
        <v>0</v>
      </c>
    </row>
    <row r="9" spans="1:9" ht="14.25">
      <c r="A9" s="43" t="str">
        <f>HLOOKUP(INDICE!$F$2,Nombres!$C$3:$D$636,34,FALSE)</f>
        <v>Comisiones netas</v>
      </c>
      <c r="B9" s="44">
        <v>119.18508365</v>
      </c>
      <c r="C9" s="44">
        <v>112.75746720000001</v>
      </c>
      <c r="D9" s="44">
        <v>135.58780038</v>
      </c>
      <c r="E9" s="45">
        <v>115.94195891000001</v>
      </c>
      <c r="F9" s="44">
        <v>120.15356925</v>
      </c>
      <c r="G9" s="44">
        <v>0</v>
      </c>
      <c r="H9" s="44">
        <v>0</v>
      </c>
      <c r="I9" s="44">
        <v>0</v>
      </c>
    </row>
    <row r="10" spans="1:9" ht="14.25">
      <c r="A10" s="43" t="str">
        <f>HLOOKUP(INDICE!$F$2,Nombres!$C$3:$D$636,35,FALSE)</f>
        <v>Resultados de operaciones financieras</v>
      </c>
      <c r="B10" s="44">
        <v>80.40936833</v>
      </c>
      <c r="C10" s="44">
        <v>91.73590292999998</v>
      </c>
      <c r="D10" s="44">
        <v>97.76752325000004</v>
      </c>
      <c r="E10" s="45">
        <v>137.30968869000003</v>
      </c>
      <c r="F10" s="44">
        <v>74.42403224</v>
      </c>
      <c r="G10" s="44">
        <v>0</v>
      </c>
      <c r="H10" s="44">
        <v>0</v>
      </c>
      <c r="I10" s="44">
        <v>0</v>
      </c>
    </row>
    <row r="11" spans="1:9" ht="14.25">
      <c r="A11" s="43" t="str">
        <f>HLOOKUP(INDICE!$F$2,Nombres!$C$3:$D$636,36,FALSE)</f>
        <v>Otros ingresos y cargas de explotación</v>
      </c>
      <c r="B11" s="44">
        <v>-100.265</v>
      </c>
      <c r="C11" s="44">
        <v>-82.466</v>
      </c>
      <c r="D11" s="44">
        <v>-83.26500000000001</v>
      </c>
      <c r="E11" s="45">
        <v>-101.06199999999995</v>
      </c>
      <c r="F11" s="44">
        <v>-140.19099999999997</v>
      </c>
      <c r="G11" s="44">
        <v>0</v>
      </c>
      <c r="H11" s="44">
        <v>0</v>
      </c>
      <c r="I11" s="44">
        <v>0</v>
      </c>
    </row>
    <row r="12" spans="1:9" ht="14.25">
      <c r="A12" s="41" t="str">
        <f>HLOOKUP(INDICE!$F$2,Nombres!$C$3:$D$636,37,FALSE)</f>
        <v>Margen bruto</v>
      </c>
      <c r="B12" s="41">
        <f>+SUM(B8:B11)</f>
        <v>862.5184478599999</v>
      </c>
      <c r="C12" s="41">
        <f aca="true" t="shared" si="0" ref="C12:I12">+SUM(C8:C11)</f>
        <v>801.63334818</v>
      </c>
      <c r="D12" s="41">
        <f t="shared" si="0"/>
        <v>776.6433084200002</v>
      </c>
      <c r="E12" s="42">
        <f t="shared" si="0"/>
        <v>784.23056769</v>
      </c>
      <c r="F12" s="50">
        <f t="shared" si="0"/>
        <v>714.26435704</v>
      </c>
      <c r="G12" s="50">
        <f t="shared" si="0"/>
        <v>0</v>
      </c>
      <c r="H12" s="50">
        <f t="shared" si="0"/>
        <v>0</v>
      </c>
      <c r="I12" s="50">
        <f t="shared" si="0"/>
        <v>0</v>
      </c>
    </row>
    <row r="13" spans="1:9" ht="14.25">
      <c r="A13" s="43" t="str">
        <f>HLOOKUP(INDICE!$F$2,Nombres!$C$3:$D$636,38,FALSE)</f>
        <v>Gastos de explotación</v>
      </c>
      <c r="B13" s="44">
        <v>-389.59941787</v>
      </c>
      <c r="C13" s="44">
        <v>-329.52753055999995</v>
      </c>
      <c r="D13" s="44">
        <v>-324.68345208999995</v>
      </c>
      <c r="E13" s="45">
        <v>-328.58780636999995</v>
      </c>
      <c r="F13" s="44">
        <v>-337.19646658000005</v>
      </c>
      <c r="G13" s="44">
        <v>0</v>
      </c>
      <c r="H13" s="44">
        <v>0</v>
      </c>
      <c r="I13" s="44">
        <v>0</v>
      </c>
    </row>
    <row r="14" spans="1:9" ht="14.25">
      <c r="A14" s="43" t="str">
        <f>HLOOKUP(INDICE!$F$2,Nombres!$C$3:$D$636,39,FALSE)</f>
        <v>  Gastos de administración</v>
      </c>
      <c r="B14" s="44">
        <v>-345.63841787</v>
      </c>
      <c r="C14" s="44">
        <v>-290.74753056000003</v>
      </c>
      <c r="D14" s="44">
        <v>-288.91045209</v>
      </c>
      <c r="E14" s="45">
        <v>-293.39180637000004</v>
      </c>
      <c r="F14" s="44">
        <v>-302.79846658</v>
      </c>
      <c r="G14" s="44">
        <v>0</v>
      </c>
      <c r="H14" s="44">
        <v>0</v>
      </c>
      <c r="I14" s="44">
        <v>0</v>
      </c>
    </row>
    <row r="15" spans="1:9" ht="14.25">
      <c r="A15" s="46" t="str">
        <f>HLOOKUP(INDICE!$F$2,Nombres!$C$3:$D$636,40,FALSE)</f>
        <v>  Gastos de personal</v>
      </c>
      <c r="B15" s="44">
        <v>-197.31927843</v>
      </c>
      <c r="C15" s="44">
        <v>-159.60420292</v>
      </c>
      <c r="D15" s="44">
        <v>-158.28397114</v>
      </c>
      <c r="E15" s="45">
        <v>-154.46618740000002</v>
      </c>
      <c r="F15" s="44">
        <v>-165.87710144000002</v>
      </c>
      <c r="G15" s="44">
        <v>0</v>
      </c>
      <c r="H15" s="44">
        <v>0</v>
      </c>
      <c r="I15" s="44">
        <v>0</v>
      </c>
    </row>
    <row r="16" spans="1:9" ht="14.25">
      <c r="A16" s="46" t="str">
        <f>HLOOKUP(INDICE!$F$2,Nombres!$C$3:$D$636,41,FALSE)</f>
        <v>  Otros gastos de administración</v>
      </c>
      <c r="B16" s="44">
        <v>-148.31913944000001</v>
      </c>
      <c r="C16" s="44">
        <v>-131.14332764</v>
      </c>
      <c r="D16" s="44">
        <v>-130.62648094999997</v>
      </c>
      <c r="E16" s="45">
        <v>-138.92561897000002</v>
      </c>
      <c r="F16" s="44">
        <v>-136.92136514</v>
      </c>
      <c r="G16" s="44">
        <v>0</v>
      </c>
      <c r="H16" s="44">
        <v>0</v>
      </c>
      <c r="I16" s="44">
        <v>0</v>
      </c>
    </row>
    <row r="17" spans="1:9" ht="14.25">
      <c r="A17" s="43" t="str">
        <f>HLOOKUP(INDICE!$F$2,Nombres!$C$3:$D$636,42,FALSE)</f>
        <v>  Amortización</v>
      </c>
      <c r="B17" s="44">
        <v>-43.961</v>
      </c>
      <c r="C17" s="44">
        <v>-38.78</v>
      </c>
      <c r="D17" s="44">
        <v>-35.772999999999996</v>
      </c>
      <c r="E17" s="45">
        <v>-35.196</v>
      </c>
      <c r="F17" s="44">
        <v>-34.397999999999996</v>
      </c>
      <c r="G17" s="44">
        <v>0</v>
      </c>
      <c r="H17" s="44">
        <v>0</v>
      </c>
      <c r="I17" s="44">
        <v>0</v>
      </c>
    </row>
    <row r="18" spans="1:9" ht="14.25">
      <c r="A18" s="41" t="str">
        <f>HLOOKUP(INDICE!$F$2,Nombres!$C$3:$D$636,43,FALSE)</f>
        <v>Margen neto</v>
      </c>
      <c r="B18" s="41">
        <f>+B12+B13</f>
        <v>472.9190299899999</v>
      </c>
      <c r="C18" s="41">
        <f aca="true" t="shared" si="1" ref="C18:I18">+C12+C13</f>
        <v>472.10581762000004</v>
      </c>
      <c r="D18" s="41">
        <f t="shared" si="1"/>
        <v>451.9598563300002</v>
      </c>
      <c r="E18" s="42">
        <f t="shared" si="1"/>
        <v>455.6427613200001</v>
      </c>
      <c r="F18" s="50">
        <f t="shared" si="1"/>
        <v>377.06789046</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-318.74199999999996</v>
      </c>
      <c r="C19" s="44">
        <v>-283.932</v>
      </c>
      <c r="D19" s="44">
        <v>-72.37499999999997</v>
      </c>
      <c r="E19" s="45">
        <v>-189.16700000000003</v>
      </c>
      <c r="F19" s="44">
        <v>-159.254</v>
      </c>
      <c r="G19" s="44">
        <v>0</v>
      </c>
      <c r="H19" s="44">
        <v>0</v>
      </c>
      <c r="I19" s="44">
        <v>0</v>
      </c>
    </row>
    <row r="20" spans="1:9" ht="14.25">
      <c r="A20" s="43" t="str">
        <f>HLOOKUP(INDICE!$F$2,Nombres!$C$3:$D$636,45,FALSE)</f>
        <v>Provisiones o reversión de provisiones y otros resultados</v>
      </c>
      <c r="B20" s="44">
        <v>-17.688000000000002</v>
      </c>
      <c r="C20" s="44">
        <v>-27.756999999999998</v>
      </c>
      <c r="D20" s="44">
        <v>-29.577999999999996</v>
      </c>
      <c r="E20" s="45">
        <v>-17.711512999999997</v>
      </c>
      <c r="F20" s="44">
        <v>-15.966793999999998</v>
      </c>
      <c r="G20" s="44">
        <v>0</v>
      </c>
      <c r="H20" s="44">
        <v>0</v>
      </c>
      <c r="I20" s="44">
        <v>0</v>
      </c>
    </row>
    <row r="21" spans="1:9" ht="14.25">
      <c r="A21" s="41" t="str">
        <f>HLOOKUP(INDICE!$F$2,Nombres!$C$3:$D$636,46,FALSE)</f>
        <v>Resultado antes de impuestos</v>
      </c>
      <c r="B21" s="41">
        <f>+B18+B19+B20</f>
        <v>136.48902998999995</v>
      </c>
      <c r="C21" s="41">
        <f aca="true" t="shared" si="2" ref="C21:I21">+C18+C19+C20</f>
        <v>160.41681762000002</v>
      </c>
      <c r="D21" s="41">
        <f t="shared" si="2"/>
        <v>350.00685633000023</v>
      </c>
      <c r="E21" s="42">
        <f t="shared" si="2"/>
        <v>248.76424832000006</v>
      </c>
      <c r="F21" s="50">
        <f t="shared" si="2"/>
        <v>201.84709646000002</v>
      </c>
      <c r="G21" s="50">
        <f t="shared" si="2"/>
        <v>0</v>
      </c>
      <c r="H21" s="50">
        <f t="shared" si="2"/>
        <v>0</v>
      </c>
      <c r="I21" s="50">
        <f t="shared" si="2"/>
        <v>0</v>
      </c>
    </row>
    <row r="22" spans="1:9" ht="14.25">
      <c r="A22" s="43" t="str">
        <f>HLOOKUP(INDICE!$F$2,Nombres!$C$3:$D$636,47,FALSE)</f>
        <v>Impuesto sobre beneficios</v>
      </c>
      <c r="B22" s="44">
        <v>-29.373916749999992</v>
      </c>
      <c r="C22" s="44">
        <v>-51.951764289999986</v>
      </c>
      <c r="D22" s="44">
        <v>-111.81223175000002</v>
      </c>
      <c r="E22" s="45">
        <v>-84.26761391000001</v>
      </c>
      <c r="F22" s="44">
        <v>-59.07668183999999</v>
      </c>
      <c r="G22" s="44">
        <v>0</v>
      </c>
      <c r="H22" s="44">
        <v>0</v>
      </c>
      <c r="I22" s="44">
        <v>0</v>
      </c>
    </row>
    <row r="23" spans="1:9" ht="14.25">
      <c r="A23" s="41" t="str">
        <f>HLOOKUP(INDICE!$F$2,Nombres!$C$3:$D$636,48,FALSE)</f>
        <v>Resultado del ejercicio</v>
      </c>
      <c r="B23" s="41">
        <f>+B21+B22</f>
        <v>107.11511323999996</v>
      </c>
      <c r="C23" s="41">
        <f aca="true" t="shared" si="3" ref="C23:I23">+C21+C22</f>
        <v>108.46505333000003</v>
      </c>
      <c r="D23" s="41">
        <f t="shared" si="3"/>
        <v>238.1946245800002</v>
      </c>
      <c r="E23" s="42">
        <f t="shared" si="3"/>
        <v>164.49663441000007</v>
      </c>
      <c r="F23" s="50">
        <f t="shared" si="3"/>
        <v>142.77041462000003</v>
      </c>
      <c r="G23" s="50">
        <f t="shared" si="3"/>
        <v>0</v>
      </c>
      <c r="H23" s="50">
        <f t="shared" si="3"/>
        <v>0</v>
      </c>
      <c r="I23" s="50">
        <f t="shared" si="3"/>
        <v>0</v>
      </c>
    </row>
    <row r="24" spans="1:9" ht="14.25">
      <c r="A24" s="43" t="str">
        <f>HLOOKUP(INDICE!$F$2,Nombres!$C$3:$D$636,49,FALSE)</f>
        <v>Minoritarios</v>
      </c>
      <c r="B24" s="44">
        <v>-37.355934810000015</v>
      </c>
      <c r="C24" s="44">
        <v>-19.17750641999999</v>
      </c>
      <c r="D24" s="44">
        <v>-71.41591481</v>
      </c>
      <c r="E24" s="45">
        <v>-44.756895869999994</v>
      </c>
      <c r="F24" s="44">
        <v>-39.13709874999999</v>
      </c>
      <c r="G24" s="44">
        <v>0</v>
      </c>
      <c r="H24" s="44">
        <v>0</v>
      </c>
      <c r="I24" s="44">
        <v>0</v>
      </c>
    </row>
    <row r="25" spans="1:9" ht="14.25">
      <c r="A25" s="47" t="str">
        <f>HLOOKUP(INDICE!$F$2,Nombres!$C$3:$D$636,50,FALSE)</f>
        <v>Resultado atribuido</v>
      </c>
      <c r="B25" s="47">
        <f>+B23+B24</f>
        <v>69.75917842999993</v>
      </c>
      <c r="C25" s="47">
        <f aca="true" t="shared" si="4" ref="C25:I25">+C23+C24</f>
        <v>89.28754691000005</v>
      </c>
      <c r="D25" s="47">
        <f t="shared" si="4"/>
        <v>166.7787097700002</v>
      </c>
      <c r="E25" s="47">
        <f t="shared" si="4"/>
        <v>119.73973854000008</v>
      </c>
      <c r="F25" s="51">
        <f t="shared" si="4"/>
        <v>103.63331587000003</v>
      </c>
      <c r="G25" s="51">
        <f t="shared" si="4"/>
        <v>0</v>
      </c>
      <c r="H25" s="51">
        <f t="shared" si="4"/>
        <v>0</v>
      </c>
      <c r="I25" s="51">
        <f t="shared" si="4"/>
        <v>0</v>
      </c>
    </row>
    <row r="26" spans="1:9" ht="14.25">
      <c r="A26" s="62"/>
      <c r="B26" s="63"/>
      <c r="C26" s="63"/>
      <c r="D26" s="63"/>
      <c r="E26" s="63"/>
      <c r="F26" s="63"/>
      <c r="G26" s="63"/>
      <c r="H26" s="63"/>
      <c r="I26" s="63"/>
    </row>
    <row r="27" spans="1:15" ht="14.25">
      <c r="A27" s="41"/>
      <c r="B27" s="41"/>
      <c r="C27" s="41"/>
      <c r="D27" s="41"/>
      <c r="E27" s="41"/>
      <c r="F27" s="41"/>
      <c r="G27" s="41"/>
      <c r="H27" s="41"/>
      <c r="I27" s="41"/>
      <c r="K27" s="163"/>
      <c r="L27" s="163"/>
      <c r="M27" s="163"/>
      <c r="N27" s="163"/>
      <c r="O27" s="163"/>
    </row>
    <row r="28" spans="1:15" ht="16.5">
      <c r="A28" s="33" t="str">
        <f>HLOOKUP(INDICE!$F$2,Nombres!$C$3:$D$636,51,FALSE)</f>
        <v>Balances</v>
      </c>
      <c r="B28" s="34"/>
      <c r="C28" s="34"/>
      <c r="D28" s="34"/>
      <c r="E28" s="34"/>
      <c r="F28" s="34"/>
      <c r="G28" s="34"/>
      <c r="H28" s="34"/>
      <c r="I28" s="34"/>
      <c r="K28" s="163"/>
      <c r="L28" s="163"/>
      <c r="M28" s="163"/>
      <c r="N28" s="163"/>
      <c r="O28" s="163"/>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10" ht="14.25">
      <c r="A31" s="43" t="str">
        <f>HLOOKUP(INDICE!$F$2,Nombres!$C$3:$D$636,52,FALSE)</f>
        <v>Efectivo, saldos en efectivo en bancos centrales y otros depósitos a la vista</v>
      </c>
      <c r="B31" s="44">
        <v>8313.738</v>
      </c>
      <c r="C31" s="44">
        <v>8399.082</v>
      </c>
      <c r="D31" s="44">
        <v>6825.591</v>
      </c>
      <c r="E31" s="45">
        <v>7126.786</v>
      </c>
      <c r="F31" s="44">
        <v>6794.749999999998</v>
      </c>
      <c r="G31" s="44">
        <v>0</v>
      </c>
      <c r="H31" s="44">
        <v>0</v>
      </c>
      <c r="I31" s="44">
        <v>0</v>
      </c>
      <c r="J31" s="82"/>
    </row>
    <row r="32" spans="1:10" ht="14.25">
      <c r="A32" s="43" t="str">
        <f>HLOOKUP(INDICE!$F$2,Nombres!$C$3:$D$636,53,FALSE)</f>
        <v>Activos financieros a valor razonable</v>
      </c>
      <c r="B32" s="58">
        <v>7561.228999999999</v>
      </c>
      <c r="C32" s="58">
        <v>8250.433</v>
      </c>
      <c r="D32" s="58">
        <v>8153.83</v>
      </c>
      <c r="E32" s="65">
        <v>7328.645</v>
      </c>
      <c r="F32" s="44">
        <v>7432.951999999999</v>
      </c>
      <c r="G32" s="44">
        <v>0</v>
      </c>
      <c r="H32" s="44">
        <v>0</v>
      </c>
      <c r="I32" s="44">
        <v>0</v>
      </c>
      <c r="J32" s="82"/>
    </row>
    <row r="33" spans="1:10" ht="14.25">
      <c r="A33" s="43" t="str">
        <f>HLOOKUP(INDICE!$F$2,Nombres!$C$3:$D$636,54,FALSE)</f>
        <v>Activos financieros a coste amortizado</v>
      </c>
      <c r="B33" s="44">
        <v>36145.817</v>
      </c>
      <c r="C33" s="44">
        <v>38741.912</v>
      </c>
      <c r="D33" s="44">
        <v>38223.009</v>
      </c>
      <c r="E33" s="45">
        <v>38548.833000000006</v>
      </c>
      <c r="F33" s="44">
        <v>36380.903999999995</v>
      </c>
      <c r="G33" s="44">
        <v>0</v>
      </c>
      <c r="H33" s="44">
        <v>0</v>
      </c>
      <c r="I33" s="44">
        <v>0</v>
      </c>
      <c r="J33" s="82"/>
    </row>
    <row r="34" spans="1:10" ht="14.25">
      <c r="A34" s="43" t="str">
        <f>HLOOKUP(INDICE!$F$2,Nombres!$C$3:$D$636,55,FALSE)</f>
        <v>    de los que préstamos y anticipos a la clientela</v>
      </c>
      <c r="B34" s="44">
        <v>34202.08700000001</v>
      </c>
      <c r="C34" s="44">
        <v>35335.912</v>
      </c>
      <c r="D34" s="44">
        <v>33678.044</v>
      </c>
      <c r="E34" s="45">
        <v>33615.106</v>
      </c>
      <c r="F34" s="44">
        <v>32443.496999999996</v>
      </c>
      <c r="G34" s="44">
        <v>0</v>
      </c>
      <c r="H34" s="44">
        <v>0</v>
      </c>
      <c r="I34" s="44">
        <v>0</v>
      </c>
      <c r="J34" s="82"/>
    </row>
    <row r="35" spans="1:10" ht="14.25">
      <c r="A35" s="43"/>
      <c r="B35" s="44"/>
      <c r="C35" s="44"/>
      <c r="D35" s="44"/>
      <c r="E35" s="45"/>
      <c r="F35" s="44"/>
      <c r="G35" s="44"/>
      <c r="H35" s="44"/>
      <c r="I35" s="44"/>
      <c r="J35" s="82"/>
    </row>
    <row r="36" spans="1:10" ht="14.25">
      <c r="A36" s="43" t="str">
        <f>HLOOKUP(INDICE!$F$2,Nombres!$C$3:$D$636,56,FALSE)</f>
        <v>Activos tangibles</v>
      </c>
      <c r="B36" s="44">
        <v>920.8204417600001</v>
      </c>
      <c r="C36" s="44">
        <v>874.267</v>
      </c>
      <c r="D36" s="44">
        <v>809.60891768</v>
      </c>
      <c r="E36" s="45">
        <v>808.0144728399999</v>
      </c>
      <c r="F36" s="44">
        <v>805.5433658399999</v>
      </c>
      <c r="G36" s="44">
        <v>0</v>
      </c>
      <c r="H36" s="44">
        <v>0</v>
      </c>
      <c r="I36" s="44">
        <v>0</v>
      </c>
      <c r="J36" s="82"/>
    </row>
    <row r="37" spans="1:10" ht="14.25">
      <c r="A37" s="43" t="str">
        <f>HLOOKUP(INDICE!$F$2,Nombres!$C$3:$D$636,57,FALSE)</f>
        <v>Otros activos</v>
      </c>
      <c r="B37" s="58">
        <f aca="true" t="shared" si="5" ref="B37:I37">+B38-B36-B33-B32-B31</f>
        <v>1830.2178972300007</v>
      </c>
      <c r="C37" s="58">
        <f t="shared" si="5"/>
        <v>1626.9002275999937</v>
      </c>
      <c r="D37" s="58">
        <f t="shared" si="5"/>
        <v>1521.1875777600017</v>
      </c>
      <c r="E37" s="65">
        <f t="shared" si="5"/>
        <v>1623.8986307299892</v>
      </c>
      <c r="F37" s="44">
        <f t="shared" si="5"/>
        <v>1750.073712999998</v>
      </c>
      <c r="G37" s="44">
        <f t="shared" si="5"/>
        <v>0</v>
      </c>
      <c r="H37" s="44">
        <f t="shared" si="5"/>
        <v>0</v>
      </c>
      <c r="I37" s="44">
        <f t="shared" si="5"/>
        <v>0</v>
      </c>
      <c r="J37" s="82"/>
    </row>
    <row r="38" spans="1:10" ht="14.25">
      <c r="A38" s="47" t="str">
        <f>HLOOKUP(INDICE!$F$2,Nombres!$C$3:$D$636,58,FALSE)</f>
        <v>Total activo / pasivo</v>
      </c>
      <c r="B38" s="47">
        <v>54771.82233899</v>
      </c>
      <c r="C38" s="47">
        <v>57892.59422759999</v>
      </c>
      <c r="D38" s="47">
        <v>55533.22649544</v>
      </c>
      <c r="E38" s="47">
        <v>55436.17710356999</v>
      </c>
      <c r="F38" s="51">
        <v>53164.22307883999</v>
      </c>
      <c r="G38" s="51">
        <v>0</v>
      </c>
      <c r="H38" s="51">
        <v>0</v>
      </c>
      <c r="I38" s="51">
        <v>0</v>
      </c>
      <c r="J38" s="82"/>
    </row>
    <row r="39" spans="1:10" ht="14.25">
      <c r="A39" s="43" t="str">
        <f>HLOOKUP(INDICE!$F$2,Nombres!$C$3:$D$636,59,FALSE)</f>
        <v>Pasivos financieros mantenidos para negociar y designados a valor razonable con cambios en resultados</v>
      </c>
      <c r="B39" s="58">
        <v>2005.9350000000002</v>
      </c>
      <c r="C39" s="58">
        <v>1942.9720000000002</v>
      </c>
      <c r="D39" s="58">
        <v>1618.1270000000002</v>
      </c>
      <c r="E39" s="65">
        <v>1326.236</v>
      </c>
      <c r="F39" s="44">
        <v>1222.644</v>
      </c>
      <c r="G39" s="44">
        <v>0</v>
      </c>
      <c r="H39" s="44">
        <v>0</v>
      </c>
      <c r="I39" s="44">
        <v>0</v>
      </c>
      <c r="J39" s="82"/>
    </row>
    <row r="40" spans="1:10" ht="15.75" customHeight="1">
      <c r="A40" s="43" t="str">
        <f>HLOOKUP(INDICE!$F$2,Nombres!$C$3:$D$636,60,FALSE)</f>
        <v>Depósitos de bancos centrales y entidades de crédito</v>
      </c>
      <c r="B40" s="58">
        <v>4055.4549999999995</v>
      </c>
      <c r="C40" s="58">
        <v>4289.307999999999</v>
      </c>
      <c r="D40" s="58">
        <v>5877.398999999999</v>
      </c>
      <c r="E40" s="65">
        <v>5378.188999999999</v>
      </c>
      <c r="F40" s="44">
        <v>5196.62500001</v>
      </c>
      <c r="G40" s="44">
        <v>0</v>
      </c>
      <c r="H40" s="44">
        <v>0</v>
      </c>
      <c r="I40" s="44">
        <v>0</v>
      </c>
      <c r="J40" s="82"/>
    </row>
    <row r="41" spans="1:10" ht="14.25">
      <c r="A41" s="43" t="str">
        <f>HLOOKUP(INDICE!$F$2,Nombres!$C$3:$D$636,61,FALSE)</f>
        <v>Depósitos de la clientela</v>
      </c>
      <c r="B41" s="58">
        <v>35948.85399999999</v>
      </c>
      <c r="C41" s="58">
        <v>39356.901</v>
      </c>
      <c r="D41" s="58">
        <v>36023.834</v>
      </c>
      <c r="E41" s="65">
        <v>36874.061</v>
      </c>
      <c r="F41" s="44">
        <v>34919.717999989996</v>
      </c>
      <c r="G41" s="44">
        <v>0</v>
      </c>
      <c r="H41" s="44">
        <v>0</v>
      </c>
      <c r="I41" s="44">
        <v>0</v>
      </c>
      <c r="J41" s="82"/>
    </row>
    <row r="42" spans="1:10" ht="14.25">
      <c r="A42" s="43" t="str">
        <f>HLOOKUP(INDICE!$F$2,Nombres!$C$3:$D$636,62,FALSE)</f>
        <v>Valores representativos de deuda emitidos</v>
      </c>
      <c r="B42" s="44">
        <v>4260.41774522</v>
      </c>
      <c r="C42" s="44">
        <v>4125.4932297000005</v>
      </c>
      <c r="D42" s="44">
        <v>3566.7334447400003</v>
      </c>
      <c r="E42" s="45">
        <v>3268.8553259699993</v>
      </c>
      <c r="F42" s="44">
        <v>3233.9270526300006</v>
      </c>
      <c r="G42" s="44">
        <v>0</v>
      </c>
      <c r="H42" s="44">
        <v>0</v>
      </c>
      <c r="I42" s="44">
        <v>0</v>
      </c>
      <c r="J42" s="82"/>
    </row>
    <row r="43" spans="1:10" ht="14.25">
      <c r="A43" s="43"/>
      <c r="B43" s="44"/>
      <c r="C43" s="44"/>
      <c r="D43" s="44"/>
      <c r="E43" s="45"/>
      <c r="F43" s="44"/>
      <c r="G43" s="44"/>
      <c r="H43" s="44"/>
      <c r="I43" s="44"/>
      <c r="J43" s="82"/>
    </row>
    <row r="44" spans="1:10" ht="14.25">
      <c r="A44" s="43" t="str">
        <f>HLOOKUP(INDICE!$F$2,Nombres!$C$3:$D$636,63,FALSE)</f>
        <v>Otros pasivos</v>
      </c>
      <c r="B44" s="58">
        <f aca="true" t="shared" si="6" ref="B44:I44">+B38-B39-B40-B41-B42-B45</f>
        <v>3150.914846060009</v>
      </c>
      <c r="C44" s="58">
        <f t="shared" si="6"/>
        <v>2934.163866549995</v>
      </c>
      <c r="D44" s="58">
        <f>+D38-D39-D40-D41-D42-D45</f>
        <v>3685.2393622300006</v>
      </c>
      <c r="E44" s="65">
        <f t="shared" si="6"/>
        <v>3812.805354639998</v>
      </c>
      <c r="F44" s="44">
        <f t="shared" si="6"/>
        <v>4044.611532879997</v>
      </c>
      <c r="G44" s="44">
        <f t="shared" si="6"/>
        <v>0</v>
      </c>
      <c r="H44" s="44">
        <f t="shared" si="6"/>
        <v>0</v>
      </c>
      <c r="I44" s="44">
        <f t="shared" si="6"/>
        <v>0</v>
      </c>
      <c r="J44" s="82"/>
    </row>
    <row r="45" spans="1:10" ht="14.25">
      <c r="A45" s="43" t="str">
        <f>HLOOKUP(INDICE!$F$2,Nombres!$C$3:$D$636,282,FALSE)</f>
        <v>Dotación de capital regulatorio</v>
      </c>
      <c r="B45" s="44">
        <v>5350.245747710001</v>
      </c>
      <c r="C45" s="44">
        <v>5243.756131349999</v>
      </c>
      <c r="D45" s="58">
        <v>4761.89368847</v>
      </c>
      <c r="E45" s="65">
        <v>4776.03042296</v>
      </c>
      <c r="F45" s="44">
        <v>4546.697493329999</v>
      </c>
      <c r="G45" s="44">
        <v>0</v>
      </c>
      <c r="H45" s="44">
        <v>0</v>
      </c>
      <c r="I45" s="44">
        <v>0</v>
      </c>
      <c r="J45" s="82"/>
    </row>
    <row r="46" spans="1:10" ht="14.25">
      <c r="A46" s="62"/>
      <c r="B46" s="58"/>
      <c r="C46" s="58"/>
      <c r="D46" s="58"/>
      <c r="E46" s="58"/>
      <c r="F46" s="44"/>
      <c r="G46" s="44"/>
      <c r="H46" s="44"/>
      <c r="I46" s="44"/>
      <c r="J46" s="82"/>
    </row>
    <row r="47" spans="1:10" ht="14.25">
      <c r="A47" s="43"/>
      <c r="B47" s="58"/>
      <c r="C47" s="58"/>
      <c r="D47" s="58"/>
      <c r="E47" s="58"/>
      <c r="F47" s="44"/>
      <c r="G47" s="44"/>
      <c r="H47" s="44"/>
      <c r="I47" s="44"/>
      <c r="J47" s="82"/>
    </row>
    <row r="48" spans="1:10" ht="16.5">
      <c r="A48" s="33" t="str">
        <f>HLOOKUP(INDICE!$F$2,Nombres!$C$3:$D$636,65,FALSE)</f>
        <v>Indicadores relevantes y de gestión</v>
      </c>
      <c r="B48" s="34"/>
      <c r="C48" s="34"/>
      <c r="D48" s="34"/>
      <c r="E48" s="34"/>
      <c r="F48" s="69"/>
      <c r="G48" s="69"/>
      <c r="H48" s="69"/>
      <c r="I48" s="69"/>
      <c r="J48" s="82"/>
    </row>
    <row r="49" spans="1:10" ht="14.25">
      <c r="A49" s="35" t="str">
        <f>HLOOKUP(INDICE!$F$2,Nombres!$C$3:$D$636,32,FALSE)</f>
        <v>(Millones de euros)</v>
      </c>
      <c r="B49" s="30"/>
      <c r="C49" s="30"/>
      <c r="D49" s="30"/>
      <c r="E49" s="30"/>
      <c r="F49" s="70"/>
      <c r="G49" s="44"/>
      <c r="H49" s="44"/>
      <c r="I49" s="44"/>
      <c r="J49" s="82"/>
    </row>
    <row r="50" spans="1:10"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c r="J50" s="82"/>
    </row>
    <row r="51" spans="1:10" ht="14.25">
      <c r="A51" s="43" t="str">
        <f>HLOOKUP(INDICE!$F$2,Nombres!$C$3:$D$636,66,FALSE)</f>
        <v>Préstamos y anticipos a la clientela bruto (*)</v>
      </c>
      <c r="B51" s="44">
        <v>35917.39800456</v>
      </c>
      <c r="C51" s="44">
        <v>37122.318925789994</v>
      </c>
      <c r="D51" s="44">
        <v>35480.540991320006</v>
      </c>
      <c r="E51" s="45">
        <v>35441.98570991</v>
      </c>
      <c r="F51" s="44">
        <v>34337.82003087</v>
      </c>
      <c r="G51" s="44">
        <v>0</v>
      </c>
      <c r="H51" s="44">
        <v>0</v>
      </c>
      <c r="I51" s="44">
        <v>0</v>
      </c>
      <c r="J51" s="82"/>
    </row>
    <row r="52" spans="1:10" ht="14.25">
      <c r="A52" s="43" t="str">
        <f>HLOOKUP(INDICE!$F$2,Nombres!$C$3:$D$636,67,FALSE)</f>
        <v>Depósitos de clientes en gestión (**)</v>
      </c>
      <c r="B52" s="44">
        <v>35963.780299909995</v>
      </c>
      <c r="C52" s="44">
        <v>39375.98712307001</v>
      </c>
      <c r="D52" s="44">
        <v>36036.08106172</v>
      </c>
      <c r="E52" s="45">
        <v>36885.8285584</v>
      </c>
      <c r="F52" s="44">
        <v>34931.854498429995</v>
      </c>
      <c r="G52" s="44">
        <v>0</v>
      </c>
      <c r="H52" s="44">
        <v>0</v>
      </c>
      <c r="I52" s="44">
        <v>0</v>
      </c>
      <c r="J52" s="82"/>
    </row>
    <row r="53" spans="1:10" ht="14.25">
      <c r="A53" s="43" t="str">
        <f>HLOOKUP(INDICE!$F$2,Nombres!$C$3:$D$636,68,FALSE)</f>
        <v>Fondos de inversión</v>
      </c>
      <c r="B53" s="44">
        <v>3501.24404655</v>
      </c>
      <c r="C53" s="44">
        <v>4488.529605320001</v>
      </c>
      <c r="D53" s="44">
        <v>4680.553746400001</v>
      </c>
      <c r="E53" s="45">
        <v>4687.02710085</v>
      </c>
      <c r="F53" s="44">
        <v>4788.23855366</v>
      </c>
      <c r="G53" s="44">
        <v>0</v>
      </c>
      <c r="H53" s="44">
        <v>0</v>
      </c>
      <c r="I53" s="44">
        <v>0</v>
      </c>
      <c r="J53" s="82"/>
    </row>
    <row r="54" spans="1:10" ht="14.25">
      <c r="A54" s="43" t="str">
        <f>HLOOKUP(INDICE!$F$2,Nombres!$C$3:$D$636,69,FALSE)</f>
        <v>Fondos de pensiones</v>
      </c>
      <c r="B54" s="44">
        <v>9433.94754052</v>
      </c>
      <c r="C54" s="44">
        <v>9349.92267847</v>
      </c>
      <c r="D54" s="44">
        <v>9180.04306231</v>
      </c>
      <c r="E54" s="45">
        <v>9035.21080128</v>
      </c>
      <c r="F54" s="44">
        <v>9644.26944677</v>
      </c>
      <c r="G54" s="44">
        <v>0</v>
      </c>
      <c r="H54" s="44">
        <v>0</v>
      </c>
      <c r="I54" s="44">
        <v>0</v>
      </c>
      <c r="J54" s="82"/>
    </row>
    <row r="55" spans="1:10" ht="14.25">
      <c r="A55" s="43" t="str">
        <f>HLOOKUP(INDICE!$F$2,Nombres!$C$3:$D$636,70,FALSE)</f>
        <v>Otros recursos fuera de balance</v>
      </c>
      <c r="B55" s="44">
        <v>0</v>
      </c>
      <c r="C55" s="44">
        <v>0</v>
      </c>
      <c r="D55" s="44">
        <v>0</v>
      </c>
      <c r="E55" s="45">
        <v>0</v>
      </c>
      <c r="F55" s="44">
        <v>0</v>
      </c>
      <c r="G55" s="44">
        <v>0</v>
      </c>
      <c r="H55" s="44">
        <v>0</v>
      </c>
      <c r="I55" s="44">
        <v>0</v>
      </c>
      <c r="J55" s="82"/>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624.5536197959482</v>
      </c>
      <c r="C64" s="41">
        <v>614.8902230839074</v>
      </c>
      <c r="D64" s="41">
        <v>636.482953991364</v>
      </c>
      <c r="E64" s="42">
        <v>702.7689066658581</v>
      </c>
      <c r="F64" s="50">
        <v>659.87775555</v>
      </c>
      <c r="G64" s="50">
        <v>0</v>
      </c>
      <c r="H64" s="50">
        <v>0</v>
      </c>
      <c r="I64" s="50">
        <v>0</v>
      </c>
    </row>
    <row r="65" spans="1:9" ht="14.25">
      <c r="A65" s="43" t="str">
        <f>HLOOKUP(INDICE!$F$2,Nombres!$C$3:$D$636,34,FALSE)</f>
        <v>Comisiones netas</v>
      </c>
      <c r="B65" s="44">
        <v>98.58212434939928</v>
      </c>
      <c r="C65" s="44">
        <v>96.8366712485268</v>
      </c>
      <c r="D65" s="44">
        <v>131.3766762259472</v>
      </c>
      <c r="E65" s="45">
        <v>126.20323316548726</v>
      </c>
      <c r="F65" s="44">
        <v>120.15356925</v>
      </c>
      <c r="G65" s="44">
        <v>0</v>
      </c>
      <c r="H65" s="44">
        <v>0</v>
      </c>
      <c r="I65" s="44">
        <v>0</v>
      </c>
    </row>
    <row r="66" spans="1:9" ht="14.25">
      <c r="A66" s="43" t="str">
        <f>HLOOKUP(INDICE!$F$2,Nombres!$C$3:$D$636,35,FALSE)</f>
        <v>Resultados de operaciones financieras</v>
      </c>
      <c r="B66" s="44">
        <v>64.5264270549272</v>
      </c>
      <c r="C66" s="44">
        <v>81.37047141316079</v>
      </c>
      <c r="D66" s="44">
        <v>95.97950343986874</v>
      </c>
      <c r="E66" s="45">
        <v>141.94658136289513</v>
      </c>
      <c r="F66" s="44">
        <v>74.42403223999999</v>
      </c>
      <c r="G66" s="44">
        <v>0</v>
      </c>
      <c r="H66" s="44">
        <v>0</v>
      </c>
      <c r="I66" s="44">
        <v>0</v>
      </c>
    </row>
    <row r="67" spans="1:9" ht="14.25">
      <c r="A67" s="43" t="str">
        <f>HLOOKUP(INDICE!$F$2,Nombres!$C$3:$D$636,36,FALSE)</f>
        <v>Otros ingresos y cargas de explotación</v>
      </c>
      <c r="B67" s="44">
        <v>-91.6023731175591</v>
      </c>
      <c r="C67" s="44">
        <v>-78.52349533987824</v>
      </c>
      <c r="D67" s="44">
        <v>-84.33817381696464</v>
      </c>
      <c r="E67" s="45">
        <v>-106.40356673746784</v>
      </c>
      <c r="F67" s="44">
        <v>-140.191</v>
      </c>
      <c r="G67" s="44">
        <v>0</v>
      </c>
      <c r="H67" s="44">
        <v>0</v>
      </c>
      <c r="I67" s="44">
        <v>0</v>
      </c>
    </row>
    <row r="68" spans="1:9" ht="14.25">
      <c r="A68" s="41" t="str">
        <f>HLOOKUP(INDICE!$F$2,Nombres!$C$3:$D$636,37,FALSE)</f>
        <v>Margen bruto</v>
      </c>
      <c r="B68" s="41">
        <f>+SUM(B64:B67)</f>
        <v>696.0597980827156</v>
      </c>
      <c r="C68" s="41">
        <f aca="true" t="shared" si="9" ref="C68:I68">+SUM(C64:C67)</f>
        <v>714.5738704057168</v>
      </c>
      <c r="D68" s="41">
        <f t="shared" si="9"/>
        <v>779.5009598402153</v>
      </c>
      <c r="E68" s="42">
        <f t="shared" si="9"/>
        <v>864.5151544567727</v>
      </c>
      <c r="F68" s="50">
        <f t="shared" si="9"/>
        <v>714.2643570399999</v>
      </c>
      <c r="G68" s="50">
        <f t="shared" si="9"/>
        <v>0</v>
      </c>
      <c r="H68" s="50">
        <f t="shared" si="9"/>
        <v>0</v>
      </c>
      <c r="I68" s="50">
        <f t="shared" si="9"/>
        <v>0</v>
      </c>
    </row>
    <row r="69" spans="1:9" ht="14.25">
      <c r="A69" s="43" t="str">
        <f>HLOOKUP(INDICE!$F$2,Nombres!$C$3:$D$636,38,FALSE)</f>
        <v>Gastos de explotación</v>
      </c>
      <c r="B69" s="44">
        <v>-321.20468958463465</v>
      </c>
      <c r="C69" s="44">
        <v>-296.9523956852865</v>
      </c>
      <c r="D69" s="44">
        <v>-326.2185482086451</v>
      </c>
      <c r="E69" s="45">
        <v>-361.0785371701145</v>
      </c>
      <c r="F69" s="44">
        <v>-337.19646658</v>
      </c>
      <c r="G69" s="44">
        <v>0</v>
      </c>
      <c r="H69" s="44">
        <v>0</v>
      </c>
      <c r="I69" s="44">
        <v>0</v>
      </c>
    </row>
    <row r="70" spans="1:9" ht="14.25">
      <c r="A70" s="43" t="str">
        <f>HLOOKUP(INDICE!$F$2,Nombres!$C$3:$D$636,39,FALSE)</f>
        <v>  Gastos de administración</v>
      </c>
      <c r="B70" s="44">
        <v>-283.0909462784117</v>
      </c>
      <c r="C70" s="44">
        <v>-261.51521637226074</v>
      </c>
      <c r="D70" s="44">
        <v>-290.66072539134126</v>
      </c>
      <c r="E70" s="45">
        <v>-324.1706821556402</v>
      </c>
      <c r="F70" s="44">
        <v>-302.79846658</v>
      </c>
      <c r="G70" s="44">
        <v>0</v>
      </c>
      <c r="H70" s="44">
        <v>0</v>
      </c>
      <c r="I70" s="44">
        <v>0</v>
      </c>
    </row>
    <row r="71" spans="1:9" ht="14.25">
      <c r="A71" s="46" t="str">
        <f>HLOOKUP(INDICE!$F$2,Nombres!$C$3:$D$636,40,FALSE)</f>
        <v>  Gastos de personal</v>
      </c>
      <c r="B71" s="44">
        <v>-160.0509803386596</v>
      </c>
      <c r="C71" s="44">
        <v>-143.69149209577236</v>
      </c>
      <c r="D71" s="44">
        <v>-159.53822499716574</v>
      </c>
      <c r="E71" s="45">
        <v>-172.02228261126857</v>
      </c>
      <c r="F71" s="44">
        <v>-165.87710144</v>
      </c>
      <c r="G71" s="44">
        <v>0</v>
      </c>
      <c r="H71" s="44">
        <v>0</v>
      </c>
      <c r="I71" s="44">
        <v>0</v>
      </c>
    </row>
    <row r="72" spans="1:9" ht="14.25">
      <c r="A72" s="46" t="str">
        <f>HLOOKUP(INDICE!$F$2,Nombres!$C$3:$D$636,41,FALSE)</f>
        <v>  Otros gastos de administración</v>
      </c>
      <c r="B72" s="44">
        <v>-123.03996593975211</v>
      </c>
      <c r="C72" s="44">
        <v>-117.82372427648835</v>
      </c>
      <c r="D72" s="44">
        <v>-131.12250039417552</v>
      </c>
      <c r="E72" s="45">
        <v>-152.14839954437167</v>
      </c>
      <c r="F72" s="44">
        <v>-136.92136514</v>
      </c>
      <c r="G72" s="44">
        <v>0</v>
      </c>
      <c r="H72" s="44">
        <v>0</v>
      </c>
      <c r="I72" s="44">
        <v>0</v>
      </c>
    </row>
    <row r="73" spans="1:9" ht="14.25">
      <c r="A73" s="43" t="str">
        <f>HLOOKUP(INDICE!$F$2,Nombres!$C$3:$D$636,42,FALSE)</f>
        <v>  Amortización</v>
      </c>
      <c r="B73" s="44">
        <v>-38.11374330622295</v>
      </c>
      <c r="C73" s="44">
        <v>-35.437179313025794</v>
      </c>
      <c r="D73" s="44">
        <v>-35.55782281730386</v>
      </c>
      <c r="E73" s="45">
        <v>-36.90785501447436</v>
      </c>
      <c r="F73" s="44">
        <v>-34.398</v>
      </c>
      <c r="G73" s="44">
        <v>0</v>
      </c>
      <c r="H73" s="44">
        <v>0</v>
      </c>
      <c r="I73" s="44">
        <v>0</v>
      </c>
    </row>
    <row r="74" spans="1:9" ht="14.25">
      <c r="A74" s="41" t="str">
        <f>HLOOKUP(INDICE!$F$2,Nombres!$C$3:$D$636,43,FALSE)</f>
        <v>Margen neto</v>
      </c>
      <c r="B74" s="41">
        <f>+B68+B69</f>
        <v>374.85510849808094</v>
      </c>
      <c r="C74" s="41">
        <f aca="true" t="shared" si="10" ref="C74:I74">+C68+C69</f>
        <v>417.6214747204303</v>
      </c>
      <c r="D74" s="41">
        <f t="shared" si="10"/>
        <v>453.2824116315702</v>
      </c>
      <c r="E74" s="42">
        <f t="shared" si="10"/>
        <v>503.43661728665825</v>
      </c>
      <c r="F74" s="50">
        <f t="shared" si="10"/>
        <v>377.06789045999994</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-269.7035827138667</v>
      </c>
      <c r="C75" s="44">
        <v>-264.002682885585</v>
      </c>
      <c r="D75" s="44">
        <v>-92.85371284936797</v>
      </c>
      <c r="E75" s="45">
        <v>-195.04280153546028</v>
      </c>
      <c r="F75" s="44">
        <v>-159.25400000000002</v>
      </c>
      <c r="G75" s="44">
        <v>0</v>
      </c>
      <c r="H75" s="44">
        <v>0</v>
      </c>
      <c r="I75" s="44">
        <v>0</v>
      </c>
    </row>
    <row r="76" spans="1:9" ht="14.25">
      <c r="A76" s="43" t="str">
        <f>HLOOKUP(INDICE!$F$2,Nombres!$C$3:$D$636,45,FALSE)</f>
        <v>Provisiones o reversión de provisiones y otros resultados</v>
      </c>
      <c r="B76" s="44">
        <v>-13.236066306796413</v>
      </c>
      <c r="C76" s="44">
        <v>-26.420079966398266</v>
      </c>
      <c r="D76" s="44">
        <v>-27.827193394038126</v>
      </c>
      <c r="E76" s="45">
        <v>-19.81096907714816</v>
      </c>
      <c r="F76" s="44">
        <v>-15.966794</v>
      </c>
      <c r="G76" s="44">
        <v>0</v>
      </c>
      <c r="H76" s="44">
        <v>0</v>
      </c>
      <c r="I76" s="44">
        <v>0</v>
      </c>
    </row>
    <row r="77" spans="1:9" ht="14.25">
      <c r="A77" s="41" t="str">
        <f>HLOOKUP(INDICE!$F$2,Nombres!$C$3:$D$636,46,FALSE)</f>
        <v>Resultado antes de impuestos</v>
      </c>
      <c r="B77" s="41">
        <f>+B74+B75+B76</f>
        <v>91.91545947741783</v>
      </c>
      <c r="C77" s="41">
        <f aca="true" t="shared" si="11" ref="C77:I77">+C74+C75+C76</f>
        <v>127.19871186844703</v>
      </c>
      <c r="D77" s="41">
        <f t="shared" si="11"/>
        <v>332.60150538816407</v>
      </c>
      <c r="E77" s="42">
        <f t="shared" si="11"/>
        <v>288.5828466740498</v>
      </c>
      <c r="F77" s="50">
        <f t="shared" si="11"/>
        <v>201.84709645999993</v>
      </c>
      <c r="G77" s="50">
        <f t="shared" si="11"/>
        <v>0</v>
      </c>
      <c r="H77" s="50">
        <f t="shared" si="11"/>
        <v>0</v>
      </c>
      <c r="I77" s="50">
        <f t="shared" si="11"/>
        <v>0</v>
      </c>
    </row>
    <row r="78" spans="1:9" ht="14.25">
      <c r="A78" s="43" t="str">
        <f>HLOOKUP(INDICE!$F$2,Nombres!$C$3:$D$636,47,FALSE)</f>
        <v>Impuesto sobre beneficios</v>
      </c>
      <c r="B78" s="44">
        <v>-18.921128135983444</v>
      </c>
      <c r="C78" s="44">
        <v>-41.04960536266112</v>
      </c>
      <c r="D78" s="44">
        <v>-106.00977826467721</v>
      </c>
      <c r="E78" s="45">
        <v>-95.85113847047356</v>
      </c>
      <c r="F78" s="44">
        <v>-59.076681840000006</v>
      </c>
      <c r="G78" s="44">
        <v>0</v>
      </c>
      <c r="H78" s="44">
        <v>0</v>
      </c>
      <c r="I78" s="44">
        <v>0</v>
      </c>
    </row>
    <row r="79" spans="1:9" ht="14.25">
      <c r="A79" s="41" t="str">
        <f>HLOOKUP(INDICE!$F$2,Nombres!$C$3:$D$636,48,FALSE)</f>
        <v>Resultado del ejercicio</v>
      </c>
      <c r="B79" s="41">
        <f>+B77+B78</f>
        <v>72.99433134143439</v>
      </c>
      <c r="C79" s="41">
        <f aca="true" t="shared" si="12" ref="C79:I79">+C77+C78</f>
        <v>86.14910650578591</v>
      </c>
      <c r="D79" s="41">
        <f t="shared" si="12"/>
        <v>226.59172712348686</v>
      </c>
      <c r="E79" s="42">
        <f t="shared" si="12"/>
        <v>192.73170820357623</v>
      </c>
      <c r="F79" s="50">
        <f t="shared" si="12"/>
        <v>142.77041461999994</v>
      </c>
      <c r="G79" s="50">
        <f t="shared" si="12"/>
        <v>0</v>
      </c>
      <c r="H79" s="50">
        <f t="shared" si="12"/>
        <v>0</v>
      </c>
      <c r="I79" s="50">
        <f t="shared" si="12"/>
        <v>0</v>
      </c>
    </row>
    <row r="80" spans="1:9" ht="14.25">
      <c r="A80" s="43" t="str">
        <f>HLOOKUP(INDICE!$F$2,Nombres!$C$3:$D$636,49,FALSE)</f>
        <v>Minoritarios</v>
      </c>
      <c r="B80" s="44">
        <v>-25.392719171062293</v>
      </c>
      <c r="C80" s="44">
        <v>-12.563224128888583</v>
      </c>
      <c r="D80" s="44">
        <v>-65.88496651150048</v>
      </c>
      <c r="E80" s="45">
        <v>-52.90030781349044</v>
      </c>
      <c r="F80" s="44">
        <v>-39.13709875000001</v>
      </c>
      <c r="G80" s="44">
        <v>0</v>
      </c>
      <c r="H80" s="44">
        <v>0</v>
      </c>
      <c r="I80" s="44">
        <v>0</v>
      </c>
    </row>
    <row r="81" spans="1:9" ht="14.25">
      <c r="A81" s="47" t="str">
        <f>HLOOKUP(INDICE!$F$2,Nombres!$C$3:$D$636,50,FALSE)</f>
        <v>Resultado atribuido</v>
      </c>
      <c r="B81" s="47">
        <f>+B79+B80</f>
        <v>47.60161217037209</v>
      </c>
      <c r="C81" s="47">
        <f aca="true" t="shared" si="13" ref="C81:I81">+C79+C80</f>
        <v>73.58588237689733</v>
      </c>
      <c r="D81" s="47">
        <f t="shared" si="13"/>
        <v>160.7067606119864</v>
      </c>
      <c r="E81" s="47">
        <f t="shared" si="13"/>
        <v>139.83140039008578</v>
      </c>
      <c r="F81" s="51">
        <f t="shared" si="13"/>
        <v>103.63331586999993</v>
      </c>
      <c r="G81" s="51">
        <f t="shared" si="13"/>
        <v>0</v>
      </c>
      <c r="H81" s="51">
        <f t="shared" si="13"/>
        <v>0</v>
      </c>
      <c r="I81" s="51">
        <f t="shared" si="13"/>
        <v>0</v>
      </c>
    </row>
    <row r="82" spans="1:9" ht="14.25">
      <c r="A82" s="62"/>
      <c r="B82" s="63"/>
      <c r="C82" s="63"/>
      <c r="D82" s="63"/>
      <c r="E82" s="63"/>
      <c r="F82" s="63"/>
      <c r="G82" s="63"/>
      <c r="H82" s="63"/>
      <c r="I82" s="63"/>
    </row>
    <row r="83" spans="1:15" ht="14.25">
      <c r="A83" s="41"/>
      <c r="B83" s="41"/>
      <c r="C83" s="41"/>
      <c r="D83" s="41"/>
      <c r="E83" s="41"/>
      <c r="F83" s="50"/>
      <c r="G83" s="50"/>
      <c r="H83" s="50"/>
      <c r="I83" s="50"/>
      <c r="K83" s="163"/>
      <c r="L83" s="163"/>
      <c r="M83" s="163"/>
      <c r="N83" s="163"/>
      <c r="O83" s="163"/>
    </row>
    <row r="84" spans="1:15" ht="16.5">
      <c r="A84" s="33" t="str">
        <f>HLOOKUP(INDICE!$F$2,Nombres!$C$3:$D$636,51,FALSE)</f>
        <v>Balances</v>
      </c>
      <c r="B84" s="34"/>
      <c r="C84" s="34"/>
      <c r="D84" s="34"/>
      <c r="E84" s="34"/>
      <c r="F84" s="69"/>
      <c r="G84" s="69"/>
      <c r="H84" s="69"/>
      <c r="I84" s="69"/>
      <c r="K84" s="163"/>
      <c r="L84" s="163"/>
      <c r="M84" s="163"/>
      <c r="N84" s="163"/>
      <c r="O84" s="163"/>
    </row>
    <row r="85" spans="1:15" ht="14.25">
      <c r="A85" s="35" t="str">
        <f>HLOOKUP(INDICE!$F$2,Nombres!$C$3:$D$636,73,FALSE)</f>
        <v>(Millones de euros constantes)</v>
      </c>
      <c r="B85" s="30"/>
      <c r="C85" s="52"/>
      <c r="D85" s="52"/>
      <c r="E85" s="52"/>
      <c r="F85" s="70"/>
      <c r="G85" s="44"/>
      <c r="H85" s="44"/>
      <c r="I85" s="44"/>
      <c r="K85" s="163"/>
      <c r="L85" s="163"/>
      <c r="M85" s="163"/>
      <c r="N85" s="163"/>
      <c r="O85" s="163"/>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7052.350429735223</v>
      </c>
      <c r="C87" s="44">
        <v>7557.449771662563</v>
      </c>
      <c r="D87" s="44">
        <v>6536.162532999714</v>
      </c>
      <c r="E87" s="45">
        <v>7114.183397567459</v>
      </c>
      <c r="F87" s="44">
        <v>6794.749999999998</v>
      </c>
      <c r="G87" s="44">
        <v>0</v>
      </c>
      <c r="H87" s="44">
        <v>0</v>
      </c>
      <c r="I87" s="44">
        <v>0</v>
      </c>
    </row>
    <row r="88" spans="1:9" ht="14.25">
      <c r="A88" s="43" t="str">
        <f>HLOOKUP(INDICE!$F$2,Nombres!$C$3:$D$636,53,FALSE)</f>
        <v>Activos financieros a valor razonable</v>
      </c>
      <c r="B88" s="58">
        <v>6835.292591449823</v>
      </c>
      <c r="C88" s="58">
        <v>7398.529307389232</v>
      </c>
      <c r="D88" s="58">
        <v>7847.001259207085</v>
      </c>
      <c r="E88" s="65">
        <v>7198.789692089329</v>
      </c>
      <c r="F88" s="44">
        <v>7432.951999999999</v>
      </c>
      <c r="G88" s="44">
        <v>0</v>
      </c>
      <c r="H88" s="44">
        <v>0</v>
      </c>
      <c r="I88" s="44">
        <v>0</v>
      </c>
    </row>
    <row r="89" spans="1:9" ht="14.25">
      <c r="A89" s="43" t="str">
        <f>HLOOKUP(INDICE!$F$2,Nombres!$C$3:$D$636,54,FALSE)</f>
        <v>Activos financieros a coste amortizado</v>
      </c>
      <c r="B89" s="44">
        <v>32783.809333105564</v>
      </c>
      <c r="C89" s="44">
        <v>35428.25764269797</v>
      </c>
      <c r="D89" s="44">
        <v>37453.87857645116</v>
      </c>
      <c r="E89" s="45">
        <v>38290.160277886294</v>
      </c>
      <c r="F89" s="44">
        <v>36380.903999999995</v>
      </c>
      <c r="G89" s="44">
        <v>0</v>
      </c>
      <c r="H89" s="44">
        <v>0</v>
      </c>
      <c r="I89" s="44">
        <v>0</v>
      </c>
    </row>
    <row r="90" spans="1:9" ht="14.25">
      <c r="A90" s="43" t="str">
        <f>HLOOKUP(INDICE!$F$2,Nombres!$C$3:$D$636,55,FALSE)</f>
        <v>    de los que préstamos y anticipos a la clientela</v>
      </c>
      <c r="B90" s="44">
        <v>31024.80948443946</v>
      </c>
      <c r="C90" s="44">
        <v>32364.507197768973</v>
      </c>
      <c r="D90" s="44">
        <v>33054.38439904728</v>
      </c>
      <c r="E90" s="45">
        <v>33375.8379505128</v>
      </c>
      <c r="F90" s="44">
        <v>32443.496999999996</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834.1151191931053</v>
      </c>
      <c r="C92" s="44">
        <v>809.5913405523131</v>
      </c>
      <c r="D92" s="44">
        <v>785.3653335051312</v>
      </c>
      <c r="E92" s="45">
        <v>803.2771920708543</v>
      </c>
      <c r="F92" s="44">
        <v>805.5433658399999</v>
      </c>
      <c r="G92" s="44">
        <v>0</v>
      </c>
      <c r="H92" s="44">
        <v>0</v>
      </c>
      <c r="I92" s="44">
        <v>0</v>
      </c>
    </row>
    <row r="93" spans="1:9" ht="14.25">
      <c r="A93" s="43" t="str">
        <f>HLOOKUP(INDICE!$F$2,Nombres!$C$3:$D$636,57,FALSE)</f>
        <v>Otros activos</v>
      </c>
      <c r="B93" s="58">
        <f>+B94-B92-B89-B88-B87</f>
        <v>1686.9994298390084</v>
      </c>
      <c r="C93" s="58">
        <f aca="true" t="shared" si="15" ref="C93:I93">+C94-C92-C89-C88-C87</f>
        <v>1497.4412169803836</v>
      </c>
      <c r="D93" s="58">
        <f t="shared" si="15"/>
        <v>1491.4127538315124</v>
      </c>
      <c r="E93" s="65">
        <f t="shared" si="15"/>
        <v>1601.1071946147758</v>
      </c>
      <c r="F93" s="44">
        <f t="shared" si="15"/>
        <v>1750.073712999998</v>
      </c>
      <c r="G93" s="44">
        <f t="shared" si="15"/>
        <v>0</v>
      </c>
      <c r="H93" s="44">
        <f t="shared" si="15"/>
        <v>0</v>
      </c>
      <c r="I93" s="44">
        <f t="shared" si="15"/>
        <v>0</v>
      </c>
    </row>
    <row r="94" spans="1:9" ht="14.25">
      <c r="A94" s="47" t="str">
        <f>HLOOKUP(INDICE!$F$2,Nombres!$C$3:$D$636,58,FALSE)</f>
        <v>Total activo / pasivo</v>
      </c>
      <c r="B94" s="47">
        <v>49192.566903322724</v>
      </c>
      <c r="C94" s="47">
        <v>52691.26927928246</v>
      </c>
      <c r="D94" s="47">
        <v>54113.8204559946</v>
      </c>
      <c r="E94" s="47">
        <v>55007.51775422871</v>
      </c>
      <c r="F94" s="51">
        <v>53164.22307883999</v>
      </c>
      <c r="G94" s="51">
        <v>0</v>
      </c>
      <c r="H94" s="51">
        <v>0</v>
      </c>
      <c r="I94" s="51">
        <v>0</v>
      </c>
    </row>
    <row r="95" spans="1:9" ht="14.25">
      <c r="A95" s="43" t="str">
        <f>HLOOKUP(INDICE!$F$2,Nombres!$C$3:$D$636,59,FALSE)</f>
        <v>Pasivos financieros mantenidos para negociar y designados a valor razonable con cambios en resultados</v>
      </c>
      <c r="B95" s="58">
        <v>1994.2724266454074</v>
      </c>
      <c r="C95" s="58">
        <v>1846.6649588133164</v>
      </c>
      <c r="D95" s="58">
        <v>1657.7127188794975</v>
      </c>
      <c r="E95" s="65">
        <v>1285.368361992097</v>
      </c>
      <c r="F95" s="44">
        <v>1222.644</v>
      </c>
      <c r="G95" s="44">
        <v>0</v>
      </c>
      <c r="H95" s="44">
        <v>0</v>
      </c>
      <c r="I95" s="44">
        <v>0</v>
      </c>
    </row>
    <row r="96" spans="1:9" ht="14.25">
      <c r="A96" s="43" t="str">
        <f>HLOOKUP(INDICE!$F$2,Nombres!$C$3:$D$636,60,FALSE)</f>
        <v>Depósitos de bancos centrales y entidades de crédito</v>
      </c>
      <c r="B96" s="58">
        <v>3658.081007509059</v>
      </c>
      <c r="C96" s="58">
        <v>3958.2143618158316</v>
      </c>
      <c r="D96" s="58">
        <v>5723.715594286939</v>
      </c>
      <c r="E96" s="65">
        <v>5395.743654388303</v>
      </c>
      <c r="F96" s="44">
        <v>5196.62500001</v>
      </c>
      <c r="G96" s="44">
        <v>0</v>
      </c>
      <c r="H96" s="44">
        <v>0</v>
      </c>
      <c r="I96" s="44">
        <v>0</v>
      </c>
    </row>
    <row r="97" spans="1:9" ht="14.25">
      <c r="A97" s="43" t="str">
        <f>HLOOKUP(INDICE!$F$2,Nombres!$C$3:$D$636,61,FALSE)</f>
        <v>Depósitos de la clientela</v>
      </c>
      <c r="B97" s="58">
        <v>32148.189917418764</v>
      </c>
      <c r="C97" s="58">
        <v>35656.743434994176</v>
      </c>
      <c r="D97" s="58">
        <v>35038.15425401574</v>
      </c>
      <c r="E97" s="65">
        <v>36568.57982210253</v>
      </c>
      <c r="F97" s="44">
        <v>34919.717999989996</v>
      </c>
      <c r="G97" s="44">
        <v>0</v>
      </c>
      <c r="H97" s="44">
        <v>0</v>
      </c>
      <c r="I97" s="44">
        <v>0</v>
      </c>
    </row>
    <row r="98" spans="1:9" ht="14.25">
      <c r="A98" s="43" t="str">
        <f>HLOOKUP(INDICE!$F$2,Nombres!$C$3:$D$636,62,FALSE)</f>
        <v>Valores representativos de deuda emitidos</v>
      </c>
      <c r="B98" s="44">
        <v>3918.9279504487486</v>
      </c>
      <c r="C98" s="44">
        <v>3876.2538004255757</v>
      </c>
      <c r="D98" s="44">
        <v>3560.8792802044036</v>
      </c>
      <c r="E98" s="45">
        <v>3263.769288467684</v>
      </c>
      <c r="F98" s="44">
        <v>3233.9270526300006</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2726.7920707355743</v>
      </c>
      <c r="C100" s="58">
        <f aca="true" t="shared" si="16" ref="C100:I100">+C94-C95-C96-C97-C98-C101</f>
        <v>2607.5504785970834</v>
      </c>
      <c r="D100" s="58">
        <f t="shared" si="16"/>
        <v>3496.646878744037</v>
      </c>
      <c r="E100" s="65">
        <f t="shared" si="16"/>
        <v>3759.427188370245</v>
      </c>
      <c r="F100" s="44">
        <f t="shared" si="16"/>
        <v>4044.611532879997</v>
      </c>
      <c r="G100" s="44">
        <f t="shared" si="16"/>
        <v>0</v>
      </c>
      <c r="H100" s="44">
        <f t="shared" si="16"/>
        <v>0</v>
      </c>
      <c r="I100" s="44">
        <f t="shared" si="16"/>
        <v>0</v>
      </c>
    </row>
    <row r="101" spans="1:9" ht="14.25">
      <c r="A101" s="43" t="str">
        <f>HLOOKUP(INDICE!$F$2,Nombres!$C$3:$D$636,282,FALSE)</f>
        <v>Dotación de capital regulatorio</v>
      </c>
      <c r="B101" s="58">
        <v>4746.303530565172</v>
      </c>
      <c r="C101" s="58">
        <v>4745.84224463648</v>
      </c>
      <c r="D101" s="58">
        <v>4636.711729863981</v>
      </c>
      <c r="E101" s="65">
        <v>4734.629438907851</v>
      </c>
      <c r="F101" s="44">
        <v>4546.697493329999</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32571.10487685309</v>
      </c>
      <c r="C107" s="44">
        <v>34000.71024030684</v>
      </c>
      <c r="D107" s="44">
        <v>34828.484732051635</v>
      </c>
      <c r="E107" s="45">
        <v>35183.46936068523</v>
      </c>
      <c r="F107" s="44">
        <v>34337.82003087</v>
      </c>
      <c r="G107" s="44">
        <v>0</v>
      </c>
      <c r="H107" s="44">
        <v>0</v>
      </c>
      <c r="I107" s="44">
        <v>0</v>
      </c>
    </row>
    <row r="108" spans="1:9" ht="14.25">
      <c r="A108" s="43" t="str">
        <f>HLOOKUP(INDICE!$F$2,Nombres!$C$3:$D$636,67,FALSE)</f>
        <v>Depósitos de clientes en gestión (**)</v>
      </c>
      <c r="B108" s="44">
        <v>32162.11470050777</v>
      </c>
      <c r="C108" s="44">
        <v>35674.209197751916</v>
      </c>
      <c r="D108" s="44">
        <v>35049.52882171471</v>
      </c>
      <c r="E108" s="45">
        <v>36579.8265182251</v>
      </c>
      <c r="F108" s="44">
        <v>34931.854498429995</v>
      </c>
      <c r="G108" s="44">
        <v>0</v>
      </c>
      <c r="H108" s="44">
        <v>0</v>
      </c>
      <c r="I108" s="44">
        <v>0</v>
      </c>
    </row>
    <row r="109" spans="1:9" ht="14.25">
      <c r="A109" s="43" t="str">
        <f>HLOOKUP(INDICE!$F$2,Nombres!$C$3:$D$636,68,FALSE)</f>
        <v>Fondos de inversión</v>
      </c>
      <c r="B109" s="44">
        <v>2908.184052072102</v>
      </c>
      <c r="C109" s="44">
        <v>3853.5399125918148</v>
      </c>
      <c r="D109" s="44">
        <v>4448.396647503262</v>
      </c>
      <c r="E109" s="45">
        <v>4602.449055571304</v>
      </c>
      <c r="F109" s="44">
        <v>4788.23855366</v>
      </c>
      <c r="G109" s="44">
        <v>0</v>
      </c>
      <c r="H109" s="44">
        <v>0</v>
      </c>
      <c r="I109" s="44">
        <v>0</v>
      </c>
    </row>
    <row r="110" spans="1:9" ht="14.25">
      <c r="A110" s="43" t="str">
        <f>HLOOKUP(INDICE!$F$2,Nombres!$C$3:$D$636,69,FALSE)</f>
        <v>Fondos de pensiones</v>
      </c>
      <c r="B110" s="44">
        <v>8815.209318061323</v>
      </c>
      <c r="C110" s="44">
        <v>8929.674554677204</v>
      </c>
      <c r="D110" s="44">
        <v>9166.732978549666</v>
      </c>
      <c r="E110" s="45">
        <v>9455.954946085754</v>
      </c>
      <c r="F110" s="44">
        <v>9644.26944677</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998" ht="14.25">
      <c r="A998" s="31" t="s">
        <v>396</v>
      </c>
    </row>
  </sheetData>
  <sheetProtection/>
  <mergeCells count="4">
    <mergeCell ref="B6:E6"/>
    <mergeCell ref="F6:I6"/>
    <mergeCell ref="B62:E62"/>
    <mergeCell ref="F62:I62"/>
  </mergeCells>
  <conditionalFormatting sqref="B26:I26 B82:I82">
    <cfRule type="cellIs" priority="1" dxfId="115"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P18" sqref="P18"/>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241.80299999999994</v>
      </c>
      <c r="C8" s="41">
        <v>199.958</v>
      </c>
      <c r="D8" s="41">
        <v>170.69600000000008</v>
      </c>
      <c r="E8" s="42">
        <v>166.394</v>
      </c>
      <c r="F8" s="50">
        <v>201.59000000000003</v>
      </c>
      <c r="G8" s="50">
        <v>0</v>
      </c>
      <c r="H8" s="50">
        <v>0</v>
      </c>
      <c r="I8" s="50">
        <v>0</v>
      </c>
    </row>
    <row r="9" spans="1:9" ht="14.25">
      <c r="A9" s="43" t="str">
        <f>HLOOKUP(INDICE!$F$2,Nombres!$C$3:$D$636,34,FALSE)</f>
        <v>Comisiones netas</v>
      </c>
      <c r="B9" s="44">
        <v>26.540583739999988</v>
      </c>
      <c r="C9" s="44">
        <v>39.096000000000004</v>
      </c>
      <c r="D9" s="44">
        <v>35.084584660000004</v>
      </c>
      <c r="E9" s="45">
        <v>20.095286379999997</v>
      </c>
      <c r="F9" s="44">
        <v>31.211</v>
      </c>
      <c r="G9" s="44">
        <v>0</v>
      </c>
      <c r="H9" s="44">
        <v>0</v>
      </c>
      <c r="I9" s="44">
        <v>0</v>
      </c>
    </row>
    <row r="10" spans="1:9" ht="14.25">
      <c r="A10" s="43" t="str">
        <f>HLOOKUP(INDICE!$F$2,Nombres!$C$3:$D$636,35,FALSE)</f>
        <v>Resultados de operaciones financieras</v>
      </c>
      <c r="B10" s="44">
        <v>25.751163390000002</v>
      </c>
      <c r="C10" s="44">
        <v>22.934605</v>
      </c>
      <c r="D10" s="44">
        <v>20.087802110000002</v>
      </c>
      <c r="E10" s="45">
        <v>73.11913341</v>
      </c>
      <c r="F10" s="44">
        <v>25.746997999999998</v>
      </c>
      <c r="G10" s="44">
        <v>0</v>
      </c>
      <c r="H10" s="44">
        <v>0</v>
      </c>
      <c r="I10" s="44">
        <v>0</v>
      </c>
    </row>
    <row r="11" spans="1:9" ht="14.25">
      <c r="A11" s="43" t="str">
        <f>HLOOKUP(INDICE!$F$2,Nombres!$C$3:$D$636,36,FALSE)</f>
        <v>Otros ingresos y cargas de explotación</v>
      </c>
      <c r="B11" s="44">
        <v>-84.321</v>
      </c>
      <c r="C11" s="44">
        <v>-65.797</v>
      </c>
      <c r="D11" s="44">
        <v>-67.18100000000001</v>
      </c>
      <c r="E11" s="45">
        <v>-84.75499999999997</v>
      </c>
      <c r="F11" s="44">
        <v>-121.00899999999999</v>
      </c>
      <c r="G11" s="44">
        <v>0</v>
      </c>
      <c r="H11" s="44">
        <v>0</v>
      </c>
      <c r="I11" s="44">
        <v>0</v>
      </c>
    </row>
    <row r="12" spans="1:9" ht="14.25">
      <c r="A12" s="41" t="str">
        <f>HLOOKUP(INDICE!$F$2,Nombres!$C$3:$D$636,37,FALSE)</f>
        <v>Margen bruto</v>
      </c>
      <c r="B12" s="41">
        <f>+SUM(B8:B11)</f>
        <v>209.77374712999992</v>
      </c>
      <c r="C12" s="41">
        <f aca="true" t="shared" si="0" ref="C12:I12">+SUM(C8:C11)</f>
        <v>196.191605</v>
      </c>
      <c r="D12" s="41">
        <f t="shared" si="0"/>
        <v>158.6873867700001</v>
      </c>
      <c r="E12" s="42">
        <f t="shared" si="0"/>
        <v>174.85341979000006</v>
      </c>
      <c r="F12" s="50">
        <f t="shared" si="0"/>
        <v>137.53899800000008</v>
      </c>
      <c r="G12" s="50">
        <f t="shared" si="0"/>
        <v>0</v>
      </c>
      <c r="H12" s="50">
        <f t="shared" si="0"/>
        <v>0</v>
      </c>
      <c r="I12" s="50">
        <f t="shared" si="0"/>
        <v>0</v>
      </c>
    </row>
    <row r="13" spans="1:9" ht="14.25">
      <c r="A13" s="43" t="str">
        <f>HLOOKUP(INDICE!$F$2,Nombres!$C$3:$D$636,38,FALSE)</f>
        <v>Gastos de explotación</v>
      </c>
      <c r="B13" s="44">
        <v>-117.91999933</v>
      </c>
      <c r="C13" s="44">
        <v>-98.427</v>
      </c>
      <c r="D13" s="44">
        <v>-93.79025886999997</v>
      </c>
      <c r="E13" s="45">
        <v>-85.97375296000001</v>
      </c>
      <c r="F13" s="44">
        <v>-104.51766264000001</v>
      </c>
      <c r="G13" s="44">
        <v>0</v>
      </c>
      <c r="H13" s="44">
        <v>0</v>
      </c>
      <c r="I13" s="44">
        <v>0</v>
      </c>
    </row>
    <row r="14" spans="1:9" ht="14.25">
      <c r="A14" s="43" t="str">
        <f>HLOOKUP(INDICE!$F$2,Nombres!$C$3:$D$636,39,FALSE)</f>
        <v>  Gastos de administración</v>
      </c>
      <c r="B14" s="44">
        <v>-105.94299932999999</v>
      </c>
      <c r="C14" s="44">
        <v>-88.497</v>
      </c>
      <c r="D14" s="44">
        <v>-85.48925886999999</v>
      </c>
      <c r="E14" s="45">
        <v>-77.74175296000001</v>
      </c>
      <c r="F14" s="44">
        <v>-97.09966263999999</v>
      </c>
      <c r="G14" s="44">
        <v>0</v>
      </c>
      <c r="H14" s="44">
        <v>0</v>
      </c>
      <c r="I14" s="44">
        <v>0</v>
      </c>
    </row>
    <row r="15" spans="1:9" ht="14.25">
      <c r="A15" s="46" t="str">
        <f>HLOOKUP(INDICE!$F$2,Nombres!$C$3:$D$636,40,FALSE)</f>
        <v>  Gastos de personal</v>
      </c>
      <c r="B15" s="44">
        <v>-64.475</v>
      </c>
      <c r="C15" s="44">
        <v>-48.109</v>
      </c>
      <c r="D15" s="44">
        <v>-47.056</v>
      </c>
      <c r="E15" s="45">
        <v>-40.538</v>
      </c>
      <c r="F15" s="44">
        <v>-55.644999999999996</v>
      </c>
      <c r="G15" s="44">
        <v>0</v>
      </c>
      <c r="H15" s="44">
        <v>0</v>
      </c>
      <c r="I15" s="44">
        <v>0</v>
      </c>
    </row>
    <row r="16" spans="1:9" ht="14.25">
      <c r="A16" s="46" t="str">
        <f>HLOOKUP(INDICE!$F$2,Nombres!$C$3:$D$636,41,FALSE)</f>
        <v>  Otros gastos de administración</v>
      </c>
      <c r="B16" s="44">
        <v>-41.46799932999999</v>
      </c>
      <c r="C16" s="44">
        <v>-40.388000000000005</v>
      </c>
      <c r="D16" s="44">
        <v>-38.43325886999999</v>
      </c>
      <c r="E16" s="45">
        <v>-37.20375296000001</v>
      </c>
      <c r="F16" s="44">
        <v>-41.45466264000001</v>
      </c>
      <c r="G16" s="44">
        <v>0</v>
      </c>
      <c r="H16" s="44">
        <v>0</v>
      </c>
      <c r="I16" s="44">
        <v>0</v>
      </c>
    </row>
    <row r="17" spans="1:9" ht="14.25">
      <c r="A17" s="43" t="str">
        <f>HLOOKUP(INDICE!$F$2,Nombres!$C$3:$D$636,42,FALSE)</f>
        <v>  Amortización</v>
      </c>
      <c r="B17" s="44">
        <v>-11.977</v>
      </c>
      <c r="C17" s="44">
        <v>-9.93</v>
      </c>
      <c r="D17" s="44">
        <v>-8.300999999999998</v>
      </c>
      <c r="E17" s="45">
        <v>-8.232000000000003</v>
      </c>
      <c r="F17" s="44">
        <v>-7.418000000000002</v>
      </c>
      <c r="G17" s="44">
        <v>0</v>
      </c>
      <c r="H17" s="44">
        <v>0</v>
      </c>
      <c r="I17" s="44">
        <v>0</v>
      </c>
    </row>
    <row r="18" spans="1:9" ht="14.25">
      <c r="A18" s="41" t="str">
        <f>HLOOKUP(INDICE!$F$2,Nombres!$C$3:$D$636,43,FALSE)</f>
        <v>Margen neto</v>
      </c>
      <c r="B18" s="41">
        <f>+B12+B13</f>
        <v>91.85374779999992</v>
      </c>
      <c r="C18" s="41">
        <f aca="true" t="shared" si="1" ref="C18:I18">+C12+C13</f>
        <v>97.764605</v>
      </c>
      <c r="D18" s="41">
        <f t="shared" si="1"/>
        <v>64.89712790000013</v>
      </c>
      <c r="E18" s="42">
        <f t="shared" si="1"/>
        <v>88.87966683000005</v>
      </c>
      <c r="F18" s="50">
        <f t="shared" si="1"/>
        <v>33.021335360000066</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-63.730999999999995</v>
      </c>
      <c r="C19" s="44">
        <v>-24.230000000000004</v>
      </c>
      <c r="D19" s="44">
        <v>35.42999999999999</v>
      </c>
      <c r="E19" s="45">
        <v>-52.36900000000003</v>
      </c>
      <c r="F19" s="44">
        <v>-20.544000000000004</v>
      </c>
      <c r="G19" s="44">
        <v>0</v>
      </c>
      <c r="H19" s="44">
        <v>0</v>
      </c>
      <c r="I19" s="44">
        <v>0</v>
      </c>
    </row>
    <row r="20" spans="1:9" ht="14.25">
      <c r="A20" s="43" t="str">
        <f>HLOOKUP(INDICE!$F$2,Nombres!$C$3:$D$636,45,FALSE)</f>
        <v>Provisiones o reversión de provisiones y otros resultados</v>
      </c>
      <c r="B20" s="44">
        <v>-10.753</v>
      </c>
      <c r="C20" s="44">
        <v>5.590000000000004</v>
      </c>
      <c r="D20" s="44">
        <v>-6.144</v>
      </c>
      <c r="E20" s="45">
        <v>-18.327999999999996</v>
      </c>
      <c r="F20" s="44">
        <v>-1.9580000000000004</v>
      </c>
      <c r="G20" s="44">
        <v>0</v>
      </c>
      <c r="H20" s="44">
        <v>0</v>
      </c>
      <c r="I20" s="44">
        <v>0</v>
      </c>
    </row>
    <row r="21" spans="1:9" ht="14.25">
      <c r="A21" s="41" t="str">
        <f>HLOOKUP(INDICE!$F$2,Nombres!$C$3:$D$636,46,FALSE)</f>
        <v>Resultado antes de impuestos</v>
      </c>
      <c r="B21" s="41">
        <f>+B18+B19+B20</f>
        <v>17.369747799999928</v>
      </c>
      <c r="C21" s="41">
        <f aca="true" t="shared" si="2" ref="C21:I21">+C18+C19+C20</f>
        <v>79.124605</v>
      </c>
      <c r="D21" s="41">
        <f t="shared" si="2"/>
        <v>94.18312790000012</v>
      </c>
      <c r="E21" s="42">
        <f t="shared" si="2"/>
        <v>18.182666830000024</v>
      </c>
      <c r="F21" s="50">
        <f t="shared" si="2"/>
        <v>10.519335360000062</v>
      </c>
      <c r="G21" s="50">
        <f t="shared" si="2"/>
        <v>0</v>
      </c>
      <c r="H21" s="50">
        <f t="shared" si="2"/>
        <v>0</v>
      </c>
      <c r="I21" s="50">
        <f t="shared" si="2"/>
        <v>0</v>
      </c>
    </row>
    <row r="22" spans="1:9" ht="14.25">
      <c r="A22" s="43" t="str">
        <f>HLOOKUP(INDICE!$F$2,Nombres!$C$3:$D$636,47,FALSE)</f>
        <v>Impuesto sobre beneficios</v>
      </c>
      <c r="B22" s="44">
        <v>-6.893724329999993</v>
      </c>
      <c r="C22" s="44">
        <v>-28.55778150999999</v>
      </c>
      <c r="D22" s="44">
        <v>-34.22763836</v>
      </c>
      <c r="E22" s="45">
        <v>-12.646800050000007</v>
      </c>
      <c r="F22" s="44">
        <v>-3.917300609999997</v>
      </c>
      <c r="G22" s="44">
        <v>0</v>
      </c>
      <c r="H22" s="44">
        <v>0</v>
      </c>
      <c r="I22" s="44">
        <v>0</v>
      </c>
    </row>
    <row r="23" spans="1:9" ht="14.25">
      <c r="A23" s="41" t="str">
        <f>HLOOKUP(INDICE!$F$2,Nombres!$C$3:$D$636,48,FALSE)</f>
        <v>Resultado del ejercicio</v>
      </c>
      <c r="B23" s="41">
        <f>+B21+B22</f>
        <v>10.476023469999934</v>
      </c>
      <c r="C23" s="41">
        <f aca="true" t="shared" si="3" ref="C23:I23">+C21+C22</f>
        <v>50.56682349000001</v>
      </c>
      <c r="D23" s="41">
        <f t="shared" si="3"/>
        <v>59.955489540000116</v>
      </c>
      <c r="E23" s="42">
        <f t="shared" si="3"/>
        <v>5.535866780000017</v>
      </c>
      <c r="F23" s="50">
        <f t="shared" si="3"/>
        <v>6.6020347500000645</v>
      </c>
      <c r="G23" s="50">
        <f t="shared" si="3"/>
        <v>0</v>
      </c>
      <c r="H23" s="50">
        <f t="shared" si="3"/>
        <v>0</v>
      </c>
      <c r="I23" s="50">
        <f t="shared" si="3"/>
        <v>0</v>
      </c>
    </row>
    <row r="24" spans="1:9" ht="14.25">
      <c r="A24" s="43" t="str">
        <f>HLOOKUP(INDICE!$F$2,Nombres!$C$3:$D$636,49,FALSE)</f>
        <v>Minoritarios</v>
      </c>
      <c r="B24" s="44">
        <v>-2.6900366600000076</v>
      </c>
      <c r="C24" s="44">
        <v>-15.640754219999994</v>
      </c>
      <c r="D24" s="44">
        <v>-18.49806356</v>
      </c>
      <c r="E24" s="45">
        <v>-0.8040582000000036</v>
      </c>
      <c r="F24" s="44">
        <v>-1.0705837599999972</v>
      </c>
      <c r="G24" s="44">
        <v>0</v>
      </c>
      <c r="H24" s="44">
        <v>0</v>
      </c>
      <c r="I24" s="44">
        <v>0</v>
      </c>
    </row>
    <row r="25" spans="1:9" ht="14.25">
      <c r="A25" s="47" t="str">
        <f>HLOOKUP(INDICE!$F$2,Nombres!$C$3:$D$636,50,FALSE)</f>
        <v>Resultado atribuido</v>
      </c>
      <c r="B25" s="47">
        <f>+B23+B24</f>
        <v>7.785986809999926</v>
      </c>
      <c r="C25" s="47">
        <f aca="true" t="shared" si="4" ref="C25:I25">+C23+C24</f>
        <v>34.92606927000001</v>
      </c>
      <c r="D25" s="47">
        <f t="shared" si="4"/>
        <v>41.45742598000012</v>
      </c>
      <c r="E25" s="47">
        <f t="shared" si="4"/>
        <v>4.731808580000013</v>
      </c>
      <c r="F25" s="51">
        <f t="shared" si="4"/>
        <v>5.531450990000067</v>
      </c>
      <c r="G25" s="51">
        <f t="shared" si="4"/>
        <v>0</v>
      </c>
      <c r="H25" s="51">
        <f t="shared" si="4"/>
        <v>0</v>
      </c>
      <c r="I25" s="51">
        <f t="shared" si="4"/>
        <v>0</v>
      </c>
    </row>
    <row r="26" spans="1:9" ht="14.25">
      <c r="A26" s="62"/>
      <c r="B26" s="63">
        <v>-6.394884621840902E-14</v>
      </c>
      <c r="C26" s="63">
        <v>0</v>
      </c>
      <c r="D26" s="63">
        <v>9.237055564881302E-14</v>
      </c>
      <c r="E26" s="63">
        <v>1.7763568394002505E-14</v>
      </c>
      <c r="F26" s="63">
        <v>3.730349362740526E-14</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2075.984</v>
      </c>
      <c r="C31" s="44">
        <v>1429.8010000000002</v>
      </c>
      <c r="D31" s="44">
        <v>1496.7959999999998</v>
      </c>
      <c r="E31" s="45">
        <v>1474.656</v>
      </c>
      <c r="F31" s="44">
        <v>1814.7499999999998</v>
      </c>
      <c r="G31" s="44">
        <v>0</v>
      </c>
      <c r="H31" s="44">
        <v>0</v>
      </c>
      <c r="I31" s="44">
        <v>0</v>
      </c>
    </row>
    <row r="32" spans="1:9" ht="14.25">
      <c r="A32" s="43" t="str">
        <f>HLOOKUP(INDICE!$F$2,Nombres!$C$3:$D$636,53,FALSE)</f>
        <v>Activos financieros a valor razonable</v>
      </c>
      <c r="B32" s="58">
        <v>1172.92</v>
      </c>
      <c r="C32" s="58">
        <v>1286.2289999999998</v>
      </c>
      <c r="D32" s="58">
        <v>1421.06</v>
      </c>
      <c r="E32" s="65">
        <v>1389.639</v>
      </c>
      <c r="F32" s="44">
        <v>1347.5679999999998</v>
      </c>
      <c r="G32" s="44">
        <v>0</v>
      </c>
      <c r="H32" s="44">
        <v>0</v>
      </c>
      <c r="I32" s="44">
        <v>0</v>
      </c>
    </row>
    <row r="33" spans="1:9" ht="14.25">
      <c r="A33" s="43" t="str">
        <f>HLOOKUP(INDICE!$F$2,Nombres!$C$3:$D$636,54,FALSE)</f>
        <v>Activos financieros a coste amortizado</v>
      </c>
      <c r="B33" s="44">
        <v>3307.5209999999993</v>
      </c>
      <c r="C33" s="44">
        <v>3680.711999999999</v>
      </c>
      <c r="D33" s="44">
        <v>3188.999</v>
      </c>
      <c r="E33" s="45">
        <v>3360.505</v>
      </c>
      <c r="F33" s="44">
        <v>3214.4900000000002</v>
      </c>
      <c r="G33" s="44">
        <v>0</v>
      </c>
      <c r="H33" s="44">
        <v>0</v>
      </c>
      <c r="I33" s="44">
        <v>0</v>
      </c>
    </row>
    <row r="34" spans="1:9" ht="14.25">
      <c r="A34" s="43" t="str">
        <f>HLOOKUP(INDICE!$F$2,Nombres!$C$3:$D$636,55,FALSE)</f>
        <v>    de los que préstamos y anticipos a la clientela</v>
      </c>
      <c r="B34" s="44">
        <v>3089.0679999999993</v>
      </c>
      <c r="C34" s="44">
        <v>3103.6030000000005</v>
      </c>
      <c r="D34" s="44">
        <v>2833.8469999999993</v>
      </c>
      <c r="E34" s="45">
        <v>2742.2390000000005</v>
      </c>
      <c r="F34" s="44">
        <v>2678.9059999999995</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399.99144176000004</v>
      </c>
      <c r="C36" s="44">
        <v>365.42600000000004</v>
      </c>
      <c r="D36" s="44">
        <v>336.80591768</v>
      </c>
      <c r="E36" s="45">
        <v>340.05147284</v>
      </c>
      <c r="F36" s="44">
        <v>358.37536584</v>
      </c>
      <c r="G36" s="44">
        <v>0</v>
      </c>
      <c r="H36" s="44">
        <v>0</v>
      </c>
      <c r="I36" s="44">
        <v>0</v>
      </c>
    </row>
    <row r="37" spans="1:9" ht="14.25">
      <c r="A37" s="43" t="str">
        <f>HLOOKUP(INDICE!$F$2,Nombres!$C$3:$D$636,57,FALSE)</f>
        <v>Otros activos</v>
      </c>
      <c r="B37" s="58">
        <f>+B38-B36-B33-B32-B31</f>
        <v>292.6261178899995</v>
      </c>
      <c r="C37" s="58">
        <f aca="true" t="shared" si="5" ref="C37:I37">+C38-C36-C33-C32-C31</f>
        <v>256.9794490300012</v>
      </c>
      <c r="D37" s="58">
        <f t="shared" si="5"/>
        <v>248.7959577800002</v>
      </c>
      <c r="E37" s="65">
        <f t="shared" si="5"/>
        <v>297.40743339000096</v>
      </c>
      <c r="F37" s="44">
        <f t="shared" si="5"/>
        <v>295.51088900000036</v>
      </c>
      <c r="G37" s="44">
        <f t="shared" si="5"/>
        <v>0</v>
      </c>
      <c r="H37" s="44">
        <f t="shared" si="5"/>
        <v>0</v>
      </c>
      <c r="I37" s="44">
        <f t="shared" si="5"/>
        <v>0</v>
      </c>
    </row>
    <row r="38" spans="1:9" ht="14.25">
      <c r="A38" s="47" t="str">
        <f>HLOOKUP(INDICE!$F$2,Nombres!$C$3:$D$636,58,FALSE)</f>
        <v>Total activo / pasivo</v>
      </c>
      <c r="B38" s="47">
        <v>7249.042559649999</v>
      </c>
      <c r="C38" s="47">
        <v>7019.147449030001</v>
      </c>
      <c r="D38" s="47">
        <v>6692.4568754599995</v>
      </c>
      <c r="E38" s="47">
        <v>6862.258906230001</v>
      </c>
      <c r="F38" s="51">
        <v>7030.69425484</v>
      </c>
      <c r="G38" s="51">
        <v>0</v>
      </c>
      <c r="H38" s="51">
        <v>0</v>
      </c>
      <c r="I38" s="51">
        <v>0</v>
      </c>
    </row>
    <row r="39" spans="1:9" ht="14.25">
      <c r="A39" s="43" t="str">
        <f>HLOOKUP(INDICE!$F$2,Nombres!$C$3:$D$636,59,FALSE)</f>
        <v>Pasivos financieros mantenidos para negociar y designados a valor razonable con cambios en resultados</v>
      </c>
      <c r="B39" s="58">
        <v>4.695</v>
      </c>
      <c r="C39" s="58">
        <v>2.9130000000000003</v>
      </c>
      <c r="D39" s="58">
        <v>0.403</v>
      </c>
      <c r="E39" s="65">
        <v>1.827</v>
      </c>
      <c r="F39" s="44">
        <v>3.699</v>
      </c>
      <c r="G39" s="44">
        <v>0</v>
      </c>
      <c r="H39" s="44">
        <v>0</v>
      </c>
      <c r="I39" s="44">
        <v>0</v>
      </c>
    </row>
    <row r="40" spans="1:9" ht="15.75" customHeight="1">
      <c r="A40" s="43" t="str">
        <f>HLOOKUP(INDICE!$F$2,Nombres!$C$3:$D$636,60,FALSE)</f>
        <v>Depósitos de bancos centrales y entidades de crédito</v>
      </c>
      <c r="B40" s="58">
        <v>109.653</v>
      </c>
      <c r="C40" s="58">
        <v>83.065</v>
      </c>
      <c r="D40" s="58">
        <v>51.71700000000002</v>
      </c>
      <c r="E40" s="65">
        <v>115.65699999999998</v>
      </c>
      <c r="F40" s="44">
        <v>120.434</v>
      </c>
      <c r="G40" s="44">
        <v>0</v>
      </c>
      <c r="H40" s="44">
        <v>0</v>
      </c>
      <c r="I40" s="44">
        <v>0</v>
      </c>
    </row>
    <row r="41" spans="1:9" ht="14.25">
      <c r="A41" s="43" t="str">
        <f>HLOOKUP(INDICE!$F$2,Nombres!$C$3:$D$636,61,FALSE)</f>
        <v>Depósitos de la clientela</v>
      </c>
      <c r="B41" s="58">
        <v>4638.339</v>
      </c>
      <c r="C41" s="58">
        <v>4730.674000000001</v>
      </c>
      <c r="D41" s="58">
        <v>4477.334000000001</v>
      </c>
      <c r="E41" s="65">
        <v>4622.5419999999995</v>
      </c>
      <c r="F41" s="44">
        <v>4706.075999999999</v>
      </c>
      <c r="G41" s="44">
        <v>0</v>
      </c>
      <c r="H41" s="44">
        <v>0</v>
      </c>
      <c r="I41" s="44">
        <v>0</v>
      </c>
    </row>
    <row r="42" spans="1:9" ht="14.25">
      <c r="A42" s="43" t="str">
        <f>HLOOKUP(INDICE!$F$2,Nombres!$C$3:$D$636,62,FALSE)</f>
        <v>Valores representativos de deuda emitidos</v>
      </c>
      <c r="B42" s="44">
        <v>334.08897606</v>
      </c>
      <c r="C42" s="44">
        <v>259.66729038</v>
      </c>
      <c r="D42" s="44">
        <v>242.87376404</v>
      </c>
      <c r="E42" s="45">
        <v>206.52914403999998</v>
      </c>
      <c r="F42" s="44">
        <v>193.7862963</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1319.8365268699993</v>
      </c>
      <c r="C44" s="58">
        <f aca="true" t="shared" si="6" ref="C44:I44">+C38-C39-C40-C41-C42-C45</f>
        <v>1169.3500227400007</v>
      </c>
      <c r="D44" s="58">
        <f t="shared" si="6"/>
        <v>1212.304100499999</v>
      </c>
      <c r="E44" s="65">
        <f t="shared" si="6"/>
        <v>1215.4345030200016</v>
      </c>
      <c r="F44" s="44">
        <f t="shared" si="6"/>
        <v>1345.4178921300013</v>
      </c>
      <c r="G44" s="44">
        <f t="shared" si="6"/>
        <v>0</v>
      </c>
      <c r="H44" s="44">
        <f t="shared" si="6"/>
        <v>0</v>
      </c>
      <c r="I44" s="44">
        <f t="shared" si="6"/>
        <v>0</v>
      </c>
    </row>
    <row r="45" spans="1:9" ht="14.25">
      <c r="A45" s="43" t="str">
        <f>HLOOKUP(INDICE!$F$2,Nombres!$C$3:$D$636,282,FALSE)</f>
        <v>Dotación de capital regulatorio</v>
      </c>
      <c r="B45" s="58">
        <v>842.43005672</v>
      </c>
      <c r="C45" s="58">
        <v>773.47813591</v>
      </c>
      <c r="D45" s="58">
        <v>707.82501092</v>
      </c>
      <c r="E45" s="65">
        <v>700.2692591699999</v>
      </c>
      <c r="F45" s="44">
        <v>661.28106641</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3256.68866218</v>
      </c>
      <c r="C51" s="44">
        <v>3239.52912875</v>
      </c>
      <c r="D51" s="44">
        <v>2953.827407529999</v>
      </c>
      <c r="E51" s="45">
        <v>2864.2089997900002</v>
      </c>
      <c r="F51" s="44">
        <v>2810.1806310599995</v>
      </c>
      <c r="G51" s="44">
        <v>0</v>
      </c>
      <c r="H51" s="44">
        <v>0</v>
      </c>
      <c r="I51" s="44">
        <v>0</v>
      </c>
    </row>
    <row r="52" spans="1:9" ht="14.25">
      <c r="A52" s="43" t="str">
        <f>HLOOKUP(INDICE!$F$2,Nombres!$C$3:$D$636,67,FALSE)</f>
        <v>Depósitos de clientes en gestión (**)</v>
      </c>
      <c r="B52" s="44">
        <v>4638.36020785</v>
      </c>
      <c r="C52" s="44">
        <v>4730.67369239</v>
      </c>
      <c r="D52" s="44">
        <v>4477.33311385</v>
      </c>
      <c r="E52" s="45">
        <v>4622.2055273000005</v>
      </c>
      <c r="F52" s="44">
        <v>4706.07777928</v>
      </c>
      <c r="G52" s="44">
        <v>0</v>
      </c>
      <c r="H52" s="44">
        <v>0</v>
      </c>
      <c r="I52" s="44">
        <v>0</v>
      </c>
    </row>
    <row r="53" spans="1:9" ht="14.25">
      <c r="A53" s="43" t="str">
        <f>HLOOKUP(INDICE!$F$2,Nombres!$C$3:$D$636,68,FALSE)</f>
        <v>Fondos de inversión</v>
      </c>
      <c r="B53" s="44">
        <v>945.89799169</v>
      </c>
      <c r="C53" s="44">
        <v>1455.18131032</v>
      </c>
      <c r="D53" s="44">
        <v>1125.3281869900002</v>
      </c>
      <c r="E53" s="45">
        <v>969.3644559700001</v>
      </c>
      <c r="F53" s="44">
        <v>1327.07892138</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160.50297149456344</v>
      </c>
      <c r="C64" s="41">
        <v>168.7993651068636</v>
      </c>
      <c r="D64" s="41">
        <v>185.95699070350207</v>
      </c>
      <c r="E64" s="42">
        <v>235.1996546031401</v>
      </c>
      <c r="F64" s="50">
        <v>201.59000000000003</v>
      </c>
      <c r="G64" s="50">
        <v>0</v>
      </c>
      <c r="H64" s="50">
        <v>0</v>
      </c>
      <c r="I64" s="50">
        <v>0</v>
      </c>
    </row>
    <row r="65" spans="1:9" ht="14.25">
      <c r="A65" s="43" t="str">
        <f>HLOOKUP(INDICE!$F$2,Nombres!$C$3:$D$636,34,FALSE)</f>
        <v>Comisiones netas</v>
      </c>
      <c r="B65" s="44">
        <v>17.570371631887276</v>
      </c>
      <c r="C65" s="44">
        <v>31.001480368628847</v>
      </c>
      <c r="D65" s="44">
        <v>35.73242979771925</v>
      </c>
      <c r="E65" s="45">
        <v>31.973293685736834</v>
      </c>
      <c r="F65" s="44">
        <v>31.211000000000006</v>
      </c>
      <c r="G65" s="44">
        <v>0</v>
      </c>
      <c r="H65" s="44">
        <v>0</v>
      </c>
      <c r="I65" s="44">
        <v>0</v>
      </c>
    </row>
    <row r="66" spans="1:9" ht="14.25">
      <c r="A66" s="43" t="str">
        <f>HLOOKUP(INDICE!$F$2,Nombres!$C$3:$D$636,35,FALSE)</f>
        <v>Resultados de operaciones financieras</v>
      </c>
      <c r="B66" s="44">
        <v>17.079932269821114</v>
      </c>
      <c r="C66" s="44">
        <v>19.211053973911262</v>
      </c>
      <c r="D66" s="44">
        <v>21.433922678701176</v>
      </c>
      <c r="E66" s="45">
        <v>78.61201207357803</v>
      </c>
      <c r="F66" s="44">
        <v>25.746997999999998</v>
      </c>
      <c r="G66" s="44">
        <v>0</v>
      </c>
      <c r="H66" s="44">
        <v>0</v>
      </c>
      <c r="I66" s="44">
        <v>0</v>
      </c>
    </row>
    <row r="67" spans="1:9" ht="14.25">
      <c r="A67" s="43" t="str">
        <f>HLOOKUP(INDICE!$F$2,Nombres!$C$3:$D$636,36,FALSE)</f>
        <v>Otros ingresos y cargas de explotación</v>
      </c>
      <c r="B67" s="44">
        <v>-77.14604485720436</v>
      </c>
      <c r="C67" s="44">
        <v>-63.270228376362404</v>
      </c>
      <c r="D67" s="44">
        <v>-68.74250897691007</v>
      </c>
      <c r="E67" s="45">
        <v>-90.38750869718044</v>
      </c>
      <c r="F67" s="44">
        <v>-121.00900000000001</v>
      </c>
      <c r="G67" s="44">
        <v>0</v>
      </c>
      <c r="H67" s="44">
        <v>0</v>
      </c>
      <c r="I67" s="44">
        <v>0</v>
      </c>
    </row>
    <row r="68" spans="1:9" ht="14.25">
      <c r="A68" s="41" t="str">
        <f>HLOOKUP(INDICE!$F$2,Nombres!$C$3:$D$636,37,FALSE)</f>
        <v>Margen bruto</v>
      </c>
      <c r="B68" s="41">
        <f>+SUM(B64:B67)</f>
        <v>118.00723053906746</v>
      </c>
      <c r="C68" s="41">
        <f aca="true" t="shared" si="9" ref="C68:I68">+SUM(C64:C67)</f>
        <v>155.7416710730413</v>
      </c>
      <c r="D68" s="41">
        <f t="shared" si="9"/>
        <v>174.38083420301243</v>
      </c>
      <c r="E68" s="42">
        <f t="shared" si="9"/>
        <v>255.39745166527453</v>
      </c>
      <c r="F68" s="50">
        <f t="shared" si="9"/>
        <v>137.53899800000005</v>
      </c>
      <c r="G68" s="50">
        <f t="shared" si="9"/>
        <v>0</v>
      </c>
      <c r="H68" s="50">
        <f t="shared" si="9"/>
        <v>0</v>
      </c>
      <c r="I68" s="50">
        <f t="shared" si="9"/>
        <v>0</v>
      </c>
    </row>
    <row r="69" spans="1:9" ht="14.25">
      <c r="A69" s="43" t="str">
        <f>HLOOKUP(INDICE!$F$2,Nombres!$C$3:$D$636,38,FALSE)</f>
        <v>Gastos de explotación</v>
      </c>
      <c r="B69" s="44">
        <v>-80.29348982665452</v>
      </c>
      <c r="C69" s="44">
        <v>-83.90190410887294</v>
      </c>
      <c r="D69" s="44">
        <v>-99.30027473069205</v>
      </c>
      <c r="E69" s="45">
        <v>-119.00597796488695</v>
      </c>
      <c r="F69" s="44">
        <v>-104.51766264</v>
      </c>
      <c r="G69" s="44">
        <v>0</v>
      </c>
      <c r="H69" s="44">
        <v>0</v>
      </c>
      <c r="I69" s="44">
        <v>0</v>
      </c>
    </row>
    <row r="70" spans="1:9" ht="14.25">
      <c r="A70" s="43" t="str">
        <f>HLOOKUP(INDICE!$F$2,Nombres!$C$3:$D$636,39,FALSE)</f>
        <v>  Gastos de administración</v>
      </c>
      <c r="B70" s="44">
        <v>-70.4147920475161</v>
      </c>
      <c r="C70" s="44">
        <v>-74.78091763468353</v>
      </c>
      <c r="D70" s="44">
        <v>-90.61556704467297</v>
      </c>
      <c r="E70" s="45">
        <v>-108.99769668651967</v>
      </c>
      <c r="F70" s="44">
        <v>-97.09966263999999</v>
      </c>
      <c r="G70" s="44">
        <v>0</v>
      </c>
      <c r="H70" s="44">
        <v>0</v>
      </c>
      <c r="I70" s="44">
        <v>0</v>
      </c>
    </row>
    <row r="71" spans="1:9" ht="14.25">
      <c r="A71" s="46" t="str">
        <f>HLOOKUP(INDICE!$F$2,Nombres!$C$3:$D$636,40,FALSE)</f>
        <v>  Gastos de personal</v>
      </c>
      <c r="B71" s="44">
        <v>-42.8157213743282</v>
      </c>
      <c r="C71" s="44">
        <v>-41.217803396129284</v>
      </c>
      <c r="D71" s="44">
        <v>-50.410210112168215</v>
      </c>
      <c r="E71" s="45">
        <v>-58.52630141533023</v>
      </c>
      <c r="F71" s="44">
        <v>-55.644999999999996</v>
      </c>
      <c r="G71" s="44">
        <v>0</v>
      </c>
      <c r="H71" s="44">
        <v>0</v>
      </c>
      <c r="I71" s="44">
        <v>0</v>
      </c>
    </row>
    <row r="72" spans="1:9" ht="14.25">
      <c r="A72" s="46" t="str">
        <f>HLOOKUP(INDICE!$F$2,Nombres!$C$3:$D$636,41,FALSE)</f>
        <v>  Otros gastos de administración</v>
      </c>
      <c r="B72" s="44">
        <v>-27.599070673187903</v>
      </c>
      <c r="C72" s="44">
        <v>-33.563114238554256</v>
      </c>
      <c r="D72" s="44">
        <v>-40.20535693250476</v>
      </c>
      <c r="E72" s="45">
        <v>-50.47139527118945</v>
      </c>
      <c r="F72" s="44">
        <v>-41.45466264000001</v>
      </c>
      <c r="G72" s="44">
        <v>0</v>
      </c>
      <c r="H72" s="44">
        <v>0</v>
      </c>
      <c r="I72" s="44">
        <v>0</v>
      </c>
    </row>
    <row r="73" spans="1:9" ht="14.25">
      <c r="A73" s="43" t="str">
        <f>HLOOKUP(INDICE!$F$2,Nombres!$C$3:$D$636,42,FALSE)</f>
        <v>  Amortización</v>
      </c>
      <c r="B73" s="44">
        <v>-9.878697779138415</v>
      </c>
      <c r="C73" s="44">
        <v>-9.120986474189413</v>
      </c>
      <c r="D73" s="44">
        <v>-8.684707686019072</v>
      </c>
      <c r="E73" s="45">
        <v>-10.00828127836727</v>
      </c>
      <c r="F73" s="44">
        <v>-7.417999999999999</v>
      </c>
      <c r="G73" s="44">
        <v>0</v>
      </c>
      <c r="H73" s="44">
        <v>0</v>
      </c>
      <c r="I73" s="44">
        <v>0</v>
      </c>
    </row>
    <row r="74" spans="1:9" ht="14.25">
      <c r="A74" s="41" t="str">
        <f>HLOOKUP(INDICE!$F$2,Nombres!$C$3:$D$636,43,FALSE)</f>
        <v>Margen neto</v>
      </c>
      <c r="B74" s="41">
        <f>+B68+B69</f>
        <v>37.71374071241294</v>
      </c>
      <c r="C74" s="41">
        <f aca="true" t="shared" si="10" ref="C74:I74">+C68+C69</f>
        <v>71.83976696416835</v>
      </c>
      <c r="D74" s="41">
        <f t="shared" si="10"/>
        <v>75.08055947232037</v>
      </c>
      <c r="E74" s="42">
        <f t="shared" si="10"/>
        <v>136.39147370038756</v>
      </c>
      <c r="F74" s="50">
        <f t="shared" si="10"/>
        <v>33.02133536000005</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-41.90114718365601</v>
      </c>
      <c r="C75" s="44">
        <v>-24.111707240532592</v>
      </c>
      <c r="D75" s="44">
        <v>20.863898438211635</v>
      </c>
      <c r="E75" s="45">
        <v>-55.721605684872245</v>
      </c>
      <c r="F75" s="44">
        <v>-20.54400000000001</v>
      </c>
      <c r="G75" s="44">
        <v>0</v>
      </c>
      <c r="H75" s="44">
        <v>0</v>
      </c>
      <c r="I75" s="44">
        <v>0</v>
      </c>
    </row>
    <row r="76" spans="1:9" ht="14.25">
      <c r="A76" s="43" t="str">
        <f>HLOOKUP(INDICE!$F$2,Nombres!$C$3:$D$636,45,FALSE)</f>
        <v>Provisiones o reversión de provisiones y otros resultados</v>
      </c>
      <c r="B76" s="44">
        <v>-7.075117185889176</v>
      </c>
      <c r="C76" s="44">
        <v>3.1687981547741115</v>
      </c>
      <c r="D76" s="44">
        <v>-5.62544548953102</v>
      </c>
      <c r="E76" s="45">
        <v>-18.935112820893966</v>
      </c>
      <c r="F76" s="44">
        <v>-1.9580000000000004</v>
      </c>
      <c r="G76" s="44">
        <v>0</v>
      </c>
      <c r="H76" s="44">
        <v>0</v>
      </c>
      <c r="I76" s="44">
        <v>0</v>
      </c>
    </row>
    <row r="77" spans="1:9" ht="14.25">
      <c r="A77" s="41" t="str">
        <f>HLOOKUP(INDICE!$F$2,Nombres!$C$3:$D$636,46,FALSE)</f>
        <v>Resultado antes de impuestos</v>
      </c>
      <c r="B77" s="41">
        <f>+B74+B75+B76</f>
        <v>-11.262523657132242</v>
      </c>
      <c r="C77" s="41">
        <f aca="true" t="shared" si="11" ref="C77:I77">+C74+C75+C76</f>
        <v>50.89685787840986</v>
      </c>
      <c r="D77" s="41">
        <f t="shared" si="11"/>
        <v>90.31901242100099</v>
      </c>
      <c r="E77" s="42">
        <f t="shared" si="11"/>
        <v>61.73475519462136</v>
      </c>
      <c r="F77" s="50">
        <f t="shared" si="11"/>
        <v>10.51933536000004</v>
      </c>
      <c r="G77" s="50">
        <f t="shared" si="11"/>
        <v>0</v>
      </c>
      <c r="H77" s="50">
        <f t="shared" si="11"/>
        <v>0</v>
      </c>
      <c r="I77" s="50">
        <f t="shared" si="11"/>
        <v>0</v>
      </c>
    </row>
    <row r="78" spans="1:9" ht="14.25">
      <c r="A78" s="43" t="str">
        <f>HLOOKUP(INDICE!$F$2,Nombres!$C$3:$D$636,47,FALSE)</f>
        <v>Impuesto sobre beneficios</v>
      </c>
      <c r="B78" s="44">
        <v>0.6638121352109554</v>
      </c>
      <c r="C78" s="44">
        <v>-19.139178519390114</v>
      </c>
      <c r="D78" s="44">
        <v>-32.882981617321136</v>
      </c>
      <c r="E78" s="45">
        <v>-25.80756303365143</v>
      </c>
      <c r="F78" s="44">
        <v>-3.917300609999998</v>
      </c>
      <c r="G78" s="44">
        <v>0</v>
      </c>
      <c r="H78" s="44">
        <v>0</v>
      </c>
      <c r="I78" s="44">
        <v>0</v>
      </c>
    </row>
    <row r="79" spans="1:9" ht="14.25">
      <c r="A79" s="41" t="str">
        <f>HLOOKUP(INDICE!$F$2,Nombres!$C$3:$D$636,48,FALSE)</f>
        <v>Resultado del ejercicio</v>
      </c>
      <c r="B79" s="41">
        <f>+B77+B78</f>
        <v>-10.598711521921286</v>
      </c>
      <c r="C79" s="41">
        <f aca="true" t="shared" si="12" ref="C79:I79">+C77+C78</f>
        <v>31.757679359019747</v>
      </c>
      <c r="D79" s="41">
        <f t="shared" si="12"/>
        <v>57.436030803679856</v>
      </c>
      <c r="E79" s="42">
        <f t="shared" si="12"/>
        <v>35.92719216096992</v>
      </c>
      <c r="F79" s="50">
        <f t="shared" si="12"/>
        <v>6.602034750000042</v>
      </c>
      <c r="G79" s="50">
        <f t="shared" si="12"/>
        <v>0</v>
      </c>
      <c r="H79" s="50">
        <f t="shared" si="12"/>
        <v>0</v>
      </c>
      <c r="I79" s="50">
        <f t="shared" si="12"/>
        <v>0</v>
      </c>
    </row>
    <row r="80" spans="1:9" ht="14.25">
      <c r="A80" s="43" t="str">
        <f>HLOOKUP(INDICE!$F$2,Nombres!$C$3:$D$636,49,FALSE)</f>
        <v>Minoritarios</v>
      </c>
      <c r="B80" s="44">
        <v>4.041716651507254</v>
      </c>
      <c r="C80" s="44">
        <v>-9.499793548565984</v>
      </c>
      <c r="D80" s="44">
        <v>-17.72245553736912</v>
      </c>
      <c r="E80" s="45">
        <v>-10.596142917340257</v>
      </c>
      <c r="F80" s="44">
        <v>-1.070583759999999</v>
      </c>
      <c r="G80" s="44">
        <v>0</v>
      </c>
      <c r="H80" s="44">
        <v>0</v>
      </c>
      <c r="I80" s="44">
        <v>0</v>
      </c>
    </row>
    <row r="81" spans="1:9" ht="14.25">
      <c r="A81" s="47" t="str">
        <f>HLOOKUP(INDICE!$F$2,Nombres!$C$3:$D$636,50,FALSE)</f>
        <v>Resultado atribuido</v>
      </c>
      <c r="B81" s="47">
        <f>+B79+B80</f>
        <v>-6.556994870414033</v>
      </c>
      <c r="C81" s="47">
        <f aca="true" t="shared" si="13" ref="C81:I81">+C79+C80</f>
        <v>22.257885810453764</v>
      </c>
      <c r="D81" s="47">
        <f t="shared" si="13"/>
        <v>39.713575266310734</v>
      </c>
      <c r="E81" s="47">
        <f t="shared" si="13"/>
        <v>25.331049243629664</v>
      </c>
      <c r="F81" s="51">
        <f t="shared" si="13"/>
        <v>5.531450990000043</v>
      </c>
      <c r="G81" s="51">
        <f t="shared" si="13"/>
        <v>0</v>
      </c>
      <c r="H81" s="51">
        <f t="shared" si="13"/>
        <v>0</v>
      </c>
      <c r="I81" s="51">
        <f t="shared" si="13"/>
        <v>0</v>
      </c>
    </row>
    <row r="82" spans="1:9" ht="14.25">
      <c r="A82" s="62"/>
      <c r="B82" s="63">
        <v>-1.1546319456101628E-14</v>
      </c>
      <c r="C82" s="63">
        <v>-2.842170943040401E-14</v>
      </c>
      <c r="D82" s="63">
        <v>0</v>
      </c>
      <c r="E82" s="63">
        <v>0</v>
      </c>
      <c r="F82" s="63">
        <v>2.7533531010703882E-14</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1359.9654853340705</v>
      </c>
      <c r="C87" s="44">
        <v>1045.3316176556034</v>
      </c>
      <c r="D87" s="44">
        <v>1237.1199001840112</v>
      </c>
      <c r="E87" s="45">
        <v>1412.196739873019</v>
      </c>
      <c r="F87" s="44">
        <v>1814.7499999999998</v>
      </c>
      <c r="G87" s="44">
        <v>0</v>
      </c>
      <c r="H87" s="44">
        <v>0</v>
      </c>
      <c r="I87" s="44">
        <v>0</v>
      </c>
    </row>
    <row r="88" spans="1:9" ht="14.25">
      <c r="A88" s="43" t="str">
        <f>HLOOKUP(INDICE!$F$2,Nombres!$C$3:$D$636,53,FALSE)</f>
        <v>Activos financieros a valor razonable</v>
      </c>
      <c r="B88" s="58">
        <v>768.3733193791657</v>
      </c>
      <c r="C88" s="58">
        <v>940.3657161000369</v>
      </c>
      <c r="D88" s="58">
        <v>1174.5231850936873</v>
      </c>
      <c r="E88" s="65">
        <v>1330.7806467409364</v>
      </c>
      <c r="F88" s="44">
        <v>1347.5679999999998</v>
      </c>
      <c r="G88" s="44">
        <v>0</v>
      </c>
      <c r="H88" s="44">
        <v>0</v>
      </c>
      <c r="I88" s="44">
        <v>0</v>
      </c>
    </row>
    <row r="89" spans="1:9" ht="14.25">
      <c r="A89" s="43" t="str">
        <f>HLOOKUP(INDICE!$F$2,Nombres!$C$3:$D$636,54,FALSE)</f>
        <v>Activos financieros a coste amortizado</v>
      </c>
      <c r="B89" s="44">
        <v>2166.7384729446994</v>
      </c>
      <c r="C89" s="44">
        <v>2690.9791146351076</v>
      </c>
      <c r="D89" s="44">
        <v>2635.74603657874</v>
      </c>
      <c r="E89" s="45">
        <v>3218.1703429999807</v>
      </c>
      <c r="F89" s="44">
        <v>3214.4900000000002</v>
      </c>
      <c r="G89" s="44">
        <v>0</v>
      </c>
      <c r="H89" s="44">
        <v>0</v>
      </c>
      <c r="I89" s="44">
        <v>0</v>
      </c>
    </row>
    <row r="90" spans="1:9" ht="14.25">
      <c r="A90" s="43" t="str">
        <f>HLOOKUP(INDICE!$F$2,Nombres!$C$3:$D$636,55,FALSE)</f>
        <v>    de los que préstamos y anticipos a la clientela</v>
      </c>
      <c r="B90" s="44">
        <v>2023.6311367765577</v>
      </c>
      <c r="C90" s="44">
        <v>2269.0530672106</v>
      </c>
      <c r="D90" s="44">
        <v>2342.208636164688</v>
      </c>
      <c r="E90" s="45">
        <v>2626.0910854820704</v>
      </c>
      <c r="F90" s="44">
        <v>2678.9059999999995</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357.7499028295294</v>
      </c>
      <c r="C92" s="44">
        <v>336.1258939435407</v>
      </c>
      <c r="D92" s="44">
        <v>319.52429453596227</v>
      </c>
      <c r="E92" s="45">
        <v>336.074244853559</v>
      </c>
      <c r="F92" s="44">
        <v>358.37536584</v>
      </c>
      <c r="G92" s="44">
        <v>0</v>
      </c>
      <c r="H92" s="44">
        <v>0</v>
      </c>
      <c r="I92" s="44">
        <v>0</v>
      </c>
    </row>
    <row r="93" spans="1:9" ht="14.25">
      <c r="A93" s="43" t="str">
        <f>HLOOKUP(INDICE!$F$2,Nombres!$C$3:$D$636,57,FALSE)</f>
        <v>Otros activos</v>
      </c>
      <c r="B93" s="58">
        <f>+B94-B92-B89-B88-B87</f>
        <v>187.89259711942532</v>
      </c>
      <c r="C93" s="58">
        <f aca="true" t="shared" si="15" ref="C93:I93">+C94-C92-C89-C88-C87</f>
        <v>185.2943593944167</v>
      </c>
      <c r="D93" s="58">
        <f t="shared" si="15"/>
        <v>204.24127671847418</v>
      </c>
      <c r="E93" s="65">
        <f t="shared" si="15"/>
        <v>284.62539277401856</v>
      </c>
      <c r="F93" s="44">
        <f t="shared" si="15"/>
        <v>295.51088900000036</v>
      </c>
      <c r="G93" s="44">
        <f t="shared" si="15"/>
        <v>0</v>
      </c>
      <c r="H93" s="44">
        <f t="shared" si="15"/>
        <v>0</v>
      </c>
      <c r="I93" s="44">
        <f t="shared" si="15"/>
        <v>0</v>
      </c>
    </row>
    <row r="94" spans="1:9" ht="14.25">
      <c r="A94" s="47" t="str">
        <f>HLOOKUP(INDICE!$F$2,Nombres!$C$3:$D$636,58,FALSE)</f>
        <v>Total activo / pasivo</v>
      </c>
      <c r="B94" s="47">
        <v>4840.719777606891</v>
      </c>
      <c r="C94" s="47">
        <v>5198.096701728706</v>
      </c>
      <c r="D94" s="47">
        <v>5571.154693110875</v>
      </c>
      <c r="E94" s="47">
        <v>6581.847367241514</v>
      </c>
      <c r="F94" s="51">
        <v>7030.69425484</v>
      </c>
      <c r="G94" s="51">
        <v>0</v>
      </c>
      <c r="H94" s="51">
        <v>0</v>
      </c>
      <c r="I94" s="51">
        <v>0</v>
      </c>
    </row>
    <row r="95" spans="1:9" ht="14.25">
      <c r="A95" s="43" t="str">
        <f>HLOOKUP(INDICE!$F$2,Nombres!$C$3:$D$636,59,FALSE)</f>
        <v>Pasivos financieros mantenidos para negociar y designados a valor razonable con cambios en resultados</v>
      </c>
      <c r="B95" s="58">
        <v>3.07566819091258</v>
      </c>
      <c r="C95" s="58">
        <v>2.1297026664765046</v>
      </c>
      <c r="D95" s="58">
        <v>0.3330843480168016</v>
      </c>
      <c r="E95" s="65">
        <v>1.7496171607127395</v>
      </c>
      <c r="F95" s="44">
        <v>3.699</v>
      </c>
      <c r="G95" s="44">
        <v>0</v>
      </c>
      <c r="H95" s="44">
        <v>0</v>
      </c>
      <c r="I95" s="44">
        <v>0</v>
      </c>
    </row>
    <row r="96" spans="1:9" ht="14.25">
      <c r="A96" s="43" t="str">
        <f>HLOOKUP(INDICE!$F$2,Nombres!$C$3:$D$636,60,FALSE)</f>
        <v>Depósitos de bancos centrales y entidades de crédito</v>
      </c>
      <c r="B96" s="58">
        <v>71.83306584411865</v>
      </c>
      <c r="C96" s="58">
        <v>60.72906007238957</v>
      </c>
      <c r="D96" s="58">
        <v>42.74472264611645</v>
      </c>
      <c r="E96" s="65">
        <v>110.75833166751687</v>
      </c>
      <c r="F96" s="44">
        <v>120.434</v>
      </c>
      <c r="G96" s="44">
        <v>0</v>
      </c>
      <c r="H96" s="44">
        <v>0</v>
      </c>
      <c r="I96" s="44">
        <v>0</v>
      </c>
    </row>
    <row r="97" spans="1:9" ht="14.25">
      <c r="A97" s="43" t="str">
        <f>HLOOKUP(INDICE!$F$2,Nombres!$C$3:$D$636,61,FALSE)</f>
        <v>Depósitos de la clientela</v>
      </c>
      <c r="B97" s="58">
        <v>3038.549887320397</v>
      </c>
      <c r="C97" s="58">
        <v>3458.609348448703</v>
      </c>
      <c r="D97" s="58">
        <v>3700.570412514785</v>
      </c>
      <c r="E97" s="65">
        <v>4426.753590210941</v>
      </c>
      <c r="F97" s="44">
        <v>4706.075999999999</v>
      </c>
      <c r="G97" s="44">
        <v>0</v>
      </c>
      <c r="H97" s="44">
        <v>0</v>
      </c>
      <c r="I97" s="44">
        <v>0</v>
      </c>
    </row>
    <row r="98" spans="1:9" ht="14.25">
      <c r="A98" s="43" t="str">
        <f>HLOOKUP(INDICE!$F$2,Nombres!$C$3:$D$636,62,FALSE)</f>
        <v>Valores representativos de deuda emitidos</v>
      </c>
      <c r="B98" s="44">
        <v>218.85981610272552</v>
      </c>
      <c r="C98" s="44">
        <v>189.8435017916288</v>
      </c>
      <c r="D98" s="44">
        <v>200.73808770632732</v>
      </c>
      <c r="E98" s="45">
        <v>197.78157339884908</v>
      </c>
      <c r="F98" s="44">
        <v>193.7862963</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956.4537340745956</v>
      </c>
      <c r="C100" s="58">
        <f aca="true" t="shared" si="16" ref="C100:I100">+C94-C95-C96-C97-C98-C101</f>
        <v>921.2398437928766</v>
      </c>
      <c r="D100" s="58">
        <f t="shared" si="16"/>
        <v>1041.7120036485344</v>
      </c>
      <c r="E100" s="65">
        <f t="shared" si="16"/>
        <v>1174.1877472188826</v>
      </c>
      <c r="F100" s="44">
        <f t="shared" si="16"/>
        <v>1345.4178921300013</v>
      </c>
      <c r="G100" s="44">
        <f t="shared" si="16"/>
        <v>0</v>
      </c>
      <c r="H100" s="44">
        <f t="shared" si="16"/>
        <v>0</v>
      </c>
      <c r="I100" s="44">
        <f t="shared" si="16"/>
        <v>0</v>
      </c>
    </row>
    <row r="101" spans="1:9" ht="14.25">
      <c r="A101" s="43" t="str">
        <f>HLOOKUP(INDICE!$F$2,Nombres!$C$3:$D$636,282,FALSE)</f>
        <v>Dotación de capital regulatorio</v>
      </c>
      <c r="B101" s="58">
        <v>551.947606074142</v>
      </c>
      <c r="C101" s="58">
        <v>565.5452449566314</v>
      </c>
      <c r="D101" s="58">
        <v>585.0563822470949</v>
      </c>
      <c r="E101" s="65">
        <v>670.6165075846111</v>
      </c>
      <c r="F101" s="44">
        <v>661.28106641</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2133.4384932849134</v>
      </c>
      <c r="C107" s="44">
        <v>2368.4290503354555</v>
      </c>
      <c r="D107" s="44">
        <v>2441.3738863307426</v>
      </c>
      <c r="E107" s="45">
        <v>2742.8950289548197</v>
      </c>
      <c r="F107" s="44">
        <v>2810.1806310599995</v>
      </c>
      <c r="G107" s="44">
        <v>0</v>
      </c>
      <c r="H107" s="44">
        <v>0</v>
      </c>
      <c r="I107" s="44">
        <v>0</v>
      </c>
    </row>
    <row r="108" spans="1:9" ht="14.25">
      <c r="A108" s="43" t="str">
        <f>HLOOKUP(INDICE!$F$2,Nombres!$C$3:$D$636,67,FALSE)</f>
        <v>Depósitos de clientes en gestión (**)</v>
      </c>
      <c r="B108" s="44">
        <v>3038.5637804640905</v>
      </c>
      <c r="C108" s="44">
        <v>3458.6091235541485</v>
      </c>
      <c r="D108" s="44">
        <v>3700.56968010115</v>
      </c>
      <c r="E108" s="45">
        <v>4426.431368858981</v>
      </c>
      <c r="F108" s="44">
        <v>4706.07777928</v>
      </c>
      <c r="G108" s="44">
        <v>0</v>
      </c>
      <c r="H108" s="44">
        <v>0</v>
      </c>
      <c r="I108" s="44">
        <v>0</v>
      </c>
    </row>
    <row r="109" spans="1:9" ht="14.25">
      <c r="A109" s="43" t="str">
        <f>HLOOKUP(INDICE!$F$2,Nombres!$C$3:$D$636,68,FALSE)</f>
        <v>Fondos de inversión</v>
      </c>
      <c r="B109" s="44">
        <v>619.6524738847762</v>
      </c>
      <c r="C109" s="44">
        <v>1063.8872354257735</v>
      </c>
      <c r="D109" s="44">
        <v>930.097284040927</v>
      </c>
      <c r="E109" s="45">
        <v>928.3068895183803</v>
      </c>
      <c r="F109" s="44">
        <v>1327.07892138</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HLOOKUP(INDICE!$F$2,Nombres!$C$3:$D$636,78,FALSE)</f>
        <v>(Millones de pesos argentinos)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17079.272024805472</v>
      </c>
      <c r="C120" s="41">
        <v>17744.005887890522</v>
      </c>
      <c r="D120" s="41">
        <v>19756.098347982188</v>
      </c>
      <c r="E120" s="42">
        <v>25840.3611361698</v>
      </c>
      <c r="F120" s="50">
        <v>21735.656959069278</v>
      </c>
      <c r="G120" s="50">
        <v>0</v>
      </c>
      <c r="H120" s="50">
        <v>0</v>
      </c>
      <c r="I120" s="50">
        <v>0</v>
      </c>
    </row>
    <row r="121" spans="1:9" ht="14.25">
      <c r="A121" s="43" t="str">
        <f>HLOOKUP(INDICE!$F$2,Nombres!$C$3:$D$636,34,FALSE)</f>
        <v>Comisiones netas</v>
      </c>
      <c r="B121" s="44">
        <v>1874.6411309726877</v>
      </c>
      <c r="C121" s="44">
        <v>3299.380561340492</v>
      </c>
      <c r="D121" s="44">
        <v>3801.789748357312</v>
      </c>
      <c r="E121" s="45">
        <v>3499.0105299320453</v>
      </c>
      <c r="F121" s="44">
        <v>3365.2045704127745</v>
      </c>
      <c r="G121" s="44">
        <v>0</v>
      </c>
      <c r="H121" s="44">
        <v>0</v>
      </c>
      <c r="I121" s="44">
        <v>0</v>
      </c>
    </row>
    <row r="122" spans="1:9" ht="14.25">
      <c r="A122" s="43" t="str">
        <f>HLOOKUP(INDICE!$F$2,Nombres!$C$3:$D$636,35,FALSE)</f>
        <v>Resultados de operaciones financieras</v>
      </c>
      <c r="B122" s="44">
        <v>1818.8820010215834</v>
      </c>
      <c r="C122" s="44">
        <v>2018.9353776925182</v>
      </c>
      <c r="D122" s="44">
        <v>2290.969754276095</v>
      </c>
      <c r="E122" s="45">
        <v>8522.248799390842</v>
      </c>
      <c r="F122" s="44">
        <v>2776.0698261513107</v>
      </c>
      <c r="G122" s="44">
        <v>0</v>
      </c>
      <c r="H122" s="44">
        <v>0</v>
      </c>
      <c r="I122" s="44">
        <v>0</v>
      </c>
    </row>
    <row r="123" spans="1:9" ht="14.25">
      <c r="A123" s="43" t="str">
        <f>HLOOKUP(INDICE!$F$2,Nombres!$C$3:$D$636,36,FALSE)</f>
        <v>Otros ingresos y cargas de explotación</v>
      </c>
      <c r="B123" s="44">
        <v>-5955.845446101257</v>
      </c>
      <c r="C123" s="44">
        <v>-5877.704445577949</v>
      </c>
      <c r="D123" s="44">
        <v>-7531.146539366742</v>
      </c>
      <c r="E123" s="45">
        <v>-11823.686661057054</v>
      </c>
      <c r="F123" s="44">
        <v>-13047.324336326277</v>
      </c>
      <c r="G123" s="44">
        <v>0</v>
      </c>
      <c r="H123" s="44">
        <v>0</v>
      </c>
      <c r="I123" s="44">
        <v>0</v>
      </c>
    </row>
    <row r="124" spans="1:9" ht="14.25">
      <c r="A124" s="41" t="str">
        <f>HLOOKUP(INDICE!$F$2,Nombres!$C$3:$D$636,37,FALSE)</f>
        <v>Margen bruto</v>
      </c>
      <c r="B124" s="41">
        <f>+SUM(B120:B123)</f>
        <v>14816.949710698484</v>
      </c>
      <c r="C124" s="41">
        <f aca="true" t="shared" si="19" ref="C124:I124">+SUM(C120:C123)</f>
        <v>17184.617381345583</v>
      </c>
      <c r="D124" s="41">
        <f t="shared" si="19"/>
        <v>18317.71131124885</v>
      </c>
      <c r="E124" s="42">
        <f t="shared" si="19"/>
        <v>26037.93380443563</v>
      </c>
      <c r="F124" s="50">
        <f t="shared" si="19"/>
        <v>14829.607019307085</v>
      </c>
      <c r="G124" s="50">
        <f t="shared" si="19"/>
        <v>0</v>
      </c>
      <c r="H124" s="50">
        <f t="shared" si="19"/>
        <v>0</v>
      </c>
      <c r="I124" s="50">
        <f t="shared" si="19"/>
        <v>0</v>
      </c>
    </row>
    <row r="125" spans="1:9" ht="14.25">
      <c r="A125" s="43" t="str">
        <f>HLOOKUP(INDICE!$F$2,Nombres!$C$3:$D$636,38,FALSE)</f>
        <v>Gastos de explotación</v>
      </c>
      <c r="B125" s="44">
        <v>-8329.043666629235</v>
      </c>
      <c r="C125" s="44">
        <v>-8725.22704365629</v>
      </c>
      <c r="D125" s="44">
        <v>-10583.748134715668</v>
      </c>
      <c r="E125" s="45">
        <v>-13262.157822278059</v>
      </c>
      <c r="F125" s="44">
        <v>-11269.210086347393</v>
      </c>
      <c r="G125" s="44">
        <v>0</v>
      </c>
      <c r="H125" s="44">
        <v>0</v>
      </c>
      <c r="I125" s="44">
        <v>0</v>
      </c>
    </row>
    <row r="126" spans="1:9" ht="14.25">
      <c r="A126" s="43" t="str">
        <f>HLOOKUP(INDICE!$F$2,Nombres!$C$3:$D$636,39,FALSE)</f>
        <v>  Gastos de administración</v>
      </c>
      <c r="B126" s="44">
        <v>-7483.072189678596</v>
      </c>
      <c r="C126" s="44">
        <v>-7844.306492488938</v>
      </c>
      <c r="D126" s="44">
        <v>-9618.640890913235</v>
      </c>
      <c r="E126" s="45">
        <v>-11985.060687395595</v>
      </c>
      <c r="F126" s="44">
        <v>-10469.393114660426</v>
      </c>
      <c r="G126" s="44">
        <v>0</v>
      </c>
      <c r="H126" s="44">
        <v>0</v>
      </c>
      <c r="I126" s="44">
        <v>0</v>
      </c>
    </row>
    <row r="127" spans="1:9" ht="14.25">
      <c r="A127" s="46" t="str">
        <f>HLOOKUP(INDICE!$F$2,Nombres!$C$3:$D$636,40,FALSE)</f>
        <v>  Gastos de personal</v>
      </c>
      <c r="B127" s="44">
        <v>-4554.062868530717</v>
      </c>
      <c r="C127" s="44">
        <v>-4320.744822784194</v>
      </c>
      <c r="D127" s="44">
        <v>-5351.581469482768</v>
      </c>
      <c r="E127" s="45">
        <v>-6442.855909987664</v>
      </c>
      <c r="F127" s="44">
        <v>-5999.705498722209</v>
      </c>
      <c r="G127" s="44">
        <v>0</v>
      </c>
      <c r="H127" s="44">
        <v>0</v>
      </c>
      <c r="I127" s="44">
        <v>0</v>
      </c>
    </row>
    <row r="128" spans="1:9" ht="14.25">
      <c r="A128" s="46" t="str">
        <f>HLOOKUP(INDICE!$F$2,Nombres!$C$3:$D$636,41,FALSE)</f>
        <v>  Otros gastos de administración</v>
      </c>
      <c r="B128" s="44">
        <v>-2929.0093211478807</v>
      </c>
      <c r="C128" s="44">
        <v>-3523.5616697047453</v>
      </c>
      <c r="D128" s="44">
        <v>-4267.059421430467</v>
      </c>
      <c r="E128" s="45">
        <v>-5542.204777407933</v>
      </c>
      <c r="F128" s="44">
        <v>-4469.687615938218</v>
      </c>
      <c r="G128" s="44">
        <v>0</v>
      </c>
      <c r="H128" s="44">
        <v>0</v>
      </c>
      <c r="I128" s="44">
        <v>0</v>
      </c>
    </row>
    <row r="129" spans="1:9" ht="14.25">
      <c r="A129" s="43" t="str">
        <f>HLOOKUP(INDICE!$F$2,Nombres!$C$3:$D$636,42,FALSE)</f>
        <v>  Amortización</v>
      </c>
      <c r="B129" s="44">
        <v>-845.9714769506381</v>
      </c>
      <c r="C129" s="44">
        <v>-880.9205511673514</v>
      </c>
      <c r="D129" s="44">
        <v>-965.107243802433</v>
      </c>
      <c r="E129" s="45">
        <v>-1277.0971348824653</v>
      </c>
      <c r="F129" s="44">
        <v>-799.8169716869681</v>
      </c>
      <c r="G129" s="44">
        <v>0</v>
      </c>
      <c r="H129" s="44">
        <v>0</v>
      </c>
      <c r="I129" s="44">
        <v>0</v>
      </c>
    </row>
    <row r="130" spans="1:9" ht="14.25">
      <c r="A130" s="41" t="str">
        <f>HLOOKUP(INDICE!$F$2,Nombres!$C$3:$D$636,43,FALSE)</f>
        <v>Margen neto</v>
      </c>
      <c r="B130" s="41">
        <f>+B124+B125</f>
        <v>6487.906044069248</v>
      </c>
      <c r="C130" s="41">
        <f aca="true" t="shared" si="20" ref="C130:I130">+C124+C125</f>
        <v>8459.390337689292</v>
      </c>
      <c r="D130" s="41">
        <f t="shared" si="20"/>
        <v>7733.963176533183</v>
      </c>
      <c r="E130" s="42">
        <f t="shared" si="20"/>
        <v>12775.775982157571</v>
      </c>
      <c r="F130" s="50">
        <f t="shared" si="20"/>
        <v>3560.396932959691</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-4501.511914297497</v>
      </c>
      <c r="C131" s="44">
        <v>-2432.306029067025</v>
      </c>
      <c r="D131" s="44">
        <v>2252.4946596896057</v>
      </c>
      <c r="E131" s="45">
        <v>-6150.055828542127</v>
      </c>
      <c r="F131" s="44">
        <v>-2215.0768220999025</v>
      </c>
      <c r="G131" s="44">
        <v>0</v>
      </c>
      <c r="H131" s="44">
        <v>0</v>
      </c>
      <c r="I131" s="44">
        <v>0</v>
      </c>
    </row>
    <row r="132" spans="1:9" ht="14.25">
      <c r="A132" s="43" t="str">
        <f>HLOOKUP(INDICE!$F$2,Nombres!$C$3:$D$636,45,FALSE)</f>
        <v>Provisiones o reversión de provisiones y otros resultados</v>
      </c>
      <c r="B132" s="44">
        <v>-759.5166812766311</v>
      </c>
      <c r="C132" s="44">
        <v>352.5260599604685</v>
      </c>
      <c r="D132" s="44">
        <v>-600.6376813720062</v>
      </c>
      <c r="E132" s="45">
        <v>-2052.3137372598944</v>
      </c>
      <c r="F132" s="44">
        <v>-211.11372749569747</v>
      </c>
      <c r="G132" s="44">
        <v>0</v>
      </c>
      <c r="H132" s="44">
        <v>0</v>
      </c>
      <c r="I132" s="44">
        <v>0</v>
      </c>
    </row>
    <row r="133" spans="1:9" ht="14.25">
      <c r="A133" s="41" t="str">
        <f>HLOOKUP(INDICE!$F$2,Nombres!$C$3:$D$636,46,FALSE)</f>
        <v>Resultado antes de impuestos</v>
      </c>
      <c r="B133" s="41">
        <f>+B130+B131+B132</f>
        <v>1226.87744849512</v>
      </c>
      <c r="C133" s="41">
        <f aca="true" t="shared" si="21" ref="C133:I133">+C130+C131+C132</f>
        <v>6379.610368582735</v>
      </c>
      <c r="D133" s="41">
        <f t="shared" si="21"/>
        <v>9385.820154850782</v>
      </c>
      <c r="E133" s="42">
        <f t="shared" si="21"/>
        <v>4573.40641635555</v>
      </c>
      <c r="F133" s="50">
        <f t="shared" si="21"/>
        <v>1134.2063833640912</v>
      </c>
      <c r="G133" s="50">
        <f t="shared" si="21"/>
        <v>0</v>
      </c>
      <c r="H133" s="50">
        <f t="shared" si="21"/>
        <v>0</v>
      </c>
      <c r="I133" s="50">
        <f t="shared" si="21"/>
        <v>0</v>
      </c>
    </row>
    <row r="134" spans="1:9" ht="14.25">
      <c r="A134" s="43" t="str">
        <f>HLOOKUP(INDICE!$F$2,Nombres!$C$3:$D$636,47,FALSE)</f>
        <v>Impuesto sobre beneficios</v>
      </c>
      <c r="B134" s="44">
        <v>-486.9244512933663</v>
      </c>
      <c r="C134" s="44">
        <v>-2307.6582309485807</v>
      </c>
      <c r="D134" s="44">
        <v>-3414.9050512868575</v>
      </c>
      <c r="E134" s="45">
        <v>-2291.0223993882064</v>
      </c>
      <c r="F134" s="44">
        <v>-422.3676882013634</v>
      </c>
      <c r="G134" s="44">
        <v>0</v>
      </c>
      <c r="H134" s="44">
        <v>0</v>
      </c>
      <c r="I134" s="44">
        <v>0</v>
      </c>
    </row>
    <row r="135" spans="1:9" ht="14.25">
      <c r="A135" s="41" t="str">
        <f>HLOOKUP(INDICE!$F$2,Nombres!$C$3:$D$636,48,FALSE)</f>
        <v>Resultado del ejercicio</v>
      </c>
      <c r="B135" s="41">
        <f>+B133+B134</f>
        <v>739.9529972017538</v>
      </c>
      <c r="C135" s="41">
        <f aca="true" t="shared" si="22" ref="C135:I135">+C133+C134</f>
        <v>4071.952137634154</v>
      </c>
      <c r="D135" s="41">
        <f t="shared" si="22"/>
        <v>5970.915103563924</v>
      </c>
      <c r="E135" s="42">
        <f t="shared" si="22"/>
        <v>2282.384016967344</v>
      </c>
      <c r="F135" s="50">
        <f t="shared" si="22"/>
        <v>711.8386951627277</v>
      </c>
      <c r="G135" s="50">
        <f t="shared" si="22"/>
        <v>0</v>
      </c>
      <c r="H135" s="50">
        <f t="shared" si="22"/>
        <v>0</v>
      </c>
      <c r="I135" s="50">
        <f t="shared" si="22"/>
        <v>0</v>
      </c>
    </row>
    <row r="136" spans="1:9" ht="14.25">
      <c r="A136" s="43" t="str">
        <f>HLOOKUP(INDICE!$F$2,Nombres!$C$3:$D$636,49,FALSE)</f>
        <v>Minoritarios</v>
      </c>
      <c r="B136" s="44">
        <v>-190.00536748030083</v>
      </c>
      <c r="C136" s="44">
        <v>-1254.980100167937</v>
      </c>
      <c r="D136" s="44">
        <v>-1837.0341741070333</v>
      </c>
      <c r="E136" s="45">
        <v>-603.7415012455351</v>
      </c>
      <c r="F136" s="44">
        <v>-115.43152613378948</v>
      </c>
      <c r="G136" s="44">
        <v>0</v>
      </c>
      <c r="H136" s="44">
        <v>0</v>
      </c>
      <c r="I136" s="44">
        <v>0</v>
      </c>
    </row>
    <row r="137" spans="1:9" ht="14.25">
      <c r="A137" s="47" t="str">
        <f>HLOOKUP(INDICE!$F$2,Nombres!$C$3:$D$636,50,FALSE)</f>
        <v>Resultado atribuido</v>
      </c>
      <c r="B137" s="47">
        <f>+B135+B136</f>
        <v>549.9476297214529</v>
      </c>
      <c r="C137" s="47">
        <f aca="true" t="shared" si="23" ref="C137:I137">+C135+C136</f>
        <v>2816.972037466217</v>
      </c>
      <c r="D137" s="47">
        <f t="shared" si="23"/>
        <v>4133.880929456891</v>
      </c>
      <c r="E137" s="47">
        <f t="shared" si="23"/>
        <v>1678.6425157218089</v>
      </c>
      <c r="F137" s="51">
        <f t="shared" si="23"/>
        <v>596.4071690289383</v>
      </c>
      <c r="G137" s="51">
        <f t="shared" si="23"/>
        <v>0</v>
      </c>
      <c r="H137" s="51">
        <f t="shared" si="23"/>
        <v>0</v>
      </c>
      <c r="I137" s="51">
        <f t="shared" si="23"/>
        <v>0</v>
      </c>
    </row>
    <row r="138" spans="1:9" ht="14.25">
      <c r="A138" s="62"/>
      <c r="B138" s="63">
        <v>-4.888534022029489E-12</v>
      </c>
      <c r="C138" s="63">
        <v>0</v>
      </c>
      <c r="D138" s="63">
        <v>0</v>
      </c>
      <c r="E138" s="63">
        <v>5.4569682106375694E-12</v>
      </c>
      <c r="F138" s="63">
        <v>1.7053025658242404E-12</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HLOOKUP(INDICE!$F$2,Nombres!$C$3:$D$636,78,FALSE)</f>
        <v>(Millones de pesos argentinos)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146632.9841033559</v>
      </c>
      <c r="C143" s="44">
        <v>112708.81219222759</v>
      </c>
      <c r="D143" s="44">
        <v>133387.63712306015</v>
      </c>
      <c r="E143" s="45">
        <v>152264.6157874693</v>
      </c>
      <c r="F143" s="44">
        <v>195668.35391870118</v>
      </c>
      <c r="G143" s="44">
        <v>0</v>
      </c>
      <c r="H143" s="44">
        <v>0</v>
      </c>
      <c r="I143" s="44">
        <v>0</v>
      </c>
    </row>
    <row r="144" spans="1:9" ht="14.25">
      <c r="A144" s="43" t="str">
        <f>HLOOKUP(INDICE!$F$2,Nombres!$C$3:$D$636,53,FALSE)</f>
        <v>Activos financieros a valor razonable</v>
      </c>
      <c r="B144" s="58">
        <v>82846.8618806832</v>
      </c>
      <c r="C144" s="58">
        <v>101391.27248980572</v>
      </c>
      <c r="D144" s="58">
        <v>126638.39000778718</v>
      </c>
      <c r="E144" s="65">
        <v>143486.24249878142</v>
      </c>
      <c r="F144" s="44">
        <v>145296.2735106854</v>
      </c>
      <c r="G144" s="44">
        <v>0</v>
      </c>
      <c r="H144" s="44">
        <v>0</v>
      </c>
      <c r="I144" s="44">
        <v>0</v>
      </c>
    </row>
    <row r="145" spans="1:9" ht="14.25">
      <c r="A145" s="43" t="str">
        <f>HLOOKUP(INDICE!$F$2,Nombres!$C$3:$D$636,54,FALSE)</f>
        <v>Activos financieros a coste amortizado</v>
      </c>
      <c r="B145" s="44">
        <v>233620.14072098615</v>
      </c>
      <c r="C145" s="44">
        <v>290144.3470396778</v>
      </c>
      <c r="D145" s="44">
        <v>284189.0554209135</v>
      </c>
      <c r="E145" s="45">
        <v>346986.6888798944</v>
      </c>
      <c r="F145" s="44">
        <v>346589.8702235161</v>
      </c>
      <c r="G145" s="44">
        <v>0</v>
      </c>
      <c r="H145" s="44">
        <v>0</v>
      </c>
      <c r="I145" s="44">
        <v>0</v>
      </c>
    </row>
    <row r="146" spans="1:9" ht="14.25">
      <c r="A146" s="43" t="str">
        <f>HLOOKUP(INDICE!$F$2,Nombres!$C$3:$D$636,55,FALSE)</f>
        <v>    de los que préstamos y anticipos a la clientela</v>
      </c>
      <c r="B146" s="44">
        <v>218190.14931626903</v>
      </c>
      <c r="C146" s="44">
        <v>244651.81353645306</v>
      </c>
      <c r="D146" s="44">
        <v>252539.5279639127</v>
      </c>
      <c r="E146" s="45">
        <v>283148.04790569056</v>
      </c>
      <c r="F146" s="44">
        <v>288842.6104548462</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28252.596706464254</v>
      </c>
      <c r="C148" s="44">
        <v>28805.918029262084</v>
      </c>
      <c r="D148" s="44">
        <v>30014.608222095136</v>
      </c>
      <c r="E148" s="45">
        <v>35111.78665393532</v>
      </c>
      <c r="F148" s="44">
        <v>38640.428664513085</v>
      </c>
      <c r="G148" s="44">
        <v>0</v>
      </c>
      <c r="H148" s="44">
        <v>0</v>
      </c>
      <c r="I148" s="44">
        <v>0</v>
      </c>
    </row>
    <row r="149" spans="1:9" ht="14.25">
      <c r="A149" s="43" t="str">
        <f>HLOOKUP(INDICE!$F$2,Nombres!$C$3:$D$636,57,FALSE)</f>
        <v>Otros activos</v>
      </c>
      <c r="B149" s="58">
        <f>+B150-B148-B145-B144-B143</f>
        <v>20669.06146328256</v>
      </c>
      <c r="C149" s="58">
        <f aca="true" t="shared" si="25" ref="C149:H149">+C150-C148-C145-C144-C143</f>
        <v>20257.258498199735</v>
      </c>
      <c r="D149" s="58">
        <f t="shared" si="25"/>
        <v>22171.561745249783</v>
      </c>
      <c r="E149" s="65">
        <f t="shared" si="25"/>
        <v>30708.604974628513</v>
      </c>
      <c r="F149" s="44">
        <f t="shared" si="25"/>
        <v>31862.311180979334</v>
      </c>
      <c r="G149" s="44">
        <f t="shared" si="25"/>
        <v>0</v>
      </c>
      <c r="H149" s="44">
        <f t="shared" si="25"/>
        <v>0</v>
      </c>
      <c r="I149" s="44">
        <f>+I150-I148-I145-I144-I143</f>
        <v>0</v>
      </c>
    </row>
    <row r="150" spans="1:9" ht="14.25">
      <c r="A150" s="47" t="str">
        <f>HLOOKUP(INDICE!$F$2,Nombres!$C$3:$D$636,58,FALSE)</f>
        <v>Total activo / pasivo</v>
      </c>
      <c r="B150" s="47">
        <v>512021.64487477206</v>
      </c>
      <c r="C150" s="47">
        <v>553307.6082491729</v>
      </c>
      <c r="D150" s="47">
        <v>596401.2525191058</v>
      </c>
      <c r="E150" s="47">
        <v>708557.9387947089</v>
      </c>
      <c r="F150" s="51">
        <v>758057.237498395</v>
      </c>
      <c r="G150" s="51">
        <v>0</v>
      </c>
      <c r="H150" s="51">
        <v>0</v>
      </c>
      <c r="I150" s="51">
        <v>0</v>
      </c>
    </row>
    <row r="151" spans="1:9" ht="14.25">
      <c r="A151" s="43" t="str">
        <f>HLOOKUP(INDICE!$F$2,Nombres!$C$3:$D$636,59,FALSE)</f>
        <v>Pasivos financieros mantenidos para negociar y designados a valor razonable con cambios en resultados</v>
      </c>
      <c r="B151" s="58">
        <v>331.62194909269823</v>
      </c>
      <c r="C151" s="58">
        <v>229.62689906914247</v>
      </c>
      <c r="D151" s="58">
        <v>35.91352312579219</v>
      </c>
      <c r="E151" s="65">
        <v>188.6456590850384</v>
      </c>
      <c r="F151" s="44">
        <v>398.83027477353664</v>
      </c>
      <c r="G151" s="44">
        <v>0</v>
      </c>
      <c r="H151" s="44">
        <v>0</v>
      </c>
      <c r="I151" s="44">
        <v>0</v>
      </c>
    </row>
    <row r="152" spans="1:9" ht="14.25">
      <c r="A152" s="43" t="str">
        <f>HLOOKUP(INDICE!$F$2,Nombres!$C$3:$D$636,60,FALSE)</f>
        <v>Depósitos de bancos centrales y entidades de crédito</v>
      </c>
      <c r="B152" s="58">
        <v>7745.120678138793</v>
      </c>
      <c r="C152" s="58">
        <v>6547.874483755001</v>
      </c>
      <c r="D152" s="58">
        <v>4608.783313887331</v>
      </c>
      <c r="E152" s="65">
        <v>11942.085929282037</v>
      </c>
      <c r="F152" s="44">
        <v>12985.327199804304</v>
      </c>
      <c r="G152" s="44">
        <v>0</v>
      </c>
      <c r="H152" s="44">
        <v>0</v>
      </c>
      <c r="I152" s="44">
        <v>0</v>
      </c>
    </row>
    <row r="153" spans="1:9" ht="14.25">
      <c r="A153" s="43" t="str">
        <f>HLOOKUP(INDICE!$F$2,Nombres!$C$3:$D$636,61,FALSE)</f>
        <v>Depósitos de la clientela</v>
      </c>
      <c r="B153" s="58">
        <v>327619.8125096223</v>
      </c>
      <c r="C153" s="58">
        <v>372911.0886120894</v>
      </c>
      <c r="D153" s="58">
        <v>398999.59838931914</v>
      </c>
      <c r="E153" s="65">
        <v>477297.4724894754</v>
      </c>
      <c r="F153" s="44">
        <v>507414.3239213696</v>
      </c>
      <c r="G153" s="44">
        <v>0</v>
      </c>
      <c r="H153" s="44">
        <v>0</v>
      </c>
      <c r="I153" s="44">
        <v>0</v>
      </c>
    </row>
    <row r="154" spans="1:9" ht="14.25">
      <c r="A154" s="43" t="str">
        <f>HLOOKUP(INDICE!$F$2,Nombres!$C$3:$D$636,62,FALSE)</f>
        <v>Valores representativos de deuda emitidos</v>
      </c>
      <c r="B154" s="44">
        <v>23597.707648860698</v>
      </c>
      <c r="C154" s="44">
        <v>20469.136518930987</v>
      </c>
      <c r="D154" s="44">
        <v>21643.802832503065</v>
      </c>
      <c r="E154" s="45">
        <v>21325.028187024975</v>
      </c>
      <c r="F154" s="44">
        <v>20894.252987476346</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93224.0173640823</v>
      </c>
      <c r="C156" s="58">
        <f aca="true" t="shared" si="26" ref="C156:I156">+C150-C151-C152-C153-C154-C157</f>
        <v>92177.89895235756</v>
      </c>
      <c r="D156" s="58">
        <f t="shared" si="26"/>
        <v>108035.01575384483</v>
      </c>
      <c r="E156" s="65">
        <f t="shared" si="26"/>
        <v>125498.87405413478</v>
      </c>
      <c r="F156" s="44">
        <f t="shared" si="26"/>
        <v>145064.44649998407</v>
      </c>
      <c r="G156" s="44">
        <f t="shared" si="26"/>
        <v>0</v>
      </c>
      <c r="H156" s="44">
        <f t="shared" si="26"/>
        <v>0</v>
      </c>
      <c r="I156" s="44">
        <f t="shared" si="26"/>
        <v>0</v>
      </c>
    </row>
    <row r="157" spans="1:9" ht="15.75" customHeight="1">
      <c r="A157" s="43" t="str">
        <f>HLOOKUP(INDICE!$F$2,Nombres!$C$3:$D$636,282,FALSE)</f>
        <v>Dotación de capital regulatorio</v>
      </c>
      <c r="B157" s="58">
        <v>59503.364724975225</v>
      </c>
      <c r="C157" s="58">
        <v>60971.98278297082</v>
      </c>
      <c r="D157" s="58">
        <v>63078.13870642563</v>
      </c>
      <c r="E157" s="65">
        <v>72305.83247570675</v>
      </c>
      <c r="F157" s="44">
        <v>71300.0566149872</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HLOOKUP(INDICE!$F$2,Nombres!$C$3:$D$636,78,FALSE)</f>
        <v>(Millones de pesos argentinos)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230029.70005116577</v>
      </c>
      <c r="C163" s="44">
        <v>255366.6420456654</v>
      </c>
      <c r="D163" s="44">
        <v>263231.63501222694</v>
      </c>
      <c r="E163" s="45">
        <v>295741.97839227325</v>
      </c>
      <c r="F163" s="44">
        <v>302996.7864960612</v>
      </c>
      <c r="G163" s="44">
        <v>0</v>
      </c>
      <c r="H163" s="44">
        <v>0</v>
      </c>
      <c r="I163" s="44">
        <v>0</v>
      </c>
    </row>
    <row r="164" spans="1:9" ht="14.25">
      <c r="A164" s="43" t="str">
        <f>HLOOKUP(INDICE!$F$2,Nombres!$C$3:$D$636,67,FALSE)</f>
        <v>Depósitos de clientes en gestión (**)</v>
      </c>
      <c r="B164" s="44">
        <v>327621.310483755</v>
      </c>
      <c r="C164" s="44">
        <v>372911.0643637096</v>
      </c>
      <c r="D164" s="44">
        <v>398999.5194196703</v>
      </c>
      <c r="E164" s="45">
        <v>477262.73022660974</v>
      </c>
      <c r="F164" s="44">
        <v>507414.515765309</v>
      </c>
      <c r="G164" s="44">
        <v>0</v>
      </c>
      <c r="H164" s="44">
        <v>0</v>
      </c>
      <c r="I164" s="44">
        <v>0</v>
      </c>
    </row>
    <row r="165" spans="1:9" ht="14.25">
      <c r="A165" s="43" t="str">
        <f>HLOOKUP(INDICE!$F$2,Nombres!$C$3:$D$636,68,FALSE)</f>
        <v>Fondos de inversión</v>
      </c>
      <c r="B165" s="44">
        <v>66811.6156862847</v>
      </c>
      <c r="C165" s="44">
        <v>114709.49944117854</v>
      </c>
      <c r="D165" s="44">
        <v>100284.1187780922</v>
      </c>
      <c r="E165" s="45">
        <v>100091.07645871393</v>
      </c>
      <c r="F165" s="44">
        <v>143087.1183725748</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58"/>
      <c r="G168" s="58"/>
      <c r="H168" s="58"/>
      <c r="I168" s="58"/>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5" operator="notBetween">
      <formula>0.5</formula>
      <formula>-0.5</formula>
    </cfRule>
  </conditionalFormatting>
  <conditionalFormatting sqref="B82:I82">
    <cfRule type="cellIs" priority="2" dxfId="115" operator="notBetween">
      <formula>0.5</formula>
      <formula>-0.5</formula>
    </cfRule>
  </conditionalFormatting>
  <conditionalFormatting sqref="B138:I138">
    <cfRule type="cellIs" priority="1" dxfId="115"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2021-04-29T17:34:43Z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