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17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APRs" sheetId="20" r:id="rId20"/>
    <sheet name="Diferenciales"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<sst xmlns="http://schemas.openxmlformats.org/spreadsheetml/2006/main" count="647" uniqueCount="537">
  <si>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</si>
  <si>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</si>
  <si>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</si>
  <si>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</si>
  <si>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</si>
  <si>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</si>
  <si>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</si>
  <si>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</si>
  <si>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</si>
  <si>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</si>
  <si>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</si>
  <si>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</si>
  <si>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</si>
  <si>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</si>
  <si>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</si>
  <si>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</si>
  <si>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</si>
  <si>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</si>
  <si>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</si>
  <si>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</si>
  <si>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</si>
  <si>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</si>
  <si>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</si>
  <si>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</si>
  <si>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</si>
  <si>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</si>
  <si>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</si>
  <si>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</si>
  <si>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</si>
  <si>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</si>
  <si>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</si>
  <si>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</si>
  <si>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</si>
  <si>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</si>
  <si>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</si>
  <si>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</si>
  <si>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</si>
  <si>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</si>
  <si>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</si>
  <si>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</si>
  <si>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</si>
  <si>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</si>
  <si>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</si>
  <si>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</si>
  <si>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</si>
  <si>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</si>
  <si>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</si>
  <si>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</si>
  <si>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</si>
  <si>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</si>
  <si>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</si>
  <si>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</si>
  <si>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</si>
  <si>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</si>
  <si>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</si>
  <si>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</si>
  <si>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</si>
  <si>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</si>
  <si>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</si>
  <si>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</si>
  <si>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</si>
  <si>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</si>
  <si>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</si>
  <si>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</si>
  <si>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</si>
  <si>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</si>
  <si>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</si>
  <si>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</si>
  <si>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</si>
  <si>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</si>
  <si>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</si>
  <si>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</si>
  <si>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</si>
  <si>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</si>
  <si>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</si>
  <si>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</si>
  <si>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</si>
  <si>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</si>
  <si>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</si>
  <si>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</si>
  <si>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</si>
  <si>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</si>
  <si>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</si>
  <si>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</si>
  <si>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</si>
  <si>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</si>
  <si>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</si>
  <si>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</si>
  <si>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</si>
  <si>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</si>
  <si>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</si>
  <si>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</si>
  <si>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</si>
  <si>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</si>
  <si>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</si>
  <si>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</si>
  <si>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</si>
  <si>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</si>
  <si>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</si>
  <si>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</si>
  <si>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</si>
  <si>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</si>
  <si>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</si>
  <si>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</si>
  <si>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</si>
  <si>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</si>
  <si>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</si>
  <si>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</si>
  <si>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</si>
  <si>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</si>
  <si>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</si>
  <si>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</si>
  <si>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</si>
  <si>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</si>
  <si>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</si>
  <si>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</si>
  <si>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</si>
  <si>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</si>
  <si>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</si>
  <si>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</si>
  <si>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</si>
  <si>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</si>
  <si>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</si>
  <si>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</si>
  <si>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</si>
  <si>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</si>
  <si>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</si>
  <si>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</si>
  <si>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</si>
  <si>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</si>
  <si>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</si>
  <si>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</si>
  <si>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</si>
  <si>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</si>
  <si>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</si>
  <si>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</si>
  <si>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</si>
  <si>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</si>
  <si>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</si>
  <si>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</si>
  <si>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</si>
  <si>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</si>
  <si>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</si>
  <si>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</si>
  <si>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</si>
  <si>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</si>
  <si>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</si>
  <si>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</si>
  <si>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</si>
  <si>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</si>
  <si>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</si>
  <si>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</si>
  <si>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</si>
  <si>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</si>
  <si>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</si>
  <si>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</si>
  <si>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</si>
  <si>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</si>
  <si>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</si>
  <si>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</si>
  <si>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</si>
  <si>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</si>
  <si>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</si>
  <si>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</si>
  <si>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</si>
  <si>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</si>
  <si>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</si>
  <si>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</si>
  <si>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</si>
  <si>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</si>
  <si>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</si>
  <si>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</si>
  <si>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</si>
  <si>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</si>
  <si>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</si>
  <si>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</si>
  <si>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</si>
  <si>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</si>
  <si>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</si>
  <si>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</si>
  <si>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</si>
  <si>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</si>
  <si>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</si>
  <si>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</si>
  <si>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</si>
  <si>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</si>
  <si>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</si>
  <si>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</si>
  <si>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</si>
  <si>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</si>
  <si>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</si>
  <si>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</si>
  <si>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</si>
  <si>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</si>
  <si>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</si>
  <si>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</si>
  <si>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</si>
  <si>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</si>
  <si>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</si>
  <si>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</si>
  <si>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</si>
  <si>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</si>
  <si>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</si>
  <si>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</si>
  <si>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</si>
  <si>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</si>
  <si>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</si>
  <si>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</si>
  <si>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</si>
  <si>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</si>
  <si>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</si>
  <si>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</si>
  <si>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</si>
  <si>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</si>
  <si>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</si>
  <si>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</si>
  <si>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</si>
  <si>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</si>
  <si>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</si>
  <si>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</si>
  <si>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</si>
  <si>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</si>
  <si>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</si>
  <si>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</si>
  <si>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</si>
  <si>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</si>
  <si>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</si>
  <si>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</si>
  <si>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</si>
  <si>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</si>
  <si>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</si>
  <si>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</si>
  <si>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</si>
  <si>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</si>
  <si>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</si>
  <si>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</si>
  <si>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</si>
  <si>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</si>
  <si>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</si>
  <si>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</si>
  <si>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</si>
  <si>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</si>
  <si>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</si>
  <si>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</si>
  <si>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</si>
  <si>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</si>
  <si>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</si>
  <si>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</si>
  <si>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</si>
  <si>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</si>
  <si>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</si>
  <si>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</si>
  <si>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</si>
  <si>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</si>
  <si>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</si>
  <si>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</si>
  <si>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</si>
  <si>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</si>
  <si>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</si>
  <si>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</si>
  <si>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</si>
  <si>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</si>
  <si>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</si>
  <si>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</si>
  <si>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</si>
  <si>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</si>
  <si>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</si>
  <si>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</si>
  <si>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</si>
  <si>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</si>
  <si>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</si>
  <si>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</si>
  <si>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</si>
  <si>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</si>
  <si>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</si>
  <si>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</si>
  <si>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</si>
  <si>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</si>
  <si>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</si>
  <si>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</si>
  <si>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</si>
  <si>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</si>
  <si>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</si>
  <si>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</si>
  <si>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</si>
  <si>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</si>
  <si>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</si>
  <si>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</si>
  <si>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</si>
  <si>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</si>
  <si>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</si>
  <si>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</si>
  <si>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</si>
  <si>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</si>
  <si>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</si>
  <si>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</si>
  <si>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</si>
  <si>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</si>
  <si>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</si>
  <si>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</si>
  <si>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</si>
  <si>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</si>
  <si>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</si>
  <si>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</si>
  <si>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</si>
  <si>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</si>
  <si>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</si>
  <si>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</si>
  <si>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</si>
  <si>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</si>
  <si>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</si>
  <si>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</si>
  <si>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</si>
  <si>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</si>
  <si>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</si>
  <si>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</si>
  <si>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</si>
  <si>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</si>
  <si>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</si>
  <si>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</si>
  <si>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</si>
  <si>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</si>
  <si>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</si>
  <si>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</si>
  <si>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</si>
  <si>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</si>
  <si>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</si>
  <si>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</si>
  <si>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</si>
  <si>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</si>
  <si>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</si>
  <si>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</si>
  <si>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</si>
  <si>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</si>
  <si>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</si>
  <si>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</si>
  <si>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</si>
  <si>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</si>
  <si>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</si>
  <si>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</si>
  <si>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</si>
  <si>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</si>
  <si>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</si>
  <si>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</si>
  <si>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</si>
  <si>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</si>
  <si>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</si>
  <si>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</si>
  <si>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</si>
  <si>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</si>
  <si>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</si>
  <si>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</si>
  <si>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</si>
  <si>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</si>
  <si>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</si>
  <si>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</si>
  <si>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</si>
  <si>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</si>
  <si>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</si>
  <si>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</si>
  <si>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</si>
  <si>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</si>
  <si>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</si>
  <si>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</si>
  <si>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</si>
  <si>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</si>
  <si>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</si>
  <si>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</si>
  <si>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</si>
  <si>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</si>
  <si>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</si>
  <si>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</si>
  <si>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</si>
  <si>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</si>
  <si>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</si>
  <si>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</si>
  <si>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</si>
  <si>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</si>
  <si>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</si>
  <si>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</si>
  <si>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</si>
  <si>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</si>
  <si>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</si>
  <si>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</si>
  <si>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</si>
  <si>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</si>
  <si>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</si>
  <si>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</si>
  <si>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</si>
  <si>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</si>
  <si>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</si>
  <si>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</si>
  <si>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</si>
  <si>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</si>
  <si>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</si>
  <si>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</si>
  <si>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</si>
  <si>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</si>
  <si>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</si>
  <si>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</si>
  <si>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</si>
  <si>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</si>
  <si>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</si>
  <si>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</si>
  <si>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</si>
  <si>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</si>
  <si>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</si>
  <si>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</si>
  <si>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</si>
  <si>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</si>
  <si>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</si>
  <si>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</si>
  <si>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</si>
  <si>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</si>
  <si>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</si>
  <si>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</si>
  <si>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</si>
  <si>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</si>
  <si>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</si>
  <si>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</si>
  <si>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</si>
  <si>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</si>
  <si>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</si>
  <si>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</si>
  <si>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</si>
  <si>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</si>
  <si>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</si>
  <si>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</si>
  <si>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</si>
  <si>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</si>
  <si>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</si>
  <si>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</si>
  <si>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</si>
  <si>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</si>
  <si>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</si>
  <si>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</si>
  <si>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</si>
  <si>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</si>
  <si>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</si>
  <si>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</si>
  <si>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</si>
  <si>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</si>
  <si>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</si>
  <si>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</si>
  <si>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</si>
  <si>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</si>
  <si>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</si>
  <si>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</si>
  <si>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</si>
  <si>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</si>
  <si>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Series trimestrales 2020-2021</t>
  </si>
  <si>
    <t>Quarterly series 2020-2021</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</si>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</sst>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5">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02"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02" fillId="36" borderId="0"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10" fontId="0" fillId="0" borderId="0" xfId="64" applyNumberFormat="1" applyFont="1" applyAlignment="1">
      <alignment/>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0" fillId="0" borderId="0" xfId="57" applyFont="1" applyAlignment="1">
      <alignment horizontal="right"/>
      <protection/>
    </xf>
    <xf numFmtId="0" fontId="115" fillId="0" borderId="0" xfId="0" applyFont="1" applyAlignment="1">
      <alignment/>
    </xf>
    <xf numFmtId="3" fontId="16" fillId="0" borderId="10" xfId="0" applyNumberFormat="1" applyFont="1" applyFill="1" applyBorder="1" applyAlignment="1">
      <alignment horizontal="right"/>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8"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95275"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95250</xdr:rowOff>
    </xdr:to>
    <xdr:sp>
      <xdr:nvSpPr>
        <xdr:cNvPr id="1" name="2 Rectángulo redondeado">
          <a:hlinkClick r:id="rId1"/>
        </xdr:cNvPr>
        <xdr:cNvSpPr>
          <a:spLocks/>
        </xdr:cNvSpPr>
      </xdr:nvSpPr>
      <xdr:spPr>
        <a:xfrm>
          <a:off x="9848850" y="342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95250</xdr:rowOff>
    </xdr:to>
    <xdr:sp>
      <xdr:nvSpPr>
        <xdr:cNvPr id="1" name="2 Rectángulo redondeado">
          <a:hlinkClick r:id="rId1"/>
        </xdr:cNvPr>
        <xdr:cNvSpPr>
          <a:spLocks/>
        </xdr:cNvSpPr>
      </xdr:nvSpPr>
      <xdr:spPr>
        <a:xfrm>
          <a:off x="9648825" y="342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600075</xdr:colOff>
      <xdr:row>6</xdr:row>
      <xdr:rowOff>9525</xdr:rowOff>
    </xdr:to>
    <xdr:sp>
      <xdr:nvSpPr>
        <xdr:cNvPr id="1" name="2 Rectángulo redondeado">
          <a:hlinkClick r:id="rId1"/>
        </xdr:cNvPr>
        <xdr:cNvSpPr>
          <a:spLocks/>
        </xdr:cNvSpPr>
      </xdr:nvSpPr>
      <xdr:spPr>
        <a:xfrm>
          <a:off x="9620250" y="4572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0410825" y="523875"/>
          <a:ext cx="122872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752475</xdr:colOff>
      <xdr:row>5</xdr:row>
      <xdr:rowOff>114300</xdr:rowOff>
    </xdr:to>
    <xdr:sp>
      <xdr:nvSpPr>
        <xdr:cNvPr id="1" name="2 Rectángulo redondeado">
          <a:hlinkClick r:id="rId1"/>
        </xdr:cNvPr>
        <xdr:cNvSpPr>
          <a:spLocks/>
        </xdr:cNvSpPr>
      </xdr:nvSpPr>
      <xdr:spPr>
        <a:xfrm>
          <a:off x="9753600" y="352425"/>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133350</xdr:rowOff>
    </xdr:from>
    <xdr:to>
      <xdr:col>10</xdr:col>
      <xdr:colOff>619125</xdr:colOff>
      <xdr:row>4</xdr:row>
      <xdr:rowOff>38100</xdr:rowOff>
    </xdr:to>
    <xdr:sp>
      <xdr:nvSpPr>
        <xdr:cNvPr id="1" name="2 Rectángulo redondeado">
          <a:hlinkClick r:id="rId1"/>
        </xdr:cNvPr>
        <xdr:cNvSpPr>
          <a:spLocks/>
        </xdr:cNvSpPr>
      </xdr:nvSpPr>
      <xdr:spPr>
        <a:xfrm>
          <a:off x="7896225" y="133350"/>
          <a:ext cx="942975" cy="7143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8553450" y="133350"/>
          <a:ext cx="1200150"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628650</xdr:colOff>
      <xdr:row>3</xdr:row>
      <xdr:rowOff>133350</xdr:rowOff>
    </xdr:to>
    <xdr:sp>
      <xdr:nvSpPr>
        <xdr:cNvPr id="1" name="2 Rectángulo redondeado">
          <a:hlinkClick r:id="rId1"/>
        </xdr:cNvPr>
        <xdr:cNvSpPr>
          <a:spLocks/>
        </xdr:cNvSpPr>
      </xdr:nvSpPr>
      <xdr:spPr>
        <a:xfrm>
          <a:off x="7362825" y="323850"/>
          <a:ext cx="952500" cy="6572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15375" y="200025"/>
          <a:ext cx="1066800"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9201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2677775" y="266700"/>
          <a:ext cx="12382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7391400" y="342900"/>
          <a:ext cx="876300"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152400</xdr:rowOff>
    </xdr:from>
    <xdr:to>
      <xdr:col>11</xdr:col>
      <xdr:colOff>57150</xdr:colOff>
      <xdr:row>4</xdr:row>
      <xdr:rowOff>85725</xdr:rowOff>
    </xdr:to>
    <xdr:sp>
      <xdr:nvSpPr>
        <xdr:cNvPr id="1" name="2 Rectángulo redondeado">
          <a:hlinkClick r:id="rId1"/>
        </xdr:cNvPr>
        <xdr:cNvSpPr>
          <a:spLocks/>
        </xdr:cNvSpPr>
      </xdr:nvSpPr>
      <xdr:spPr>
        <a:xfrm>
          <a:off x="8562975" y="381000"/>
          <a:ext cx="895350"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xdr:row>
      <xdr:rowOff>47625</xdr:rowOff>
    </xdr:from>
    <xdr:to>
      <xdr:col>11</xdr:col>
      <xdr:colOff>1114425</xdr:colOff>
      <xdr:row>4</xdr:row>
      <xdr:rowOff>161925</xdr:rowOff>
    </xdr:to>
    <xdr:sp>
      <xdr:nvSpPr>
        <xdr:cNvPr id="1" name="1 Rectángulo redondeado">
          <a:hlinkClick r:id="rId1"/>
        </xdr:cNvPr>
        <xdr:cNvSpPr>
          <a:spLocks/>
        </xdr:cNvSpPr>
      </xdr:nvSpPr>
      <xdr:spPr>
        <a:xfrm>
          <a:off x="8305800" y="276225"/>
          <a:ext cx="1343025" cy="7143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8039100" y="266700"/>
          <a:ext cx="962025"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123825</xdr:rowOff>
    </xdr:from>
    <xdr:to>
      <xdr:col>10</xdr:col>
      <xdr:colOff>561975</xdr:colOff>
      <xdr:row>6</xdr:row>
      <xdr:rowOff>152400</xdr:rowOff>
    </xdr:to>
    <xdr:sp>
      <xdr:nvSpPr>
        <xdr:cNvPr id="1" name="2 Rectángulo redondeado">
          <a:hlinkClick r:id="rId1"/>
        </xdr:cNvPr>
        <xdr:cNvSpPr>
          <a:spLocks/>
        </xdr:cNvSpPr>
      </xdr:nvSpPr>
      <xdr:spPr>
        <a:xfrm>
          <a:off x="11134725" y="600075"/>
          <a:ext cx="121920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2</xdr:row>
      <xdr:rowOff>114300</xdr:rowOff>
    </xdr:from>
    <xdr:to>
      <xdr:col>11</xdr:col>
      <xdr:colOff>200025</xdr:colOff>
      <xdr:row>6</xdr:row>
      <xdr:rowOff>142875</xdr:rowOff>
    </xdr:to>
    <xdr:sp>
      <xdr:nvSpPr>
        <xdr:cNvPr id="1" name="2 Rectángulo redondeado">
          <a:hlinkClick r:id="rId1"/>
        </xdr:cNvPr>
        <xdr:cNvSpPr>
          <a:spLocks/>
        </xdr:cNvSpPr>
      </xdr:nvSpPr>
      <xdr:spPr>
        <a:xfrm>
          <a:off x="9991725" y="590550"/>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xdr:row>
      <xdr:rowOff>161925</xdr:rowOff>
    </xdr:from>
    <xdr:to>
      <xdr:col>10</xdr:col>
      <xdr:colOff>619125</xdr:colOff>
      <xdr:row>6</xdr:row>
      <xdr:rowOff>161925</xdr:rowOff>
    </xdr:to>
    <xdr:sp>
      <xdr:nvSpPr>
        <xdr:cNvPr id="1" name="2 Rectángulo redondeado">
          <a:hlinkClick r:id="rId1"/>
        </xdr:cNvPr>
        <xdr:cNvSpPr>
          <a:spLocks/>
        </xdr:cNvSpPr>
      </xdr:nvSpPr>
      <xdr:spPr>
        <a:xfrm>
          <a:off x="9629775" y="638175"/>
          <a:ext cx="1219200" cy="8096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114300</xdr:rowOff>
    </xdr:to>
    <xdr:sp>
      <xdr:nvSpPr>
        <xdr:cNvPr id="1" name="2 Rectángulo redondeado">
          <a:hlinkClick r:id="rId1"/>
        </xdr:cNvPr>
        <xdr:cNvSpPr>
          <a:spLocks/>
        </xdr:cNvSpPr>
      </xdr:nvSpPr>
      <xdr:spPr>
        <a:xfrm>
          <a:off x="9820275" y="5524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829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9715500" y="514350"/>
          <a:ext cx="121920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657225</xdr:colOff>
      <xdr:row>5</xdr:row>
      <xdr:rowOff>200025</xdr:rowOff>
    </xdr:to>
    <xdr:sp>
      <xdr:nvSpPr>
        <xdr:cNvPr id="1" name="2 Rectángulo redondeado">
          <a:hlinkClick r:id="rId1"/>
        </xdr:cNvPr>
        <xdr:cNvSpPr>
          <a:spLocks/>
        </xdr:cNvSpPr>
      </xdr:nvSpPr>
      <xdr:spPr>
        <a:xfrm>
          <a:off x="9886950" y="4381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23">
      <selection activeCell="A223" sqref="A1:H16384"/>
    </sheetView>
  </sheetViews>
  <sheetFormatPr defaultColWidth="11.421875" defaultRowHeight="15"/>
  <cols>
    <col min="2" max="2" width="6.421875" style="0" customWidth="1"/>
    <col min="3" max="3" width="107.421875" style="0" customWidth="1"/>
    <col min="4" max="4" width="54.421875" style="0" customWidth="1"/>
  </cols>
  <sheetData>
    <row r="1" spans="1:4" ht="15">
      <c r="A1" s="232"/>
      <c r="B1" s="232"/>
      <c r="C1" s="233"/>
      <c r="D1" s="233"/>
    </row>
    <row r="2" spans="1:4" ht="15">
      <c r="A2" s="232"/>
      <c r="B2" s="232" t="s">
        <v>12</v>
      </c>
      <c r="C2" s="233" t="s">
        <v>13</v>
      </c>
      <c r="D2" s="233" t="s">
        <v>14</v>
      </c>
    </row>
    <row r="3" spans="1:9" ht="19.5">
      <c r="A3" s="232"/>
      <c r="B3" s="232">
        <v>1</v>
      </c>
      <c r="C3" s="234">
        <v>7</v>
      </c>
      <c r="D3" s="234">
        <v>8</v>
      </c>
      <c r="I3" s="235" t="s">
        <v>0</v>
      </c>
    </row>
    <row r="4" spans="2:9" ht="19.5">
      <c r="B4">
        <v>2</v>
      </c>
      <c r="C4" s="236" t="s">
        <v>450</v>
      </c>
      <c r="D4" s="236" t="s">
        <v>451</v>
      </c>
      <c r="I4" s="235" t="s">
        <v>15</v>
      </c>
    </row>
    <row r="5" spans="2:9" ht="19.5">
      <c r="B5">
        <v>3</v>
      </c>
      <c r="C5" s="236" t="s">
        <v>16</v>
      </c>
      <c r="D5" s="236" t="s">
        <v>17</v>
      </c>
      <c r="I5" s="235" t="s">
        <v>18</v>
      </c>
    </row>
    <row r="6" spans="2:4" ht="15.75">
      <c r="B6">
        <v>4</v>
      </c>
      <c r="C6" s="236" t="s">
        <v>19</v>
      </c>
      <c r="D6" s="236" t="s">
        <v>20</v>
      </c>
    </row>
    <row r="7" spans="2:4" ht="15.75">
      <c r="B7">
        <v>5</v>
      </c>
      <c r="C7" s="236" t="s">
        <v>21</v>
      </c>
      <c r="D7" s="236" t="s">
        <v>22</v>
      </c>
    </row>
    <row r="8" spans="2:4" ht="15.75">
      <c r="B8">
        <v>6</v>
      </c>
      <c r="C8" s="236" t="s">
        <v>23</v>
      </c>
      <c r="D8" s="236" t="s">
        <v>24</v>
      </c>
    </row>
    <row r="9" spans="2:4" ht="15.75">
      <c r="B9">
        <v>7</v>
      </c>
      <c r="C9" s="236" t="s">
        <v>25</v>
      </c>
      <c r="D9" s="236" t="s">
        <v>26</v>
      </c>
    </row>
    <row r="10" spans="2:4" ht="15.75">
      <c r="B10">
        <v>8</v>
      </c>
      <c r="C10" s="236" t="s">
        <v>27</v>
      </c>
      <c r="D10" s="236" t="s">
        <v>28</v>
      </c>
    </row>
    <row r="11" spans="2:4" ht="15.75">
      <c r="B11">
        <v>9</v>
      </c>
      <c r="C11" s="236" t="s">
        <v>29</v>
      </c>
      <c r="D11" s="236" t="s">
        <v>29</v>
      </c>
    </row>
    <row r="12" spans="2:4" ht="15.75">
      <c r="B12">
        <v>10</v>
      </c>
      <c r="C12" s="237" t="s">
        <v>30</v>
      </c>
      <c r="D12" s="237" t="s">
        <v>31</v>
      </c>
    </row>
    <row r="13" spans="2:4" ht="15.75">
      <c r="B13">
        <v>11</v>
      </c>
      <c r="C13" s="237" t="s">
        <v>32</v>
      </c>
      <c r="D13" s="237" t="s">
        <v>33</v>
      </c>
    </row>
    <row r="14" spans="2:4" ht="15.75">
      <c r="B14">
        <v>12</v>
      </c>
      <c r="C14" s="237" t="s">
        <v>34</v>
      </c>
      <c r="D14" s="237" t="s">
        <v>35</v>
      </c>
    </row>
    <row r="15" spans="2:4" ht="15.75">
      <c r="B15">
        <v>13</v>
      </c>
      <c r="C15" s="237" t="s">
        <v>36</v>
      </c>
      <c r="D15" s="237" t="s">
        <v>37</v>
      </c>
    </row>
    <row r="16" spans="2:4" ht="15.75">
      <c r="B16">
        <v>14</v>
      </c>
      <c r="C16" s="237" t="s">
        <v>7</v>
      </c>
      <c r="D16" s="237" t="s">
        <v>7</v>
      </c>
    </row>
    <row r="17" spans="2:4" ht="15.75">
      <c r="B17">
        <v>15</v>
      </c>
      <c r="C17" s="237" t="s">
        <v>8</v>
      </c>
      <c r="D17" s="237" t="s">
        <v>8</v>
      </c>
    </row>
    <row r="18" spans="2:4" ht="15.75">
      <c r="B18">
        <v>16</v>
      </c>
      <c r="C18" s="237" t="s">
        <v>9</v>
      </c>
      <c r="D18" s="237" t="s">
        <v>9</v>
      </c>
    </row>
    <row r="19" spans="2:4" ht="15.75">
      <c r="B19">
        <v>17</v>
      </c>
      <c r="C19" s="237" t="s">
        <v>10</v>
      </c>
      <c r="D19" s="237" t="s">
        <v>38</v>
      </c>
    </row>
    <row r="20" spans="2:4" ht="15.75">
      <c r="B20">
        <v>18</v>
      </c>
      <c r="C20" s="237" t="s">
        <v>39</v>
      </c>
      <c r="D20" s="237" t="s">
        <v>40</v>
      </c>
    </row>
    <row r="21" spans="2:4" ht="15.75">
      <c r="B21">
        <v>19</v>
      </c>
      <c r="C21" s="237" t="s">
        <v>41</v>
      </c>
      <c r="D21" s="237" t="s">
        <v>42</v>
      </c>
    </row>
    <row r="22" spans="2:4" ht="15.75">
      <c r="B22">
        <v>20</v>
      </c>
      <c r="C22" s="237" t="s">
        <v>43</v>
      </c>
      <c r="D22" s="237" t="s">
        <v>44</v>
      </c>
    </row>
    <row r="23" spans="2:4" ht="15.75">
      <c r="B23">
        <v>21</v>
      </c>
      <c r="C23" s="237" t="s">
        <v>45</v>
      </c>
      <c r="D23" s="237" t="s">
        <v>45</v>
      </c>
    </row>
    <row r="24" spans="2:4" ht="15.75">
      <c r="B24">
        <v>22</v>
      </c>
      <c r="C24" s="237" t="s">
        <v>46</v>
      </c>
      <c r="D24" s="237" t="s">
        <v>47</v>
      </c>
    </row>
    <row r="25" spans="2:4" ht="15.75">
      <c r="B25">
        <v>23</v>
      </c>
      <c r="C25" s="237" t="s">
        <v>48</v>
      </c>
      <c r="D25" s="237" t="s">
        <v>49</v>
      </c>
    </row>
    <row r="26" spans="2:4" ht="15.75">
      <c r="B26">
        <v>24</v>
      </c>
      <c r="C26" s="237" t="s">
        <v>50</v>
      </c>
      <c r="D26" s="237" t="s">
        <v>51</v>
      </c>
    </row>
    <row r="27" spans="2:4" ht="15.75">
      <c r="B27">
        <v>25</v>
      </c>
      <c r="C27" s="237" t="s">
        <v>52</v>
      </c>
      <c r="D27" s="237" t="s">
        <v>53</v>
      </c>
    </row>
    <row r="28" spans="2:4" ht="15.75">
      <c r="B28">
        <v>26</v>
      </c>
      <c r="C28" s="237" t="s">
        <v>54</v>
      </c>
      <c r="D28" s="237" t="s">
        <v>55</v>
      </c>
    </row>
    <row r="29" spans="2:4" ht="15.75">
      <c r="B29">
        <v>27</v>
      </c>
      <c r="C29" s="237" t="s">
        <v>56</v>
      </c>
      <c r="D29" s="237" t="s">
        <v>57</v>
      </c>
    </row>
    <row r="30" spans="2:4" ht="15.75">
      <c r="B30">
        <v>28</v>
      </c>
      <c r="C30" s="237" t="s">
        <v>58</v>
      </c>
      <c r="D30" s="237" t="s">
        <v>59</v>
      </c>
    </row>
    <row r="31" spans="2:4" ht="15.75">
      <c r="B31">
        <v>29</v>
      </c>
      <c r="C31" s="237" t="s">
        <v>60</v>
      </c>
      <c r="D31" s="237" t="s">
        <v>61</v>
      </c>
    </row>
    <row r="32" spans="2:4" ht="15.75">
      <c r="B32">
        <v>30</v>
      </c>
      <c r="C32" s="237" t="s">
        <v>62</v>
      </c>
      <c r="D32" s="237" t="s">
        <v>63</v>
      </c>
    </row>
    <row r="33" spans="2:4" ht="15.75">
      <c r="B33">
        <v>31</v>
      </c>
      <c r="C33" s="237" t="s">
        <v>64</v>
      </c>
      <c r="D33" t="s">
        <v>65</v>
      </c>
    </row>
    <row r="34" spans="2:4" ht="15.75">
      <c r="B34">
        <v>32</v>
      </c>
      <c r="C34" s="237" t="s">
        <v>66</v>
      </c>
      <c r="D34" t="s">
        <v>67</v>
      </c>
    </row>
    <row r="35" spans="2:4" ht="15.75">
      <c r="B35">
        <v>33</v>
      </c>
      <c r="C35" s="237" t="s">
        <v>68</v>
      </c>
      <c r="D35" t="s">
        <v>69</v>
      </c>
    </row>
    <row r="36" spans="2:4" ht="15.75">
      <c r="B36">
        <v>34</v>
      </c>
      <c r="C36" s="237" t="s">
        <v>70</v>
      </c>
      <c r="D36" t="s">
        <v>71</v>
      </c>
    </row>
    <row r="37" spans="2:4" ht="15.75">
      <c r="B37">
        <v>35</v>
      </c>
      <c r="C37" s="237" t="s">
        <v>72</v>
      </c>
      <c r="D37" t="s">
        <v>73</v>
      </c>
    </row>
    <row r="38" spans="2:4" ht="15.75">
      <c r="B38">
        <v>36</v>
      </c>
      <c r="C38" s="237" t="s">
        <v>74</v>
      </c>
      <c r="D38" t="s">
        <v>75</v>
      </c>
    </row>
    <row r="39" spans="2:4" ht="15.75">
      <c r="B39">
        <v>37</v>
      </c>
      <c r="C39" s="237" t="s">
        <v>76</v>
      </c>
      <c r="D39" t="s">
        <v>77</v>
      </c>
    </row>
    <row r="40" spans="2:4" ht="15.75">
      <c r="B40">
        <v>38</v>
      </c>
      <c r="C40" s="237" t="s">
        <v>78</v>
      </c>
      <c r="D40" t="s">
        <v>79</v>
      </c>
    </row>
    <row r="41" spans="2:4" ht="15.75">
      <c r="B41">
        <v>39</v>
      </c>
      <c r="C41" s="237" t="s">
        <v>80</v>
      </c>
      <c r="D41" t="s">
        <v>81</v>
      </c>
    </row>
    <row r="42" spans="2:4" ht="15.75">
      <c r="B42">
        <v>40</v>
      </c>
      <c r="C42" s="237" t="s">
        <v>82</v>
      </c>
      <c r="D42" t="s">
        <v>83</v>
      </c>
    </row>
    <row r="43" spans="2:4" ht="15.75">
      <c r="B43">
        <v>41</v>
      </c>
      <c r="C43" s="237" t="s">
        <v>84</v>
      </c>
      <c r="D43" t="s">
        <v>85</v>
      </c>
    </row>
    <row r="44" spans="2:4" ht="15.75">
      <c r="B44">
        <v>42</v>
      </c>
      <c r="C44" s="237" t="s">
        <v>86</v>
      </c>
      <c r="D44" t="s">
        <v>87</v>
      </c>
    </row>
    <row r="45" spans="2:4" ht="15.75">
      <c r="B45">
        <v>43</v>
      </c>
      <c r="C45" s="237" t="s">
        <v>88</v>
      </c>
      <c r="D45" t="s">
        <v>89</v>
      </c>
    </row>
    <row r="46" spans="2:4" ht="15.75">
      <c r="B46">
        <v>44</v>
      </c>
      <c r="C46" s="237" t="s">
        <v>90</v>
      </c>
      <c r="D46" t="s">
        <v>91</v>
      </c>
    </row>
    <row r="47" spans="2:4" ht="15.75">
      <c r="B47">
        <v>45</v>
      </c>
      <c r="C47" s="237" t="s">
        <v>92</v>
      </c>
      <c r="D47" t="s">
        <v>93</v>
      </c>
    </row>
    <row r="48" spans="2:4" ht="15.75">
      <c r="B48">
        <v>46</v>
      </c>
      <c r="C48" s="237" t="s">
        <v>94</v>
      </c>
      <c r="D48" t="s">
        <v>95</v>
      </c>
    </row>
    <row r="49" spans="2:4" ht="15.75">
      <c r="B49">
        <v>47</v>
      </c>
      <c r="C49" s="237" t="s">
        <v>96</v>
      </c>
      <c r="D49" t="s">
        <v>97</v>
      </c>
    </row>
    <row r="50" spans="2:4" ht="15.75">
      <c r="B50">
        <v>48</v>
      </c>
      <c r="C50" s="237" t="s">
        <v>98</v>
      </c>
      <c r="D50" t="s">
        <v>99</v>
      </c>
    </row>
    <row r="51" spans="2:4" ht="15.75">
      <c r="B51">
        <v>49</v>
      </c>
      <c r="C51" s="237" t="s">
        <v>100</v>
      </c>
      <c r="D51" t="s">
        <v>101</v>
      </c>
    </row>
    <row r="52" spans="2:4" ht="15.75">
      <c r="B52">
        <v>50</v>
      </c>
      <c r="C52" s="237" t="s">
        <v>102</v>
      </c>
      <c r="D52" t="s">
        <v>103</v>
      </c>
    </row>
    <row r="53" spans="2:4" ht="15.75">
      <c r="B53">
        <v>51</v>
      </c>
      <c r="C53" s="237" t="s">
        <v>104</v>
      </c>
      <c r="D53" t="s">
        <v>105</v>
      </c>
    </row>
    <row r="54" spans="2:4" ht="15.75">
      <c r="B54">
        <v>52</v>
      </c>
      <c r="C54" s="237" t="s">
        <v>106</v>
      </c>
      <c r="D54" t="s">
        <v>107</v>
      </c>
    </row>
    <row r="55" spans="2:4" ht="15.75">
      <c r="B55">
        <v>53</v>
      </c>
      <c r="C55" s="237" t="s">
        <v>108</v>
      </c>
      <c r="D55" t="s">
        <v>109</v>
      </c>
    </row>
    <row r="56" spans="2:4" ht="15.75">
      <c r="B56">
        <v>54</v>
      </c>
      <c r="C56" s="237" t="s">
        <v>110</v>
      </c>
      <c r="D56" t="s">
        <v>111</v>
      </c>
    </row>
    <row r="57" spans="2:4" ht="15.75">
      <c r="B57">
        <v>55</v>
      </c>
      <c r="C57" s="237" t="s">
        <v>112</v>
      </c>
      <c r="D57" t="s">
        <v>113</v>
      </c>
    </row>
    <row r="58" spans="2:4" ht="15.75">
      <c r="B58">
        <v>56</v>
      </c>
      <c r="C58" s="237" t="s">
        <v>114</v>
      </c>
      <c r="D58" t="s">
        <v>115</v>
      </c>
    </row>
    <row r="59" spans="2:4" ht="15.75">
      <c r="B59">
        <v>57</v>
      </c>
      <c r="C59" s="237" t="s">
        <v>116</v>
      </c>
      <c r="D59" t="s">
        <v>117</v>
      </c>
    </row>
    <row r="60" spans="2:4" ht="15.75">
      <c r="B60">
        <v>58</v>
      </c>
      <c r="C60" s="237" t="s">
        <v>118</v>
      </c>
      <c r="D60" t="s">
        <v>119</v>
      </c>
    </row>
    <row r="61" spans="2:4" ht="15.75">
      <c r="B61">
        <v>59</v>
      </c>
      <c r="C61" s="237" t="s">
        <v>120</v>
      </c>
      <c r="D61" t="s">
        <v>121</v>
      </c>
    </row>
    <row r="62" spans="2:4" ht="15.75">
      <c r="B62">
        <v>60</v>
      </c>
      <c r="C62" s="237" t="s">
        <v>122</v>
      </c>
      <c r="D62" t="s">
        <v>123</v>
      </c>
    </row>
    <row r="63" spans="2:4" ht="15.75">
      <c r="B63">
        <v>61</v>
      </c>
      <c r="C63" s="237" t="s">
        <v>124</v>
      </c>
      <c r="D63" t="s">
        <v>125</v>
      </c>
    </row>
    <row r="64" spans="2:4" ht="15.75">
      <c r="B64">
        <v>62</v>
      </c>
      <c r="C64" s="237" t="s">
        <v>126</v>
      </c>
      <c r="D64" t="s">
        <v>127</v>
      </c>
    </row>
    <row r="65" spans="2:4" ht="15.75">
      <c r="B65">
        <v>63</v>
      </c>
      <c r="C65" s="237" t="s">
        <v>128</v>
      </c>
      <c r="D65" t="s">
        <v>129</v>
      </c>
    </row>
    <row r="66" spans="2:4" ht="15.75">
      <c r="B66">
        <v>64</v>
      </c>
      <c r="C66" s="237" t="s">
        <v>130</v>
      </c>
      <c r="D66" t="s">
        <v>131</v>
      </c>
    </row>
    <row r="67" spans="2:4" ht="15.75">
      <c r="B67">
        <v>65</v>
      </c>
      <c r="C67" s="237" t="s">
        <v>132</v>
      </c>
      <c r="D67" t="s">
        <v>133</v>
      </c>
    </row>
    <row r="68" spans="2:4" ht="15.75">
      <c r="B68">
        <v>66</v>
      </c>
      <c r="C68" s="237" t="s">
        <v>134</v>
      </c>
      <c r="D68" s="59" t="s">
        <v>135</v>
      </c>
    </row>
    <row r="69" spans="2:4" ht="15.75">
      <c r="B69">
        <v>67</v>
      </c>
      <c r="C69" s="237" t="s">
        <v>136</v>
      </c>
      <c r="D69" s="59" t="s">
        <v>137</v>
      </c>
    </row>
    <row r="70" spans="2:4" ht="15.75">
      <c r="B70">
        <v>68</v>
      </c>
      <c r="C70" s="237" t="s">
        <v>138</v>
      </c>
      <c r="D70" s="59" t="s">
        <v>139</v>
      </c>
    </row>
    <row r="71" spans="2:4" ht="15.75">
      <c r="B71">
        <v>69</v>
      </c>
      <c r="C71" s="237" t="s">
        <v>140</v>
      </c>
      <c r="D71" s="59" t="s">
        <v>141</v>
      </c>
    </row>
    <row r="72" spans="2:4" ht="15.75">
      <c r="B72">
        <v>70</v>
      </c>
      <c r="C72" s="237" t="s">
        <v>142</v>
      </c>
      <c r="D72" s="59" t="s">
        <v>143</v>
      </c>
    </row>
    <row r="73" spans="2:4" ht="15.75">
      <c r="B73">
        <v>71</v>
      </c>
      <c r="C73" s="237" t="s">
        <v>144</v>
      </c>
      <c r="D73" s="238" t="s">
        <v>145</v>
      </c>
    </row>
    <row r="74" spans="2:4" ht="15.75">
      <c r="B74">
        <v>72</v>
      </c>
      <c r="C74" s="237" t="s">
        <v>146</v>
      </c>
      <c r="D74" s="238"/>
    </row>
    <row r="75" spans="2:4" ht="15.75">
      <c r="B75">
        <v>73</v>
      </c>
      <c r="C75" s="237" t="s">
        <v>147</v>
      </c>
      <c r="D75" s="164" t="s">
        <v>148</v>
      </c>
    </row>
    <row r="76" spans="2:4" ht="15.75">
      <c r="B76">
        <v>74</v>
      </c>
      <c r="C76" s="237" t="s">
        <v>149</v>
      </c>
      <c r="D76" s="164" t="s">
        <v>150</v>
      </c>
    </row>
    <row r="77" spans="2:4" ht="15.75">
      <c r="B77">
        <v>75</v>
      </c>
      <c r="C77" s="237" t="s">
        <v>151</v>
      </c>
      <c r="D77" s="164" t="s">
        <v>152</v>
      </c>
    </row>
    <row r="78" spans="2:4" ht="15.75">
      <c r="B78">
        <v>76</v>
      </c>
      <c r="C78" s="237" t="s">
        <v>153</v>
      </c>
      <c r="D78" s="164" t="s">
        <v>154</v>
      </c>
    </row>
    <row r="79" spans="2:4" ht="15.75">
      <c r="B79">
        <v>77</v>
      </c>
      <c r="C79" s="237" t="s">
        <v>155</v>
      </c>
      <c r="D79" s="164" t="s">
        <v>156</v>
      </c>
    </row>
    <row r="80" spans="2:4" ht="15.75">
      <c r="B80">
        <v>78</v>
      </c>
      <c r="C80" s="237" t="s">
        <v>157</v>
      </c>
      <c r="D80" s="164" t="s">
        <v>158</v>
      </c>
    </row>
    <row r="81" spans="2:4" ht="15.75">
      <c r="B81">
        <v>79</v>
      </c>
      <c r="C81" s="237" t="s">
        <v>159</v>
      </c>
      <c r="D81" s="164" t="s">
        <v>160</v>
      </c>
    </row>
    <row r="82" spans="2:4" ht="15.75">
      <c r="B82">
        <v>80</v>
      </c>
      <c r="C82" s="237" t="s">
        <v>161</v>
      </c>
      <c r="D82" s="164" t="s">
        <v>161</v>
      </c>
    </row>
    <row r="83" spans="2:4" ht="15.75">
      <c r="B83">
        <v>81</v>
      </c>
      <c r="C83" s="237" t="s">
        <v>162</v>
      </c>
      <c r="D83" s="164" t="s">
        <v>163</v>
      </c>
    </row>
    <row r="84" spans="2:4" ht="15">
      <c r="B84">
        <v>82</v>
      </c>
      <c r="C84" t="s">
        <v>164</v>
      </c>
      <c r="D84" t="s">
        <v>165</v>
      </c>
    </row>
    <row r="85" spans="2:4" ht="15">
      <c r="B85">
        <v>83</v>
      </c>
      <c r="C85" t="s">
        <v>166</v>
      </c>
      <c r="D85" t="s">
        <v>167</v>
      </c>
    </row>
    <row r="86" spans="2:4" ht="15.75">
      <c r="B86">
        <v>84</v>
      </c>
      <c r="C86" s="237" t="s">
        <v>168</v>
      </c>
      <c r="D86" t="s">
        <v>169</v>
      </c>
    </row>
    <row r="87" spans="2:4" ht="15">
      <c r="B87">
        <v>85</v>
      </c>
      <c r="C87" t="s">
        <v>170</v>
      </c>
      <c r="D87" t="s">
        <v>171</v>
      </c>
    </row>
    <row r="88" spans="2:4" ht="15">
      <c r="B88">
        <v>86</v>
      </c>
      <c r="C88" t="s">
        <v>172</v>
      </c>
      <c r="D88" t="s">
        <v>173</v>
      </c>
    </row>
    <row r="89" spans="2:4" ht="15">
      <c r="B89">
        <v>87</v>
      </c>
      <c r="C89" t="s">
        <v>416</v>
      </c>
      <c r="D89" t="s">
        <v>417</v>
      </c>
    </row>
    <row r="90" spans="2:4" ht="15">
      <c r="B90">
        <v>88</v>
      </c>
      <c r="C90" t="s">
        <v>58</v>
      </c>
      <c r="D90" t="s">
        <v>59</v>
      </c>
    </row>
    <row r="91" spans="2:4" ht="15">
      <c r="B91">
        <v>89</v>
      </c>
      <c r="C91" s="239" t="s">
        <v>174</v>
      </c>
      <c r="D91" t="s">
        <v>175</v>
      </c>
    </row>
    <row r="92" spans="2:4" ht="15">
      <c r="B92">
        <v>90</v>
      </c>
      <c r="C92" t="s">
        <v>176</v>
      </c>
      <c r="D92" t="s">
        <v>176</v>
      </c>
    </row>
    <row r="93" spans="2:4" ht="15">
      <c r="B93">
        <v>91</v>
      </c>
      <c r="C93" t="s">
        <v>177</v>
      </c>
      <c r="D93" t="s">
        <v>178</v>
      </c>
    </row>
    <row r="94" spans="2:4" ht="15">
      <c r="B94">
        <v>92</v>
      </c>
      <c r="C94" t="s">
        <v>1</v>
      </c>
      <c r="D94" t="s">
        <v>179</v>
      </c>
    </row>
    <row r="95" spans="2:4" ht="15">
      <c r="B95">
        <v>93</v>
      </c>
      <c r="C95" t="s">
        <v>2</v>
      </c>
      <c r="D95" t="s">
        <v>180</v>
      </c>
    </row>
    <row r="96" spans="2:4" ht="15">
      <c r="B96">
        <v>94</v>
      </c>
      <c r="C96" t="s">
        <v>3</v>
      </c>
      <c r="D96" t="s">
        <v>181</v>
      </c>
    </row>
    <row r="97" spans="2:4" ht="15">
      <c r="B97">
        <v>95</v>
      </c>
      <c r="C97" t="s">
        <v>4</v>
      </c>
      <c r="D97" t="s">
        <v>182</v>
      </c>
    </row>
    <row r="98" spans="2:4" ht="15">
      <c r="B98">
        <v>96</v>
      </c>
      <c r="C98" s="240" t="s">
        <v>183</v>
      </c>
      <c r="D98" s="240" t="s">
        <v>184</v>
      </c>
    </row>
    <row r="99" spans="2:4" ht="15">
      <c r="B99">
        <v>97</v>
      </c>
      <c r="C99" s="240" t="s">
        <v>185</v>
      </c>
      <c r="D99" s="240" t="s">
        <v>186</v>
      </c>
    </row>
    <row r="100" spans="2:4" ht="15">
      <c r="B100">
        <v>98</v>
      </c>
      <c r="C100" s="240" t="s">
        <v>187</v>
      </c>
      <c r="D100" s="240" t="s">
        <v>188</v>
      </c>
    </row>
    <row r="101" spans="2:4" ht="15">
      <c r="B101">
        <v>99</v>
      </c>
      <c r="C101" s="240" t="s">
        <v>189</v>
      </c>
      <c r="D101" t="s">
        <v>190</v>
      </c>
    </row>
    <row r="102" spans="2:4" ht="15">
      <c r="B102">
        <v>100</v>
      </c>
      <c r="C102" s="240" t="s">
        <v>359</v>
      </c>
      <c r="D102" t="s">
        <v>360</v>
      </c>
    </row>
    <row r="103" spans="2:4" ht="15">
      <c r="B103">
        <v>101</v>
      </c>
      <c r="C103" t="s">
        <v>191</v>
      </c>
      <c r="D103" t="s">
        <v>192</v>
      </c>
    </row>
    <row r="104" spans="2:4" ht="15" customHeight="1">
      <c r="B104">
        <v>102</v>
      </c>
      <c r="C104" t="s">
        <v>193</v>
      </c>
      <c r="D104" t="s">
        <v>194</v>
      </c>
    </row>
    <row r="105" spans="2:4" ht="15">
      <c r="B105">
        <v>103</v>
      </c>
      <c r="C105" t="s">
        <v>195</v>
      </c>
      <c r="D105" t="s">
        <v>196</v>
      </c>
    </row>
    <row r="106" spans="2:4" ht="15">
      <c r="B106">
        <v>104</v>
      </c>
      <c r="C106" t="s">
        <v>197</v>
      </c>
      <c r="D106" t="s">
        <v>198</v>
      </c>
    </row>
    <row r="107" spans="2:4" ht="15">
      <c r="B107">
        <v>105</v>
      </c>
      <c r="C107" s="215" t="s">
        <v>199</v>
      </c>
      <c r="D107" t="s">
        <v>200</v>
      </c>
    </row>
    <row r="108" spans="2:4" ht="15">
      <c r="B108">
        <v>106</v>
      </c>
      <c r="C108" s="215" t="s">
        <v>201</v>
      </c>
      <c r="D108" t="s">
        <v>202</v>
      </c>
    </row>
    <row r="109" spans="2:4" ht="15">
      <c r="B109">
        <v>107</v>
      </c>
      <c r="C109" t="s">
        <v>203</v>
      </c>
      <c r="D109" t="s">
        <v>204</v>
      </c>
    </row>
    <row r="110" spans="2:4" ht="15">
      <c r="B110">
        <v>108</v>
      </c>
      <c r="C110" s="215" t="s">
        <v>205</v>
      </c>
      <c r="D110" t="s">
        <v>206</v>
      </c>
    </row>
    <row r="111" spans="2:4" ht="15">
      <c r="B111">
        <v>109</v>
      </c>
      <c r="C111" s="215" t="s">
        <v>207</v>
      </c>
      <c r="D111" t="s">
        <v>208</v>
      </c>
    </row>
    <row r="112" spans="2:4" ht="15">
      <c r="B112">
        <v>110</v>
      </c>
      <c r="C112" s="215" t="s">
        <v>209</v>
      </c>
      <c r="D112" t="s">
        <v>210</v>
      </c>
    </row>
    <row r="113" spans="2:4" ht="15">
      <c r="B113">
        <v>111</v>
      </c>
      <c r="C113" s="215" t="s">
        <v>11</v>
      </c>
      <c r="D113" t="s">
        <v>211</v>
      </c>
    </row>
    <row r="114" spans="2:4" ht="15">
      <c r="B114">
        <v>112</v>
      </c>
      <c r="C114" s="217" t="s">
        <v>212</v>
      </c>
      <c r="D114" t="s">
        <v>213</v>
      </c>
    </row>
    <row r="115" spans="2:4" ht="15">
      <c r="B115">
        <v>113</v>
      </c>
      <c r="C115" s="217" t="s">
        <v>60</v>
      </c>
      <c r="D115" t="s">
        <v>61</v>
      </c>
    </row>
    <row r="116" spans="2:4" ht="15">
      <c r="B116">
        <v>114</v>
      </c>
      <c r="C116" s="215" t="s">
        <v>214</v>
      </c>
      <c r="D116" t="s">
        <v>215</v>
      </c>
    </row>
    <row r="117" spans="2:4" ht="15">
      <c r="B117">
        <v>115</v>
      </c>
      <c r="C117" s="215" t="s">
        <v>216</v>
      </c>
      <c r="D117" t="s">
        <v>217</v>
      </c>
    </row>
    <row r="118" spans="2:4" ht="15">
      <c r="B118">
        <v>116</v>
      </c>
      <c r="C118" s="215" t="s">
        <v>218</v>
      </c>
      <c r="D118" t="s">
        <v>219</v>
      </c>
    </row>
    <row r="119" spans="2:4" ht="15.75">
      <c r="B119">
        <v>117</v>
      </c>
      <c r="C119" s="237"/>
      <c r="D119" s="59"/>
    </row>
    <row r="120" spans="2:4" ht="15.75">
      <c r="B120">
        <v>118</v>
      </c>
      <c r="C120" s="210" t="s">
        <v>220</v>
      </c>
      <c r="D120" t="s">
        <v>221</v>
      </c>
    </row>
    <row r="121" spans="2:3" ht="15">
      <c r="B121">
        <v>119</v>
      </c>
      <c r="C121" s="228" t="s">
        <v>222</v>
      </c>
    </row>
    <row r="122" spans="2:4" ht="18">
      <c r="B122">
        <v>120</v>
      </c>
      <c r="C122" s="206" t="s">
        <v>62</v>
      </c>
      <c r="D122" t="s">
        <v>63</v>
      </c>
    </row>
    <row r="123" spans="2:4" ht="15">
      <c r="B123">
        <v>121</v>
      </c>
      <c r="C123" t="s">
        <v>223</v>
      </c>
      <c r="D123" t="s">
        <v>224</v>
      </c>
    </row>
    <row r="124" spans="2:4" ht="15">
      <c r="B124">
        <v>122</v>
      </c>
      <c r="C124" t="s">
        <v>225</v>
      </c>
      <c r="D124" t="s">
        <v>224</v>
      </c>
    </row>
    <row r="125" spans="2:4" ht="15">
      <c r="B125">
        <v>123</v>
      </c>
      <c r="C125" t="s">
        <v>226</v>
      </c>
      <c r="D125" t="s">
        <v>227</v>
      </c>
    </row>
    <row r="126" spans="2:4" ht="15">
      <c r="B126">
        <v>124</v>
      </c>
      <c r="C126" t="s">
        <v>228</v>
      </c>
      <c r="D126" t="s">
        <v>229</v>
      </c>
    </row>
    <row r="127" spans="2:4" ht="15">
      <c r="B127">
        <v>125</v>
      </c>
      <c r="C127" t="s">
        <v>230</v>
      </c>
      <c r="D127" t="s">
        <v>231</v>
      </c>
    </row>
    <row r="128" spans="2:4" ht="15">
      <c r="B128">
        <v>126</v>
      </c>
      <c r="C128" t="s">
        <v>232</v>
      </c>
      <c r="D128" t="s">
        <v>232</v>
      </c>
    </row>
    <row r="129" spans="2:4" ht="15">
      <c r="B129">
        <v>127</v>
      </c>
      <c r="C129" t="s">
        <v>233</v>
      </c>
      <c r="D129" t="s">
        <v>233</v>
      </c>
    </row>
    <row r="130" spans="2:4" ht="15">
      <c r="B130">
        <v>128</v>
      </c>
      <c r="C130" t="s">
        <v>234</v>
      </c>
      <c r="D130" t="s">
        <v>234</v>
      </c>
    </row>
    <row r="131" spans="2:4" ht="15">
      <c r="B131">
        <v>129</v>
      </c>
      <c r="C131" t="s">
        <v>235</v>
      </c>
      <c r="D131" t="s">
        <v>235</v>
      </c>
    </row>
    <row r="132" spans="2:4" ht="15">
      <c r="B132">
        <v>130</v>
      </c>
      <c r="C132" t="s">
        <v>236</v>
      </c>
      <c r="D132" t="s">
        <v>236</v>
      </c>
    </row>
    <row r="133" spans="2:4" ht="15">
      <c r="B133">
        <v>131</v>
      </c>
      <c r="C133" s="43" t="s">
        <v>237</v>
      </c>
      <c r="D133" t="s">
        <v>238</v>
      </c>
    </row>
    <row r="134" spans="2:4" ht="15">
      <c r="B134">
        <v>132</v>
      </c>
      <c r="C134" s="43" t="s">
        <v>239</v>
      </c>
      <c r="D134" t="s">
        <v>240</v>
      </c>
    </row>
    <row r="135" spans="2:4" ht="15">
      <c r="B135">
        <v>133</v>
      </c>
      <c r="C135" s="43" t="s">
        <v>241</v>
      </c>
      <c r="D135" t="s">
        <v>242</v>
      </c>
    </row>
    <row r="136" spans="2:4" ht="15">
      <c r="B136">
        <v>134</v>
      </c>
      <c r="C136" s="43" t="s">
        <v>243</v>
      </c>
      <c r="D136" t="s">
        <v>244</v>
      </c>
    </row>
    <row r="137" spans="2:4" ht="15">
      <c r="B137">
        <v>135</v>
      </c>
      <c r="C137" s="43" t="s">
        <v>110</v>
      </c>
      <c r="D137" t="s">
        <v>111</v>
      </c>
    </row>
    <row r="138" spans="2:4" ht="15">
      <c r="B138">
        <v>136</v>
      </c>
      <c r="C138" s="43" t="s">
        <v>245</v>
      </c>
      <c r="D138" t="s">
        <v>246</v>
      </c>
    </row>
    <row r="139" spans="2:4" ht="15">
      <c r="B139">
        <v>137</v>
      </c>
      <c r="C139" s="43" t="s">
        <v>247</v>
      </c>
      <c r="D139" t="s">
        <v>248</v>
      </c>
    </row>
    <row r="140" spans="2:4" ht="15">
      <c r="B140">
        <v>138</v>
      </c>
      <c r="C140" s="43" t="s">
        <v>249</v>
      </c>
      <c r="D140" t="s">
        <v>250</v>
      </c>
    </row>
    <row r="141" spans="2:4" ht="15">
      <c r="B141">
        <v>139</v>
      </c>
      <c r="C141" s="43" t="s">
        <v>251</v>
      </c>
      <c r="D141" t="s">
        <v>252</v>
      </c>
    </row>
    <row r="142" spans="2:4" ht="15">
      <c r="B142">
        <v>140</v>
      </c>
      <c r="C142" s="43" t="s">
        <v>253</v>
      </c>
      <c r="D142" t="s">
        <v>254</v>
      </c>
    </row>
    <row r="143" spans="2:4" ht="15">
      <c r="B143">
        <v>141</v>
      </c>
      <c r="C143" s="43" t="s">
        <v>255</v>
      </c>
      <c r="D143" s="59" t="s">
        <v>256</v>
      </c>
    </row>
    <row r="144" spans="2:4" ht="15">
      <c r="B144">
        <v>142</v>
      </c>
      <c r="C144" s="59" t="s">
        <v>257</v>
      </c>
      <c r="D144" s="59" t="s">
        <v>258</v>
      </c>
    </row>
    <row r="145" spans="2:4" ht="15">
      <c r="B145">
        <v>143</v>
      </c>
      <c r="C145" s="59" t="s">
        <v>259</v>
      </c>
      <c r="D145" t="s">
        <v>260</v>
      </c>
    </row>
    <row r="146" spans="2:4" ht="15">
      <c r="B146">
        <v>144</v>
      </c>
      <c r="C146" s="43" t="s">
        <v>261</v>
      </c>
      <c r="D146" t="s">
        <v>262</v>
      </c>
    </row>
    <row r="147" spans="2:4" ht="15">
      <c r="B147">
        <v>145</v>
      </c>
      <c r="C147" s="43" t="s">
        <v>263</v>
      </c>
      <c r="D147" t="s">
        <v>264</v>
      </c>
    </row>
    <row r="148" spans="2:4" ht="15">
      <c r="B148">
        <v>146</v>
      </c>
      <c r="C148" s="104" t="s">
        <v>265</v>
      </c>
      <c r="D148" t="s">
        <v>266</v>
      </c>
    </row>
    <row r="149" spans="2:4" ht="15">
      <c r="B149">
        <v>147</v>
      </c>
      <c r="C149" s="59" t="s">
        <v>267</v>
      </c>
      <c r="D149" t="s">
        <v>101</v>
      </c>
    </row>
    <row r="150" spans="2:4" ht="15">
      <c r="B150">
        <v>148</v>
      </c>
      <c r="C150" s="59" t="s">
        <v>268</v>
      </c>
      <c r="D150" t="s">
        <v>269</v>
      </c>
    </row>
    <row r="151" spans="2:4" ht="15">
      <c r="B151">
        <v>149</v>
      </c>
      <c r="C151" s="59" t="s">
        <v>270</v>
      </c>
      <c r="D151" t="s">
        <v>271</v>
      </c>
    </row>
    <row r="152" spans="2:4" ht="15">
      <c r="B152">
        <v>150</v>
      </c>
      <c r="C152" s="104" t="s">
        <v>272</v>
      </c>
      <c r="D152" t="s">
        <v>273</v>
      </c>
    </row>
    <row r="153" spans="2:4" ht="15">
      <c r="B153">
        <v>151</v>
      </c>
      <c r="C153" s="47" t="s">
        <v>274</v>
      </c>
      <c r="D153" t="s">
        <v>275</v>
      </c>
    </row>
    <row r="154" spans="2:4" ht="15">
      <c r="B154">
        <v>152</v>
      </c>
      <c r="C154" s="59" t="s">
        <v>276</v>
      </c>
      <c r="D154" t="s">
        <v>277</v>
      </c>
    </row>
    <row r="155" spans="2:4" ht="15">
      <c r="B155">
        <v>153</v>
      </c>
      <c r="C155" s="59" t="s">
        <v>278</v>
      </c>
      <c r="D155" t="s">
        <v>279</v>
      </c>
    </row>
    <row r="156" spans="2:4" ht="15">
      <c r="B156">
        <v>154</v>
      </c>
      <c r="C156" s="59" t="s">
        <v>280</v>
      </c>
      <c r="D156" t="s">
        <v>281</v>
      </c>
    </row>
    <row r="157" spans="2:4" ht="15">
      <c r="B157">
        <v>155</v>
      </c>
      <c r="C157" s="59" t="s">
        <v>282</v>
      </c>
      <c r="D157" t="s">
        <v>283</v>
      </c>
    </row>
    <row r="158" spans="2:4" ht="15">
      <c r="B158">
        <v>156</v>
      </c>
      <c r="C158" s="59" t="s">
        <v>284</v>
      </c>
      <c r="D158" t="s">
        <v>285</v>
      </c>
    </row>
    <row r="159" spans="2:4" ht="15">
      <c r="B159">
        <v>157</v>
      </c>
      <c r="C159" s="59" t="s">
        <v>286</v>
      </c>
      <c r="D159" t="s">
        <v>287</v>
      </c>
    </row>
    <row r="160" spans="2:4" ht="15">
      <c r="B160">
        <v>158</v>
      </c>
      <c r="C160" s="59" t="s">
        <v>288</v>
      </c>
      <c r="D160" t="s">
        <v>289</v>
      </c>
    </row>
    <row r="161" spans="2:4" ht="15">
      <c r="B161">
        <v>159</v>
      </c>
      <c r="C161" s="117" t="s">
        <v>290</v>
      </c>
      <c r="D161" t="s">
        <v>291</v>
      </c>
    </row>
    <row r="162" spans="2:4" ht="15">
      <c r="B162">
        <v>160</v>
      </c>
      <c r="C162" s="117" t="s">
        <v>292</v>
      </c>
      <c r="D162" t="s">
        <v>293</v>
      </c>
    </row>
    <row r="163" spans="2:4" ht="15">
      <c r="B163">
        <v>161</v>
      </c>
      <c r="C163" s="59" t="s">
        <v>54</v>
      </c>
      <c r="D163" t="s">
        <v>55</v>
      </c>
    </row>
    <row r="164" spans="2:4" ht="15">
      <c r="B164">
        <v>162</v>
      </c>
      <c r="C164" s="59" t="s">
        <v>294</v>
      </c>
      <c r="D164" t="s">
        <v>295</v>
      </c>
    </row>
    <row r="165" spans="2:5" ht="15">
      <c r="B165">
        <v>163</v>
      </c>
      <c r="C165" s="59" t="s">
        <v>296</v>
      </c>
      <c r="D165" t="s">
        <v>297</v>
      </c>
      <c r="E165" s="241"/>
    </row>
    <row r="166" spans="2:4" ht="15">
      <c r="B166">
        <v>164</v>
      </c>
      <c r="C166" t="s">
        <v>298</v>
      </c>
      <c r="D166" t="s">
        <v>299</v>
      </c>
    </row>
    <row r="167" spans="2:4" ht="15.75">
      <c r="B167">
        <v>165</v>
      </c>
      <c r="C167" s="242" t="s">
        <v>300</v>
      </c>
      <c r="D167" t="s">
        <v>301</v>
      </c>
    </row>
    <row r="168" spans="2:4" ht="15">
      <c r="B168">
        <v>166</v>
      </c>
      <c r="C168" s="164" t="s">
        <v>294</v>
      </c>
      <c r="D168" t="s">
        <v>295</v>
      </c>
    </row>
    <row r="169" spans="2:4" ht="15">
      <c r="B169">
        <v>167</v>
      </c>
      <c r="C169" t="s">
        <v>1</v>
      </c>
      <c r="D169" t="s">
        <v>179</v>
      </c>
    </row>
    <row r="170" spans="2:4" ht="15">
      <c r="B170">
        <v>168</v>
      </c>
      <c r="C170" t="s">
        <v>2</v>
      </c>
      <c r="D170" t="s">
        <v>180</v>
      </c>
    </row>
    <row r="171" spans="2:4" ht="15">
      <c r="B171">
        <v>169</v>
      </c>
      <c r="C171" t="s">
        <v>3</v>
      </c>
      <c r="D171" t="s">
        <v>181</v>
      </c>
    </row>
    <row r="172" spans="2:4" ht="15">
      <c r="B172">
        <v>170</v>
      </c>
      <c r="C172" t="s">
        <v>4</v>
      </c>
      <c r="D172" t="s">
        <v>182</v>
      </c>
    </row>
    <row r="173" spans="2:4" ht="15">
      <c r="B173">
        <v>171</v>
      </c>
      <c r="C173" t="s">
        <v>302</v>
      </c>
      <c r="D173" t="s">
        <v>303</v>
      </c>
    </row>
    <row r="174" spans="2:4" ht="15">
      <c r="B174">
        <v>172</v>
      </c>
      <c r="C174" t="s">
        <v>168</v>
      </c>
      <c r="D174" t="s">
        <v>169</v>
      </c>
    </row>
    <row r="175" spans="2:4" ht="15">
      <c r="B175">
        <v>173</v>
      </c>
      <c r="C175" t="s">
        <v>420</v>
      </c>
      <c r="D175" s="186" t="s">
        <v>422</v>
      </c>
    </row>
    <row r="176" spans="2:4" ht="15">
      <c r="B176">
        <v>174</v>
      </c>
      <c r="C176" t="s">
        <v>421</v>
      </c>
      <c r="D176" s="186" t="s">
        <v>419</v>
      </c>
    </row>
    <row r="177" spans="2:4" ht="15">
      <c r="B177">
        <v>175</v>
      </c>
      <c r="C177" s="189" t="s">
        <v>27</v>
      </c>
      <c r="D177" t="s">
        <v>28</v>
      </c>
    </row>
    <row r="178" spans="2:4" ht="15">
      <c r="B178">
        <v>176</v>
      </c>
      <c r="C178" s="189" t="s">
        <v>304</v>
      </c>
      <c r="D178" s="41" t="s">
        <v>305</v>
      </c>
    </row>
    <row r="179" spans="2:4" ht="15">
      <c r="B179">
        <v>177</v>
      </c>
      <c r="C179" s="189" t="s">
        <v>306</v>
      </c>
      <c r="D179" t="s">
        <v>307</v>
      </c>
    </row>
    <row r="180" spans="2:4" ht="15">
      <c r="B180">
        <v>178</v>
      </c>
      <c r="C180" s="189" t="s">
        <v>308</v>
      </c>
      <c r="D180" t="s">
        <v>309</v>
      </c>
    </row>
    <row r="181" spans="2:4" ht="15">
      <c r="B181">
        <v>179</v>
      </c>
      <c r="C181" s="189" t="s">
        <v>310</v>
      </c>
      <c r="D181" t="s">
        <v>311</v>
      </c>
    </row>
    <row r="182" spans="2:4" ht="15">
      <c r="B182">
        <v>180</v>
      </c>
      <c r="C182" s="189" t="s">
        <v>312</v>
      </c>
      <c r="D182" t="s">
        <v>313</v>
      </c>
    </row>
    <row r="183" spans="2:4" ht="15">
      <c r="B183">
        <v>181</v>
      </c>
      <c r="C183" s="189" t="s">
        <v>7</v>
      </c>
      <c r="D183" t="s">
        <v>7</v>
      </c>
    </row>
    <row r="184" spans="2:4" ht="15">
      <c r="B184">
        <v>182</v>
      </c>
      <c r="C184" s="189" t="s">
        <v>9</v>
      </c>
      <c r="D184" t="s">
        <v>9</v>
      </c>
    </row>
    <row r="185" spans="2:4" ht="15">
      <c r="B185">
        <v>183</v>
      </c>
      <c r="C185" s="189" t="s">
        <v>10</v>
      </c>
      <c r="D185" t="s">
        <v>38</v>
      </c>
    </row>
    <row r="186" spans="2:4" ht="15">
      <c r="B186">
        <v>184</v>
      </c>
      <c r="C186" t="s">
        <v>314</v>
      </c>
      <c r="D186" t="s">
        <v>315</v>
      </c>
    </row>
    <row r="187" spans="2:4" ht="15">
      <c r="B187">
        <v>185</v>
      </c>
      <c r="C187" t="s">
        <v>316</v>
      </c>
      <c r="D187" t="s">
        <v>317</v>
      </c>
    </row>
    <row r="188" spans="2:4" ht="15">
      <c r="B188">
        <v>186</v>
      </c>
      <c r="C188" t="s">
        <v>318</v>
      </c>
      <c r="D188" t="s">
        <v>319</v>
      </c>
    </row>
    <row r="189" spans="2:4" ht="15">
      <c r="B189">
        <v>187</v>
      </c>
      <c r="C189" t="s">
        <v>320</v>
      </c>
      <c r="D189" t="s">
        <v>271</v>
      </c>
    </row>
    <row r="190" spans="2:3" ht="15">
      <c r="B190">
        <v>188</v>
      </c>
      <c r="C190" s="215" t="s">
        <v>321</v>
      </c>
    </row>
    <row r="191" spans="2:3" ht="15">
      <c r="B191">
        <v>189</v>
      </c>
      <c r="C191" s="215" t="s">
        <v>322</v>
      </c>
    </row>
    <row r="192" spans="2:3" ht="15">
      <c r="B192">
        <v>190</v>
      </c>
      <c r="C192" s="215" t="s">
        <v>323</v>
      </c>
    </row>
    <row r="193" spans="2:4" ht="15">
      <c r="B193">
        <v>191</v>
      </c>
      <c r="C193" s="215" t="s">
        <v>205</v>
      </c>
      <c r="D193" t="s">
        <v>206</v>
      </c>
    </row>
    <row r="194" spans="2:3" ht="15">
      <c r="B194">
        <v>192</v>
      </c>
      <c r="C194" s="215" t="s">
        <v>207</v>
      </c>
    </row>
    <row r="195" spans="2:3" ht="15">
      <c r="B195">
        <v>193</v>
      </c>
      <c r="C195" s="215" t="s">
        <v>11</v>
      </c>
    </row>
    <row r="196" spans="2:3" ht="15">
      <c r="B196">
        <v>194</v>
      </c>
      <c r="C196" s="217" t="s">
        <v>212</v>
      </c>
    </row>
    <row r="197" spans="2:3" ht="15">
      <c r="B197">
        <v>195</v>
      </c>
      <c r="C197" s="215" t="s">
        <v>324</v>
      </c>
    </row>
    <row r="198" spans="2:3" ht="15">
      <c r="B198">
        <v>196</v>
      </c>
      <c r="C198" s="215" t="s">
        <v>325</v>
      </c>
    </row>
    <row r="199" spans="2:3" ht="15">
      <c r="B199">
        <v>197</v>
      </c>
      <c r="C199" s="215" t="s">
        <v>209</v>
      </c>
    </row>
    <row r="200" spans="2:3" ht="15">
      <c r="B200">
        <v>198</v>
      </c>
      <c r="C200" s="215" t="s">
        <v>201</v>
      </c>
    </row>
    <row r="201" spans="2:3" ht="15">
      <c r="B201">
        <v>199</v>
      </c>
      <c r="C201" s="215" t="s">
        <v>326</v>
      </c>
    </row>
    <row r="202" spans="2:3" ht="15">
      <c r="B202">
        <v>200</v>
      </c>
      <c r="C202" s="215" t="s">
        <v>199</v>
      </c>
    </row>
    <row r="203" spans="2:3" ht="15">
      <c r="B203">
        <v>201</v>
      </c>
      <c r="C203" s="215" t="s">
        <v>327</v>
      </c>
    </row>
    <row r="204" spans="2:3" ht="15">
      <c r="B204">
        <v>202</v>
      </c>
      <c r="C204" s="217" t="s">
        <v>328</v>
      </c>
    </row>
    <row r="205" spans="2:4" ht="15">
      <c r="B205">
        <v>203</v>
      </c>
      <c r="C205" s="215" t="s">
        <v>329</v>
      </c>
      <c r="D205" t="s">
        <v>330</v>
      </c>
    </row>
    <row r="206" spans="2:4" ht="15">
      <c r="B206">
        <v>204</v>
      </c>
      <c r="C206" s="215" t="s">
        <v>331</v>
      </c>
      <c r="D206" t="s">
        <v>331</v>
      </c>
    </row>
    <row r="207" spans="2:4" ht="15">
      <c r="B207">
        <v>205</v>
      </c>
      <c r="C207" s="215" t="s">
        <v>332</v>
      </c>
      <c r="D207" s="215" t="s">
        <v>333</v>
      </c>
    </row>
    <row r="208" spans="2:4" ht="15">
      <c r="B208">
        <v>206</v>
      </c>
      <c r="C208" t="s">
        <v>334</v>
      </c>
      <c r="D208" t="s">
        <v>335</v>
      </c>
    </row>
    <row r="209" spans="2:4" ht="15">
      <c r="B209">
        <v>207</v>
      </c>
      <c r="C209" t="s">
        <v>336</v>
      </c>
      <c r="D209" t="s">
        <v>337</v>
      </c>
    </row>
    <row r="210" spans="2:4" ht="15">
      <c r="B210">
        <v>208</v>
      </c>
      <c r="C210" s="215" t="s">
        <v>338</v>
      </c>
      <c r="D210" t="s">
        <v>339</v>
      </c>
    </row>
    <row r="211" spans="2:4" ht="15">
      <c r="B211">
        <v>209</v>
      </c>
      <c r="C211" s="215" t="s">
        <v>199</v>
      </c>
      <c r="D211" t="s">
        <v>200</v>
      </c>
    </row>
    <row r="212" spans="2:4" ht="15">
      <c r="B212">
        <v>210</v>
      </c>
      <c r="C212" s="215" t="s">
        <v>340</v>
      </c>
      <c r="D212" t="s">
        <v>341</v>
      </c>
    </row>
    <row r="213" spans="2:4" ht="15">
      <c r="B213">
        <v>211</v>
      </c>
      <c r="C213" s="215" t="s">
        <v>342</v>
      </c>
      <c r="D213" t="s">
        <v>366</v>
      </c>
    </row>
    <row r="214" spans="2:4" ht="15">
      <c r="B214">
        <v>212</v>
      </c>
      <c r="C214" s="215" t="s">
        <v>343</v>
      </c>
      <c r="D214" t="s">
        <v>344</v>
      </c>
    </row>
    <row r="215" spans="2:4" ht="15">
      <c r="B215">
        <v>213</v>
      </c>
      <c r="C215" s="215" t="s">
        <v>345</v>
      </c>
      <c r="D215" t="s">
        <v>346</v>
      </c>
    </row>
    <row r="216" spans="2:4" ht="15">
      <c r="B216">
        <v>214</v>
      </c>
      <c r="C216" s="215" t="s">
        <v>205</v>
      </c>
      <c r="D216" t="s">
        <v>206</v>
      </c>
    </row>
    <row r="217" spans="2:4" ht="15">
      <c r="B217">
        <v>215</v>
      </c>
      <c r="C217" s="215" t="s">
        <v>11</v>
      </c>
      <c r="D217" t="s">
        <v>347</v>
      </c>
    </row>
    <row r="218" spans="2:4" ht="15">
      <c r="B218">
        <v>216</v>
      </c>
      <c r="C218" s="215" t="s">
        <v>327</v>
      </c>
      <c r="D218" t="s">
        <v>348</v>
      </c>
    </row>
    <row r="219" spans="2:4" ht="15">
      <c r="B219">
        <v>217</v>
      </c>
      <c r="C219" s="215" t="s">
        <v>349</v>
      </c>
      <c r="D219" t="s">
        <v>330</v>
      </c>
    </row>
    <row r="220" spans="2:8" ht="15" customHeight="1">
      <c r="B220">
        <v>218</v>
      </c>
      <c r="C220" s="215" t="s">
        <v>350</v>
      </c>
      <c r="D220" s="215" t="s">
        <v>351</v>
      </c>
      <c r="E220" s="215"/>
      <c r="F220" s="215"/>
      <c r="G220" s="215"/>
      <c r="H220" s="215"/>
    </row>
    <row r="221" spans="2:4" ht="15" customHeight="1">
      <c r="B221">
        <v>219</v>
      </c>
      <c r="C221" t="s">
        <v>398</v>
      </c>
      <c r="D221" t="s">
        <v>352</v>
      </c>
    </row>
    <row r="222" spans="2:4" ht="15">
      <c r="B222">
        <v>220</v>
      </c>
      <c r="C222" t="s">
        <v>353</v>
      </c>
      <c r="D222" t="s">
        <v>354</v>
      </c>
    </row>
    <row r="223" spans="2:4" ht="15">
      <c r="B223">
        <v>221</v>
      </c>
      <c r="C223" t="s">
        <v>355</v>
      </c>
      <c r="D223" t="s">
        <v>356</v>
      </c>
    </row>
    <row r="224" spans="2:4" ht="15">
      <c r="B224">
        <v>222</v>
      </c>
      <c r="C224" t="s">
        <v>363</v>
      </c>
      <c r="D224" t="s">
        <v>363</v>
      </c>
    </row>
    <row r="225" spans="2:4" ht="15">
      <c r="B225">
        <v>223</v>
      </c>
      <c r="C225" t="s">
        <v>361</v>
      </c>
      <c r="D225" t="s">
        <v>362</v>
      </c>
    </row>
    <row r="226" spans="2:4" ht="15">
      <c r="B226">
        <v>224</v>
      </c>
      <c r="C226" t="s">
        <v>364</v>
      </c>
      <c r="D226" t="s">
        <v>365</v>
      </c>
    </row>
    <row r="227" spans="2:4" ht="15">
      <c r="B227">
        <v>225</v>
      </c>
      <c r="C227" t="s">
        <v>357</v>
      </c>
      <c r="D227" t="s">
        <v>358</v>
      </c>
    </row>
    <row r="228" spans="2:4" ht="15">
      <c r="B228">
        <v>226</v>
      </c>
      <c r="C228" t="s">
        <v>367</v>
      </c>
      <c r="D228" t="s">
        <v>368</v>
      </c>
    </row>
    <row r="229" spans="2:4" ht="15">
      <c r="B229">
        <v>227</v>
      </c>
      <c r="C229" s="240" t="s">
        <v>359</v>
      </c>
      <c r="D229" t="s">
        <v>360</v>
      </c>
    </row>
    <row r="230" spans="2:4" ht="15">
      <c r="B230">
        <v>228</v>
      </c>
      <c r="C230" t="s">
        <v>397</v>
      </c>
      <c r="D230" t="s">
        <v>369</v>
      </c>
    </row>
    <row r="231" spans="2:4" ht="15">
      <c r="B231">
        <v>229</v>
      </c>
      <c r="C231" t="s">
        <v>370</v>
      </c>
      <c r="D231" t="s">
        <v>371</v>
      </c>
    </row>
    <row r="232" spans="2:4" ht="15">
      <c r="B232">
        <v>230</v>
      </c>
      <c r="C232" s="217" t="s">
        <v>16</v>
      </c>
      <c r="D232" t="s">
        <v>17</v>
      </c>
    </row>
    <row r="233" spans="2:4" ht="15">
      <c r="B233">
        <v>231</v>
      </c>
      <c r="C233" s="215" t="s">
        <v>372</v>
      </c>
      <c r="D233" t="s">
        <v>373</v>
      </c>
    </row>
    <row r="234" spans="2:4" ht="15">
      <c r="B234">
        <v>232</v>
      </c>
      <c r="C234" s="215" t="s">
        <v>25</v>
      </c>
      <c r="D234" t="s">
        <v>26</v>
      </c>
    </row>
    <row r="235" spans="2:4" ht="15">
      <c r="B235">
        <v>233</v>
      </c>
      <c r="C235" s="215" t="s">
        <v>374</v>
      </c>
      <c r="D235" t="s">
        <v>375</v>
      </c>
    </row>
    <row r="236" spans="2:4" ht="15">
      <c r="B236">
        <v>234</v>
      </c>
      <c r="C236" s="215" t="s">
        <v>376</v>
      </c>
      <c r="D236" t="s">
        <v>377</v>
      </c>
    </row>
    <row r="237" spans="2:4" ht="15">
      <c r="B237">
        <v>235</v>
      </c>
      <c r="C237" s="215" t="s">
        <v>31</v>
      </c>
      <c r="D237" t="s">
        <v>31</v>
      </c>
    </row>
    <row r="238" spans="2:4" ht="15">
      <c r="B238">
        <v>236</v>
      </c>
      <c r="C238" s="215" t="s">
        <v>378</v>
      </c>
      <c r="D238" t="s">
        <v>379</v>
      </c>
    </row>
    <row r="239" spans="2:4" ht="15">
      <c r="B239">
        <v>237</v>
      </c>
      <c r="C239" s="215" t="s">
        <v>33</v>
      </c>
      <c r="D239" t="s">
        <v>33</v>
      </c>
    </row>
    <row r="240" spans="2:4" ht="15">
      <c r="B240">
        <v>238</v>
      </c>
      <c r="C240" s="215" t="s">
        <v>380</v>
      </c>
      <c r="D240" t="s">
        <v>37</v>
      </c>
    </row>
    <row r="241" spans="2:4" ht="15">
      <c r="B241">
        <v>239</v>
      </c>
      <c r="C241" s="215" t="s">
        <v>381</v>
      </c>
      <c r="D241" t="s">
        <v>382</v>
      </c>
    </row>
    <row r="242" spans="2:4" ht="15">
      <c r="B242">
        <v>240</v>
      </c>
      <c r="C242" s="215" t="s">
        <v>383</v>
      </c>
      <c r="D242" t="s">
        <v>384</v>
      </c>
    </row>
    <row r="243" spans="2:4" ht="15">
      <c r="B243">
        <v>241</v>
      </c>
      <c r="C243" s="215" t="s">
        <v>385</v>
      </c>
      <c r="D243" t="s">
        <v>386</v>
      </c>
    </row>
    <row r="244" spans="2:4" ht="15">
      <c r="B244">
        <v>242</v>
      </c>
      <c r="C244" s="215" t="s">
        <v>387</v>
      </c>
      <c r="D244" t="s">
        <v>388</v>
      </c>
    </row>
    <row r="245" spans="2:4" ht="15">
      <c r="B245">
        <v>243</v>
      </c>
      <c r="C245" t="s">
        <v>389</v>
      </c>
      <c r="D245" t="s">
        <v>390</v>
      </c>
    </row>
    <row r="246" spans="2:4" ht="15">
      <c r="B246">
        <v>244</v>
      </c>
      <c r="C246" t="s">
        <v>391</v>
      </c>
      <c r="D246" t="s">
        <v>392</v>
      </c>
    </row>
    <row r="247" spans="2:4" ht="15.75">
      <c r="B247">
        <v>245</v>
      </c>
      <c r="C247" s="237" t="s">
        <v>393</v>
      </c>
      <c r="D247" s="237" t="s">
        <v>394</v>
      </c>
    </row>
    <row r="248" spans="2:4" ht="15">
      <c r="B248">
        <v>246</v>
      </c>
      <c r="C248" s="215" t="s">
        <v>395</v>
      </c>
      <c r="D248" t="s">
        <v>395</v>
      </c>
    </row>
    <row r="249" spans="2:4" ht="15">
      <c r="B249">
        <v>247</v>
      </c>
      <c r="C249" t="s">
        <v>399</v>
      </c>
      <c r="D249" t="s">
        <v>400</v>
      </c>
    </row>
    <row r="250" spans="2:4" ht="15">
      <c r="B250">
        <v>248</v>
      </c>
      <c r="C250" t="s">
        <v>401</v>
      </c>
      <c r="D250" t="s">
        <v>402</v>
      </c>
    </row>
    <row r="251" spans="2:4" ht="15">
      <c r="B251">
        <v>249</v>
      </c>
      <c r="C251" t="s">
        <v>403</v>
      </c>
      <c r="D251" t="s">
        <v>404</v>
      </c>
    </row>
    <row r="252" spans="2:4" ht="15">
      <c r="B252">
        <v>250</v>
      </c>
      <c r="C252" t="s">
        <v>405</v>
      </c>
      <c r="D252" t="s">
        <v>406</v>
      </c>
    </row>
    <row r="253" spans="2:4" ht="15">
      <c r="B253">
        <v>251</v>
      </c>
      <c r="C253" t="s">
        <v>407</v>
      </c>
      <c r="D253" t="s">
        <v>408</v>
      </c>
    </row>
    <row r="254" spans="2:4" ht="15">
      <c r="B254">
        <v>252</v>
      </c>
      <c r="C254" t="s">
        <v>409</v>
      </c>
      <c r="D254" t="s">
        <v>410</v>
      </c>
    </row>
    <row r="255" spans="2:4" ht="15">
      <c r="B255">
        <v>253</v>
      </c>
      <c r="C255" t="s">
        <v>411</v>
      </c>
      <c r="D255" t="s">
        <v>412</v>
      </c>
    </row>
    <row r="256" spans="2:4" ht="15">
      <c r="B256">
        <v>254</v>
      </c>
      <c r="C256" t="s">
        <v>413</v>
      </c>
      <c r="D256" t="s">
        <v>414</v>
      </c>
    </row>
    <row r="257" spans="2:4" ht="15">
      <c r="B257">
        <v>255</v>
      </c>
      <c r="C257" t="s">
        <v>427</v>
      </c>
      <c r="D257" t="s">
        <v>415</v>
      </c>
    </row>
    <row r="258" spans="2:4" ht="15">
      <c r="B258">
        <v>256</v>
      </c>
      <c r="C258" t="s">
        <v>531</v>
      </c>
      <c r="D258" t="s">
        <v>532</v>
      </c>
    </row>
    <row r="259" spans="2:4" ht="15">
      <c r="B259">
        <v>257</v>
      </c>
      <c r="C259" t="s">
        <v>426</v>
      </c>
      <c r="D259" t="s">
        <v>428</v>
      </c>
    </row>
    <row r="260" spans="2:4" ht="15">
      <c r="B260">
        <v>258</v>
      </c>
      <c r="C260" t="s">
        <v>423</v>
      </c>
      <c r="D260" t="s">
        <v>424</v>
      </c>
    </row>
    <row r="261" spans="2:4" ht="15">
      <c r="B261">
        <v>259</v>
      </c>
      <c r="C261" t="s">
        <v>429</v>
      </c>
      <c r="D261" t="s">
        <v>430</v>
      </c>
    </row>
    <row r="262" spans="2:4" ht="15">
      <c r="B262">
        <v>260</v>
      </c>
      <c r="C262" t="s">
        <v>431</v>
      </c>
      <c r="D262" t="s">
        <v>432</v>
      </c>
    </row>
    <row r="263" spans="2:4" ht="15">
      <c r="B263">
        <v>261</v>
      </c>
      <c r="C263" t="s">
        <v>433</v>
      </c>
      <c r="D263" t="s">
        <v>434</v>
      </c>
    </row>
    <row r="264" spans="2:4" ht="15">
      <c r="B264">
        <v>262</v>
      </c>
      <c r="C264" t="s">
        <v>435</v>
      </c>
      <c r="D264" t="s">
        <v>436</v>
      </c>
    </row>
    <row r="265" spans="2:4" ht="15">
      <c r="B265">
        <v>263</v>
      </c>
      <c r="C265" t="s">
        <v>437</v>
      </c>
      <c r="D265" t="s">
        <v>438</v>
      </c>
    </row>
    <row r="266" spans="2:4" ht="15">
      <c r="B266">
        <v>264</v>
      </c>
      <c r="C266" t="s">
        <v>452</v>
      </c>
      <c r="D266" t="s">
        <v>453</v>
      </c>
    </row>
    <row r="267" spans="2:4" ht="15" customHeight="1">
      <c r="B267">
        <v>265</v>
      </c>
      <c r="C267" t="s">
        <v>439</v>
      </c>
      <c r="D267" t="s">
        <v>440</v>
      </c>
    </row>
    <row r="268" spans="2:4" ht="15">
      <c r="B268">
        <v>266</v>
      </c>
      <c r="C268" t="s">
        <v>449</v>
      </c>
      <c r="D268" t="s">
        <v>448</v>
      </c>
    </row>
    <row r="269" spans="2:4" ht="15">
      <c r="B269">
        <v>267</v>
      </c>
      <c r="C269" t="s">
        <v>441</v>
      </c>
      <c r="D269" t="s">
        <v>442</v>
      </c>
    </row>
    <row r="270" spans="2:4" ht="15">
      <c r="B270">
        <v>268</v>
      </c>
      <c r="C270" t="s">
        <v>454</v>
      </c>
      <c r="D270" t="s">
        <v>443</v>
      </c>
    </row>
    <row r="271" spans="2:4" ht="15">
      <c r="B271">
        <v>269</v>
      </c>
      <c r="C271" t="s">
        <v>445</v>
      </c>
      <c r="D271" t="s">
        <v>444</v>
      </c>
    </row>
    <row r="272" spans="2:4" ht="15">
      <c r="B272">
        <v>270</v>
      </c>
      <c r="C272" t="s">
        <v>447</v>
      </c>
      <c r="D272" t="s">
        <v>446</v>
      </c>
    </row>
    <row r="273" spans="2:4" ht="15">
      <c r="B273">
        <v>271</v>
      </c>
      <c r="C273" t="s">
        <v>455</v>
      </c>
      <c r="D273" t="s">
        <v>456</v>
      </c>
    </row>
    <row r="274" spans="2:4" ht="15">
      <c r="B274">
        <v>272</v>
      </c>
      <c r="C274" t="s">
        <v>457</v>
      </c>
      <c r="D274" t="s">
        <v>458</v>
      </c>
    </row>
    <row r="275" spans="2:4" ht="15">
      <c r="B275">
        <v>273</v>
      </c>
      <c r="C275" s="292" t="s">
        <v>459</v>
      </c>
      <c r="D275" s="292" t="s">
        <v>460</v>
      </c>
    </row>
    <row r="276" spans="2:4" ht="15.75">
      <c r="B276">
        <v>274</v>
      </c>
      <c r="C276" s="293" t="s">
        <v>533</v>
      </c>
      <c r="D276" t="s">
        <v>461</v>
      </c>
    </row>
    <row r="277" spans="2:4" ht="15">
      <c r="B277">
        <v>275</v>
      </c>
      <c r="C277" s="293" t="s">
        <v>462</v>
      </c>
      <c r="D277" t="s">
        <v>463</v>
      </c>
    </row>
    <row r="278" spans="2:4" ht="15">
      <c r="B278">
        <v>276</v>
      </c>
      <c r="C278" s="293" t="s">
        <v>464</v>
      </c>
      <c r="D278" t="s">
        <v>465</v>
      </c>
    </row>
    <row r="279" spans="2:4" ht="15">
      <c r="B279">
        <v>277</v>
      </c>
      <c r="C279" s="293" t="s">
        <v>466</v>
      </c>
      <c r="D279" t="s">
        <v>467</v>
      </c>
    </row>
    <row r="280" spans="2:4" ht="15">
      <c r="B280">
        <v>278</v>
      </c>
      <c r="C280" s="293" t="s">
        <v>468</v>
      </c>
      <c r="D280" t="s">
        <v>469</v>
      </c>
    </row>
    <row r="281" spans="2:4" ht="15">
      <c r="B281">
        <v>279</v>
      </c>
      <c r="C281" s="293" t="s">
        <v>470</v>
      </c>
      <c r="D281" t="s">
        <v>471</v>
      </c>
    </row>
    <row r="282" spans="2:4" ht="15.75">
      <c r="B282">
        <v>280</v>
      </c>
      <c r="C282" s="237" t="s">
        <v>472</v>
      </c>
      <c r="D282" s="237" t="s">
        <v>472</v>
      </c>
    </row>
    <row r="283" spans="2:4" ht="15">
      <c r="B283">
        <v>281</v>
      </c>
      <c r="C283" s="293" t="s">
        <v>473</v>
      </c>
      <c r="D283" t="s">
        <v>474</v>
      </c>
    </row>
    <row r="284" spans="2:4" ht="15.75">
      <c r="B284">
        <v>282</v>
      </c>
      <c r="C284" s="237" t="s">
        <v>475</v>
      </c>
      <c r="D284" t="s">
        <v>476</v>
      </c>
    </row>
    <row r="285" spans="2:4" ht="15.75">
      <c r="B285">
        <v>283</v>
      </c>
      <c r="C285" s="237" t="s">
        <v>477</v>
      </c>
      <c r="D285" s="237" t="s">
        <v>478</v>
      </c>
    </row>
    <row r="286" spans="2:4" ht="15.75">
      <c r="B286">
        <v>284</v>
      </c>
      <c r="C286" s="237" t="s">
        <v>479</v>
      </c>
      <c r="D286" t="s">
        <v>480</v>
      </c>
    </row>
    <row r="287" spans="2:4" ht="15.75">
      <c r="B287">
        <v>285</v>
      </c>
      <c r="C287" s="237" t="s">
        <v>481</v>
      </c>
      <c r="D287" s="215" t="s">
        <v>482</v>
      </c>
    </row>
    <row r="288" spans="2:4" ht="15.75">
      <c r="B288">
        <v>286</v>
      </c>
      <c r="C288" s="237" t="s">
        <v>483</v>
      </c>
      <c r="D288" s="215" t="s">
        <v>484</v>
      </c>
    </row>
    <row r="289" spans="2:4" ht="15.75">
      <c r="B289">
        <v>287</v>
      </c>
      <c r="C289" s="237" t="s">
        <v>485</v>
      </c>
      <c r="D289" s="217" t="s">
        <v>486</v>
      </c>
    </row>
    <row r="290" spans="2:4" ht="15.75">
      <c r="B290">
        <v>288</v>
      </c>
      <c r="C290" s="237" t="s">
        <v>487</v>
      </c>
      <c r="D290" s="217" t="s">
        <v>488</v>
      </c>
    </row>
    <row r="291" spans="2:4" ht="15.75">
      <c r="B291">
        <v>289</v>
      </c>
      <c r="C291" s="237" t="s">
        <v>489</v>
      </c>
      <c r="D291" s="215" t="s">
        <v>490</v>
      </c>
    </row>
    <row r="292" spans="2:4" ht="15.75">
      <c r="B292">
        <v>290</v>
      </c>
      <c r="C292" s="237" t="s">
        <v>491</v>
      </c>
      <c r="D292" s="215" t="s">
        <v>492</v>
      </c>
    </row>
    <row r="293" spans="2:4" ht="15.75">
      <c r="B293">
        <v>291</v>
      </c>
      <c r="C293" s="237" t="s">
        <v>493</v>
      </c>
      <c r="D293" s="217" t="s">
        <v>494</v>
      </c>
    </row>
    <row r="294" spans="2:4" ht="15.75">
      <c r="B294">
        <v>292</v>
      </c>
      <c r="C294" s="237" t="s">
        <v>495</v>
      </c>
      <c r="D294" s="215" t="s">
        <v>496</v>
      </c>
    </row>
    <row r="295" spans="2:4" ht="15.75">
      <c r="B295">
        <v>293</v>
      </c>
      <c r="C295" s="237" t="s">
        <v>497</v>
      </c>
      <c r="D295" s="215" t="s">
        <v>498</v>
      </c>
    </row>
    <row r="296" spans="2:4" ht="15.75">
      <c r="B296">
        <v>294</v>
      </c>
      <c r="C296" s="237" t="s">
        <v>499</v>
      </c>
      <c r="D296" s="217" t="s">
        <v>500</v>
      </c>
    </row>
    <row r="297" spans="2:4" ht="15.75">
      <c r="B297">
        <v>295</v>
      </c>
      <c r="C297" s="237" t="s">
        <v>501</v>
      </c>
      <c r="D297" s="237" t="s">
        <v>502</v>
      </c>
    </row>
    <row r="298" spans="2:4" ht="15">
      <c r="B298">
        <v>296</v>
      </c>
      <c r="C298" s="215" t="s">
        <v>503</v>
      </c>
      <c r="D298" t="s">
        <v>504</v>
      </c>
    </row>
    <row r="299" spans="2:11" ht="15">
      <c r="B299">
        <v>297</v>
      </c>
      <c r="C299" t="s">
        <v>514</v>
      </c>
      <c r="D299" t="s">
        <v>505</v>
      </c>
      <c r="E299" s="294"/>
      <c r="F299" s="294"/>
      <c r="G299" s="294"/>
      <c r="H299" s="294"/>
      <c r="I299" s="294"/>
      <c r="J299" s="294"/>
      <c r="K299" s="294"/>
    </row>
    <row r="300" spans="2:4" ht="15">
      <c r="B300">
        <v>298</v>
      </c>
      <c r="C300" t="s">
        <v>512</v>
      </c>
      <c r="D300" t="s">
        <v>513</v>
      </c>
    </row>
    <row r="301" spans="2:4" ht="15.75">
      <c r="B301">
        <v>299</v>
      </c>
      <c r="C301" s="237" t="s">
        <v>506</v>
      </c>
      <c r="D301" t="s">
        <v>507</v>
      </c>
    </row>
    <row r="302" spans="2:4" ht="15.75">
      <c r="B302">
        <v>300</v>
      </c>
      <c r="C302" s="237" t="s">
        <v>508</v>
      </c>
      <c r="D302" s="237" t="s">
        <v>509</v>
      </c>
    </row>
    <row r="303" spans="2:4" ht="15">
      <c r="B303">
        <v>301</v>
      </c>
      <c r="C303" t="s">
        <v>510</v>
      </c>
      <c r="D303" t="s">
        <v>511</v>
      </c>
    </row>
    <row r="304" spans="2:4" ht="15">
      <c r="B304">
        <v>302</v>
      </c>
      <c r="C304" t="s">
        <v>515</v>
      </c>
      <c r="D304" t="s">
        <v>516</v>
      </c>
    </row>
    <row r="305" spans="2:4" ht="15.75">
      <c r="B305">
        <v>303</v>
      </c>
      <c r="C305" s="299" t="s">
        <v>517</v>
      </c>
      <c r="D305" s="299" t="s">
        <v>518</v>
      </c>
    </row>
    <row r="306" spans="2:4" ht="15.75">
      <c r="B306">
        <v>304</v>
      </c>
      <c r="C306" s="293" t="s">
        <v>534</v>
      </c>
      <c r="D306" t="s">
        <v>519</v>
      </c>
    </row>
    <row r="307" spans="2:4" ht="15">
      <c r="B307">
        <v>305</v>
      </c>
      <c r="C307" t="s">
        <v>520</v>
      </c>
      <c r="D307" t="s">
        <v>521</v>
      </c>
    </row>
    <row r="308" spans="2:4" ht="15">
      <c r="B308">
        <v>306</v>
      </c>
      <c r="C308" t="s">
        <v>522</v>
      </c>
      <c r="D308" t="s">
        <v>523</v>
      </c>
    </row>
    <row r="309" spans="2:4" ht="15">
      <c r="B309">
        <v>307</v>
      </c>
      <c r="C309" t="s">
        <v>524</v>
      </c>
      <c r="D309" t="s">
        <v>525</v>
      </c>
    </row>
    <row r="310" spans="2:4" ht="15">
      <c r="B310">
        <v>308</v>
      </c>
      <c r="C310" t="s">
        <v>526</v>
      </c>
      <c r="D310" t="s">
        <v>527</v>
      </c>
    </row>
    <row r="311" spans="2:4" ht="15.75">
      <c r="B311">
        <v>309</v>
      </c>
      <c r="C311" s="293" t="s">
        <v>535</v>
      </c>
      <c r="D311" t="s">
        <v>528</v>
      </c>
    </row>
    <row r="312" spans="2:4" ht="15.75">
      <c r="B312">
        <v>310</v>
      </c>
      <c r="C312" s="293" t="s">
        <v>536</v>
      </c>
      <c r="D312" t="s">
        <v>529</v>
      </c>
    </row>
    <row r="313" spans="2:4" ht="15">
      <c r="B313">
        <v>311</v>
      </c>
      <c r="C313" t="s">
        <v>530</v>
      </c>
      <c r="D313" t="s">
        <v>513</v>
      </c>
    </row>
    <row r="1000" ht="15">
      <c r="A1000" t="s">
        <v>396</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8" width="11.421875" style="31" customWidth="1"/>
    <col min="9"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37.97200000000001</v>
      </c>
      <c r="C8" s="50">
        <v>34.04399999999999</v>
      </c>
      <c r="D8" s="50">
        <v>29.413999999999994</v>
      </c>
      <c r="E8" s="279">
        <v>31.984</v>
      </c>
      <c r="F8" s="50">
        <v>33.449</v>
      </c>
      <c r="G8" s="50">
        <v>36.57300000000001</v>
      </c>
      <c r="H8" s="50">
        <v>34.124</v>
      </c>
      <c r="I8" s="50">
        <v>0</v>
      </c>
    </row>
    <row r="9" spans="1:9" ht="15">
      <c r="A9" s="43" t="str">
        <f>HLOOKUP(INDICE!$F$2,Nombres!$C$3:$D$636,34,FALSE)</f>
        <v>Comisiones netas</v>
      </c>
      <c r="B9" s="44">
        <v>1.278</v>
      </c>
      <c r="C9" s="44">
        <v>-1.0029999999999992</v>
      </c>
      <c r="D9" s="44">
        <v>-2.5320000000000022</v>
      </c>
      <c r="E9" s="45">
        <v>-0.13199999999999523</v>
      </c>
      <c r="F9" s="44">
        <v>-4.187999999999999</v>
      </c>
      <c r="G9" s="44">
        <v>-4.568000000000001</v>
      </c>
      <c r="H9" s="44">
        <v>-0.8979999999999991</v>
      </c>
      <c r="I9" s="44">
        <v>0</v>
      </c>
    </row>
    <row r="10" spans="1:9" ht="15">
      <c r="A10" s="43" t="str">
        <f>HLOOKUP(INDICE!$F$2,Nombres!$C$3:$D$636,35,FALSE)</f>
        <v>Resultados de operaciones financieras</v>
      </c>
      <c r="B10" s="44">
        <v>0.34600000000000003</v>
      </c>
      <c r="C10" s="44">
        <v>0.062000000000000006</v>
      </c>
      <c r="D10" s="44">
        <v>-0.006999999999999951</v>
      </c>
      <c r="E10" s="45">
        <v>0.06299999999999996</v>
      </c>
      <c r="F10" s="44">
        <v>0.04000000000000001</v>
      </c>
      <c r="G10" s="44">
        <v>-0.034</v>
      </c>
      <c r="H10" s="44">
        <v>0.517</v>
      </c>
      <c r="I10" s="44">
        <v>0</v>
      </c>
    </row>
    <row r="11" spans="1:9" ht="15">
      <c r="A11" s="43" t="str">
        <f>HLOOKUP(INDICE!$F$2,Nombres!$C$3:$D$636,36,FALSE)</f>
        <v>Otros ingresos y cargas de explotación</v>
      </c>
      <c r="B11" s="44">
        <v>0.045</v>
      </c>
      <c r="C11" s="44">
        <v>-0.093</v>
      </c>
      <c r="D11" s="44">
        <v>-0.026000000000000023</v>
      </c>
      <c r="E11" s="45">
        <v>-0.286</v>
      </c>
      <c r="F11" s="44">
        <v>-0.5</v>
      </c>
      <c r="G11" s="44">
        <v>0.39100000000000007</v>
      </c>
      <c r="H11" s="44">
        <v>0.182</v>
      </c>
      <c r="I11" s="44">
        <v>0</v>
      </c>
    </row>
    <row r="12" spans="1:9" ht="15">
      <c r="A12" s="41" t="str">
        <f>HLOOKUP(INDICE!$F$2,Nombres!$C$3:$D$636,37,FALSE)</f>
        <v>Margen bruto</v>
      </c>
      <c r="B12" s="50">
        <f aca="true" t="shared" si="0" ref="B12:I12">+SUM(B8:B11)</f>
        <v>39.641000000000005</v>
      </c>
      <c r="C12" s="50">
        <f t="shared" si="0"/>
        <v>33.009999999999984</v>
      </c>
      <c r="D12" s="50">
        <f t="shared" si="0"/>
        <v>26.84899999999999</v>
      </c>
      <c r="E12" s="279">
        <f t="shared" si="0"/>
        <v>31.629000000000005</v>
      </c>
      <c r="F12" s="50">
        <f t="shared" si="0"/>
        <v>28.801</v>
      </c>
      <c r="G12" s="50">
        <f t="shared" si="0"/>
        <v>32.36200000000001</v>
      </c>
      <c r="H12" s="50">
        <f t="shared" si="0"/>
        <v>33.92500000000001</v>
      </c>
      <c r="I12" s="50">
        <f t="shared" si="0"/>
        <v>0</v>
      </c>
    </row>
    <row r="13" spans="1:9" ht="15">
      <c r="A13" s="43" t="str">
        <f>HLOOKUP(INDICE!$F$2,Nombres!$C$3:$D$636,38,FALSE)</f>
        <v>Gastos de explotación</v>
      </c>
      <c r="B13" s="44">
        <v>-13.061000000000002</v>
      </c>
      <c r="C13" s="44">
        <v>-9.141</v>
      </c>
      <c r="D13" s="44">
        <v>-11.742999999999999</v>
      </c>
      <c r="E13" s="45">
        <v>-12.716000000000001</v>
      </c>
      <c r="F13" s="44">
        <v>-14.427000000000001</v>
      </c>
      <c r="G13" s="44">
        <v>-13.383</v>
      </c>
      <c r="H13" s="44">
        <v>-8.683</v>
      </c>
      <c r="I13" s="44">
        <v>0</v>
      </c>
    </row>
    <row r="14" spans="1:9" ht="15">
      <c r="A14" s="43" t="str">
        <f>HLOOKUP(INDICE!$F$2,Nombres!$C$3:$D$636,39,FALSE)</f>
        <v>  Gastos de administración</v>
      </c>
      <c r="B14" s="44">
        <v>-12.239</v>
      </c>
      <c r="C14" s="44">
        <v>-8.343</v>
      </c>
      <c r="D14" s="44">
        <v>-10.924</v>
      </c>
      <c r="E14" s="45">
        <v>-11.802</v>
      </c>
      <c r="F14" s="44">
        <v>-13.306000000000001</v>
      </c>
      <c r="G14" s="44">
        <v>-12.267999999999999</v>
      </c>
      <c r="H14" s="44">
        <v>-7.615999999999999</v>
      </c>
      <c r="I14" s="44">
        <v>0</v>
      </c>
    </row>
    <row r="15" spans="1:9" ht="15">
      <c r="A15" s="46" t="str">
        <f>HLOOKUP(INDICE!$F$2,Nombres!$C$3:$D$636,40,FALSE)</f>
        <v>  Gastos de personal</v>
      </c>
      <c r="B15" s="44">
        <v>-5.5200000000000005</v>
      </c>
      <c r="C15" s="44">
        <v>-4.043</v>
      </c>
      <c r="D15" s="44">
        <v>-4.703999999999999</v>
      </c>
      <c r="E15" s="45">
        <v>-3.5990000000000006</v>
      </c>
      <c r="F15" s="44">
        <v>-5.585</v>
      </c>
      <c r="G15" s="44">
        <v>-5.62</v>
      </c>
      <c r="H15" s="44">
        <v>-5.567</v>
      </c>
      <c r="I15" s="44">
        <v>0</v>
      </c>
    </row>
    <row r="16" spans="1:9" ht="15">
      <c r="A16" s="46" t="str">
        <f>HLOOKUP(INDICE!$F$2,Nombres!$C$3:$D$636,41,FALSE)</f>
        <v>  Otros gastos de administración</v>
      </c>
      <c r="B16" s="44">
        <v>-6.719</v>
      </c>
      <c r="C16" s="44">
        <v>-4.3</v>
      </c>
      <c r="D16" s="44">
        <v>-6.220000000000001</v>
      </c>
      <c r="E16" s="45">
        <v>-8.203</v>
      </c>
      <c r="F16" s="44">
        <v>-7.721</v>
      </c>
      <c r="G16" s="44">
        <v>-6.648</v>
      </c>
      <c r="H16" s="44">
        <v>-2.0489999999999986</v>
      </c>
      <c r="I16" s="44">
        <v>0</v>
      </c>
    </row>
    <row r="17" spans="1:9" ht="15">
      <c r="A17" s="43" t="str">
        <f>HLOOKUP(INDICE!$F$2,Nombres!$C$3:$D$636,42,FALSE)</f>
        <v>  Amortización</v>
      </c>
      <c r="B17" s="44">
        <v>-0.822</v>
      </c>
      <c r="C17" s="44">
        <v>-0.798</v>
      </c>
      <c r="D17" s="44">
        <v>-0.8190000000000001</v>
      </c>
      <c r="E17" s="45">
        <v>-0.9139999999999999</v>
      </c>
      <c r="F17" s="44">
        <v>-1.121</v>
      </c>
      <c r="G17" s="44">
        <v>-1.115</v>
      </c>
      <c r="H17" s="44">
        <v>-1.0670000000000002</v>
      </c>
      <c r="I17" s="44">
        <v>0</v>
      </c>
    </row>
    <row r="18" spans="1:9" ht="15">
      <c r="A18" s="41" t="str">
        <f>HLOOKUP(INDICE!$F$2,Nombres!$C$3:$D$636,43,FALSE)</f>
        <v>Margen neto</v>
      </c>
      <c r="B18" s="50">
        <f aca="true" t="shared" si="1" ref="B18:I18">+B12+B13</f>
        <v>26.580000000000005</v>
      </c>
      <c r="C18" s="50">
        <f t="shared" si="1"/>
        <v>23.868999999999986</v>
      </c>
      <c r="D18" s="50">
        <f t="shared" si="1"/>
        <v>15.105999999999991</v>
      </c>
      <c r="E18" s="279">
        <f t="shared" si="1"/>
        <v>18.913000000000004</v>
      </c>
      <c r="F18" s="50">
        <f t="shared" si="1"/>
        <v>14.373999999999997</v>
      </c>
      <c r="G18" s="50">
        <f t="shared" si="1"/>
        <v>18.97900000000001</v>
      </c>
      <c r="H18" s="50">
        <f t="shared" si="1"/>
        <v>25.24200000000001</v>
      </c>
      <c r="I18" s="50">
        <f t="shared" si="1"/>
        <v>0</v>
      </c>
    </row>
    <row r="19" spans="1:9" ht="15">
      <c r="A19" s="43" t="str">
        <f>HLOOKUP(INDICE!$F$2,Nombres!$C$3:$D$636,44,FALSE)</f>
        <v>Deterioro de activos financieros no valorados a valor razonable con cambios en resultados</v>
      </c>
      <c r="B19" s="44">
        <v>-18.37</v>
      </c>
      <c r="C19" s="44">
        <v>-23.144</v>
      </c>
      <c r="D19" s="44">
        <v>1.0580000000000003</v>
      </c>
      <c r="E19" s="45">
        <v>-8.671000000000003</v>
      </c>
      <c r="F19" s="44">
        <v>0.5200000000000006</v>
      </c>
      <c r="G19" s="44">
        <v>1.5740000000000003</v>
      </c>
      <c r="H19" s="44">
        <v>-5.572</v>
      </c>
      <c r="I19" s="44">
        <v>0</v>
      </c>
    </row>
    <row r="20" spans="1:9" ht="15">
      <c r="A20" s="43" t="str">
        <f>HLOOKUP(INDICE!$F$2,Nombres!$C$3:$D$636,45,FALSE)</f>
        <v>Provisiones o reversión de provisiones y otros resultados</v>
      </c>
      <c r="B20" s="44">
        <v>-0.256</v>
      </c>
      <c r="C20" s="44">
        <v>-0.2</v>
      </c>
      <c r="D20" s="44">
        <v>-0.13599999999999995</v>
      </c>
      <c r="E20" s="45">
        <v>-0.988</v>
      </c>
      <c r="F20" s="44">
        <v>0.455</v>
      </c>
      <c r="G20" s="44">
        <v>0.28099999999999997</v>
      </c>
      <c r="H20" s="44">
        <v>0.4830000000000001</v>
      </c>
      <c r="I20" s="44">
        <v>0</v>
      </c>
    </row>
    <row r="21" spans="1:9" ht="15">
      <c r="A21" s="41" t="str">
        <f>HLOOKUP(INDICE!$F$2,Nombres!$C$3:$D$636,46,FALSE)</f>
        <v>Resultado antes de impuestos</v>
      </c>
      <c r="B21" s="50">
        <f aca="true" t="shared" si="2" ref="B21:I21">+B18+B19+B20</f>
        <v>7.954000000000004</v>
      </c>
      <c r="C21" s="50">
        <f t="shared" si="2"/>
        <v>0.5249999999999873</v>
      </c>
      <c r="D21" s="50">
        <f t="shared" si="2"/>
        <v>16.02799999999999</v>
      </c>
      <c r="E21" s="279">
        <f t="shared" si="2"/>
        <v>9.254000000000001</v>
      </c>
      <c r="F21" s="50">
        <f t="shared" si="2"/>
        <v>15.348999999999998</v>
      </c>
      <c r="G21" s="50">
        <f t="shared" si="2"/>
        <v>20.83400000000001</v>
      </c>
      <c r="H21" s="50">
        <f t="shared" si="2"/>
        <v>20.153000000000013</v>
      </c>
      <c r="I21" s="50">
        <f t="shared" si="2"/>
        <v>0</v>
      </c>
    </row>
    <row r="22" spans="1:9" ht="15">
      <c r="A22" s="43" t="str">
        <f>HLOOKUP(INDICE!$F$2,Nombres!$C$3:$D$636,47,FALSE)</f>
        <v>Impuesto sobre beneficios</v>
      </c>
      <c r="B22" s="44">
        <v>-1.3370000000000002</v>
      </c>
      <c r="C22" s="44">
        <v>0.052000000000000074</v>
      </c>
      <c r="D22" s="44">
        <v>-4.55</v>
      </c>
      <c r="E22" s="45">
        <v>-1.7940000000000005</v>
      </c>
      <c r="F22" s="44">
        <v>-3.4979999999999998</v>
      </c>
      <c r="G22" s="44">
        <v>-5.191000000000001</v>
      </c>
      <c r="H22" s="44">
        <v>-4.861000000000001</v>
      </c>
      <c r="I22" s="44">
        <v>0</v>
      </c>
    </row>
    <row r="23" spans="1:9" ht="15">
      <c r="A23" s="41" t="str">
        <f>HLOOKUP(INDICE!$F$2,Nombres!$C$3:$D$636,48,FALSE)</f>
        <v>Resultado del ejercicio</v>
      </c>
      <c r="B23" s="50">
        <f aca="true" t="shared" si="3" ref="B23:I23">+B21+B22</f>
        <v>6.617000000000004</v>
      </c>
      <c r="C23" s="50">
        <f t="shared" si="3"/>
        <v>0.5769999999999873</v>
      </c>
      <c r="D23" s="50">
        <f t="shared" si="3"/>
        <v>11.47799999999999</v>
      </c>
      <c r="E23" s="279">
        <f t="shared" si="3"/>
        <v>7.460000000000001</v>
      </c>
      <c r="F23" s="50">
        <f t="shared" si="3"/>
        <v>11.850999999999999</v>
      </c>
      <c r="G23" s="50">
        <f t="shared" si="3"/>
        <v>15.64300000000001</v>
      </c>
      <c r="H23" s="50">
        <f t="shared" si="3"/>
        <v>15.292000000000012</v>
      </c>
      <c r="I23" s="50">
        <f t="shared" si="3"/>
        <v>0</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I25">+B23+B24</f>
        <v>6.617000000000004</v>
      </c>
      <c r="C25" s="51">
        <f t="shared" si="4"/>
        <v>0.5769999999999873</v>
      </c>
      <c r="D25" s="51">
        <f t="shared" si="4"/>
        <v>11.47799999999999</v>
      </c>
      <c r="E25" s="80">
        <f t="shared" si="4"/>
        <v>7.460000000000001</v>
      </c>
      <c r="F25" s="51">
        <f t="shared" si="4"/>
        <v>11.850999999999999</v>
      </c>
      <c r="G25" s="51">
        <f t="shared" si="4"/>
        <v>15.64300000000001</v>
      </c>
      <c r="H25" s="51">
        <f t="shared" si="4"/>
        <v>15.292000000000012</v>
      </c>
      <c r="I25" s="51">
        <f t="shared" si="4"/>
        <v>0</v>
      </c>
    </row>
    <row r="26" spans="1:9" ht="15">
      <c r="A26" s="277"/>
      <c r="B26" s="278"/>
      <c r="C26" s="278"/>
      <c r="D26" s="278"/>
      <c r="E26" s="278"/>
      <c r="F26" s="278"/>
      <c r="G26" s="278"/>
      <c r="H26" s="278"/>
      <c r="I26" s="278"/>
    </row>
    <row r="27" spans="1:10" s="290" customFormat="1" ht="15">
      <c r="A27" s="41"/>
      <c r="B27" s="41"/>
      <c r="C27" s="41"/>
      <c r="D27" s="41"/>
      <c r="E27" s="41"/>
      <c r="F27" s="41"/>
      <c r="G27" s="41"/>
      <c r="H27" s="41"/>
      <c r="I27" s="41"/>
      <c r="J27" s="31"/>
    </row>
    <row r="28" spans="1:10" s="290" customFormat="1" ht="18">
      <c r="A28" s="33" t="str">
        <f>HLOOKUP(INDICE!$F$2,Nombres!$C$3:$D$636,51,FALSE)</f>
        <v>Balances</v>
      </c>
      <c r="B28" s="34"/>
      <c r="C28" s="34"/>
      <c r="D28" s="34"/>
      <c r="E28" s="34"/>
      <c r="F28" s="34"/>
      <c r="G28" s="34"/>
      <c r="H28" s="34"/>
      <c r="I28" s="34"/>
      <c r="J28" s="31"/>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8.73</v>
      </c>
      <c r="C31" s="44">
        <v>10.648</v>
      </c>
      <c r="D31" s="44">
        <v>24.927</v>
      </c>
      <c r="E31" s="45">
        <v>30.395000000000003</v>
      </c>
      <c r="F31" s="44">
        <v>20.195</v>
      </c>
      <c r="G31" s="44">
        <v>31.8</v>
      </c>
      <c r="H31" s="44">
        <v>17.276</v>
      </c>
      <c r="I31" s="44">
        <v>0</v>
      </c>
    </row>
    <row r="32" spans="1:9" ht="15">
      <c r="A32" s="43" t="str">
        <f>HLOOKUP(INDICE!$F$2,Nombres!$C$3:$D$636,53,FALSE)</f>
        <v>Activos financieros a valor razonable</v>
      </c>
      <c r="B32" s="58">
        <v>0</v>
      </c>
      <c r="C32" s="58">
        <v>0</v>
      </c>
      <c r="D32" s="58">
        <v>163.319</v>
      </c>
      <c r="E32" s="65">
        <v>0</v>
      </c>
      <c r="F32" s="44">
        <v>0</v>
      </c>
      <c r="G32" s="44">
        <v>2.784</v>
      </c>
      <c r="H32" s="44">
        <v>0</v>
      </c>
      <c r="I32" s="44">
        <v>0</v>
      </c>
    </row>
    <row r="33" spans="1:9" ht="15">
      <c r="A33" s="43" t="str">
        <f>HLOOKUP(INDICE!$F$2,Nombres!$C$3:$D$636,54,FALSE)</f>
        <v>Activos financieros a coste amortizado</v>
      </c>
      <c r="B33" s="44">
        <v>1715.863</v>
      </c>
      <c r="C33" s="44">
        <v>1664.4769999999999</v>
      </c>
      <c r="D33" s="44">
        <v>1604.7350000000001</v>
      </c>
      <c r="E33" s="45">
        <v>1774.347</v>
      </c>
      <c r="F33" s="44">
        <v>1543.154</v>
      </c>
      <c r="G33" s="44">
        <v>1493.4980000000005</v>
      </c>
      <c r="H33" s="44">
        <v>1442.3569999999997</v>
      </c>
      <c r="I33" s="44">
        <v>0</v>
      </c>
    </row>
    <row r="34" spans="1:9" ht="15">
      <c r="A34" s="43" t="str">
        <f>HLOOKUP(INDICE!$F$2,Nombres!$C$3:$D$636,55,FALSE)</f>
        <v>    de los que préstamos y anticipos a la clientela</v>
      </c>
      <c r="B34" s="44">
        <v>1632.586</v>
      </c>
      <c r="C34" s="44">
        <v>1509.729</v>
      </c>
      <c r="D34" s="44">
        <v>1503.2589999999998</v>
      </c>
      <c r="E34" s="45">
        <v>1563.711</v>
      </c>
      <c r="F34" s="44">
        <v>1498.221</v>
      </c>
      <c r="G34" s="44">
        <v>1476.1489999999997</v>
      </c>
      <c r="H34" s="44">
        <v>1392.7369999999999</v>
      </c>
      <c r="I34" s="44">
        <v>0</v>
      </c>
    </row>
    <row r="35" spans="1:9" ht="15">
      <c r="A35" s="43"/>
      <c r="B35" s="44"/>
      <c r="C35" s="44"/>
      <c r="D35" s="44"/>
      <c r="E35" s="45"/>
      <c r="F35" s="44"/>
      <c r="G35" s="44"/>
      <c r="H35" s="44"/>
      <c r="I35" s="44"/>
    </row>
    <row r="36" spans="1:9" ht="15">
      <c r="A36" s="43" t="str">
        <f>HLOOKUP(INDICE!$F$2,Nombres!$C$3:$D$636,56,FALSE)</f>
        <v>Activos tangibles</v>
      </c>
      <c r="B36" s="44">
        <v>11.372</v>
      </c>
      <c r="C36" s="44">
        <v>10.92</v>
      </c>
      <c r="D36" s="44">
        <v>10.417</v>
      </c>
      <c r="E36" s="45">
        <v>10.311</v>
      </c>
      <c r="F36" s="44">
        <v>9.796000000000001</v>
      </c>
      <c r="G36" s="44">
        <v>9.110999999999999</v>
      </c>
      <c r="H36" s="44">
        <v>8.038</v>
      </c>
      <c r="I36" s="44">
        <v>0</v>
      </c>
    </row>
    <row r="37" spans="1:9" ht="15">
      <c r="A37" s="43" t="str">
        <f>HLOOKUP(INDICE!$F$2,Nombres!$C$3:$D$636,57,FALSE)</f>
        <v>Otros activos</v>
      </c>
      <c r="B37" s="58">
        <f>+B38-B36-B33-B32-B31</f>
        <v>188.924</v>
      </c>
      <c r="C37" s="58">
        <f aca="true" t="shared" si="5" ref="C37:I37">+C38-C36-C33-C32-C31</f>
        <v>162.15199999999973</v>
      </c>
      <c r="D37" s="58">
        <f t="shared" si="5"/>
        <v>162.2430094499997</v>
      </c>
      <c r="E37" s="65">
        <f t="shared" si="5"/>
        <v>185.94099999999978</v>
      </c>
      <c r="F37" s="44">
        <f t="shared" si="5"/>
        <v>191.50400000000008</v>
      </c>
      <c r="G37" s="44">
        <f t="shared" si="5"/>
        <v>184.1129999999999</v>
      </c>
      <c r="H37" s="44">
        <f t="shared" si="5"/>
        <v>182.85500022000002</v>
      </c>
      <c r="I37" s="44">
        <f t="shared" si="5"/>
        <v>0</v>
      </c>
    </row>
    <row r="38" spans="1:9" ht="15">
      <c r="A38" s="47" t="str">
        <f>HLOOKUP(INDICE!$F$2,Nombres!$C$3:$D$636,58,FALSE)</f>
        <v>Total activo / pasivo</v>
      </c>
      <c r="B38" s="47">
        <v>1924.8890000000001</v>
      </c>
      <c r="C38" s="47">
        <v>1848.1969999999997</v>
      </c>
      <c r="D38" s="47">
        <v>1965.6410094499997</v>
      </c>
      <c r="E38" s="47">
        <v>2000.9939999999997</v>
      </c>
      <c r="F38" s="51">
        <v>1764.6490000000001</v>
      </c>
      <c r="G38" s="51">
        <v>1721.3060000000005</v>
      </c>
      <c r="H38" s="51">
        <v>1650.5260002199998</v>
      </c>
      <c r="I38" s="51">
        <v>0</v>
      </c>
    </row>
    <row r="39" spans="1:9" ht="15">
      <c r="A39" s="43" t="str">
        <f>HLOOKUP(INDICE!$F$2,Nombres!$C$3:$D$636,59,FALSE)</f>
        <v>Pasivos financieros mantenidos para negociar y designados a valor razonable con cambios en resultados</v>
      </c>
      <c r="B39" s="58">
        <v>0</v>
      </c>
      <c r="C39" s="58">
        <v>0</v>
      </c>
      <c r="D39" s="58">
        <v>0</v>
      </c>
      <c r="E39" s="65">
        <v>0</v>
      </c>
      <c r="F39" s="44">
        <v>0</v>
      </c>
      <c r="G39" s="44">
        <v>0</v>
      </c>
      <c r="H39" s="44">
        <v>0</v>
      </c>
      <c r="I39" s="44">
        <v>0</v>
      </c>
    </row>
    <row r="40" spans="1:9" ht="15.75" customHeight="1">
      <c r="A40" s="43" t="str">
        <f>HLOOKUP(INDICE!$F$2,Nombres!$C$3:$D$636,60,FALSE)</f>
        <v>Depósitos de bancos centrales y entidades de crédito</v>
      </c>
      <c r="B40" s="58">
        <v>579.9309999999999</v>
      </c>
      <c r="C40" s="58">
        <v>587.071</v>
      </c>
      <c r="D40" s="58">
        <v>589.679</v>
      </c>
      <c r="E40" s="65">
        <v>552.606</v>
      </c>
      <c r="F40" s="44">
        <v>424.039</v>
      </c>
      <c r="G40" s="44">
        <v>422.686</v>
      </c>
      <c r="H40" s="44">
        <v>381.438</v>
      </c>
      <c r="I40" s="44">
        <v>0</v>
      </c>
    </row>
    <row r="41" spans="1:9" ht="15">
      <c r="A41" s="43" t="str">
        <f>HLOOKUP(INDICE!$F$2,Nombres!$C$3:$D$636,61,FALSE)</f>
        <v>Depósitos de la clientela</v>
      </c>
      <c r="B41" s="58">
        <v>4.079000000000001</v>
      </c>
      <c r="C41" s="58">
        <v>3.553</v>
      </c>
      <c r="D41" s="58">
        <v>4.577999999999999</v>
      </c>
      <c r="E41" s="65">
        <v>4.954</v>
      </c>
      <c r="F41" s="44">
        <v>5.29</v>
      </c>
      <c r="G41" s="44">
        <v>7.186</v>
      </c>
      <c r="H41" s="44">
        <v>6.383</v>
      </c>
      <c r="I41" s="44">
        <v>0</v>
      </c>
    </row>
    <row r="42" spans="1:9" ht="15">
      <c r="A42" s="43" t="str">
        <f>HLOOKUP(INDICE!$F$2,Nombres!$C$3:$D$636,62,FALSE)</f>
        <v>Valores representativos de deuda emitidos</v>
      </c>
      <c r="B42" s="44">
        <v>975.4596240000001</v>
      </c>
      <c r="C42" s="44">
        <v>936.1515776</v>
      </c>
      <c r="D42" s="44">
        <v>945.5361104</v>
      </c>
      <c r="E42" s="45">
        <v>983.9977366799999</v>
      </c>
      <c r="F42" s="44">
        <v>865.592976</v>
      </c>
      <c r="G42" s="44">
        <v>856.5218064000001</v>
      </c>
      <c r="H42" s="44">
        <v>822.8859679999999</v>
      </c>
      <c r="I42" s="44">
        <v>0</v>
      </c>
    </row>
    <row r="43" spans="1:9" ht="15">
      <c r="A43" s="43"/>
      <c r="B43" s="44"/>
      <c r="C43" s="44"/>
      <c r="D43" s="44"/>
      <c r="E43" s="45"/>
      <c r="F43" s="44"/>
      <c r="G43" s="44"/>
      <c r="H43" s="44"/>
      <c r="I43" s="44"/>
    </row>
    <row r="44" spans="1:9" ht="15">
      <c r="A44" s="43" t="str">
        <f>HLOOKUP(INDICE!$F$2,Nombres!$C$3:$D$636,63,FALSE)</f>
        <v>Otros pasivos</v>
      </c>
      <c r="B44" s="58">
        <f>+B38-B39-B40-B41-B42-B45</f>
        <v>135.01140100000006</v>
      </c>
      <c r="C44" s="58">
        <f aca="true" t="shared" si="6" ref="C44:I44">+C38-C39-C40-C41-C42-C45</f>
        <v>89.77090739999966</v>
      </c>
      <c r="D44" s="58">
        <f t="shared" si="6"/>
        <v>147.55025384999965</v>
      </c>
      <c r="E44" s="65">
        <f t="shared" si="6"/>
        <v>252.80724048999986</v>
      </c>
      <c r="F44" s="44">
        <f t="shared" si="6"/>
        <v>252.86687400000014</v>
      </c>
      <c r="G44" s="44">
        <f t="shared" si="6"/>
        <v>224.4032336000006</v>
      </c>
      <c r="H44" s="44">
        <f t="shared" si="6"/>
        <v>215.44820721999972</v>
      </c>
      <c r="I44" s="44">
        <f t="shared" si="6"/>
        <v>0</v>
      </c>
    </row>
    <row r="45" spans="1:9" ht="15">
      <c r="A45" s="43" t="str">
        <f>HLOOKUP(INDICE!$F$2,Nombres!$C$3:$D$636,282,FALSE)</f>
        <v>Dotación de capital regulatorio</v>
      </c>
      <c r="B45" s="58">
        <v>230.407975</v>
      </c>
      <c r="C45" s="58">
        <v>231.65051499999998</v>
      </c>
      <c r="D45" s="58">
        <v>278.29764520000003</v>
      </c>
      <c r="E45" s="65">
        <v>206.62902283</v>
      </c>
      <c r="F45" s="44">
        <v>216.86015</v>
      </c>
      <c r="G45" s="44">
        <v>210.50896</v>
      </c>
      <c r="H45" s="44">
        <v>224.370825</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9"/>
      <c r="G48" s="69"/>
      <c r="H48" s="69"/>
      <c r="I48" s="69"/>
    </row>
    <row r="49" spans="1:9" ht="15">
      <c r="A49" s="35" t="str">
        <f>HLOOKUP(INDICE!$F$2,Nombres!$C$3:$D$636,32,FALSE)</f>
        <v>(Millones de euros)</v>
      </c>
      <c r="B49" s="30"/>
      <c r="C49" s="30"/>
      <c r="D49" s="30"/>
      <c r="E49" s="30"/>
      <c r="F49" s="70"/>
      <c r="G49" s="44"/>
      <c r="H49" s="44"/>
      <c r="I49" s="44"/>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43" t="str">
        <f>HLOOKUP(INDICE!$F$2,Nombres!$C$3:$D$636,66,FALSE)</f>
        <v>Préstamos y anticipos a la clientela bruto (*)</v>
      </c>
      <c r="B51" s="44">
        <v>1633.3490000000002</v>
      </c>
      <c r="C51" s="44">
        <v>1526.683</v>
      </c>
      <c r="D51" s="44">
        <v>1524.5109999999997</v>
      </c>
      <c r="E51" s="45">
        <v>1560.565</v>
      </c>
      <c r="F51" s="286">
        <v>1560.821</v>
      </c>
      <c r="G51" s="44">
        <v>1532.1939999999997</v>
      </c>
      <c r="H51" s="44">
        <v>1445.6029999999998</v>
      </c>
      <c r="I51" s="44">
        <v>0</v>
      </c>
    </row>
    <row r="52" spans="1:9" ht="15">
      <c r="A52" s="43" t="str">
        <f>HLOOKUP(INDICE!$F$2,Nombres!$C$3:$D$636,67,FALSE)</f>
        <v>Depósitos de clientes en gestión (**)</v>
      </c>
      <c r="B52" s="44">
        <v>4.079</v>
      </c>
      <c r="C52" s="44">
        <v>3.553</v>
      </c>
      <c r="D52" s="44">
        <v>4.577999999999999</v>
      </c>
      <c r="E52" s="45">
        <v>4.954</v>
      </c>
      <c r="F52" s="286">
        <v>5.289999999999999</v>
      </c>
      <c r="G52" s="44">
        <v>7.186</v>
      </c>
      <c r="H52" s="44">
        <v>6.382999999999999</v>
      </c>
      <c r="I52" s="44">
        <v>0</v>
      </c>
    </row>
    <row r="53" spans="1:9" ht="15">
      <c r="A53" s="43" t="str">
        <f>HLOOKUP(INDICE!$F$2,Nombres!$C$3:$D$636,68,FALSE)</f>
        <v>Fondos de inversión</v>
      </c>
      <c r="B53" s="44">
        <v>0</v>
      </c>
      <c r="C53" s="44">
        <v>0</v>
      </c>
      <c r="D53" s="44">
        <v>0</v>
      </c>
      <c r="E53" s="45">
        <v>0</v>
      </c>
      <c r="F53" s="286">
        <v>0</v>
      </c>
      <c r="G53" s="44">
        <v>0</v>
      </c>
      <c r="H53" s="44">
        <v>0</v>
      </c>
      <c r="I53" s="44">
        <v>0</v>
      </c>
    </row>
    <row r="54" spans="1:9" ht="15">
      <c r="A54" s="43" t="str">
        <f>HLOOKUP(INDICE!$F$2,Nombres!$C$3:$D$636,69,FALSE)</f>
        <v>Fondos de pensiones</v>
      </c>
      <c r="B54" s="44">
        <v>0</v>
      </c>
      <c r="C54" s="44">
        <v>0</v>
      </c>
      <c r="D54" s="44">
        <v>0</v>
      </c>
      <c r="E54" s="45">
        <v>0</v>
      </c>
      <c r="F54" s="286">
        <v>0</v>
      </c>
      <c r="G54" s="44">
        <v>0</v>
      </c>
      <c r="H54" s="44">
        <v>0</v>
      </c>
      <c r="I54" s="44">
        <v>0</v>
      </c>
    </row>
    <row r="55" spans="1:9" ht="15">
      <c r="A55" s="43" t="str">
        <f>HLOOKUP(INDICE!$F$2,Nombres!$C$3:$D$636,70,FALSE)</f>
        <v>Otros recursos fuera de balance</v>
      </c>
      <c r="B55" s="44">
        <v>0</v>
      </c>
      <c r="C55" s="44">
        <v>0</v>
      </c>
      <c r="D55" s="44">
        <v>0</v>
      </c>
      <c r="E55" s="45">
        <v>0</v>
      </c>
      <c r="F55" s="286">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38.11621412233577</v>
      </c>
      <c r="C64" s="50">
        <v>34.997780064532755</v>
      </c>
      <c r="D64" s="50">
        <v>30.533428460123773</v>
      </c>
      <c r="E64" s="279">
        <v>32.95464261986489</v>
      </c>
      <c r="F64" s="50">
        <v>33.092680278263984</v>
      </c>
      <c r="G64" s="50">
        <v>35.8086767697416</v>
      </c>
      <c r="H64" s="50">
        <v>35.24464295199442</v>
      </c>
      <c r="I64" s="50">
        <v>0</v>
      </c>
    </row>
    <row r="65" spans="1:9" ht="15">
      <c r="A65" s="43" t="str">
        <f>HLOOKUP(INDICE!$F$2,Nombres!$C$3:$D$636,34,FALSE)</f>
        <v>Comisiones netas</v>
      </c>
      <c r="B65" s="44">
        <v>1.2828537250696588</v>
      </c>
      <c r="C65" s="44">
        <v>-1.0036609290050498</v>
      </c>
      <c r="D65" s="44">
        <v>-2.585534439703197</v>
      </c>
      <c r="E65" s="45">
        <v>-0.13974597776937037</v>
      </c>
      <c r="F65" s="44">
        <v>-4.1433867979721235</v>
      </c>
      <c r="G65" s="44">
        <v>-4.4724808195243355</v>
      </c>
      <c r="H65" s="44">
        <v>-1.0381323825035413</v>
      </c>
      <c r="I65" s="44">
        <v>0</v>
      </c>
    </row>
    <row r="66" spans="1:9" ht="15">
      <c r="A66" s="43" t="str">
        <f>HLOOKUP(INDICE!$F$2,Nombres!$C$3:$D$636,35,FALSE)</f>
        <v>Resultados de operaciones financieras</v>
      </c>
      <c r="B66" s="44">
        <v>0.3473140758013319</v>
      </c>
      <c r="C66" s="44">
        <v>0.0669065089054327</v>
      </c>
      <c r="D66" s="44">
        <v>-0.004454080896807822</v>
      </c>
      <c r="E66" s="45">
        <v>0.06532125522449048</v>
      </c>
      <c r="F66" s="44">
        <v>0.039573894918549415</v>
      </c>
      <c r="G66" s="44">
        <v>-0.03366991984945638</v>
      </c>
      <c r="H66" s="44">
        <v>0.5170960249309069</v>
      </c>
      <c r="I66" s="44">
        <v>0</v>
      </c>
    </row>
    <row r="67" spans="1:9" ht="15">
      <c r="A67" s="43" t="str">
        <f>HLOOKUP(INDICE!$F$2,Nombres!$C$3:$D$636,36,FALSE)</f>
        <v>Otros ingresos y cargas de explotación</v>
      </c>
      <c r="B67" s="44">
        <v>0.04517090581231193</v>
      </c>
      <c r="C67" s="44">
        <v>-0.09390273930722544</v>
      </c>
      <c r="D67" s="44">
        <v>-0.026885925312909002</v>
      </c>
      <c r="E67" s="45">
        <v>-0.2929848128568348</v>
      </c>
      <c r="F67" s="44">
        <v>-0.4946736864818677</v>
      </c>
      <c r="G67" s="44">
        <v>0.38741813939334396</v>
      </c>
      <c r="H67" s="44">
        <v>0.1802555470885237</v>
      </c>
      <c r="I67" s="44">
        <v>0</v>
      </c>
    </row>
    <row r="68" spans="1:9" ht="15">
      <c r="A68" s="41" t="str">
        <f>HLOOKUP(INDICE!$F$2,Nombres!$C$3:$D$636,37,FALSE)</f>
        <v>Margen bruto</v>
      </c>
      <c r="B68" s="50">
        <f>+SUM(B64:B67)</f>
        <v>39.79155282901907</v>
      </c>
      <c r="C68" s="50">
        <f>+SUM(C64:C67)</f>
        <v>33.96712290512591</v>
      </c>
      <c r="D68" s="50">
        <f aca="true" t="shared" si="9" ref="D68:I68">+SUM(D64:D67)</f>
        <v>27.916554014210863</v>
      </c>
      <c r="E68" s="279">
        <f t="shared" si="9"/>
        <v>32.58723308446317</v>
      </c>
      <c r="F68" s="50">
        <f t="shared" si="9"/>
        <v>28.494193688728544</v>
      </c>
      <c r="G68" s="50">
        <f t="shared" si="9"/>
        <v>31.689944169761155</v>
      </c>
      <c r="H68" s="50">
        <f t="shared" si="9"/>
        <v>34.90386214151031</v>
      </c>
      <c r="I68" s="50">
        <f t="shared" si="9"/>
        <v>0</v>
      </c>
    </row>
    <row r="69" spans="1:9" ht="15">
      <c r="A69" s="43" t="str">
        <f>HLOOKUP(INDICE!$F$2,Nombres!$C$3:$D$636,38,FALSE)</f>
        <v>Gastos de explotación</v>
      </c>
      <c r="B69" s="44">
        <v>-13.11060446254681</v>
      </c>
      <c r="C69" s="44">
        <v>-9.429899021912963</v>
      </c>
      <c r="D69" s="44">
        <v>-12.14658871461499</v>
      </c>
      <c r="E69" s="45">
        <v>-13.08892056882684</v>
      </c>
      <c r="F69" s="44">
        <v>-14.273314549747813</v>
      </c>
      <c r="G69" s="44">
        <v>-13.091609895498472</v>
      </c>
      <c r="H69" s="44">
        <v>-9.128075554753716</v>
      </c>
      <c r="I69" s="44">
        <v>0</v>
      </c>
    </row>
    <row r="70" spans="1:9" ht="15">
      <c r="A70" s="43" t="str">
        <f>HLOOKUP(INDICE!$F$2,Nombres!$C$3:$D$636,39,FALSE)</f>
        <v>  Gastos de administración</v>
      </c>
      <c r="B70" s="44">
        <v>-12.285482583041912</v>
      </c>
      <c r="C70" s="44">
        <v>-8.610321520964531</v>
      </c>
      <c r="D70" s="44">
        <v>-11.298967639226714</v>
      </c>
      <c r="E70" s="45">
        <v>-12.148117628025124</v>
      </c>
      <c r="F70" s="44">
        <v>-13.164256144655464</v>
      </c>
      <c r="G70" s="44">
        <v>-12.000453591508808</v>
      </c>
      <c r="H70" s="44">
        <v>-8.025290263835727</v>
      </c>
      <c r="I70" s="44">
        <v>0</v>
      </c>
    </row>
    <row r="71" spans="1:9" ht="15">
      <c r="A71" s="46" t="str">
        <f>HLOOKUP(INDICE!$F$2,Nombres!$C$3:$D$636,40,FALSE)</f>
        <v>  Gastos de personal</v>
      </c>
      <c r="B71" s="44">
        <v>-5.540964446310266</v>
      </c>
      <c r="C71" s="44">
        <v>-4.167838131020101</v>
      </c>
      <c r="D71" s="44">
        <v>-4.870096948496695</v>
      </c>
      <c r="E71" s="45">
        <v>-3.7140269890639614</v>
      </c>
      <c r="F71" s="44">
        <v>-5.525505078002462</v>
      </c>
      <c r="G71" s="44">
        <v>-5.500168363528807</v>
      </c>
      <c r="H71" s="44">
        <v>-5.746326558468731</v>
      </c>
      <c r="I71" s="44">
        <v>0</v>
      </c>
    </row>
    <row r="72" spans="1:9" ht="15">
      <c r="A72" s="46" t="str">
        <f>HLOOKUP(INDICE!$F$2,Nombres!$C$3:$D$636,41,FALSE)</f>
        <v>  Otros gastos de administración</v>
      </c>
      <c r="B72" s="44">
        <v>-6.744518136731646</v>
      </c>
      <c r="C72" s="44">
        <v>-4.442483389944431</v>
      </c>
      <c r="D72" s="44">
        <v>-6.428870690730019</v>
      </c>
      <c r="E72" s="45">
        <v>-8.434090638961163</v>
      </c>
      <c r="F72" s="44">
        <v>-7.6387510666530005</v>
      </c>
      <c r="G72" s="44">
        <v>-6.500285227980003</v>
      </c>
      <c r="H72" s="44">
        <v>-2.278963705366996</v>
      </c>
      <c r="I72" s="44">
        <v>0</v>
      </c>
    </row>
    <row r="73" spans="1:9" ht="15">
      <c r="A73" s="43" t="str">
        <f>HLOOKUP(INDICE!$F$2,Nombres!$C$3:$D$636,42,FALSE)</f>
        <v>  Amortización</v>
      </c>
      <c r="B73" s="44">
        <v>-0.8251218795048982</v>
      </c>
      <c r="C73" s="44">
        <v>-0.8195775009484315</v>
      </c>
      <c r="D73" s="44">
        <v>-0.8476210753882774</v>
      </c>
      <c r="E73" s="45">
        <v>-0.9408029408017154</v>
      </c>
      <c r="F73" s="44">
        <v>-1.1090584050923475</v>
      </c>
      <c r="G73" s="44">
        <v>-1.0911563039896621</v>
      </c>
      <c r="H73" s="44">
        <v>-1.1027852909179905</v>
      </c>
      <c r="I73" s="44">
        <v>0</v>
      </c>
    </row>
    <row r="74" spans="1:9" ht="15">
      <c r="A74" s="41" t="str">
        <f>HLOOKUP(INDICE!$F$2,Nombres!$C$3:$D$636,43,FALSE)</f>
        <v>Margen neto</v>
      </c>
      <c r="B74" s="50">
        <f aca="true" t="shared" si="10" ref="B74:I74">+B68+B69</f>
        <v>26.680948366472258</v>
      </c>
      <c r="C74" s="50">
        <f t="shared" si="10"/>
        <v>24.53722388321295</v>
      </c>
      <c r="D74" s="50">
        <f t="shared" si="10"/>
        <v>15.769965299595873</v>
      </c>
      <c r="E74" s="279">
        <f t="shared" si="10"/>
        <v>19.498312515636332</v>
      </c>
      <c r="F74" s="50">
        <f t="shared" si="10"/>
        <v>14.220879138980731</v>
      </c>
      <c r="G74" s="50">
        <f t="shared" si="10"/>
        <v>18.598334274262683</v>
      </c>
      <c r="H74" s="50">
        <f t="shared" si="10"/>
        <v>25.775786586756595</v>
      </c>
      <c r="I74" s="50">
        <f t="shared" si="10"/>
        <v>0</v>
      </c>
    </row>
    <row r="75" spans="1:9" ht="15">
      <c r="A75" s="43" t="str">
        <f>HLOOKUP(INDICE!$F$2,Nombres!$C$3:$D$636,44,FALSE)</f>
        <v>Deterioro de activos financieros no valorados a valor razonable con cambios en resultados</v>
      </c>
      <c r="B75" s="44">
        <v>-18.439767550492682</v>
      </c>
      <c r="C75" s="44">
        <v>-23.70717694342061</v>
      </c>
      <c r="D75" s="44">
        <v>0.8065113813556644</v>
      </c>
      <c r="E75" s="45">
        <v>-8.960507271246879</v>
      </c>
      <c r="F75" s="44">
        <v>0.5144606339411424</v>
      </c>
      <c r="G75" s="44">
        <v>1.5460266651723318</v>
      </c>
      <c r="H75" s="44">
        <v>-5.5384872991134735</v>
      </c>
      <c r="I75" s="44">
        <v>0</v>
      </c>
    </row>
    <row r="76" spans="1:9" ht="15">
      <c r="A76" s="43" t="str">
        <f>HLOOKUP(INDICE!$F$2,Nombres!$C$3:$D$636,45,FALSE)</f>
        <v>Provisiones o reversión de provisiones y otros resultados</v>
      </c>
      <c r="B76" s="44">
        <v>-0.256972264176708</v>
      </c>
      <c r="C76" s="44">
        <v>-0.2059801540249701</v>
      </c>
      <c r="D76" s="44">
        <v>-0.14198965226090143</v>
      </c>
      <c r="E76" s="45">
        <v>-1.0128136607323055</v>
      </c>
      <c r="F76" s="44">
        <v>0.45015305469849964</v>
      </c>
      <c r="G76" s="44">
        <v>0.2740678871102477</v>
      </c>
      <c r="H76" s="44">
        <v>0.4947790581912527</v>
      </c>
      <c r="I76" s="44">
        <v>0</v>
      </c>
    </row>
    <row r="77" spans="1:9" ht="15">
      <c r="A77" s="41" t="str">
        <f>HLOOKUP(INDICE!$F$2,Nombres!$C$3:$D$636,46,FALSE)</f>
        <v>Resultado antes de impuestos</v>
      </c>
      <c r="B77" s="50">
        <f aca="true" t="shared" si="11" ref="B77:I77">+B74+B75+B76</f>
        <v>7.984208551802867</v>
      </c>
      <c r="C77" s="50">
        <f t="shared" si="11"/>
        <v>0.6240667857673692</v>
      </c>
      <c r="D77" s="50">
        <f t="shared" si="11"/>
        <v>16.434487028690636</v>
      </c>
      <c r="E77" s="279">
        <f t="shared" si="11"/>
        <v>9.524991583657147</v>
      </c>
      <c r="F77" s="50">
        <f t="shared" si="11"/>
        <v>15.185492827620374</v>
      </c>
      <c r="G77" s="50">
        <f t="shared" si="11"/>
        <v>20.418428826545263</v>
      </c>
      <c r="H77" s="50">
        <f t="shared" si="11"/>
        <v>20.732078345834374</v>
      </c>
      <c r="I77" s="50">
        <f t="shared" si="11"/>
        <v>0</v>
      </c>
    </row>
    <row r="78" spans="1:9" ht="15">
      <c r="A78" s="43" t="str">
        <f>HLOOKUP(INDICE!$F$2,Nombres!$C$3:$D$636,47,FALSE)</f>
        <v>Impuesto sobre beneficios</v>
      </c>
      <c r="B78" s="44">
        <v>-1.3420778015791353</v>
      </c>
      <c r="C78" s="44">
        <v>0.03748600905905572</v>
      </c>
      <c r="D78" s="44">
        <v>-4.657970675637271</v>
      </c>
      <c r="E78" s="45">
        <v>-1.8487403630361805</v>
      </c>
      <c r="F78" s="44">
        <v>-3.4607371106271465</v>
      </c>
      <c r="G78" s="44">
        <v>-5.089202785264439</v>
      </c>
      <c r="H78" s="44">
        <v>-5.0000601041084165</v>
      </c>
      <c r="I78" s="44">
        <v>0</v>
      </c>
    </row>
    <row r="79" spans="1:9" ht="15">
      <c r="A79" s="41" t="str">
        <f>HLOOKUP(INDICE!$F$2,Nombres!$C$3:$D$636,48,FALSE)</f>
        <v>Resultado del ejercicio</v>
      </c>
      <c r="B79" s="50">
        <f aca="true" t="shared" si="12" ref="B79:I79">+B77+B78</f>
        <v>6.642130750223732</v>
      </c>
      <c r="C79" s="50">
        <f t="shared" si="12"/>
        <v>0.6615527948264249</v>
      </c>
      <c r="D79" s="50">
        <f t="shared" si="12"/>
        <v>11.776516353053365</v>
      </c>
      <c r="E79" s="279">
        <f t="shared" si="12"/>
        <v>7.676251220620967</v>
      </c>
      <c r="F79" s="50">
        <f t="shared" si="12"/>
        <v>11.724755716993227</v>
      </c>
      <c r="G79" s="50">
        <f t="shared" si="12"/>
        <v>15.329226041280824</v>
      </c>
      <c r="H79" s="50">
        <f t="shared" si="12"/>
        <v>15.732018241725957</v>
      </c>
      <c r="I79" s="50">
        <f t="shared" si="12"/>
        <v>0</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I81">+B79+B80</f>
        <v>6.642130750223732</v>
      </c>
      <c r="C81" s="51">
        <f t="shared" si="13"/>
        <v>0.6615527948264249</v>
      </c>
      <c r="D81" s="51">
        <f t="shared" si="13"/>
        <v>11.776516353053365</v>
      </c>
      <c r="E81" s="80">
        <f t="shared" si="13"/>
        <v>7.676251220620967</v>
      </c>
      <c r="F81" s="51">
        <f t="shared" si="13"/>
        <v>11.724755716993227</v>
      </c>
      <c r="G81" s="51">
        <f t="shared" si="13"/>
        <v>15.329226041280824</v>
      </c>
      <c r="H81" s="51">
        <f t="shared" si="13"/>
        <v>15.732018241725957</v>
      </c>
      <c r="I81" s="51">
        <f t="shared" si="13"/>
        <v>0</v>
      </c>
    </row>
    <row r="82" spans="1:9" ht="15">
      <c r="A82" s="277"/>
      <c r="B82" s="278"/>
      <c r="C82" s="278"/>
      <c r="D82" s="278"/>
      <c r="E82" s="278"/>
      <c r="F82" s="278"/>
      <c r="G82" s="278"/>
      <c r="H82" s="278"/>
      <c r="I82" s="278"/>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8.699314478437238</v>
      </c>
      <c r="C87" s="44">
        <v>10.461275641321881</v>
      </c>
      <c r="D87" s="44">
        <v>24.604693161531564</v>
      </c>
      <c r="E87" s="45">
        <v>28.498078918507375</v>
      </c>
      <c r="F87" s="44">
        <v>18.630626967958516</v>
      </c>
      <c r="G87" s="44">
        <v>29.86324098022876</v>
      </c>
      <c r="H87" s="44">
        <v>17.276</v>
      </c>
      <c r="I87" s="44">
        <v>0</v>
      </c>
    </row>
    <row r="88" spans="1:9" ht="15">
      <c r="A88" s="43" t="str">
        <f>HLOOKUP(INDICE!$F$2,Nombres!$C$3:$D$636,53,FALSE)</f>
        <v>Activos financieros a valor razonable</v>
      </c>
      <c r="B88" s="58">
        <v>0</v>
      </c>
      <c r="C88" s="58">
        <v>0</v>
      </c>
      <c r="D88" s="58">
        <v>161.2072805571538</v>
      </c>
      <c r="E88" s="65">
        <v>0</v>
      </c>
      <c r="F88" s="44">
        <v>0</v>
      </c>
      <c r="G88" s="44">
        <v>2.6144422292124796</v>
      </c>
      <c r="H88" s="44">
        <v>0</v>
      </c>
      <c r="I88" s="44">
        <v>0</v>
      </c>
    </row>
    <row r="89" spans="1:9" ht="15">
      <c r="A89" s="43" t="str">
        <f>HLOOKUP(INDICE!$F$2,Nombres!$C$3:$D$636,54,FALSE)</f>
        <v>Activos financieros a coste amortizado</v>
      </c>
      <c r="B89" s="44">
        <v>1709.8318257634312</v>
      </c>
      <c r="C89" s="44">
        <v>1635.288570214174</v>
      </c>
      <c r="D89" s="44">
        <v>1583.9857295531087</v>
      </c>
      <c r="E89" s="45">
        <v>1663.6118057185981</v>
      </c>
      <c r="F89" s="44">
        <v>1423.6160697258258</v>
      </c>
      <c r="G89" s="44">
        <v>1402.537442688355</v>
      </c>
      <c r="H89" s="44">
        <v>1442.3569999999997</v>
      </c>
      <c r="I89" s="44">
        <v>0</v>
      </c>
    </row>
    <row r="90" spans="1:9" ht="15">
      <c r="A90" s="43" t="str">
        <f>HLOOKUP(INDICE!$F$2,Nombres!$C$3:$D$636,55,FALSE)</f>
        <v>    de los que préstamos y anticipos a la clientela</v>
      </c>
      <c r="B90" s="44">
        <v>1626.847540331493</v>
      </c>
      <c r="C90" s="44">
        <v>1483.2542461210785</v>
      </c>
      <c r="D90" s="44">
        <v>1483.8218171986512</v>
      </c>
      <c r="E90" s="45">
        <v>1466.1213845612133</v>
      </c>
      <c r="F90" s="44">
        <v>1382.1637319416575</v>
      </c>
      <c r="G90" s="44">
        <v>1386.245072632821</v>
      </c>
      <c r="H90" s="44">
        <v>1392.7369999999999</v>
      </c>
      <c r="I90" s="44">
        <v>0</v>
      </c>
    </row>
    <row r="91" spans="1:9" ht="15">
      <c r="A91" s="43"/>
      <c r="B91" s="44"/>
      <c r="C91" s="44"/>
      <c r="D91" s="44"/>
      <c r="E91" s="45"/>
      <c r="F91" s="44"/>
      <c r="G91" s="44"/>
      <c r="H91" s="44"/>
      <c r="I91" s="44"/>
    </row>
    <row r="92" spans="1:9" ht="15">
      <c r="A92" s="43" t="str">
        <f>HLOOKUP(INDICE!$F$2,Nombres!$C$3:$D$636,56,FALSE)</f>
        <v>Activos tangibles</v>
      </c>
      <c r="B92" s="44">
        <v>11.332027978097168</v>
      </c>
      <c r="C92" s="44">
        <v>10.728505822993515</v>
      </c>
      <c r="D92" s="44">
        <v>10.282307885572845</v>
      </c>
      <c r="E92" s="45">
        <v>9.667500961629527</v>
      </c>
      <c r="F92" s="44">
        <v>9.037168694138233</v>
      </c>
      <c r="G92" s="44">
        <v>8.556100269524032</v>
      </c>
      <c r="H92" s="44">
        <v>8.038</v>
      </c>
      <c r="I92" s="44">
        <v>0</v>
      </c>
    </row>
    <row r="93" spans="1:9" ht="15">
      <c r="A93" s="43" t="str">
        <f>HLOOKUP(INDICE!$F$2,Nombres!$C$3:$D$636,57,FALSE)</f>
        <v>Otros activos</v>
      </c>
      <c r="B93" s="58">
        <f>+B94-B92-B89-B88-B87</f>
        <v>188.25994141171546</v>
      </c>
      <c r="C93" s="58">
        <f aca="true" t="shared" si="15" ref="C93:I93">+C94-C92-C89-C88-C87</f>
        <v>159.30848683242152</v>
      </c>
      <c r="D93" s="58">
        <f t="shared" si="15"/>
        <v>160.14520259641031</v>
      </c>
      <c r="E93" s="65">
        <f t="shared" si="15"/>
        <v>174.3366110276748</v>
      </c>
      <c r="F93" s="44">
        <f t="shared" si="15"/>
        <v>176.66945218479464</v>
      </c>
      <c r="G93" s="44">
        <f t="shared" si="15"/>
        <v>172.8997134148699</v>
      </c>
      <c r="H93" s="44">
        <f t="shared" si="15"/>
        <v>182.85500022000002</v>
      </c>
      <c r="I93" s="44">
        <f t="shared" si="15"/>
        <v>0</v>
      </c>
    </row>
    <row r="94" spans="1:9" ht="15">
      <c r="A94" s="47" t="str">
        <f>HLOOKUP(INDICE!$F$2,Nombres!$C$3:$D$636,58,FALSE)</f>
        <v>Total activo / pasivo</v>
      </c>
      <c r="B94" s="47">
        <v>1918.123109631681</v>
      </c>
      <c r="C94" s="47">
        <v>1815.786838510911</v>
      </c>
      <c r="D94" s="47">
        <v>1940.2252137537773</v>
      </c>
      <c r="E94" s="47">
        <v>1876.1139966264097</v>
      </c>
      <c r="F94" s="51">
        <v>1627.9533175727172</v>
      </c>
      <c r="G94" s="51">
        <v>1616.47093958219</v>
      </c>
      <c r="H94" s="51">
        <v>1650.5260002199998</v>
      </c>
      <c r="I94" s="51">
        <v>0</v>
      </c>
    </row>
    <row r="95" spans="1:9" ht="15">
      <c r="A95" s="43" t="str">
        <f>HLOOKUP(INDICE!$F$2,Nombres!$C$3:$D$636,59,FALSE)</f>
        <v>Pasivos financieros mantenidos para negociar y designados a valor razonable con cambios en resultados</v>
      </c>
      <c r="B95" s="58">
        <v>0</v>
      </c>
      <c r="C95" s="58">
        <v>0</v>
      </c>
      <c r="D95" s="58">
        <v>0</v>
      </c>
      <c r="E95" s="65">
        <v>0</v>
      </c>
      <c r="F95" s="44">
        <v>0</v>
      </c>
      <c r="G95" s="44">
        <v>0</v>
      </c>
      <c r="H95" s="44">
        <v>0</v>
      </c>
      <c r="I95" s="44">
        <v>0</v>
      </c>
    </row>
    <row r="96" spans="1:9" ht="15">
      <c r="A96" s="43" t="str">
        <f>HLOOKUP(INDICE!$F$2,Nombres!$C$3:$D$636,60,FALSE)</f>
        <v>Depósitos de bancos centrales y entidades de crédito</v>
      </c>
      <c r="B96" s="58">
        <v>577.8925709959434</v>
      </c>
      <c r="C96" s="58">
        <v>576.7760661181892</v>
      </c>
      <c r="D96" s="58">
        <v>582.0544332971785</v>
      </c>
      <c r="E96" s="65">
        <v>518.1184207547519</v>
      </c>
      <c r="F96" s="44">
        <v>391.19150427661106</v>
      </c>
      <c r="G96" s="44">
        <v>396.94257474745194</v>
      </c>
      <c r="H96" s="44">
        <v>381.438</v>
      </c>
      <c r="I96" s="44">
        <v>0</v>
      </c>
    </row>
    <row r="97" spans="1:9" ht="15">
      <c r="A97" s="43" t="str">
        <f>HLOOKUP(INDICE!$F$2,Nombres!$C$3:$D$636,61,FALSE)</f>
        <v>Depósitos de la clientela</v>
      </c>
      <c r="B97" s="58">
        <v>4.064662515182761</v>
      </c>
      <c r="C97" s="58">
        <v>3.490694248085711</v>
      </c>
      <c r="D97" s="58">
        <v>4.518806326212198</v>
      </c>
      <c r="E97" s="65">
        <v>4.644825891175704</v>
      </c>
      <c r="F97" s="44">
        <v>4.880218700693268</v>
      </c>
      <c r="G97" s="44">
        <v>6.748341185029052</v>
      </c>
      <c r="H97" s="44">
        <v>6.383</v>
      </c>
      <c r="I97" s="44">
        <v>0</v>
      </c>
    </row>
    <row r="98" spans="1:9" ht="15">
      <c r="A98" s="43" t="str">
        <f>HLOOKUP(INDICE!$F$2,Nombres!$C$3:$D$636,62,FALSE)</f>
        <v>Valores representativos de deuda emitidos</v>
      </c>
      <c r="B98" s="44">
        <v>972.0309312937163</v>
      </c>
      <c r="C98" s="44">
        <v>919.7351329199785</v>
      </c>
      <c r="D98" s="44">
        <v>933.3103008601128</v>
      </c>
      <c r="E98" s="45">
        <v>922.5874372607097</v>
      </c>
      <c r="F98" s="44">
        <v>798.5412152483816</v>
      </c>
      <c r="G98" s="44">
        <v>804.3558839416365</v>
      </c>
      <c r="H98" s="44">
        <v>822.8859679999999</v>
      </c>
      <c r="I98" s="44">
        <v>0</v>
      </c>
    </row>
    <row r="99" spans="1:9" ht="15">
      <c r="A99" s="43"/>
      <c r="B99" s="44"/>
      <c r="C99" s="44"/>
      <c r="D99" s="44"/>
      <c r="E99" s="45"/>
      <c r="F99" s="44"/>
      <c r="G99" s="44"/>
      <c r="H99" s="44"/>
      <c r="I99" s="44"/>
    </row>
    <row r="100" spans="1:9" ht="15">
      <c r="A100" s="43" t="str">
        <f>HLOOKUP(INDICE!$F$2,Nombres!$C$3:$D$636,63,FALSE)</f>
        <v>Otros pasivos</v>
      </c>
      <c r="B100" s="58">
        <f>+B94-B95-B96-B97-B98-B101</f>
        <v>134.5368425513624</v>
      </c>
      <c r="C100" s="58">
        <f aca="true" t="shared" si="16" ref="C100:I100">+C94-C95-C96-C97-C98-C101</f>
        <v>88.19667607841706</v>
      </c>
      <c r="D100" s="58">
        <f t="shared" si="16"/>
        <v>145.64242475570023</v>
      </c>
      <c r="E100" s="65">
        <f t="shared" si="16"/>
        <v>237.02979735660728</v>
      </c>
      <c r="F100" s="44">
        <f t="shared" si="16"/>
        <v>233.27895033660633</v>
      </c>
      <c r="G100" s="44">
        <f t="shared" si="16"/>
        <v>210.73609565218152</v>
      </c>
      <c r="H100" s="44">
        <f t="shared" si="16"/>
        <v>215.44820721999972</v>
      </c>
      <c r="I100" s="44">
        <f t="shared" si="16"/>
        <v>0</v>
      </c>
    </row>
    <row r="101" spans="1:9" ht="15">
      <c r="A101" s="43" t="str">
        <f>HLOOKUP(INDICE!$F$2,Nombres!$C$3:$D$636,282,FALSE)</f>
        <v>Dotación de capital regulatorio</v>
      </c>
      <c r="B101" s="58">
        <v>229.59810227547595</v>
      </c>
      <c r="C101" s="58">
        <v>227.58826914624052</v>
      </c>
      <c r="D101" s="58">
        <v>274.69924851457364</v>
      </c>
      <c r="E101" s="65">
        <v>193.73351536316505</v>
      </c>
      <c r="F101" s="44">
        <v>200.06142901042477</v>
      </c>
      <c r="G101" s="44">
        <v>197.6880440558911</v>
      </c>
      <c r="H101" s="44">
        <v>224.370825</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1627.6078584239383</v>
      </c>
      <c r="C107" s="44">
        <v>1499.910939136008</v>
      </c>
      <c r="D107" s="44">
        <v>1504.799028217581</v>
      </c>
      <c r="E107" s="45">
        <v>1463.1717232262033</v>
      </c>
      <c r="F107" s="44">
        <v>1439.914524127555</v>
      </c>
      <c r="G107" s="44">
        <v>1438.8766871214032</v>
      </c>
      <c r="H107" s="44">
        <v>1445.6029999999998</v>
      </c>
      <c r="I107" s="44">
        <v>0</v>
      </c>
    </row>
    <row r="108" spans="1:9" ht="15">
      <c r="A108" s="43" t="str">
        <f>HLOOKUP(INDICE!$F$2,Nombres!$C$3:$D$636,67,FALSE)</f>
        <v>Depósitos de clientes en gestión (**)</v>
      </c>
      <c r="B108" s="44">
        <v>4.064662515182761</v>
      </c>
      <c r="C108" s="44">
        <v>3.490694248085711</v>
      </c>
      <c r="D108" s="44">
        <v>4.518806326212199</v>
      </c>
      <c r="E108" s="45">
        <v>4.644825891175704</v>
      </c>
      <c r="F108" s="44">
        <v>4.880218700693267</v>
      </c>
      <c r="G108" s="44">
        <v>6.7483411850290524</v>
      </c>
      <c r="H108" s="44">
        <v>6.382999999999999</v>
      </c>
      <c r="I108" s="44">
        <v>0</v>
      </c>
    </row>
    <row r="109" spans="1:9" ht="15">
      <c r="A109" s="43" t="str">
        <f>HLOOKUP(INDICE!$F$2,Nombres!$C$3:$D$636,68,FALSE)</f>
        <v>Fondos de inversión</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33617.92847489838</v>
      </c>
      <c r="C120" s="50">
        <v>30867.516464607048</v>
      </c>
      <c r="D120" s="50">
        <v>26930.025389493356</v>
      </c>
      <c r="E120" s="279">
        <v>29065.499919659036</v>
      </c>
      <c r="F120" s="50">
        <v>29187.247061492388</v>
      </c>
      <c r="G120" s="50">
        <v>31582.71518158211</v>
      </c>
      <c r="H120" s="50">
        <v>31085.245824274218</v>
      </c>
      <c r="I120" s="50">
        <v>0</v>
      </c>
    </row>
    <row r="121" spans="1:9" ht="15">
      <c r="A121" s="43" t="str">
        <f>HLOOKUP(INDICE!$F$2,Nombres!$C$3:$D$636,34,FALSE)</f>
        <v>Comisiones netas</v>
      </c>
      <c r="B121" s="44">
        <v>1131.4577212398638</v>
      </c>
      <c r="C121" s="44">
        <v>-885.2138676744896</v>
      </c>
      <c r="D121" s="44">
        <v>-2280.402549538465</v>
      </c>
      <c r="E121" s="45">
        <v>-123.25385386457992</v>
      </c>
      <c r="F121" s="44">
        <v>-3654.404935679096</v>
      </c>
      <c r="G121" s="44">
        <v>-3944.660920771166</v>
      </c>
      <c r="H121" s="44">
        <v>-915.6171720115558</v>
      </c>
      <c r="I121" s="44">
        <v>0</v>
      </c>
    </row>
    <row r="122" spans="1:9" ht="15">
      <c r="A122" s="43" t="str">
        <f>HLOOKUP(INDICE!$F$2,Nombres!$C$3:$D$636,35,FALSE)</f>
        <v>Resultados de operaciones financieras</v>
      </c>
      <c r="B122" s="44">
        <v>306.32579933411034</v>
      </c>
      <c r="C122" s="44">
        <v>59.010536137426726</v>
      </c>
      <c r="D122" s="44">
        <v>-3.92843246524194</v>
      </c>
      <c r="E122" s="45">
        <v>57.61236619616653</v>
      </c>
      <c r="F122" s="44">
        <v>34.90358104755584</v>
      </c>
      <c r="G122" s="44">
        <v>-29.696363695031685</v>
      </c>
      <c r="H122" s="44">
        <v>456.07092889623596</v>
      </c>
      <c r="I122" s="44">
        <v>0</v>
      </c>
    </row>
    <row r="123" spans="1:9" ht="15">
      <c r="A123" s="43" t="str">
        <f>HLOOKUP(INDICE!$F$2,Nombres!$C$3:$D$636,36,FALSE)</f>
        <v>Otros ingresos y cargas de explotación</v>
      </c>
      <c r="B123" s="44">
        <v>39.84006060703747</v>
      </c>
      <c r="C123" s="44">
        <v>-82.82080595663008</v>
      </c>
      <c r="D123" s="44">
        <v>-23.712982387229957</v>
      </c>
      <c r="E123" s="45">
        <v>-258.4082052650874</v>
      </c>
      <c r="F123" s="44">
        <v>-436.294763094448</v>
      </c>
      <c r="G123" s="44">
        <v>341.69698119025895</v>
      </c>
      <c r="H123" s="44">
        <v>158.98268568269657</v>
      </c>
      <c r="I123" s="44">
        <v>0</v>
      </c>
    </row>
    <row r="124" spans="1:9" ht="15">
      <c r="A124" s="41" t="str">
        <f>HLOOKUP(INDICE!$F$2,Nombres!$C$3:$D$636,37,FALSE)</f>
        <v>Margen bruto</v>
      </c>
      <c r="B124" s="50">
        <f aca="true" t="shared" si="19" ref="B124:I124">+SUM(B120:B123)</f>
        <v>35095.55205607939</v>
      </c>
      <c r="C124" s="50">
        <f t="shared" si="19"/>
        <v>29958.492327113352</v>
      </c>
      <c r="D124" s="50">
        <f t="shared" si="19"/>
        <v>24621.981425102418</v>
      </c>
      <c r="E124" s="279">
        <f t="shared" si="19"/>
        <v>28741.450226725538</v>
      </c>
      <c r="F124" s="50">
        <f t="shared" si="19"/>
        <v>25131.4509437664</v>
      </c>
      <c r="G124" s="50">
        <f t="shared" si="19"/>
        <v>27950.05487830617</v>
      </c>
      <c r="H124" s="50">
        <f t="shared" si="19"/>
        <v>30784.68226684159</v>
      </c>
      <c r="I124" s="50">
        <f t="shared" si="19"/>
        <v>0</v>
      </c>
    </row>
    <row r="125" spans="1:9" ht="15">
      <c r="A125" s="43" t="str">
        <f>HLOOKUP(INDICE!$F$2,Nombres!$C$3:$D$636,38,FALSE)</f>
        <v>Gastos de explotación</v>
      </c>
      <c r="B125" s="44">
        <v>-11563.356257522588</v>
      </c>
      <c r="C125" s="44">
        <v>-8317.029331053554</v>
      </c>
      <c r="D125" s="44">
        <v>-10713.108844213602</v>
      </c>
      <c r="E125" s="45">
        <v>-11544.231388882812</v>
      </c>
      <c r="F125" s="44">
        <v>-12588.849094327203</v>
      </c>
      <c r="G125" s="44">
        <v>-11546.603334622294</v>
      </c>
      <c r="H125" s="44">
        <v>-8050.825565421449</v>
      </c>
      <c r="I125" s="44">
        <v>0</v>
      </c>
    </row>
    <row r="126" spans="1:9" ht="15">
      <c r="A126" s="43" t="str">
        <f>HLOOKUP(INDICE!$F$2,Nombres!$C$3:$D$636,39,FALSE)</f>
        <v>  Gastos de administración</v>
      </c>
      <c r="B126" s="44">
        <v>-10835.611150434037</v>
      </c>
      <c r="C126" s="44">
        <v>-7594.174282593356</v>
      </c>
      <c r="D126" s="44">
        <v>-9965.519784220322</v>
      </c>
      <c r="E126" s="45">
        <v>-10714.457322882052</v>
      </c>
      <c r="F126" s="44">
        <v>-11610.676235469451</v>
      </c>
      <c r="G126" s="44">
        <v>-10584.21986010604</v>
      </c>
      <c r="H126" s="44">
        <v>-7078.185499063799</v>
      </c>
      <c r="I126" s="44">
        <v>0</v>
      </c>
    </row>
    <row r="127" spans="1:9" ht="15">
      <c r="A127" s="46" t="str">
        <f>HLOOKUP(INDICE!$F$2,Nombres!$C$3:$D$636,40,FALSE)</f>
        <v>  Gastos de personal</v>
      </c>
      <c r="B127" s="44">
        <v>-4887.047434463264</v>
      </c>
      <c r="C127" s="44">
        <v>-3675.970644248279</v>
      </c>
      <c r="D127" s="44">
        <v>-4295.3523756296345</v>
      </c>
      <c r="E127" s="45">
        <v>-3275.7160318036085</v>
      </c>
      <c r="F127" s="44">
        <v>-4873.412503764985</v>
      </c>
      <c r="G127" s="44">
        <v>-4851.06590207389</v>
      </c>
      <c r="H127" s="44">
        <v>-5068.173733519071</v>
      </c>
      <c r="I127" s="44">
        <v>0</v>
      </c>
    </row>
    <row r="128" spans="1:9" ht="15">
      <c r="A128" s="46" t="str">
        <f>HLOOKUP(INDICE!$F$2,Nombres!$C$3:$D$636,41,FALSE)</f>
        <v>  Otros gastos de administración</v>
      </c>
      <c r="B128" s="44">
        <v>-5948.563715970773</v>
      </c>
      <c r="C128" s="44">
        <v>-3918.2036383450777</v>
      </c>
      <c r="D128" s="44">
        <v>-5670.167408590687</v>
      </c>
      <c r="E128" s="45">
        <v>-7438.741291078444</v>
      </c>
      <c r="F128" s="44">
        <v>-6737.263731704466</v>
      </c>
      <c r="G128" s="44">
        <v>-5733.153958032151</v>
      </c>
      <c r="H128" s="44">
        <v>-2010.011765544728</v>
      </c>
      <c r="I128" s="44">
        <v>0</v>
      </c>
    </row>
    <row r="129" spans="1:9" ht="15">
      <c r="A129" s="43" t="str">
        <f>HLOOKUP(INDICE!$F$2,Nombres!$C$3:$D$636,42,FALSE)</f>
        <v>  Amortización</v>
      </c>
      <c r="B129" s="44">
        <v>-727.7451070885513</v>
      </c>
      <c r="C129" s="44">
        <v>-722.855048460199</v>
      </c>
      <c r="D129" s="44">
        <v>-747.5890599932793</v>
      </c>
      <c r="E129" s="45">
        <v>-829.7740660007596</v>
      </c>
      <c r="F129" s="44">
        <v>-978.1728588577524</v>
      </c>
      <c r="G129" s="44">
        <v>-962.3834745162521</v>
      </c>
      <c r="H129" s="44">
        <v>-972.6400663576488</v>
      </c>
      <c r="I129" s="44">
        <v>0</v>
      </c>
    </row>
    <row r="130" spans="1:9" ht="15">
      <c r="A130" s="41" t="str">
        <f>HLOOKUP(INDICE!$F$2,Nombres!$C$3:$D$636,43,FALSE)</f>
        <v>Margen neto</v>
      </c>
      <c r="B130" s="50">
        <f aca="true" t="shared" si="20" ref="B130:I130">+B124+B125</f>
        <v>23532.1957985568</v>
      </c>
      <c r="C130" s="50">
        <f t="shared" si="20"/>
        <v>21641.462996059796</v>
      </c>
      <c r="D130" s="50">
        <f t="shared" si="20"/>
        <v>13908.872580888816</v>
      </c>
      <c r="E130" s="279">
        <f t="shared" si="20"/>
        <v>17197.218837842724</v>
      </c>
      <c r="F130" s="50">
        <f t="shared" si="20"/>
        <v>12542.601849439196</v>
      </c>
      <c r="G130" s="50">
        <f t="shared" si="20"/>
        <v>16403.451543683877</v>
      </c>
      <c r="H130" s="50">
        <f t="shared" si="20"/>
        <v>22733.856701420144</v>
      </c>
      <c r="I130" s="50">
        <f t="shared" si="20"/>
        <v>0</v>
      </c>
    </row>
    <row r="131" spans="1:9" ht="15">
      <c r="A131" s="43" t="str">
        <f>HLOOKUP(INDICE!$F$2,Nombres!$C$3:$D$636,44,FALSE)</f>
        <v>Deterioro de activos financieros no valorados a valor razonable con cambios en resultados</v>
      </c>
      <c r="B131" s="44">
        <v>-16263.598074472859</v>
      </c>
      <c r="C131" s="44">
        <v>-20909.37405975604</v>
      </c>
      <c r="D131" s="44">
        <v>711.3309271898011</v>
      </c>
      <c r="E131" s="45">
        <v>-7903.032855696552</v>
      </c>
      <c r="F131" s="44">
        <v>453.746553618226</v>
      </c>
      <c r="G131" s="44">
        <v>1363.5723024127078</v>
      </c>
      <c r="H131" s="44">
        <v>-4884.862627834353</v>
      </c>
      <c r="I131" s="44">
        <v>0</v>
      </c>
    </row>
    <row r="132" spans="1:9" ht="15">
      <c r="A132" s="43" t="str">
        <f>HLOOKUP(INDICE!$F$2,Nombres!$C$3:$D$636,45,FALSE)</f>
        <v>Provisiones o reversión de provisiones y otros resultados</v>
      </c>
      <c r="B132" s="44">
        <v>-226.64567812003543</v>
      </c>
      <c r="C132" s="44">
        <v>-181.67140270109428</v>
      </c>
      <c r="D132" s="44">
        <v>-125.2327410734506</v>
      </c>
      <c r="E132" s="45">
        <v>-893.2864396138025</v>
      </c>
      <c r="F132" s="44">
        <v>397.02823441594774</v>
      </c>
      <c r="G132" s="44">
        <v>241.72376082701632</v>
      </c>
      <c r="H132" s="44">
        <v>436.38769935978667</v>
      </c>
      <c r="I132" s="44">
        <v>0</v>
      </c>
    </row>
    <row r="133" spans="1:9" ht="15">
      <c r="A133" s="41" t="str">
        <f>HLOOKUP(INDICE!$F$2,Nombres!$C$3:$D$636,46,FALSE)</f>
        <v>Resultado antes de impuestos</v>
      </c>
      <c r="B133" s="50">
        <f aca="true" t="shared" si="21" ref="B133:I133">+B130+B131+B132</f>
        <v>7041.952045963906</v>
      </c>
      <c r="C133" s="50">
        <f t="shared" si="21"/>
        <v>550.4175336026625</v>
      </c>
      <c r="D133" s="50">
        <f t="shared" si="21"/>
        <v>14494.970767005167</v>
      </c>
      <c r="E133" s="279">
        <f t="shared" si="21"/>
        <v>8400.899542532368</v>
      </c>
      <c r="F133" s="50">
        <f t="shared" si="21"/>
        <v>13393.37663747337</v>
      </c>
      <c r="G133" s="50">
        <f t="shared" si="21"/>
        <v>18008.7476069236</v>
      </c>
      <c r="H133" s="50">
        <f t="shared" si="21"/>
        <v>18285.381772945577</v>
      </c>
      <c r="I133" s="50">
        <f t="shared" si="21"/>
        <v>0</v>
      </c>
    </row>
    <row r="134" spans="1:9" ht="15">
      <c r="A134" s="43" t="str">
        <f>HLOOKUP(INDICE!$F$2,Nombres!$C$3:$D$636,47,FALSE)</f>
        <v>Impuesto sobre beneficios</v>
      </c>
      <c r="B134" s="44">
        <v>-1183.6924673690917</v>
      </c>
      <c r="C134" s="44">
        <v>33.06209707270621</v>
      </c>
      <c r="D134" s="44">
        <v>-4108.2601884111755</v>
      </c>
      <c r="E134" s="45">
        <v>-1630.5612381579149</v>
      </c>
      <c r="F134" s="44">
        <v>-3052.318162608758</v>
      </c>
      <c r="G134" s="44">
        <v>-4488.600433404985</v>
      </c>
      <c r="H134" s="44">
        <v>-4409.977927257194</v>
      </c>
      <c r="I134" s="44">
        <v>0</v>
      </c>
    </row>
    <row r="135" spans="1:9" ht="15">
      <c r="A135" s="41" t="str">
        <f>HLOOKUP(INDICE!$F$2,Nombres!$C$3:$D$636,48,FALSE)</f>
        <v>Resultado del ejercicio</v>
      </c>
      <c r="B135" s="50">
        <f aca="true" t="shared" si="22" ref="B135:I135">+B133+B134</f>
        <v>5858.259578594814</v>
      </c>
      <c r="C135" s="50">
        <f t="shared" si="22"/>
        <v>583.4796306753688</v>
      </c>
      <c r="D135" s="50">
        <f t="shared" si="22"/>
        <v>10386.710578593991</v>
      </c>
      <c r="E135" s="279">
        <f t="shared" si="22"/>
        <v>6770.338304374453</v>
      </c>
      <c r="F135" s="50">
        <f t="shared" si="22"/>
        <v>10341.05847486461</v>
      </c>
      <c r="G135" s="50">
        <f t="shared" si="22"/>
        <v>13520.147173518615</v>
      </c>
      <c r="H135" s="50">
        <f t="shared" si="22"/>
        <v>13875.403845688383</v>
      </c>
      <c r="I135" s="50">
        <f t="shared" si="22"/>
        <v>0</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I137">+B135+B136</f>
        <v>5858.259578594814</v>
      </c>
      <c r="C137" s="51">
        <f t="shared" si="23"/>
        <v>583.4796306753688</v>
      </c>
      <c r="D137" s="51">
        <f t="shared" si="23"/>
        <v>10386.710578593991</v>
      </c>
      <c r="E137" s="80">
        <f t="shared" si="23"/>
        <v>6770.338304374453</v>
      </c>
      <c r="F137" s="51">
        <f t="shared" si="23"/>
        <v>10341.05847486461</v>
      </c>
      <c r="G137" s="51">
        <f t="shared" si="23"/>
        <v>13520.147173518615</v>
      </c>
      <c r="H137" s="51">
        <f t="shared" si="23"/>
        <v>13875.403845688383</v>
      </c>
      <c r="I137" s="51">
        <f t="shared" si="23"/>
        <v>0</v>
      </c>
    </row>
    <row r="138" spans="1:9" ht="15">
      <c r="A138" s="277"/>
      <c r="B138" s="278"/>
      <c r="C138" s="278"/>
      <c r="D138" s="278"/>
      <c r="E138" s="278"/>
      <c r="F138" s="278"/>
      <c r="G138" s="278"/>
      <c r="H138" s="278"/>
      <c r="I138" s="278"/>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9"/>
      <c r="G140" s="69"/>
      <c r="H140" s="69"/>
      <c r="I140" s="69"/>
    </row>
    <row r="141" spans="1:9" ht="15">
      <c r="A141" s="35" t="str">
        <f>HLOOKUP(INDICE!$F$2,Nombres!$C$3:$D$636,81,FALSE)</f>
        <v>(Millones de pesos chilenos)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43" t="str">
        <f>HLOOKUP(INDICE!$F$2,Nombres!$C$3:$D$636,52,FALSE)</f>
        <v>Efectivo, saldos en efectivo en bancos centrales y otros depósitos a la vista</v>
      </c>
      <c r="B143" s="44">
        <v>8094.510825980325</v>
      </c>
      <c r="C143" s="44">
        <v>9733.974917464544</v>
      </c>
      <c r="D143" s="44">
        <v>22894.097650981723</v>
      </c>
      <c r="E143" s="45">
        <v>26516.80300755595</v>
      </c>
      <c r="F143" s="44">
        <v>17335.367293680392</v>
      </c>
      <c r="G143" s="44">
        <v>27787.05471706841</v>
      </c>
      <c r="H143" s="44">
        <v>16074.918245139399</v>
      </c>
      <c r="I143" s="44">
        <v>0</v>
      </c>
    </row>
    <row r="144" spans="1:9" ht="15">
      <c r="A144" s="43" t="str">
        <f>HLOOKUP(INDICE!$F$2,Nombres!$C$3:$D$636,53,FALSE)</f>
        <v>Activos financieros a valor razonable</v>
      </c>
      <c r="B144" s="58">
        <v>0</v>
      </c>
      <c r="C144" s="58">
        <v>0</v>
      </c>
      <c r="D144" s="58">
        <v>149999.64433187645</v>
      </c>
      <c r="E144" s="65">
        <v>0</v>
      </c>
      <c r="F144" s="44">
        <v>0</v>
      </c>
      <c r="G144" s="44">
        <v>2432.6779978716495</v>
      </c>
      <c r="H144" s="44">
        <v>0</v>
      </c>
      <c r="I144" s="44">
        <v>0</v>
      </c>
    </row>
    <row r="145" spans="1:9" ht="15">
      <c r="A145" s="43" t="str">
        <f>HLOOKUP(INDICE!$F$2,Nombres!$C$3:$D$636,54,FALSE)</f>
        <v>Activos financieros a coste amortizado</v>
      </c>
      <c r="B145" s="44">
        <v>1590958.9495302497</v>
      </c>
      <c r="C145" s="44">
        <v>1521598.1751217728</v>
      </c>
      <c r="D145" s="44">
        <v>1473862.0689994046</v>
      </c>
      <c r="E145" s="45">
        <v>1547952.290378282</v>
      </c>
      <c r="F145" s="44">
        <v>1324641.8113747004</v>
      </c>
      <c r="G145" s="44">
        <v>1305028.6366613912</v>
      </c>
      <c r="H145" s="44">
        <v>1342079.813342471</v>
      </c>
      <c r="I145" s="44">
        <v>0</v>
      </c>
    </row>
    <row r="146" spans="1:9" ht="15">
      <c r="A146" s="43" t="str">
        <f>HLOOKUP(INDICE!$F$2,Nombres!$C$3:$D$636,55,FALSE)</f>
        <v>    de los que préstamos y anticipos a la clientela</v>
      </c>
      <c r="B146" s="44">
        <v>1513743.9921356146</v>
      </c>
      <c r="C146" s="44">
        <v>1380133.7545237443</v>
      </c>
      <c r="D146" s="44">
        <v>1380661.8662782179</v>
      </c>
      <c r="E146" s="45">
        <v>1364192.0232850248</v>
      </c>
      <c r="F146" s="44">
        <v>1286071.3702453645</v>
      </c>
      <c r="G146" s="44">
        <v>1289868.9633190508</v>
      </c>
      <c r="H146" s="44">
        <v>1295909.5515154384</v>
      </c>
      <c r="I146" s="44">
        <v>0</v>
      </c>
    </row>
    <row r="147" spans="1:9" ht="15">
      <c r="A147" s="43"/>
      <c r="B147" s="44"/>
      <c r="C147" s="44"/>
      <c r="D147" s="44"/>
      <c r="E147" s="45"/>
      <c r="F147" s="44"/>
      <c r="G147" s="44"/>
      <c r="H147" s="44"/>
      <c r="I147" s="44"/>
    </row>
    <row r="148" spans="1:9" ht="15">
      <c r="A148" s="43" t="str">
        <f>HLOOKUP(INDICE!$F$2,Nombres!$C$3:$D$636,56,FALSE)</f>
        <v>Activos tangibles</v>
      </c>
      <c r="B148" s="44">
        <v>10544.189818218587</v>
      </c>
      <c r="C148" s="44">
        <v>9982.626417985803</v>
      </c>
      <c r="D148" s="44">
        <v>9567.449561931908</v>
      </c>
      <c r="E148" s="45">
        <v>8995.385945415674</v>
      </c>
      <c r="F148" s="44">
        <v>8408.87635597391</v>
      </c>
      <c r="G148" s="44">
        <v>7961.253318465731</v>
      </c>
      <c r="H148" s="44">
        <v>7479.173006160597</v>
      </c>
      <c r="I148" s="44">
        <v>0</v>
      </c>
    </row>
    <row r="149" spans="1:9" ht="15">
      <c r="A149" s="43" t="str">
        <f>HLOOKUP(INDICE!$F$2,Nombres!$C$3:$D$636,57,FALSE)</f>
        <v>Otros activos</v>
      </c>
      <c r="B149" s="58">
        <f>+B150-B148-B145-B144-B143</f>
        <v>175171.51927691966</v>
      </c>
      <c r="C149" s="58">
        <f aca="true" t="shared" si="25" ref="C149:I149">+C150-C148-C145-C144-C143</f>
        <v>148232.86070780538</v>
      </c>
      <c r="D149" s="58">
        <f t="shared" si="25"/>
        <v>149011.40536516462</v>
      </c>
      <c r="E149" s="65">
        <f t="shared" si="25"/>
        <v>162216.18253094115</v>
      </c>
      <c r="F149" s="44">
        <f t="shared" si="25"/>
        <v>164386.83724728733</v>
      </c>
      <c r="G149" s="44">
        <f t="shared" si="25"/>
        <v>160879.1825510571</v>
      </c>
      <c r="H149" s="44">
        <f t="shared" si="25"/>
        <v>170142.3465646821</v>
      </c>
      <c r="I149" s="44">
        <f t="shared" si="25"/>
        <v>0</v>
      </c>
    </row>
    <row r="150" spans="1:9" ht="15">
      <c r="A150" s="47" t="str">
        <f>HLOOKUP(INDICE!$F$2,Nombres!$C$3:$D$636,58,FALSE)</f>
        <v>Total activo / pasivo</v>
      </c>
      <c r="B150" s="47">
        <v>1784769.1694513683</v>
      </c>
      <c r="C150" s="47">
        <v>1689547.6371650286</v>
      </c>
      <c r="D150" s="47">
        <v>1805334.6659093592</v>
      </c>
      <c r="E150" s="47">
        <v>1745680.6618621948</v>
      </c>
      <c r="F150" s="51">
        <v>1514772.892271642</v>
      </c>
      <c r="G150" s="51">
        <v>1504088.8052458542</v>
      </c>
      <c r="H150" s="51">
        <v>1535776.251158453</v>
      </c>
      <c r="I150" s="51">
        <v>0</v>
      </c>
    </row>
    <row r="151" spans="1:9" ht="15">
      <c r="A151" s="43" t="str">
        <f>HLOOKUP(INDICE!$F$2,Nombres!$C$3:$D$636,59,FALSE)</f>
        <v>Pasivos financieros mantenidos para negociar y designados a valor razonable con cambios en resultados</v>
      </c>
      <c r="B151" s="58">
        <v>0</v>
      </c>
      <c r="C151" s="58">
        <v>0</v>
      </c>
      <c r="D151" s="58">
        <v>0</v>
      </c>
      <c r="E151" s="65">
        <v>0</v>
      </c>
      <c r="F151" s="44">
        <v>0</v>
      </c>
      <c r="G151" s="44">
        <v>0</v>
      </c>
      <c r="H151" s="44">
        <v>0</v>
      </c>
      <c r="I151" s="44">
        <v>0</v>
      </c>
    </row>
    <row r="152" spans="1:9" ht="15">
      <c r="A152" s="43" t="str">
        <f>HLOOKUP(INDICE!$F$2,Nombres!$C$3:$D$636,60,FALSE)</f>
        <v>Depósitos de bancos centrales y entidades de crédito</v>
      </c>
      <c r="B152" s="58">
        <v>537715.6652716604</v>
      </c>
      <c r="C152" s="58">
        <v>536676.7833180717</v>
      </c>
      <c r="D152" s="58">
        <v>541588.1818403038</v>
      </c>
      <c r="E152" s="65">
        <v>482097.2016053121</v>
      </c>
      <c r="F152" s="44">
        <v>363994.6428247061</v>
      </c>
      <c r="G152" s="44">
        <v>369345.88082197413</v>
      </c>
      <c r="H152" s="44">
        <v>354919.23278475815</v>
      </c>
      <c r="I152" s="44">
        <v>0</v>
      </c>
    </row>
    <row r="153" spans="1:9" ht="15">
      <c r="A153" s="43" t="str">
        <f>HLOOKUP(INDICE!$F$2,Nombres!$C$3:$D$636,61,FALSE)</f>
        <v>Depósitos de la clientela</v>
      </c>
      <c r="B153" s="58">
        <v>3782.07441685839</v>
      </c>
      <c r="C153" s="58">
        <v>3248.0102255589336</v>
      </c>
      <c r="D153" s="58">
        <v>4204.644724443147</v>
      </c>
      <c r="E153" s="65">
        <v>4321.903013634879</v>
      </c>
      <c r="F153" s="44">
        <v>4540.930576061861</v>
      </c>
      <c r="G153" s="44">
        <v>6279.175320655773</v>
      </c>
      <c r="H153" s="44">
        <v>5939.233801732159</v>
      </c>
      <c r="I153" s="44">
        <v>0</v>
      </c>
    </row>
    <row r="154" spans="1:9" ht="15">
      <c r="A154" s="43" t="str">
        <f>HLOOKUP(INDICE!$F$2,Nombres!$C$3:$D$636,62,FALSE)</f>
        <v>Valores representativos de deuda emitidos</v>
      </c>
      <c r="B154" s="44">
        <v>904452.2894358187</v>
      </c>
      <c r="C154" s="44">
        <v>855792.2591381727</v>
      </c>
      <c r="D154" s="44">
        <v>868423.6387863376</v>
      </c>
      <c r="E154" s="45">
        <v>858446.2623268454</v>
      </c>
      <c r="F154" s="44">
        <v>743024.1230893725</v>
      </c>
      <c r="G154" s="44">
        <v>748434.5377609772</v>
      </c>
      <c r="H154" s="44">
        <v>765676.3522037738</v>
      </c>
      <c r="I154" s="44">
        <v>0</v>
      </c>
    </row>
    <row r="155" spans="1:9" ht="15">
      <c r="A155" s="43"/>
      <c r="B155" s="44"/>
      <c r="C155" s="44"/>
      <c r="D155" s="44"/>
      <c r="E155" s="45"/>
      <c r="F155" s="44"/>
      <c r="G155" s="44"/>
      <c r="H155" s="44"/>
      <c r="I155" s="44"/>
    </row>
    <row r="156" spans="1:9" ht="15.75" customHeight="1">
      <c r="A156" s="43" t="str">
        <f>HLOOKUP(INDICE!$F$2,Nombres!$C$3:$D$636,63,FALSE)</f>
        <v>Otros pasivos</v>
      </c>
      <c r="B156" s="58">
        <f>+B150-B151-B152-B153-B154-B157</f>
        <v>125183.4189032387</v>
      </c>
      <c r="C156" s="58">
        <f aca="true" t="shared" si="26" ref="C156:I156">+C150-C151-C152-C153-C154-C157</f>
        <v>82064.96628001874</v>
      </c>
      <c r="D156" s="58">
        <f t="shared" si="26"/>
        <v>135516.9061687748</v>
      </c>
      <c r="E156" s="65">
        <f t="shared" si="26"/>
        <v>220550.74173242826</v>
      </c>
      <c r="F156" s="44">
        <f t="shared" si="26"/>
        <v>217060.66537235957</v>
      </c>
      <c r="G156" s="44">
        <f t="shared" si="26"/>
        <v>196085.06071478894</v>
      </c>
      <c r="H156" s="44">
        <f t="shared" si="26"/>
        <v>200469.5714935955</v>
      </c>
      <c r="I156" s="44">
        <f t="shared" si="26"/>
        <v>0</v>
      </c>
    </row>
    <row r="157" spans="1:9" ht="15.75" customHeight="1">
      <c r="A157" s="43" t="str">
        <f>HLOOKUP(INDICE!$F$2,Nombres!$C$3:$D$636,282,FALSE)</f>
        <v>Dotación de capital regulatorio</v>
      </c>
      <c r="B157" s="58">
        <v>213635.72142379198</v>
      </c>
      <c r="C157" s="58">
        <v>211765.61820320663</v>
      </c>
      <c r="D157" s="58">
        <v>255601.29438949996</v>
      </c>
      <c r="E157" s="65">
        <v>180264.55318397406</v>
      </c>
      <c r="F157" s="44">
        <v>186152.53040914203</v>
      </c>
      <c r="G157" s="44">
        <v>183944.15062745803</v>
      </c>
      <c r="H157" s="44">
        <v>208771.8608745936</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5">
      <c r="A161" s="35" t="str">
        <f>HLOOKUP(INDICE!$F$2,Nombres!$C$3:$D$636,81,FALSE)</f>
        <v>(Millones de pesos chilenos)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43" t="str">
        <f>HLOOKUP(INDICE!$F$2,Nombres!$C$3:$D$636,66,FALSE)</f>
        <v>Préstamos y anticipos a la clientela bruto (*)</v>
      </c>
      <c r="B163" s="44">
        <v>1514451.4505273928</v>
      </c>
      <c r="C163" s="44">
        <v>1395632.421949617</v>
      </c>
      <c r="D163" s="44">
        <v>1400180.6757329723</v>
      </c>
      <c r="E163" s="45">
        <v>1361447.43166595</v>
      </c>
      <c r="F163" s="44">
        <v>1339807.1460603876</v>
      </c>
      <c r="G163" s="44">
        <v>1338841.4627410038</v>
      </c>
      <c r="H163" s="44">
        <v>1345100.1412322442</v>
      </c>
      <c r="I163" s="44">
        <v>0</v>
      </c>
    </row>
    <row r="164" spans="1:9" ht="15">
      <c r="A164" s="43" t="str">
        <f>HLOOKUP(INDICE!$F$2,Nombres!$C$3:$D$636,67,FALSE)</f>
        <v>Depósitos de clientes en gestión (**)</v>
      </c>
      <c r="B164" s="44">
        <v>3782.07441685839</v>
      </c>
      <c r="C164" s="44">
        <v>3248.010225558934</v>
      </c>
      <c r="D164" s="44">
        <v>4204.644724443147</v>
      </c>
      <c r="E164" s="45">
        <v>4321.903013634879</v>
      </c>
      <c r="F164" s="44">
        <v>4540.93057606186</v>
      </c>
      <c r="G164" s="44">
        <v>6279.175320655774</v>
      </c>
      <c r="H164" s="44">
        <v>5939.233801732159</v>
      </c>
      <c r="I164" s="44">
        <v>0</v>
      </c>
    </row>
    <row r="165" spans="1:9" ht="15">
      <c r="A165" s="43" t="str">
        <f>HLOOKUP(INDICE!$F$2,Nombres!$C$3:$D$636,68,FALSE)</f>
        <v>Fondos de inversión</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3"/>
      <c r="B172" s="74"/>
      <c r="C172" s="75"/>
      <c r="D172" s="75"/>
      <c r="E172" s="75"/>
      <c r="F172" s="74"/>
      <c r="G172" s="74"/>
      <c r="H172" s="74"/>
      <c r="I172" s="74"/>
    </row>
    <row r="173" spans="1:10" ht="15">
      <c r="A173" s="73"/>
      <c r="B173" s="74"/>
      <c r="C173" s="75"/>
      <c r="D173" s="75"/>
      <c r="E173" s="75"/>
      <c r="F173" s="74"/>
      <c r="G173" s="74"/>
      <c r="H173" s="74"/>
      <c r="I173" s="74"/>
      <c r="J173" s="74"/>
    </row>
    <row r="174" spans="1:10" ht="15">
      <c r="A174" s="74"/>
      <c r="B174" s="74"/>
      <c r="C174" s="74"/>
      <c r="D174" s="74"/>
      <c r="E174" s="74"/>
      <c r="F174" s="74"/>
      <c r="G174" s="74"/>
      <c r="H174" s="74"/>
      <c r="I174" s="74"/>
      <c r="J174" s="74"/>
    </row>
    <row r="175" spans="1:10" ht="15">
      <c r="A175" s="74"/>
      <c r="B175" s="74"/>
      <c r="C175" s="74"/>
      <c r="D175" s="74"/>
      <c r="E175" s="74"/>
      <c r="F175" s="74"/>
      <c r="G175" s="74"/>
      <c r="H175" s="74"/>
      <c r="I175" s="74"/>
      <c r="J175" s="74"/>
    </row>
    <row r="176" spans="1:15" ht="15">
      <c r="A176" s="74"/>
      <c r="B176" s="74"/>
      <c r="C176" s="74"/>
      <c r="D176" s="74"/>
      <c r="E176" s="74"/>
      <c r="F176" s="74"/>
      <c r="G176" s="74"/>
      <c r="H176" s="74"/>
      <c r="I176" s="74"/>
      <c r="J176" s="74"/>
      <c r="K176" s="74"/>
      <c r="L176" s="74"/>
      <c r="M176" s="74"/>
      <c r="N176" s="74"/>
      <c r="O176" s="74"/>
    </row>
    <row r="177" spans="1:15" ht="15">
      <c r="A177" s="74"/>
      <c r="B177" s="74"/>
      <c r="C177" s="74"/>
      <c r="D177" s="74"/>
      <c r="E177" s="74"/>
      <c r="F177" s="74"/>
      <c r="G177" s="74"/>
      <c r="H177" s="74"/>
      <c r="I177" s="74"/>
      <c r="J177" s="74"/>
      <c r="K177" s="74"/>
      <c r="L177" s="74"/>
      <c r="M177" s="74"/>
      <c r="N177" s="74"/>
      <c r="O177" s="74"/>
    </row>
    <row r="178" spans="1:15" ht="15">
      <c r="A178" s="74"/>
      <c r="B178" s="74"/>
      <c r="C178" s="74"/>
      <c r="D178" s="74"/>
      <c r="E178" s="74"/>
      <c r="F178" s="74"/>
      <c r="G178" s="74"/>
      <c r="H178" s="74"/>
      <c r="I178" s="74"/>
      <c r="J178" s="74"/>
      <c r="K178" s="74"/>
      <c r="L178" s="74"/>
      <c r="M178" s="74"/>
      <c r="N178" s="74"/>
      <c r="O178" s="74"/>
    </row>
    <row r="179" spans="1:15" ht="15">
      <c r="A179" s="74"/>
      <c r="B179" s="74"/>
      <c r="C179" s="74"/>
      <c r="D179" s="74"/>
      <c r="E179" s="74"/>
      <c r="F179" s="74"/>
      <c r="G179" s="74"/>
      <c r="H179" s="74"/>
      <c r="I179" s="74"/>
      <c r="J179" s="74"/>
      <c r="K179" s="74"/>
      <c r="L179" s="74"/>
      <c r="M179" s="74"/>
      <c r="N179" s="74"/>
      <c r="O179" s="74"/>
    </row>
    <row r="180" spans="1:15" ht="15">
      <c r="A180" s="74"/>
      <c r="B180" s="74"/>
      <c r="C180" s="74"/>
      <c r="D180" s="74"/>
      <c r="E180" s="74"/>
      <c r="F180" s="74"/>
      <c r="G180" s="74"/>
      <c r="H180" s="74"/>
      <c r="I180" s="74"/>
      <c r="J180" s="74"/>
      <c r="K180" s="74"/>
      <c r="L180" s="74"/>
      <c r="M180" s="74"/>
      <c r="N180" s="74"/>
      <c r="O180" s="74"/>
    </row>
    <row r="181" spans="11:15" ht="15">
      <c r="K181" s="74"/>
      <c r="L181" s="74"/>
      <c r="M181" s="74"/>
      <c r="N181" s="74"/>
      <c r="O181" s="74"/>
    </row>
    <row r="182" spans="11:15" ht="15">
      <c r="K182" s="74"/>
      <c r="L182" s="74"/>
      <c r="M182" s="74"/>
      <c r="N182" s="74"/>
      <c r="O182" s="74"/>
    </row>
    <row r="183" spans="11:15" ht="15">
      <c r="K183" s="74"/>
      <c r="L183" s="74"/>
      <c r="M183" s="74"/>
      <c r="N183" s="74"/>
      <c r="O183" s="74"/>
    </row>
    <row r="997" ht="15">
      <c r="A997" s="31" t="s">
        <v>396</v>
      </c>
    </row>
  </sheetData>
  <sheetProtection/>
  <mergeCells count="6">
    <mergeCell ref="B6:E6"/>
    <mergeCell ref="F6:I6"/>
    <mergeCell ref="B62:E62"/>
    <mergeCell ref="F62:I62"/>
    <mergeCell ref="B118:E118"/>
    <mergeCell ref="F118:I118"/>
  </mergeCells>
  <conditionalFormatting sqref="G26:I26">
    <cfRule type="cellIs" priority="18" dxfId="114" operator="notBetween">
      <formula>0.5</formula>
      <formula>-0.5</formula>
    </cfRule>
  </conditionalFormatting>
  <conditionalFormatting sqref="B26">
    <cfRule type="cellIs" priority="17" dxfId="114" operator="notBetween">
      <formula>0.5</formula>
      <formula>-0.5</formula>
    </cfRule>
  </conditionalFormatting>
  <conditionalFormatting sqref="C26">
    <cfRule type="cellIs" priority="16" dxfId="114" operator="notBetween">
      <formula>0.5</formula>
      <formula>-0.5</formula>
    </cfRule>
  </conditionalFormatting>
  <conditionalFormatting sqref="D26">
    <cfRule type="cellIs" priority="15" dxfId="114" operator="notBetween">
      <formula>0.5</formula>
      <formula>-0.5</formula>
    </cfRule>
  </conditionalFormatting>
  <conditionalFormatting sqref="E26">
    <cfRule type="cellIs" priority="14" dxfId="114" operator="notBetween">
      <formula>0.5</formula>
      <formula>-0.5</formula>
    </cfRule>
  </conditionalFormatting>
  <conditionalFormatting sqref="F26:I26">
    <cfRule type="cellIs" priority="13" dxfId="114" operator="notBetween">
      <formula>0.5</formula>
      <formula>-0.5</formula>
    </cfRule>
  </conditionalFormatting>
  <conditionalFormatting sqref="G82:I82">
    <cfRule type="cellIs" priority="12" dxfId="114" operator="notBetween">
      <formula>0.5</formula>
      <formula>-0.5</formula>
    </cfRule>
  </conditionalFormatting>
  <conditionalFormatting sqref="B82">
    <cfRule type="cellIs" priority="11" dxfId="114" operator="notBetween">
      <formula>0.5</formula>
      <formula>-0.5</formula>
    </cfRule>
  </conditionalFormatting>
  <conditionalFormatting sqref="C82">
    <cfRule type="cellIs" priority="10" dxfId="114" operator="notBetween">
      <formula>0.5</formula>
      <formula>-0.5</formula>
    </cfRule>
  </conditionalFormatting>
  <conditionalFormatting sqref="D82">
    <cfRule type="cellIs" priority="9" dxfId="114" operator="notBetween">
      <formula>0.5</formula>
      <formula>-0.5</formula>
    </cfRule>
  </conditionalFormatting>
  <conditionalFormatting sqref="E82">
    <cfRule type="cellIs" priority="8" dxfId="114" operator="notBetween">
      <formula>0.5</formula>
      <formula>-0.5</formula>
    </cfRule>
  </conditionalFormatting>
  <conditionalFormatting sqref="F82:I82">
    <cfRule type="cellIs" priority="7" dxfId="114" operator="notBetween">
      <formula>0.5</formula>
      <formula>-0.5</formula>
    </cfRule>
  </conditionalFormatting>
  <conditionalFormatting sqref="G138:I138">
    <cfRule type="cellIs" priority="6" dxfId="114" operator="notBetween">
      <formula>0.5</formula>
      <formula>-0.5</formula>
    </cfRule>
  </conditionalFormatting>
  <conditionalFormatting sqref="B138">
    <cfRule type="cellIs" priority="5" dxfId="114" operator="notBetween">
      <formula>0.5</formula>
      <formula>-0.5</formula>
    </cfRule>
  </conditionalFormatting>
  <conditionalFormatting sqref="C138">
    <cfRule type="cellIs" priority="4" dxfId="114" operator="notBetween">
      <formula>0.5</formula>
      <formula>-0.5</formula>
    </cfRule>
  </conditionalFormatting>
  <conditionalFormatting sqref="D138">
    <cfRule type="cellIs" priority="3" dxfId="114" operator="notBetween">
      <formula>0.5</formula>
      <formula>-0.5</formula>
    </cfRule>
  </conditionalFormatting>
  <conditionalFormatting sqref="E138">
    <cfRule type="cellIs" priority="2" dxfId="114" operator="notBetween">
      <formula>0.5</formula>
      <formula>-0.5</formula>
    </cfRule>
  </conditionalFormatting>
  <conditionalFormatting sqref="F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209.53199999999998</v>
      </c>
      <c r="C8" s="41">
        <v>193.10299999999995</v>
      </c>
      <c r="D8" s="41">
        <v>184.44100000000006</v>
      </c>
      <c r="E8" s="42">
        <v>193.66700000000003</v>
      </c>
      <c r="F8" s="50">
        <v>200.88199999999998</v>
      </c>
      <c r="G8" s="50">
        <v>187.75100000000003</v>
      </c>
      <c r="H8" s="50">
        <v>186.068</v>
      </c>
      <c r="I8" s="50">
        <v>0</v>
      </c>
    </row>
    <row r="9" spans="1:9" ht="15">
      <c r="A9" s="43" t="str">
        <f>HLOOKUP(INDICE!$F$2,Nombres!$C$3:$D$636,34,FALSE)</f>
        <v>Comisiones netas</v>
      </c>
      <c r="B9" s="44">
        <v>17.594351990000003</v>
      </c>
      <c r="C9" s="44">
        <v>11.686391200000003</v>
      </c>
      <c r="D9" s="44">
        <v>21.649565540000005</v>
      </c>
      <c r="E9" s="45">
        <v>19.253311119999992</v>
      </c>
      <c r="F9" s="44">
        <v>21.442577080000007</v>
      </c>
      <c r="G9" s="44">
        <v>21.786242820000002</v>
      </c>
      <c r="H9" s="44">
        <v>19.65197192</v>
      </c>
      <c r="I9" s="44">
        <v>0</v>
      </c>
    </row>
    <row r="10" spans="1:9" ht="15">
      <c r="A10" s="43" t="str">
        <f>HLOOKUP(INDICE!$F$2,Nombres!$C$3:$D$636,35,FALSE)</f>
        <v>Resultados de operaciones financieras</v>
      </c>
      <c r="B10" s="44">
        <v>4.7974516400000065</v>
      </c>
      <c r="C10" s="44">
        <v>24.985644229999995</v>
      </c>
      <c r="D10" s="44">
        <v>27.707858250000008</v>
      </c>
      <c r="E10" s="45">
        <v>16.148772960000013</v>
      </c>
      <c r="F10" s="44">
        <v>7.323841200000001</v>
      </c>
      <c r="G10" s="44">
        <v>21.407726229999998</v>
      </c>
      <c r="H10" s="44">
        <v>18.564150070000004</v>
      </c>
      <c r="I10" s="44">
        <v>0</v>
      </c>
    </row>
    <row r="11" spans="1:9" ht="15">
      <c r="A11" s="43" t="str">
        <f>HLOOKUP(INDICE!$F$2,Nombres!$C$3:$D$636,36,FALSE)</f>
        <v>Otros ingresos y cargas de explotación</v>
      </c>
      <c r="B11" s="44">
        <v>-1.4140000000000015</v>
      </c>
      <c r="C11" s="44">
        <v>-1.8650000000000029</v>
      </c>
      <c r="D11" s="44">
        <v>-6.628000000000001</v>
      </c>
      <c r="E11" s="45">
        <v>-2.049999999999984</v>
      </c>
      <c r="F11" s="44">
        <v>-4.484</v>
      </c>
      <c r="G11" s="44">
        <v>-9.119</v>
      </c>
      <c r="H11" s="44">
        <v>-9.748999999999999</v>
      </c>
      <c r="I11" s="44">
        <v>0</v>
      </c>
    </row>
    <row r="12" spans="1:9" ht="15">
      <c r="A12" s="41" t="str">
        <f>HLOOKUP(INDICE!$F$2,Nombres!$C$3:$D$636,37,FALSE)</f>
        <v>Margen bruto</v>
      </c>
      <c r="B12" s="41">
        <f>+SUM(B8:B11)</f>
        <v>230.50980363000002</v>
      </c>
      <c r="C12" s="41">
        <f aca="true" t="shared" si="0" ref="C12:I12">+SUM(C8:C11)</f>
        <v>227.91003542999994</v>
      </c>
      <c r="D12" s="41">
        <f t="shared" si="0"/>
        <v>227.17042379000006</v>
      </c>
      <c r="E12" s="42">
        <f t="shared" si="0"/>
        <v>227.01908408000003</v>
      </c>
      <c r="F12" s="50">
        <f t="shared" si="0"/>
        <v>225.16441827999998</v>
      </c>
      <c r="G12" s="50">
        <f t="shared" si="0"/>
        <v>221.82596905000005</v>
      </c>
      <c r="H12" s="50">
        <f t="shared" si="0"/>
        <v>214.53512199000002</v>
      </c>
      <c r="I12" s="50">
        <f t="shared" si="0"/>
        <v>0</v>
      </c>
    </row>
    <row r="13" spans="1:9" ht="15">
      <c r="A13" s="43" t="str">
        <f>HLOOKUP(INDICE!$F$2,Nombres!$C$3:$D$636,38,FALSE)</f>
        <v>Gastos de explotación</v>
      </c>
      <c r="B13" s="44">
        <v>-90.68152578</v>
      </c>
      <c r="C13" s="44">
        <v>-72.55752534999999</v>
      </c>
      <c r="D13" s="44">
        <v>-76.05266968000001</v>
      </c>
      <c r="E13" s="45">
        <v>-82.28224011999998</v>
      </c>
      <c r="F13" s="44">
        <v>-80.53327744</v>
      </c>
      <c r="G13" s="44">
        <v>-77.38861746</v>
      </c>
      <c r="H13" s="44">
        <v>-80.64310043</v>
      </c>
      <c r="I13" s="44">
        <v>0</v>
      </c>
    </row>
    <row r="14" spans="1:9" ht="15">
      <c r="A14" s="43" t="str">
        <f>HLOOKUP(INDICE!$F$2,Nombres!$C$3:$D$636,39,FALSE)</f>
        <v>  Gastos de administración</v>
      </c>
      <c r="B14" s="44">
        <v>-83.10552578000001</v>
      </c>
      <c r="C14" s="44">
        <v>-65.39852535</v>
      </c>
      <c r="D14" s="44">
        <v>-69.11366968</v>
      </c>
      <c r="E14" s="45">
        <v>-75.31924011999998</v>
      </c>
      <c r="F14" s="44">
        <v>-73.43127744</v>
      </c>
      <c r="G14" s="44">
        <v>-70.58161745999999</v>
      </c>
      <c r="H14" s="44">
        <v>-74.05010043</v>
      </c>
      <c r="I14" s="44">
        <v>0</v>
      </c>
    </row>
    <row r="15" spans="1:9" ht="15">
      <c r="A15" s="46" t="str">
        <f>HLOOKUP(INDICE!$F$2,Nombres!$C$3:$D$636,40,FALSE)</f>
        <v>  Gastos de personal</v>
      </c>
      <c r="B15" s="44">
        <v>-42.254000000000005</v>
      </c>
      <c r="C15" s="44">
        <v>-32.894999999999996</v>
      </c>
      <c r="D15" s="44">
        <v>-34.292</v>
      </c>
      <c r="E15" s="45">
        <v>-36.596999999999994</v>
      </c>
      <c r="F15" s="44">
        <v>-37.051</v>
      </c>
      <c r="G15" s="44">
        <v>-34.51000001</v>
      </c>
      <c r="H15" s="44">
        <v>-37.00099999</v>
      </c>
      <c r="I15" s="44">
        <v>0</v>
      </c>
    </row>
    <row r="16" spans="1:9" ht="15">
      <c r="A16" s="46" t="str">
        <f>HLOOKUP(INDICE!$F$2,Nombres!$C$3:$D$636,41,FALSE)</f>
        <v>  Otros gastos de administración</v>
      </c>
      <c r="B16" s="44">
        <v>-40.85152578</v>
      </c>
      <c r="C16" s="44">
        <v>-32.503525350000004</v>
      </c>
      <c r="D16" s="44">
        <v>-34.82166968</v>
      </c>
      <c r="E16" s="45">
        <v>-38.722240119999995</v>
      </c>
      <c r="F16" s="44">
        <v>-36.38027744000001</v>
      </c>
      <c r="G16" s="44">
        <v>-36.07161745</v>
      </c>
      <c r="H16" s="44">
        <v>-37.04910044</v>
      </c>
      <c r="I16" s="44">
        <v>0</v>
      </c>
    </row>
    <row r="17" spans="1:9" ht="15">
      <c r="A17" s="43" t="str">
        <f>HLOOKUP(INDICE!$F$2,Nombres!$C$3:$D$636,42,FALSE)</f>
        <v>  Amortización</v>
      </c>
      <c r="B17" s="44">
        <v>-7.5760000000000005</v>
      </c>
      <c r="C17" s="44">
        <v>-7.158999999999999</v>
      </c>
      <c r="D17" s="44">
        <v>-6.939</v>
      </c>
      <c r="E17" s="45">
        <v>-6.963</v>
      </c>
      <c r="F17" s="44">
        <v>-7.102</v>
      </c>
      <c r="G17" s="44">
        <v>-6.807</v>
      </c>
      <c r="H17" s="44">
        <v>-6.593</v>
      </c>
      <c r="I17" s="44">
        <v>0</v>
      </c>
    </row>
    <row r="18" spans="1:9" ht="15">
      <c r="A18" s="41" t="str">
        <f>HLOOKUP(INDICE!$F$2,Nombres!$C$3:$D$636,43,FALSE)</f>
        <v>Margen neto</v>
      </c>
      <c r="B18" s="41">
        <f>+B12+B13</f>
        <v>139.82827785</v>
      </c>
      <c r="C18" s="41">
        <f aca="true" t="shared" si="1" ref="C18:I18">+C12+C13</f>
        <v>155.35251007999994</v>
      </c>
      <c r="D18" s="41">
        <f t="shared" si="1"/>
        <v>151.11775411000005</v>
      </c>
      <c r="E18" s="42">
        <f t="shared" si="1"/>
        <v>144.73684396000004</v>
      </c>
      <c r="F18" s="50">
        <f t="shared" si="1"/>
        <v>144.63114083999997</v>
      </c>
      <c r="G18" s="50">
        <f t="shared" si="1"/>
        <v>144.43735159000005</v>
      </c>
      <c r="H18" s="50">
        <f t="shared" si="1"/>
        <v>133.89202156000002</v>
      </c>
      <c r="I18" s="50">
        <f t="shared" si="1"/>
        <v>0</v>
      </c>
    </row>
    <row r="19" spans="1:9" ht="15">
      <c r="A19" s="43" t="str">
        <f>HLOOKUP(INDICE!$F$2,Nombres!$C$3:$D$636,44,FALSE)</f>
        <v>Deterioro de activos financieros no valorados a valor razonable con cambios en resultados</v>
      </c>
      <c r="B19" s="44">
        <v>-129.68</v>
      </c>
      <c r="C19" s="44">
        <v>-85.786</v>
      </c>
      <c r="D19" s="44">
        <v>-63.172</v>
      </c>
      <c r="E19" s="45">
        <v>-48.616999999999976</v>
      </c>
      <c r="F19" s="44">
        <v>-68.209</v>
      </c>
      <c r="G19" s="44">
        <v>-66.84700000000001</v>
      </c>
      <c r="H19" s="44">
        <v>-49.621</v>
      </c>
      <c r="I19" s="44">
        <v>0</v>
      </c>
    </row>
    <row r="20" spans="1:9" ht="15">
      <c r="A20" s="43" t="str">
        <f>HLOOKUP(INDICE!$F$2,Nombres!$C$3:$D$636,45,FALSE)</f>
        <v>Provisiones o reversión de provisiones y otros resultados</v>
      </c>
      <c r="B20" s="44">
        <v>-2.51</v>
      </c>
      <c r="C20" s="44">
        <v>-9.828</v>
      </c>
      <c r="D20" s="44">
        <v>-4.501</v>
      </c>
      <c r="E20" s="45">
        <v>-0.2080000000000003</v>
      </c>
      <c r="F20" s="44">
        <v>-7.4769999999999985</v>
      </c>
      <c r="G20" s="44">
        <v>3.812</v>
      </c>
      <c r="H20" s="44">
        <v>2.474</v>
      </c>
      <c r="I20" s="44">
        <v>0</v>
      </c>
    </row>
    <row r="21" spans="1:9" ht="15">
      <c r="A21" s="41" t="str">
        <f>HLOOKUP(INDICE!$F$2,Nombres!$C$3:$D$636,46,FALSE)</f>
        <v>Resultado antes de impuestos</v>
      </c>
      <c r="B21" s="41">
        <f>+B18+B19+B20</f>
        <v>7.63827785</v>
      </c>
      <c r="C21" s="41">
        <f aca="true" t="shared" si="2" ref="C21:I21">+C18+C19+C20</f>
        <v>59.73851007999994</v>
      </c>
      <c r="D21" s="41">
        <f t="shared" si="2"/>
        <v>83.44475411000005</v>
      </c>
      <c r="E21" s="42">
        <f t="shared" si="2"/>
        <v>95.91184396000007</v>
      </c>
      <c r="F21" s="50">
        <f t="shared" si="2"/>
        <v>68.94514083999997</v>
      </c>
      <c r="G21" s="50">
        <f t="shared" si="2"/>
        <v>81.40235159000004</v>
      </c>
      <c r="H21" s="50">
        <f t="shared" si="2"/>
        <v>86.74502156000001</v>
      </c>
      <c r="I21" s="50">
        <f t="shared" si="2"/>
        <v>0</v>
      </c>
    </row>
    <row r="22" spans="1:9" ht="15">
      <c r="A22" s="43" t="str">
        <f>HLOOKUP(INDICE!$F$2,Nombres!$C$3:$D$636,47,FALSE)</f>
        <v>Impuesto sobre beneficios</v>
      </c>
      <c r="B22" s="44">
        <v>0.4505506300000022</v>
      </c>
      <c r="C22" s="44">
        <v>-18.38248883</v>
      </c>
      <c r="D22" s="44">
        <v>-26.776504420000002</v>
      </c>
      <c r="E22" s="45">
        <v>-31.1591284</v>
      </c>
      <c r="F22" s="44">
        <v>-18.82366536</v>
      </c>
      <c r="G22" s="44">
        <v>-21.50669638</v>
      </c>
      <c r="H22" s="44">
        <v>-31.07773986</v>
      </c>
      <c r="I22" s="44">
        <v>0</v>
      </c>
    </row>
    <row r="23" spans="1:9" ht="15">
      <c r="A23" s="41" t="str">
        <f>HLOOKUP(INDICE!$F$2,Nombres!$C$3:$D$636,48,FALSE)</f>
        <v>Resultado del ejercicio</v>
      </c>
      <c r="B23" s="41">
        <f>+B21+B22</f>
        <v>8.088828480000002</v>
      </c>
      <c r="C23" s="41">
        <f aca="true" t="shared" si="3" ref="C23:I23">+C21+C22</f>
        <v>41.35602124999994</v>
      </c>
      <c r="D23" s="41">
        <f t="shared" si="3"/>
        <v>56.668249690000046</v>
      </c>
      <c r="E23" s="42">
        <f t="shared" si="3"/>
        <v>64.75271556000007</v>
      </c>
      <c r="F23" s="50">
        <f t="shared" si="3"/>
        <v>50.121475479999965</v>
      </c>
      <c r="G23" s="50">
        <f t="shared" si="3"/>
        <v>59.89565521000004</v>
      </c>
      <c r="H23" s="50">
        <f t="shared" si="3"/>
        <v>55.66728170000001</v>
      </c>
      <c r="I23" s="50">
        <f t="shared" si="3"/>
        <v>0</v>
      </c>
    </row>
    <row r="24" spans="1:9" ht="15">
      <c r="A24" s="43" t="str">
        <f>HLOOKUP(INDICE!$F$2,Nombres!$C$3:$D$636,49,FALSE)</f>
        <v>Minoritarios</v>
      </c>
      <c r="B24" s="44">
        <v>0.10030966000000019</v>
      </c>
      <c r="C24" s="44">
        <v>-1.5098544499999997</v>
      </c>
      <c r="D24" s="44">
        <v>-2.0975925699999998</v>
      </c>
      <c r="E24" s="45">
        <v>-2.4652730000000003</v>
      </c>
      <c r="F24" s="44">
        <v>-1.9025127199999998</v>
      </c>
      <c r="G24" s="44">
        <v>-2.2688781899999997</v>
      </c>
      <c r="H24" s="44">
        <v>-2.0351615499999998</v>
      </c>
      <c r="I24" s="44">
        <v>0</v>
      </c>
    </row>
    <row r="25" spans="1:9" ht="15">
      <c r="A25" s="47" t="str">
        <f>HLOOKUP(INDICE!$F$2,Nombres!$C$3:$D$636,50,FALSE)</f>
        <v>Resultado atribuido</v>
      </c>
      <c r="B25" s="47">
        <f>+B23+B24</f>
        <v>8.189138140000003</v>
      </c>
      <c r="C25" s="47">
        <f aca="true" t="shared" si="4" ref="C25:I25">+C23+C24</f>
        <v>39.84616679999994</v>
      </c>
      <c r="D25" s="47">
        <f t="shared" si="4"/>
        <v>54.57065712000005</v>
      </c>
      <c r="E25" s="47">
        <f t="shared" si="4"/>
        <v>62.287442560000066</v>
      </c>
      <c r="F25" s="51">
        <f t="shared" si="4"/>
        <v>48.21896275999997</v>
      </c>
      <c r="G25" s="51">
        <f t="shared" si="4"/>
        <v>57.626777020000034</v>
      </c>
      <c r="H25" s="51">
        <f t="shared" si="4"/>
        <v>53.63212015000001</v>
      </c>
      <c r="I25" s="51">
        <f t="shared" si="4"/>
        <v>0</v>
      </c>
    </row>
    <row r="26" spans="1:9" ht="15">
      <c r="A26" s="62"/>
      <c r="B26" s="63">
        <v>2.6645352591003757E-14</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1290.745</v>
      </c>
      <c r="C31" s="44">
        <v>2220.7889999999998</v>
      </c>
      <c r="D31" s="44">
        <v>1261.66</v>
      </c>
      <c r="E31" s="45">
        <v>1372.551</v>
      </c>
      <c r="F31" s="44">
        <v>850.8539999999999</v>
      </c>
      <c r="G31" s="44">
        <v>1637.203</v>
      </c>
      <c r="H31" s="44">
        <v>1604.7279999999998</v>
      </c>
      <c r="I31" s="44">
        <v>0</v>
      </c>
    </row>
    <row r="32" spans="1:9" ht="15">
      <c r="A32" s="43" t="str">
        <f>HLOOKUP(INDICE!$F$2,Nombres!$C$3:$D$636,53,FALSE)</f>
        <v>Activos financieros a valor razonable</v>
      </c>
      <c r="B32" s="58">
        <v>3441.6409999999996</v>
      </c>
      <c r="C32" s="58">
        <v>3078.967</v>
      </c>
      <c r="D32" s="58">
        <v>2668.4839999999995</v>
      </c>
      <c r="E32" s="65">
        <v>2334.08</v>
      </c>
      <c r="F32" s="44">
        <v>2339.992</v>
      </c>
      <c r="G32" s="44">
        <v>1797.245</v>
      </c>
      <c r="H32" s="44">
        <v>1874.4669999999996</v>
      </c>
      <c r="I32" s="44">
        <v>0</v>
      </c>
    </row>
    <row r="33" spans="1:9" ht="15">
      <c r="A33" s="43" t="str">
        <f>HLOOKUP(INDICE!$F$2,Nombres!$C$3:$D$636,54,FALSE)</f>
        <v>Activos financieros a coste amortizado</v>
      </c>
      <c r="B33" s="44">
        <v>11589.315</v>
      </c>
      <c r="C33" s="44">
        <v>12626.788999999999</v>
      </c>
      <c r="D33" s="44">
        <v>11589.310999999998</v>
      </c>
      <c r="E33" s="45">
        <v>12459.14</v>
      </c>
      <c r="F33" s="44">
        <v>12129.947000000002</v>
      </c>
      <c r="G33" s="44">
        <v>12130.293</v>
      </c>
      <c r="H33" s="44">
        <v>12569.425</v>
      </c>
      <c r="I33" s="44">
        <v>0</v>
      </c>
    </row>
    <row r="34" spans="1:9" ht="15">
      <c r="A34" s="43" t="str">
        <f>HLOOKUP(INDICE!$F$2,Nombres!$C$3:$D$636,55,FALSE)</f>
        <v>    de los que préstamos y anticipos a la clientela</v>
      </c>
      <c r="B34" s="44">
        <v>11068.159000000001</v>
      </c>
      <c r="C34" s="44">
        <v>11838.746000000001</v>
      </c>
      <c r="D34" s="44">
        <v>10816.897</v>
      </c>
      <c r="E34" s="45">
        <v>11608.973000000002</v>
      </c>
      <c r="F34" s="44">
        <v>11305.914999999997</v>
      </c>
      <c r="G34" s="44">
        <v>11350.898000000003</v>
      </c>
      <c r="H34" s="44">
        <v>11754.867000000002</v>
      </c>
      <c r="I34" s="44">
        <v>0</v>
      </c>
    </row>
    <row r="35" spans="1:9" ht="15">
      <c r="A35" s="43"/>
      <c r="B35" s="44"/>
      <c r="C35" s="44"/>
      <c r="D35" s="44"/>
      <c r="E35" s="45"/>
      <c r="F35" s="44"/>
      <c r="G35" s="44"/>
      <c r="H35" s="44"/>
      <c r="I35" s="44"/>
    </row>
    <row r="36" spans="1:9" ht="15">
      <c r="A36" s="43" t="str">
        <f>HLOOKUP(INDICE!$F$2,Nombres!$C$3:$D$636,56,FALSE)</f>
        <v>Activos tangibles</v>
      </c>
      <c r="B36" s="44">
        <v>115.47800000000001</v>
      </c>
      <c r="C36" s="44">
        <v>121.30800000000002</v>
      </c>
      <c r="D36" s="44">
        <v>109.39600000000002</v>
      </c>
      <c r="E36" s="45">
        <v>114.90700000000001</v>
      </c>
      <c r="F36" s="44">
        <v>106.25500000000001</v>
      </c>
      <c r="G36" s="44">
        <v>101.18100000000003</v>
      </c>
      <c r="H36" s="44">
        <v>100.869</v>
      </c>
      <c r="I36" s="44">
        <v>0</v>
      </c>
    </row>
    <row r="37" spans="1:9" ht="15">
      <c r="A37" s="43" t="str">
        <f>HLOOKUP(INDICE!$F$2,Nombres!$C$3:$D$636,57,FALSE)</f>
        <v>Otros activos</v>
      </c>
      <c r="B37" s="58">
        <f>+B38-B36-B33-B32-B31</f>
        <v>662.8920000000007</v>
      </c>
      <c r="C37" s="58">
        <f aca="true" t="shared" si="5" ref="C37:I37">+C38-C36-C33-C32-C31</f>
        <v>477.54300000000103</v>
      </c>
      <c r="D37" s="58">
        <f t="shared" si="5"/>
        <v>475.19198299000413</v>
      </c>
      <c r="E37" s="65">
        <f t="shared" si="5"/>
        <v>540.8469999999993</v>
      </c>
      <c r="F37" s="44">
        <f t="shared" si="5"/>
        <v>665.5359999999977</v>
      </c>
      <c r="G37" s="44">
        <f t="shared" si="5"/>
        <v>725.470000009997</v>
      </c>
      <c r="H37" s="44">
        <f t="shared" si="5"/>
        <v>716.0520000000035</v>
      </c>
      <c r="I37" s="44">
        <f t="shared" si="5"/>
        <v>0</v>
      </c>
    </row>
    <row r="38" spans="1:9" ht="15">
      <c r="A38" s="47" t="str">
        <f>HLOOKUP(INDICE!$F$2,Nombres!$C$3:$D$636,58,FALSE)</f>
        <v>Total activo / pasivo</v>
      </c>
      <c r="B38" s="47">
        <v>17100.071</v>
      </c>
      <c r="C38" s="47">
        <v>18525.396</v>
      </c>
      <c r="D38" s="47">
        <v>16104.042982990002</v>
      </c>
      <c r="E38" s="47">
        <v>16821.524999999998</v>
      </c>
      <c r="F38" s="51">
        <v>16092.583999999999</v>
      </c>
      <c r="G38" s="51">
        <v>16391.392000009997</v>
      </c>
      <c r="H38" s="51">
        <v>16865.541</v>
      </c>
      <c r="I38" s="51">
        <v>0</v>
      </c>
    </row>
    <row r="39" spans="1:9" ht="15">
      <c r="A39" s="43" t="str">
        <f>HLOOKUP(INDICE!$F$2,Nombres!$C$3:$D$636,59,FALSE)</f>
        <v>Pasivos financieros mantenidos para negociar y designados a valor razonable con cambios en resultados</v>
      </c>
      <c r="B39" s="58">
        <v>1737.4940000000001</v>
      </c>
      <c r="C39" s="58">
        <v>1646.095</v>
      </c>
      <c r="D39" s="58">
        <v>1378.6170000000002</v>
      </c>
      <c r="E39" s="65">
        <v>1101.988</v>
      </c>
      <c r="F39" s="44">
        <v>953.83</v>
      </c>
      <c r="G39" s="44">
        <v>801.3800000000001</v>
      </c>
      <c r="H39" s="44">
        <v>1070.816</v>
      </c>
      <c r="I39" s="44">
        <v>0</v>
      </c>
    </row>
    <row r="40" spans="1:9" ht="15.75" customHeight="1">
      <c r="A40" s="43" t="str">
        <f>HLOOKUP(INDICE!$F$2,Nombres!$C$3:$D$636,60,FALSE)</f>
        <v>Depósitos de bancos centrales y entidades de crédito</v>
      </c>
      <c r="B40" s="58">
        <v>541.9019999999999</v>
      </c>
      <c r="C40" s="58">
        <v>446.334</v>
      </c>
      <c r="D40" s="58">
        <v>603.055</v>
      </c>
      <c r="E40" s="65">
        <v>535.3389999999999</v>
      </c>
      <c r="F40" s="44">
        <v>395.64700000999994</v>
      </c>
      <c r="G40" s="44">
        <v>439.034</v>
      </c>
      <c r="H40" s="44">
        <v>509.10799998999994</v>
      </c>
      <c r="I40" s="44">
        <v>0</v>
      </c>
    </row>
    <row r="41" spans="1:9" ht="15">
      <c r="A41" s="43" t="str">
        <f>HLOOKUP(INDICE!$F$2,Nombres!$C$3:$D$636,61,FALSE)</f>
        <v>Depósitos de la clientela</v>
      </c>
      <c r="B41" s="58">
        <v>12007.403</v>
      </c>
      <c r="C41" s="58">
        <v>13573.682999999999</v>
      </c>
      <c r="D41" s="58">
        <v>11346.935</v>
      </c>
      <c r="E41" s="65">
        <v>12130.376</v>
      </c>
      <c r="F41" s="44">
        <v>11750.15199999</v>
      </c>
      <c r="G41" s="44">
        <v>12172.918</v>
      </c>
      <c r="H41" s="44">
        <v>12192.843000009998</v>
      </c>
      <c r="I41" s="44">
        <v>0</v>
      </c>
    </row>
    <row r="42" spans="1:9" ht="15">
      <c r="A42" s="43" t="str">
        <f>HLOOKUP(INDICE!$F$2,Nombres!$C$3:$D$636,62,FALSE)</f>
        <v>Valores representativos de deuda emitidos</v>
      </c>
      <c r="B42" s="44">
        <v>699.0469594599999</v>
      </c>
      <c r="C42" s="44">
        <v>770.01702496</v>
      </c>
      <c r="D42" s="44">
        <v>738.85479696</v>
      </c>
      <c r="E42" s="45">
        <v>708.9437681899999</v>
      </c>
      <c r="F42" s="44">
        <v>786.25855903</v>
      </c>
      <c r="G42" s="44">
        <v>781.3103575099999</v>
      </c>
      <c r="H42" s="44">
        <v>812.9652056699999</v>
      </c>
      <c r="I42" s="44">
        <v>0</v>
      </c>
    </row>
    <row r="43" spans="1:9" ht="15">
      <c r="A43" s="43"/>
      <c r="B43" s="44"/>
      <c r="C43" s="44"/>
      <c r="D43" s="44"/>
      <c r="E43" s="45"/>
      <c r="F43" s="44"/>
      <c r="G43" s="44"/>
      <c r="H43" s="44"/>
      <c r="I43" s="44"/>
    </row>
    <row r="44" spans="1:9" ht="15">
      <c r="A44" s="43" t="str">
        <f>HLOOKUP(INDICE!$F$2,Nombres!$C$3:$D$636,63,FALSE)</f>
        <v>Otros pasivos</v>
      </c>
      <c r="B44" s="58">
        <f>+B38-B39-B40-B41-B42-B45</f>
        <v>580.7363698899992</v>
      </c>
      <c r="C44" s="58">
        <f aca="true" t="shared" si="6" ref="C44:I44">+C38-C39-C40-C41-C42-C45</f>
        <v>508.8389396400014</v>
      </c>
      <c r="D44" s="58">
        <f t="shared" si="6"/>
        <v>621.2121822300023</v>
      </c>
      <c r="E44" s="65">
        <f t="shared" si="6"/>
        <v>857.0931387199985</v>
      </c>
      <c r="F44" s="44">
        <f t="shared" si="6"/>
        <v>725.8774128500002</v>
      </c>
      <c r="G44" s="44">
        <f t="shared" si="6"/>
        <v>740.6406263799968</v>
      </c>
      <c r="H44" s="44">
        <f t="shared" si="6"/>
        <v>768.2742589400032</v>
      </c>
      <c r="I44" s="44">
        <f t="shared" si="6"/>
        <v>0</v>
      </c>
    </row>
    <row r="45" spans="1:9" ht="15">
      <c r="A45" s="43" t="str">
        <f>HLOOKUP(INDICE!$F$2,Nombres!$C$3:$D$636,282,FALSE)</f>
        <v>Dotación de capital regulatorio</v>
      </c>
      <c r="B45" s="58">
        <v>1533.48867065</v>
      </c>
      <c r="C45" s="58">
        <v>1580.4280354</v>
      </c>
      <c r="D45" s="58">
        <v>1415.3690038</v>
      </c>
      <c r="E45" s="65">
        <v>1487.78509309</v>
      </c>
      <c r="F45" s="44">
        <v>1480.8190281199998</v>
      </c>
      <c r="G45" s="44">
        <v>1456.10901612</v>
      </c>
      <c r="H45" s="44">
        <v>1511.5345353900002</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9"/>
      <c r="G48" s="69"/>
      <c r="H48" s="69"/>
      <c r="I48" s="69"/>
    </row>
    <row r="49" spans="1:9" ht="15">
      <c r="A49" s="35" t="str">
        <f>HLOOKUP(INDICE!$F$2,Nombres!$C$3:$D$636,32,FALSE)</f>
        <v>(Millones de euros)</v>
      </c>
      <c r="B49" s="30"/>
      <c r="C49" s="30"/>
      <c r="D49" s="30"/>
      <c r="E49" s="30"/>
      <c r="F49" s="70"/>
      <c r="G49" s="44"/>
      <c r="H49" s="44"/>
      <c r="I49" s="44"/>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43" t="str">
        <f>HLOOKUP(INDICE!$F$2,Nombres!$C$3:$D$636,66,FALSE)</f>
        <v>Préstamos y anticipos a la clientela bruto (*)</v>
      </c>
      <c r="B51" s="44">
        <v>11721.79893463</v>
      </c>
      <c r="C51" s="44">
        <v>12571.85612573</v>
      </c>
      <c r="D51" s="44">
        <v>11516.265511460002</v>
      </c>
      <c r="E51" s="45">
        <v>12358.36728401</v>
      </c>
      <c r="F51" s="44">
        <v>12036.97017208</v>
      </c>
      <c r="G51" s="44">
        <v>12081.27330734</v>
      </c>
      <c r="H51" s="44">
        <v>12486.544080319998</v>
      </c>
      <c r="I51" s="44">
        <v>0</v>
      </c>
    </row>
    <row r="52" spans="1:9" ht="15">
      <c r="A52" s="43" t="str">
        <f>HLOOKUP(INDICE!$F$2,Nombres!$C$3:$D$636,67,FALSE)</f>
        <v>Depósitos de clientes en gestión (**)</v>
      </c>
      <c r="B52" s="44">
        <v>12015.3979488</v>
      </c>
      <c r="C52" s="44">
        <v>13582.158241539999</v>
      </c>
      <c r="D52" s="44">
        <v>11346.93488211</v>
      </c>
      <c r="E52" s="45">
        <v>12129.34187195</v>
      </c>
      <c r="F52" s="44">
        <v>11749.71156344</v>
      </c>
      <c r="G52" s="44">
        <v>12156.99369217</v>
      </c>
      <c r="H52" s="44">
        <v>12170.234346829999</v>
      </c>
      <c r="I52" s="44">
        <v>0</v>
      </c>
    </row>
    <row r="53" spans="1:9" ht="15">
      <c r="A53" s="43" t="str">
        <f>HLOOKUP(INDICE!$F$2,Nombres!$C$3:$D$636,68,FALSE)</f>
        <v>Fondos de inversión</v>
      </c>
      <c r="B53" s="44">
        <v>688.7781286700001</v>
      </c>
      <c r="C53" s="44">
        <v>1140.1636230000001</v>
      </c>
      <c r="D53" s="44">
        <v>1506.0115078100002</v>
      </c>
      <c r="E53" s="45">
        <v>1566.60486917</v>
      </c>
      <c r="F53" s="44">
        <v>1130.8140225599998</v>
      </c>
      <c r="G53" s="44">
        <v>981.5469995999999</v>
      </c>
      <c r="H53" s="44">
        <v>1049.1010830399998</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184.71628618996436</v>
      </c>
      <c r="C64" s="41">
        <v>185.32520110856706</v>
      </c>
      <c r="D64" s="41">
        <v>182.8302148163007</v>
      </c>
      <c r="E64" s="42">
        <v>191.23235303308104</v>
      </c>
      <c r="F64" s="50">
        <v>194.5134410033451</v>
      </c>
      <c r="G64" s="50">
        <v>189.18214365214766</v>
      </c>
      <c r="H64" s="50">
        <v>191.00541534450718</v>
      </c>
      <c r="I64" s="50">
        <v>0</v>
      </c>
    </row>
    <row r="65" spans="1:9" ht="15">
      <c r="A65" s="43" t="str">
        <f>HLOOKUP(INDICE!$F$2,Nombres!$C$3:$D$636,34,FALSE)</f>
        <v>Comisiones netas</v>
      </c>
      <c r="B65" s="44">
        <v>15.51058242899323</v>
      </c>
      <c r="C65" s="44">
        <v>11.399869367879738</v>
      </c>
      <c r="D65" s="44">
        <v>21.052548695037782</v>
      </c>
      <c r="E65" s="45">
        <v>18.927021109748917</v>
      </c>
      <c r="F65" s="44">
        <v>20.762783384326426</v>
      </c>
      <c r="G65" s="44">
        <v>21.916832925913567</v>
      </c>
      <c r="H65" s="44">
        <v>20.201175509760002</v>
      </c>
      <c r="I65" s="44">
        <v>0</v>
      </c>
    </row>
    <row r="66" spans="1:9" ht="15">
      <c r="A66" s="43" t="str">
        <f>HLOOKUP(INDICE!$F$2,Nombres!$C$3:$D$636,35,FALSE)</f>
        <v>Resultados de operaciones financieras</v>
      </c>
      <c r="B66" s="44">
        <v>4.229270231357283</v>
      </c>
      <c r="C66" s="44">
        <v>23.14286853474488</v>
      </c>
      <c r="D66" s="44">
        <v>26.769269945087032</v>
      </c>
      <c r="E66" s="45">
        <v>16.04253086971462</v>
      </c>
      <c r="F66" s="44">
        <v>7.091653573610722</v>
      </c>
      <c r="G66" s="44">
        <v>21.274891632592986</v>
      </c>
      <c r="H66" s="44">
        <v>18.929172293796295</v>
      </c>
      <c r="I66" s="44">
        <v>0</v>
      </c>
    </row>
    <row r="67" spans="1:9" ht="15">
      <c r="A67" s="43" t="str">
        <f>HLOOKUP(INDICE!$F$2,Nombres!$C$3:$D$636,36,FALSE)</f>
        <v>Otros ingresos y cargas de explotación</v>
      </c>
      <c r="B67" s="44">
        <v>-1.2465343177777584</v>
      </c>
      <c r="C67" s="44">
        <v>-1.7670289264804042</v>
      </c>
      <c r="D67" s="44">
        <v>-6.316233839682662</v>
      </c>
      <c r="E67" s="45">
        <v>-2.0660811850972394</v>
      </c>
      <c r="F67" s="44">
        <v>-4.341843816066149</v>
      </c>
      <c r="G67" s="44">
        <v>-9.08833591151404</v>
      </c>
      <c r="H67" s="44">
        <v>-9.921820272419811</v>
      </c>
      <c r="I67" s="44">
        <v>0</v>
      </c>
    </row>
    <row r="68" spans="1:9" ht="15">
      <c r="A68" s="41" t="str">
        <f>HLOOKUP(INDICE!$F$2,Nombres!$C$3:$D$636,37,FALSE)</f>
        <v>Margen bruto</v>
      </c>
      <c r="B68" s="41">
        <f>+SUM(B64:B67)</f>
        <v>203.2096045325371</v>
      </c>
      <c r="C68" s="41">
        <f aca="true" t="shared" si="9" ref="C68:I68">+SUM(C64:C67)</f>
        <v>218.10091008471127</v>
      </c>
      <c r="D68" s="41">
        <f t="shared" si="9"/>
        <v>224.33579961674283</v>
      </c>
      <c r="E68" s="42">
        <f t="shared" si="9"/>
        <v>224.13582382744735</v>
      </c>
      <c r="F68" s="50">
        <f t="shared" si="9"/>
        <v>218.02603414521607</v>
      </c>
      <c r="G68" s="50">
        <f t="shared" si="9"/>
        <v>223.2855322991402</v>
      </c>
      <c r="H68" s="50">
        <f t="shared" si="9"/>
        <v>220.21394287564365</v>
      </c>
      <c r="I68" s="50">
        <f t="shared" si="9"/>
        <v>0</v>
      </c>
    </row>
    <row r="69" spans="1:9" ht="15">
      <c r="A69" s="43" t="str">
        <f>HLOOKUP(INDICE!$F$2,Nombres!$C$3:$D$636,38,FALSE)</f>
        <v>Gastos de explotación</v>
      </c>
      <c r="B69" s="44">
        <v>-79.94174955673172</v>
      </c>
      <c r="C69" s="44">
        <v>-70.08301546703974</v>
      </c>
      <c r="D69" s="44">
        <v>-75.32531058179215</v>
      </c>
      <c r="E69" s="45">
        <v>-81.13296472651692</v>
      </c>
      <c r="F69" s="44">
        <v>-77.98013216779734</v>
      </c>
      <c r="G69" s="44">
        <v>-77.93543288601639</v>
      </c>
      <c r="H69" s="44">
        <v>-82.64943027618628</v>
      </c>
      <c r="I69" s="44">
        <v>0</v>
      </c>
    </row>
    <row r="70" spans="1:9" ht="15">
      <c r="A70" s="43" t="str">
        <f>HLOOKUP(INDICE!$F$2,Nombres!$C$3:$D$636,39,FALSE)</f>
        <v>  Gastos de administración</v>
      </c>
      <c r="B70" s="44">
        <v>-73.26300557406955</v>
      </c>
      <c r="C70" s="44">
        <v>-63.219565364876054</v>
      </c>
      <c r="D70" s="44">
        <v>-68.45627805943792</v>
      </c>
      <c r="E70" s="45">
        <v>-74.25107717542626</v>
      </c>
      <c r="F70" s="44">
        <v>-71.1032867659905</v>
      </c>
      <c r="G70" s="44">
        <v>-71.07998615881397</v>
      </c>
      <c r="H70" s="44">
        <v>-75.87972240519552</v>
      </c>
      <c r="I70" s="44">
        <v>0</v>
      </c>
    </row>
    <row r="71" spans="1:9" ht="15">
      <c r="A71" s="46" t="str">
        <f>HLOOKUP(INDICE!$F$2,Nombres!$C$3:$D$636,40,FALSE)</f>
        <v>  Gastos de personal</v>
      </c>
      <c r="B71" s="44">
        <v>-37.249689578063276</v>
      </c>
      <c r="C71" s="44">
        <v>-31.81595977928852</v>
      </c>
      <c r="D71" s="44">
        <v>-33.99908493795125</v>
      </c>
      <c r="E71" s="45">
        <v>-36.11995004473065</v>
      </c>
      <c r="F71" s="44">
        <v>-35.876372709426136</v>
      </c>
      <c r="G71" s="44">
        <v>-34.77547553137863</v>
      </c>
      <c r="H71" s="44">
        <v>-37.91015175919524</v>
      </c>
      <c r="I71" s="44">
        <v>0</v>
      </c>
    </row>
    <row r="72" spans="1:9" ht="15">
      <c r="A72" s="46" t="str">
        <f>HLOOKUP(INDICE!$F$2,Nombres!$C$3:$D$636,41,FALSE)</f>
        <v>  Otros gastos de administración</v>
      </c>
      <c r="B72" s="44">
        <v>-36.01331599600627</v>
      </c>
      <c r="C72" s="44">
        <v>-31.403605585587528</v>
      </c>
      <c r="D72" s="44">
        <v>-34.45719312148667</v>
      </c>
      <c r="E72" s="45">
        <v>-38.13112713069562</v>
      </c>
      <c r="F72" s="44">
        <v>-35.22691405656438</v>
      </c>
      <c r="G72" s="44">
        <v>-36.30451062743533</v>
      </c>
      <c r="H72" s="44">
        <v>-37.96957064600028</v>
      </c>
      <c r="I72" s="44">
        <v>0</v>
      </c>
    </row>
    <row r="73" spans="1:9" ht="15">
      <c r="A73" s="43" t="str">
        <f>HLOOKUP(INDICE!$F$2,Nombres!$C$3:$D$636,42,FALSE)</f>
        <v>  Amortización</v>
      </c>
      <c r="B73" s="44">
        <v>-6.678743982662171</v>
      </c>
      <c r="C73" s="44">
        <v>-6.863450102163692</v>
      </c>
      <c r="D73" s="44">
        <v>-6.869032522354245</v>
      </c>
      <c r="E73" s="45">
        <v>-6.881887551090653</v>
      </c>
      <c r="F73" s="44">
        <v>-6.876845401806817</v>
      </c>
      <c r="G73" s="44">
        <v>-6.855446727202427</v>
      </c>
      <c r="H73" s="44">
        <v>-6.769707870990757</v>
      </c>
      <c r="I73" s="44">
        <v>0</v>
      </c>
    </row>
    <row r="74" spans="1:9" ht="15">
      <c r="A74" s="41" t="str">
        <f>HLOOKUP(INDICE!$F$2,Nombres!$C$3:$D$636,43,FALSE)</f>
        <v>Margen neto</v>
      </c>
      <c r="B74" s="41">
        <f>+B68+B69</f>
        <v>123.26785497580538</v>
      </c>
      <c r="C74" s="41">
        <f aca="true" t="shared" si="10" ref="C74:I74">+C68+C69</f>
        <v>148.01789461767152</v>
      </c>
      <c r="D74" s="41">
        <f t="shared" si="10"/>
        <v>149.0104890349507</v>
      </c>
      <c r="E74" s="42">
        <f t="shared" si="10"/>
        <v>143.00285910093044</v>
      </c>
      <c r="F74" s="50">
        <f t="shared" si="10"/>
        <v>140.04590197741874</v>
      </c>
      <c r="G74" s="50">
        <f t="shared" si="10"/>
        <v>145.35009941312381</v>
      </c>
      <c r="H74" s="50">
        <f t="shared" si="10"/>
        <v>137.56451259945737</v>
      </c>
      <c r="I74" s="50">
        <f t="shared" si="10"/>
        <v>0</v>
      </c>
    </row>
    <row r="75" spans="1:9" ht="15">
      <c r="A75" s="43" t="str">
        <f>HLOOKUP(INDICE!$F$2,Nombres!$C$3:$D$636,44,FALSE)</f>
        <v>Deterioro de activos financieros no valorados a valor razonable con cambios en resultados</v>
      </c>
      <c r="B75" s="44">
        <v>-114.32147830934932</v>
      </c>
      <c r="C75" s="44">
        <v>-83.70243690484065</v>
      </c>
      <c r="D75" s="44">
        <v>-64.38004157142649</v>
      </c>
      <c r="E75" s="45">
        <v>-49.49352108793514</v>
      </c>
      <c r="F75" s="44">
        <v>-66.04657110839781</v>
      </c>
      <c r="G75" s="44">
        <v>-67.29360041906443</v>
      </c>
      <c r="H75" s="44">
        <v>-51.336828472537746</v>
      </c>
      <c r="I75" s="44">
        <v>0</v>
      </c>
    </row>
    <row r="76" spans="1:9" ht="15">
      <c r="A76" s="43" t="str">
        <f>HLOOKUP(INDICE!$F$2,Nombres!$C$3:$D$636,45,FALSE)</f>
        <v>Provisiones o reversión de provisiones y otros resultados</v>
      </c>
      <c r="B76" s="44">
        <v>-2.212730648954864</v>
      </c>
      <c r="C76" s="44">
        <v>-9.126501832794816</v>
      </c>
      <c r="D76" s="44">
        <v>-4.518691521125004</v>
      </c>
      <c r="E76" s="45">
        <v>-0.38908919878895865</v>
      </c>
      <c r="F76" s="44">
        <v>-7.239956782499235</v>
      </c>
      <c r="G76" s="44">
        <v>3.6215190333570315</v>
      </c>
      <c r="H76" s="44">
        <v>2.4274377491422015</v>
      </c>
      <c r="I76" s="44">
        <v>0</v>
      </c>
    </row>
    <row r="77" spans="1:9" ht="15">
      <c r="A77" s="41" t="str">
        <f>HLOOKUP(INDICE!$F$2,Nombres!$C$3:$D$636,46,FALSE)</f>
        <v>Resultado antes de impuestos</v>
      </c>
      <c r="B77" s="41">
        <f>+B74+B75+B76</f>
        <v>6.733646017501197</v>
      </c>
      <c r="C77" s="41">
        <f aca="true" t="shared" si="11" ref="C77:I77">+C74+C75+C76</f>
        <v>55.18895588003605</v>
      </c>
      <c r="D77" s="41">
        <f t="shared" si="11"/>
        <v>80.1117559423992</v>
      </c>
      <c r="E77" s="42">
        <f t="shared" si="11"/>
        <v>93.12024881420635</v>
      </c>
      <c r="F77" s="50">
        <f t="shared" si="11"/>
        <v>66.75937408652169</v>
      </c>
      <c r="G77" s="50">
        <f t="shared" si="11"/>
        <v>81.67801802741641</v>
      </c>
      <c r="H77" s="50">
        <f t="shared" si="11"/>
        <v>88.65512187606183</v>
      </c>
      <c r="I77" s="50">
        <f t="shared" si="11"/>
        <v>0</v>
      </c>
    </row>
    <row r="78" spans="1:9" ht="15">
      <c r="A78" s="43" t="str">
        <f>HLOOKUP(INDICE!$F$2,Nombres!$C$3:$D$636,47,FALSE)</f>
        <v>Impuesto sobre beneficios</v>
      </c>
      <c r="B78" s="44">
        <v>0.39719011470395316</v>
      </c>
      <c r="C78" s="44">
        <v>-16.87752858918667</v>
      </c>
      <c r="D78" s="44">
        <v>-25.62329507589695</v>
      </c>
      <c r="E78" s="45">
        <v>-30.203601032836946</v>
      </c>
      <c r="F78" s="44">
        <v>-18.226898982831074</v>
      </c>
      <c r="G78" s="44">
        <v>-21.591082833424416</v>
      </c>
      <c r="H78" s="44">
        <v>-31.59011978374452</v>
      </c>
      <c r="I78" s="44">
        <v>0</v>
      </c>
    </row>
    <row r="79" spans="1:9" ht="15">
      <c r="A79" s="41" t="str">
        <f>HLOOKUP(INDICE!$F$2,Nombres!$C$3:$D$636,48,FALSE)</f>
        <v>Resultado del ejercicio</v>
      </c>
      <c r="B79" s="41">
        <f>+B77+B78</f>
        <v>7.13083613220515</v>
      </c>
      <c r="C79" s="41">
        <f aca="true" t="shared" si="12" ref="C79:I79">+C77+C78</f>
        <v>38.31142729084938</v>
      </c>
      <c r="D79" s="41">
        <f t="shared" si="12"/>
        <v>54.48846086650225</v>
      </c>
      <c r="E79" s="42">
        <f t="shared" si="12"/>
        <v>62.916647781369406</v>
      </c>
      <c r="F79" s="50">
        <f t="shared" si="12"/>
        <v>48.532475103690615</v>
      </c>
      <c r="G79" s="50">
        <f t="shared" si="12"/>
        <v>60.086935193992</v>
      </c>
      <c r="H79" s="50">
        <f t="shared" si="12"/>
        <v>57.06500209231731</v>
      </c>
      <c r="I79" s="50">
        <f t="shared" si="12"/>
        <v>0</v>
      </c>
    </row>
    <row r="80" spans="1:9" ht="15">
      <c r="A80" s="43" t="str">
        <f>HLOOKUP(INDICE!$F$2,Nombres!$C$3:$D$636,49,FALSE)</f>
        <v>Minoritarios</v>
      </c>
      <c r="B80" s="44">
        <v>0.08842958528615186</v>
      </c>
      <c r="C80" s="44">
        <v>-1.3838709912878564</v>
      </c>
      <c r="D80" s="44">
        <v>-2.007362663273344</v>
      </c>
      <c r="E80" s="45">
        <v>-2.389331201721179</v>
      </c>
      <c r="F80" s="44">
        <v>-1.8421973881175695</v>
      </c>
      <c r="G80" s="44">
        <v>-2.2761977920113905</v>
      </c>
      <c r="H80" s="44">
        <v>-2.08815727987104</v>
      </c>
      <c r="I80" s="44">
        <v>0</v>
      </c>
    </row>
    <row r="81" spans="1:9" ht="15">
      <c r="A81" s="47" t="str">
        <f>HLOOKUP(INDICE!$F$2,Nombres!$C$3:$D$636,50,FALSE)</f>
        <v>Resultado atribuido</v>
      </c>
      <c r="B81" s="47">
        <f>+B79+B80</f>
        <v>7.219265717491302</v>
      </c>
      <c r="C81" s="47">
        <f aca="true" t="shared" si="13" ref="C81:I81">+C79+C80</f>
        <v>36.92755629956152</v>
      </c>
      <c r="D81" s="47">
        <f t="shared" si="13"/>
        <v>52.48109820322891</v>
      </c>
      <c r="E81" s="47">
        <f t="shared" si="13"/>
        <v>60.52731657964823</v>
      </c>
      <c r="F81" s="51">
        <f t="shared" si="13"/>
        <v>46.690277715573046</v>
      </c>
      <c r="G81" s="51">
        <f t="shared" si="13"/>
        <v>57.81073740198061</v>
      </c>
      <c r="H81" s="51">
        <f t="shared" si="13"/>
        <v>54.97684481244627</v>
      </c>
      <c r="I81" s="51">
        <f t="shared" si="13"/>
        <v>0</v>
      </c>
    </row>
    <row r="82" spans="1:9" ht="15">
      <c r="A82" s="62"/>
      <c r="B82" s="63">
        <v>-1.5987211554602254E-14</v>
      </c>
      <c r="C82" s="63">
        <v>0</v>
      </c>
      <c r="D82" s="63">
        <v>0</v>
      </c>
      <c r="E82" s="63">
        <v>8.526512829121202E-14</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1294.5908810260735</v>
      </c>
      <c r="C87" s="44">
        <v>2105.2782555866834</v>
      </c>
      <c r="D87" s="44">
        <v>1290.4403290136406</v>
      </c>
      <c r="E87" s="45">
        <v>1302.023464075675</v>
      </c>
      <c r="F87" s="44">
        <v>839.6153171319478</v>
      </c>
      <c r="G87" s="44">
        <v>1646.1448152479502</v>
      </c>
      <c r="H87" s="44">
        <v>1604.7279999999998</v>
      </c>
      <c r="I87" s="44">
        <v>0</v>
      </c>
    </row>
    <row r="88" spans="1:9" ht="15">
      <c r="A88" s="43" t="str">
        <f>HLOOKUP(INDICE!$F$2,Nombres!$C$3:$D$636,53,FALSE)</f>
        <v>Activos financieros a valor razonable</v>
      </c>
      <c r="B88" s="58">
        <v>3451.8956527938963</v>
      </c>
      <c r="C88" s="58">
        <v>2918.8195162930674</v>
      </c>
      <c r="D88" s="58">
        <v>2729.356063382874</v>
      </c>
      <c r="E88" s="65">
        <v>2214.1449949981834</v>
      </c>
      <c r="F88" s="44">
        <v>2309.083726663119</v>
      </c>
      <c r="G88" s="44">
        <v>1807.0609072181655</v>
      </c>
      <c r="H88" s="44">
        <v>1874.4669999999996</v>
      </c>
      <c r="I88" s="44">
        <v>0</v>
      </c>
    </row>
    <row r="89" spans="1:9" ht="15">
      <c r="A89" s="43" t="str">
        <f>HLOOKUP(INDICE!$F$2,Nombres!$C$3:$D$636,54,FALSE)</f>
        <v>Activos financieros a coste amortizado</v>
      </c>
      <c r="B89" s="44">
        <v>11623.846318473978</v>
      </c>
      <c r="C89" s="44">
        <v>11970.027012733368</v>
      </c>
      <c r="D89" s="44">
        <v>11853.68030997369</v>
      </c>
      <c r="E89" s="45">
        <v>11818.936143140623</v>
      </c>
      <c r="F89" s="44">
        <v>11969.726060168632</v>
      </c>
      <c r="G89" s="44">
        <v>12196.544307204727</v>
      </c>
      <c r="H89" s="44">
        <v>12569.425</v>
      </c>
      <c r="I89" s="44">
        <v>0</v>
      </c>
    </row>
    <row r="90" spans="1:9" ht="15">
      <c r="A90" s="43" t="str">
        <f>HLOOKUP(INDICE!$F$2,Nombres!$C$3:$D$636,55,FALSE)</f>
        <v>    de los que préstamos y anticipos a la clientela</v>
      </c>
      <c r="B90" s="44">
        <v>11101.13749125247</v>
      </c>
      <c r="C90" s="44">
        <v>11222.972793549421</v>
      </c>
      <c r="D90" s="44">
        <v>11063.646405201609</v>
      </c>
      <c r="E90" s="45">
        <v>11012.454356756856</v>
      </c>
      <c r="F90" s="44">
        <v>11156.5784590445</v>
      </c>
      <c r="G90" s="44">
        <v>11412.892531413838</v>
      </c>
      <c r="H90" s="44">
        <v>11754.867000000002</v>
      </c>
      <c r="I90" s="44">
        <v>0</v>
      </c>
    </row>
    <row r="91" spans="1:9" ht="15">
      <c r="A91" s="43"/>
      <c r="B91" s="44"/>
      <c r="C91" s="44"/>
      <c r="D91" s="44"/>
      <c r="E91" s="45"/>
      <c r="F91" s="44"/>
      <c r="G91" s="44"/>
      <c r="H91" s="44"/>
      <c r="I91" s="44"/>
    </row>
    <row r="92" spans="1:9" ht="15">
      <c r="A92" s="43" t="str">
        <f>HLOOKUP(INDICE!$F$2,Nombres!$C$3:$D$636,56,FALSE)</f>
        <v>Activos tangibles</v>
      </c>
      <c r="B92" s="44">
        <v>115.8220762111253</v>
      </c>
      <c r="C92" s="44">
        <v>114.99836077570151</v>
      </c>
      <c r="D92" s="44">
        <v>111.89148441955537</v>
      </c>
      <c r="E92" s="45">
        <v>109.00258728932012</v>
      </c>
      <c r="F92" s="44">
        <v>104.85150862763192</v>
      </c>
      <c r="G92" s="44">
        <v>101.73361431148297</v>
      </c>
      <c r="H92" s="44">
        <v>100.869</v>
      </c>
      <c r="I92" s="44">
        <v>0</v>
      </c>
    </row>
    <row r="93" spans="1:9" ht="15">
      <c r="A93" s="43" t="str">
        <f>HLOOKUP(INDICE!$F$2,Nombres!$C$3:$D$636,57,FALSE)</f>
        <v>Otros activos</v>
      </c>
      <c r="B93" s="58">
        <f>+B94-B92-B89-B88-B87</f>
        <v>664.8671413060993</v>
      </c>
      <c r="C93" s="58">
        <f aca="true" t="shared" si="15" ref="C93:I93">+C94-C92-C89-C88-C87</f>
        <v>452.7043739894366</v>
      </c>
      <c r="D93" s="58">
        <f t="shared" si="15"/>
        <v>486.03181433528334</v>
      </c>
      <c r="E93" s="65">
        <f t="shared" si="15"/>
        <v>513.0559698509826</v>
      </c>
      <c r="F93" s="44">
        <f t="shared" si="15"/>
        <v>656.745128662176</v>
      </c>
      <c r="G93" s="44">
        <f t="shared" si="15"/>
        <v>729.4322568028483</v>
      </c>
      <c r="H93" s="44">
        <f t="shared" si="15"/>
        <v>716.0520000000035</v>
      </c>
      <c r="I93" s="44">
        <f t="shared" si="15"/>
        <v>0</v>
      </c>
    </row>
    <row r="94" spans="1:9" ht="15">
      <c r="A94" s="47" t="str">
        <f>HLOOKUP(INDICE!$F$2,Nombres!$C$3:$D$636,58,FALSE)</f>
        <v>Total activo / pasivo</v>
      </c>
      <c r="B94" s="47">
        <v>17151.022069811173</v>
      </c>
      <c r="C94" s="47">
        <v>17561.827519378257</v>
      </c>
      <c r="D94" s="47">
        <v>16471.400001125043</v>
      </c>
      <c r="E94" s="47">
        <v>15957.163159354785</v>
      </c>
      <c r="F94" s="51">
        <v>15880.021741253506</v>
      </c>
      <c r="G94" s="51">
        <v>16480.915900785174</v>
      </c>
      <c r="H94" s="51">
        <v>16865.541</v>
      </c>
      <c r="I94" s="51">
        <v>0</v>
      </c>
    </row>
    <row r="95" spans="1:9" ht="15">
      <c r="A95" s="43" t="str">
        <f>HLOOKUP(INDICE!$F$2,Nombres!$C$3:$D$636,59,FALSE)</f>
        <v>Pasivos financieros mantenidos para negociar y designados a valor razonable con cambios en resultados</v>
      </c>
      <c r="B95" s="58">
        <v>1742.6710064633348</v>
      </c>
      <c r="C95" s="58">
        <v>1560.4760335763376</v>
      </c>
      <c r="D95" s="58">
        <v>1410.0652910164372</v>
      </c>
      <c r="E95" s="65">
        <v>1045.3631472563313</v>
      </c>
      <c r="F95" s="44">
        <v>941.231137116316</v>
      </c>
      <c r="G95" s="44">
        <v>805.7568499712024</v>
      </c>
      <c r="H95" s="44">
        <v>1070.816</v>
      </c>
      <c r="I95" s="44">
        <v>0</v>
      </c>
    </row>
    <row r="96" spans="1:9" ht="15">
      <c r="A96" s="43" t="str">
        <f>HLOOKUP(INDICE!$F$2,Nombres!$C$3:$D$636,60,FALSE)</f>
        <v>Depósitos de bancos centrales y entidades de crédito</v>
      </c>
      <c r="B96" s="58">
        <v>543.5166416370324</v>
      </c>
      <c r="C96" s="58">
        <v>423.1186595975695</v>
      </c>
      <c r="D96" s="58">
        <v>616.8115757124114</v>
      </c>
      <c r="E96" s="65">
        <v>507.8309944292108</v>
      </c>
      <c r="F96" s="44">
        <v>390.4210139291817</v>
      </c>
      <c r="G96" s="44">
        <v>441.4318461532067</v>
      </c>
      <c r="H96" s="44">
        <v>509.10799998999994</v>
      </c>
      <c r="I96" s="44">
        <v>0</v>
      </c>
    </row>
    <row r="97" spans="1:9" ht="15">
      <c r="A97" s="43" t="str">
        <f>HLOOKUP(INDICE!$F$2,Nombres!$C$3:$D$636,61,FALSE)</f>
        <v>Depósitos de la clientela</v>
      </c>
      <c r="B97" s="58">
        <v>12043.180046101377</v>
      </c>
      <c r="C97" s="58">
        <v>12867.669854329532</v>
      </c>
      <c r="D97" s="58">
        <v>11605.775355243402</v>
      </c>
      <c r="E97" s="65">
        <v>11507.065442421033</v>
      </c>
      <c r="F97" s="44">
        <v>11594.947661784743</v>
      </c>
      <c r="G97" s="44">
        <v>12239.402109658025</v>
      </c>
      <c r="H97" s="44">
        <v>12192.843000009998</v>
      </c>
      <c r="I97" s="44">
        <v>0</v>
      </c>
    </row>
    <row r="98" spans="1:9" ht="15">
      <c r="A98" s="43" t="str">
        <f>HLOOKUP(INDICE!$F$2,Nombres!$C$3:$D$636,62,FALSE)</f>
        <v>Valores representativos de deuda emitidos</v>
      </c>
      <c r="B98" s="44">
        <v>701.1298274453277</v>
      </c>
      <c r="C98" s="44">
        <v>729.965836051888</v>
      </c>
      <c r="D98" s="44">
        <v>755.7091667187428</v>
      </c>
      <c r="E98" s="45">
        <v>672.5152077362561</v>
      </c>
      <c r="F98" s="44">
        <v>775.873098542972</v>
      </c>
      <c r="G98" s="44">
        <v>785.5775942962532</v>
      </c>
      <c r="H98" s="44">
        <v>812.9652056699999</v>
      </c>
      <c r="I98" s="44">
        <v>0</v>
      </c>
    </row>
    <row r="99" spans="1:9" ht="15">
      <c r="A99" s="43"/>
      <c r="B99" s="44"/>
      <c r="C99" s="44"/>
      <c r="D99" s="44"/>
      <c r="E99" s="45"/>
      <c r="F99" s="44"/>
      <c r="G99" s="44"/>
      <c r="H99" s="44"/>
      <c r="I99" s="44"/>
    </row>
    <row r="100" spans="1:9" ht="15">
      <c r="A100" s="43" t="str">
        <f>HLOOKUP(INDICE!$F$2,Nombres!$C$3:$D$636,63,FALSE)</f>
        <v>Otros pasivos</v>
      </c>
      <c r="B100" s="58">
        <f>+B94-B95-B96-B97-B98-B101</f>
        <v>582.4667217303081</v>
      </c>
      <c r="C100" s="58">
        <f aca="true" t="shared" si="16" ref="C100:I100">+C94-C95-C96-C97-C98-C101</f>
        <v>482.3725059966837</v>
      </c>
      <c r="D100" s="58">
        <f t="shared" si="16"/>
        <v>635.3829501007899</v>
      </c>
      <c r="E100" s="65">
        <f t="shared" si="16"/>
        <v>813.0520304977413</v>
      </c>
      <c r="F100" s="44">
        <f t="shared" si="16"/>
        <v>716.2895093505715</v>
      </c>
      <c r="G100" s="44">
        <f t="shared" si="16"/>
        <v>744.6857396898413</v>
      </c>
      <c r="H100" s="44">
        <f t="shared" si="16"/>
        <v>768.2742589400032</v>
      </c>
      <c r="I100" s="44">
        <f t="shared" si="16"/>
        <v>0</v>
      </c>
    </row>
    <row r="101" spans="1:9" ht="15">
      <c r="A101" s="43" t="str">
        <f>HLOOKUP(INDICE!$F$2,Nombres!$C$3:$D$636,282,FALSE)</f>
        <v>Dotación de capital regulatorio</v>
      </c>
      <c r="B101" s="58">
        <v>1538.0578264337933</v>
      </c>
      <c r="C101" s="58">
        <v>1498.224629826247</v>
      </c>
      <c r="D101" s="58">
        <v>1447.65566233326</v>
      </c>
      <c r="E101" s="65">
        <v>1411.336337014211</v>
      </c>
      <c r="F101" s="44">
        <v>1461.2593205297223</v>
      </c>
      <c r="G101" s="44">
        <v>1464.0617610166432</v>
      </c>
      <c r="H101" s="44">
        <v>1511.5345353900002</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11756.724999897848</v>
      </c>
      <c r="C107" s="44">
        <v>11917.951382983081</v>
      </c>
      <c r="D107" s="44">
        <v>11778.96854589738</v>
      </c>
      <c r="E107" s="45">
        <v>11723.341559946546</v>
      </c>
      <c r="F107" s="44">
        <v>11877.977336110245</v>
      </c>
      <c r="G107" s="44">
        <v>12147.256886574969</v>
      </c>
      <c r="H107" s="44">
        <v>12486.544080319998</v>
      </c>
      <c r="I107" s="44">
        <v>0</v>
      </c>
    </row>
    <row r="108" spans="1:9" ht="15">
      <c r="A108" s="43" t="str">
        <f>HLOOKUP(INDICE!$F$2,Nombres!$C$3:$D$636,67,FALSE)</f>
        <v>Depósitos de clientes en gestión (**)</v>
      </c>
      <c r="B108" s="44">
        <v>12051.198816509745</v>
      </c>
      <c r="C108" s="44">
        <v>12875.704269902104</v>
      </c>
      <c r="D108" s="44">
        <v>11605.77523466416</v>
      </c>
      <c r="E108" s="45">
        <v>11506.084452289548</v>
      </c>
      <c r="F108" s="44">
        <v>11594.513042832956</v>
      </c>
      <c r="G108" s="44">
        <v>12223.390828973366</v>
      </c>
      <c r="H108" s="44">
        <v>12170.234346829999</v>
      </c>
      <c r="I108" s="44">
        <v>0</v>
      </c>
    </row>
    <row r="109" spans="1:9" ht="15">
      <c r="A109" s="43" t="str">
        <f>HLOOKUP(INDICE!$F$2,Nombres!$C$3:$D$636,68,FALSE)</f>
        <v>Fondos de inversión</v>
      </c>
      <c r="B109" s="44">
        <v>690.8303998283051</v>
      </c>
      <c r="C109" s="44">
        <v>1080.8598580562282</v>
      </c>
      <c r="D109" s="44">
        <v>1540.3658558063705</v>
      </c>
      <c r="E109" s="45">
        <v>1486.1060161659154</v>
      </c>
      <c r="F109" s="44">
        <v>1115.8774292287137</v>
      </c>
      <c r="G109" s="44">
        <v>986.9078570670357</v>
      </c>
      <c r="H109" s="44">
        <v>1049.1010830399998</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817266.9058985682</v>
      </c>
      <c r="C120" s="41">
        <v>819961.015994362</v>
      </c>
      <c r="D120" s="41">
        <v>808922.088299362</v>
      </c>
      <c r="E120" s="42">
        <v>846096.880219433</v>
      </c>
      <c r="F120" s="50">
        <v>860613.8709447717</v>
      </c>
      <c r="G120" s="50">
        <v>837025.8431616803</v>
      </c>
      <c r="H120" s="50">
        <v>845092.8070735396</v>
      </c>
      <c r="I120" s="50">
        <v>0</v>
      </c>
    </row>
    <row r="121" spans="1:9" ht="15">
      <c r="A121" s="43" t="str">
        <f>HLOOKUP(INDICE!$F$2,Nombres!$C$3:$D$636,34,FALSE)</f>
        <v>Comisiones netas</v>
      </c>
      <c r="B121" s="44">
        <v>68625.70687130185</v>
      </c>
      <c r="C121" s="44">
        <v>50438.08620293231</v>
      </c>
      <c r="D121" s="44">
        <v>93145.82751830594</v>
      </c>
      <c r="E121" s="45">
        <v>83741.54926617283</v>
      </c>
      <c r="F121" s="44">
        <v>91863.777062407</v>
      </c>
      <c r="G121" s="44">
        <v>96969.80489330775</v>
      </c>
      <c r="H121" s="44">
        <v>89378.97434445318</v>
      </c>
      <c r="I121" s="44">
        <v>0</v>
      </c>
    </row>
    <row r="122" spans="1:9" ht="15">
      <c r="A122" s="43" t="str">
        <f>HLOOKUP(INDICE!$F$2,Nombres!$C$3:$D$636,35,FALSE)</f>
        <v>Resultados de operaciones financieras</v>
      </c>
      <c r="B122" s="44">
        <v>18712.170255716606</v>
      </c>
      <c r="C122" s="44">
        <v>102394.3310637862</v>
      </c>
      <c r="D122" s="44">
        <v>118439.14184527077</v>
      </c>
      <c r="E122" s="45">
        <v>70979.28307843079</v>
      </c>
      <c r="F122" s="44">
        <v>31376.625707215208</v>
      </c>
      <c r="G122" s="44">
        <v>94129.5714445847</v>
      </c>
      <c r="H122" s="44">
        <v>83751.06706001046</v>
      </c>
      <c r="I122" s="44">
        <v>0</v>
      </c>
    </row>
    <row r="123" spans="1:9" ht="15">
      <c r="A123" s="43" t="str">
        <f>HLOOKUP(INDICE!$F$2,Nombres!$C$3:$D$636,36,FALSE)</f>
        <v>Otros ingresos y cargas de explotación</v>
      </c>
      <c r="B123" s="44">
        <v>-5515.221564918846</v>
      </c>
      <c r="C123" s="44">
        <v>-7818.120931105885</v>
      </c>
      <c r="D123" s="44">
        <v>-27945.824342638512</v>
      </c>
      <c r="E123" s="45">
        <v>-9141.260970043295</v>
      </c>
      <c r="F123" s="44">
        <v>-19210.24580259236</v>
      </c>
      <c r="G123" s="44">
        <v>-40210.835348493805</v>
      </c>
      <c r="H123" s="44">
        <v>-43898.540416642405</v>
      </c>
      <c r="I123" s="44">
        <v>0</v>
      </c>
    </row>
    <row r="124" spans="1:9" ht="15">
      <c r="A124" s="41" t="str">
        <f>HLOOKUP(INDICE!$F$2,Nombres!$C$3:$D$636,37,FALSE)</f>
        <v>Margen bruto</v>
      </c>
      <c r="B124" s="41">
        <f>+SUM(B120:B123)</f>
        <v>899089.5614606679</v>
      </c>
      <c r="C124" s="41">
        <f aca="true" t="shared" si="19" ref="C124:I124">+SUM(C120:C123)</f>
        <v>964975.3123299745</v>
      </c>
      <c r="D124" s="41">
        <f t="shared" si="19"/>
        <v>992561.2333203002</v>
      </c>
      <c r="E124" s="42">
        <f t="shared" si="19"/>
        <v>991676.4515939933</v>
      </c>
      <c r="F124" s="50">
        <f t="shared" si="19"/>
        <v>964644.0279118015</v>
      </c>
      <c r="G124" s="50">
        <f t="shared" si="19"/>
        <v>987914.3841510789</v>
      </c>
      <c r="H124" s="50">
        <f t="shared" si="19"/>
        <v>974324.3080613608</v>
      </c>
      <c r="I124" s="50">
        <f t="shared" si="19"/>
        <v>0</v>
      </c>
    </row>
    <row r="125" spans="1:9" ht="15">
      <c r="A125" s="43" t="str">
        <f>HLOOKUP(INDICE!$F$2,Nombres!$C$3:$D$636,38,FALSE)</f>
        <v>Gastos de explotación</v>
      </c>
      <c r="B125" s="44">
        <v>-353697.8122500708</v>
      </c>
      <c r="C125" s="44">
        <v>-310078.3931303448</v>
      </c>
      <c r="D125" s="44">
        <v>-333272.6354822879</v>
      </c>
      <c r="E125" s="45">
        <v>-358968.2773300616</v>
      </c>
      <c r="F125" s="44">
        <v>-345018.74551979604</v>
      </c>
      <c r="G125" s="44">
        <v>-344820.97604060976</v>
      </c>
      <c r="H125" s="44">
        <v>-365677.7945753655</v>
      </c>
      <c r="I125" s="44">
        <v>0</v>
      </c>
    </row>
    <row r="126" spans="1:9" ht="15">
      <c r="A126" s="43" t="str">
        <f>HLOOKUP(INDICE!$F$2,Nombres!$C$3:$D$636,39,FALSE)</f>
        <v>  Gastos de administración</v>
      </c>
      <c r="B126" s="44">
        <v>-324148.08199842647</v>
      </c>
      <c r="C126" s="44">
        <v>-279711.44095474784</v>
      </c>
      <c r="D126" s="44">
        <v>-302880.98419991124</v>
      </c>
      <c r="E126" s="45">
        <v>-328519.7496900159</v>
      </c>
      <c r="F126" s="44">
        <v>-314592.5265880362</v>
      </c>
      <c r="G126" s="44">
        <v>-314489.43435114936</v>
      </c>
      <c r="H126" s="44">
        <v>-335725.5996732227</v>
      </c>
      <c r="I126" s="44">
        <v>0</v>
      </c>
    </row>
    <row r="127" spans="1:9" ht="15">
      <c r="A127" s="46" t="str">
        <f>HLOOKUP(INDICE!$F$2,Nombres!$C$3:$D$636,40,FALSE)</f>
        <v>  Gastos de personal</v>
      </c>
      <c r="B127" s="44">
        <v>-164809.17397742634</v>
      </c>
      <c r="C127" s="44">
        <v>-140767.93954308674</v>
      </c>
      <c r="D127" s="44">
        <v>-150427.05504617095</v>
      </c>
      <c r="E127" s="45">
        <v>-159810.70442218363</v>
      </c>
      <c r="F127" s="44">
        <v>-158733.01008738833</v>
      </c>
      <c r="G127" s="44">
        <v>-153862.15192445373</v>
      </c>
      <c r="H127" s="44">
        <v>-167731.3520612886</v>
      </c>
      <c r="I127" s="44">
        <v>0</v>
      </c>
    </row>
    <row r="128" spans="1:9" ht="15">
      <c r="A128" s="46" t="str">
        <f>HLOOKUP(INDICE!$F$2,Nombres!$C$3:$D$636,41,FALSE)</f>
        <v>  Otros gastos de administración</v>
      </c>
      <c r="B128" s="44">
        <v>-159338.90802100007</v>
      </c>
      <c r="C128" s="44">
        <v>-138943.5014116611</v>
      </c>
      <c r="D128" s="44">
        <v>-152453.9291537403</v>
      </c>
      <c r="E128" s="45">
        <v>-168709.0452678322</v>
      </c>
      <c r="F128" s="44">
        <v>-155859.51650064794</v>
      </c>
      <c r="G128" s="44">
        <v>-160627.28242669566</v>
      </c>
      <c r="H128" s="44">
        <v>-167994.24761193403</v>
      </c>
      <c r="I128" s="44">
        <v>0</v>
      </c>
    </row>
    <row r="129" spans="1:9" ht="15">
      <c r="A129" s="43" t="str">
        <f>HLOOKUP(INDICE!$F$2,Nombres!$C$3:$D$636,42,FALSE)</f>
        <v>  Amortización</v>
      </c>
      <c r="B129" s="44">
        <v>-29549.730251644385</v>
      </c>
      <c r="C129" s="44">
        <v>-30366.95217559697</v>
      </c>
      <c r="D129" s="44">
        <v>-30391.651282376704</v>
      </c>
      <c r="E129" s="45">
        <v>-30448.527640045744</v>
      </c>
      <c r="F129" s="44">
        <v>-30426.218931759788</v>
      </c>
      <c r="G129" s="44">
        <v>-30331.54168946034</v>
      </c>
      <c r="H129" s="44">
        <v>-29952.194902142783</v>
      </c>
      <c r="I129" s="44">
        <v>0</v>
      </c>
    </row>
    <row r="130" spans="1:9" ht="15">
      <c r="A130" s="41" t="str">
        <f>HLOOKUP(INDICE!$F$2,Nombres!$C$3:$D$636,43,FALSE)</f>
        <v>Margen neto</v>
      </c>
      <c r="B130" s="41">
        <f>+B124+B125</f>
        <v>545391.749210597</v>
      </c>
      <c r="C130" s="41">
        <f aca="true" t="shared" si="20" ref="C130:I130">+C124+C125</f>
        <v>654896.9191996297</v>
      </c>
      <c r="D130" s="41">
        <f t="shared" si="20"/>
        <v>659288.5978380123</v>
      </c>
      <c r="E130" s="42">
        <f t="shared" si="20"/>
        <v>632708.1742639318</v>
      </c>
      <c r="F130" s="50">
        <f t="shared" si="20"/>
        <v>619625.2823920054</v>
      </c>
      <c r="G130" s="50">
        <f t="shared" si="20"/>
        <v>643093.4081104691</v>
      </c>
      <c r="H130" s="50">
        <f t="shared" si="20"/>
        <v>608646.5134859954</v>
      </c>
      <c r="I130" s="50">
        <f t="shared" si="20"/>
        <v>0</v>
      </c>
    </row>
    <row r="131" spans="1:9" ht="15">
      <c r="A131" s="43" t="str">
        <f>HLOOKUP(INDICE!$F$2,Nombres!$C$3:$D$636,44,FALSE)</f>
        <v>Deterioro de activos financieros no valorados a valor razonable con cambios en resultados</v>
      </c>
      <c r="B131" s="44">
        <v>-505809.00462424033</v>
      </c>
      <c r="C131" s="44">
        <v>-370336.763673553</v>
      </c>
      <c r="D131" s="44">
        <v>-284845.9032063385</v>
      </c>
      <c r="E131" s="45">
        <v>-218981.32360653722</v>
      </c>
      <c r="F131" s="44">
        <v>-292219.3701938051</v>
      </c>
      <c r="G131" s="44">
        <v>-297736.78182715294</v>
      </c>
      <c r="H131" s="44">
        <v>-227136.93432125694</v>
      </c>
      <c r="I131" s="44">
        <v>0</v>
      </c>
    </row>
    <row r="132" spans="1:9" ht="15">
      <c r="A132" s="43" t="str">
        <f>HLOOKUP(INDICE!$F$2,Nombres!$C$3:$D$636,45,FALSE)</f>
        <v>Provisiones o reversión de provisiones y otros resultados</v>
      </c>
      <c r="B132" s="44">
        <v>-9790.103343667819</v>
      </c>
      <c r="C132" s="44">
        <v>-40379.69833853807</v>
      </c>
      <c r="D132" s="44">
        <v>-19992.69861013785</v>
      </c>
      <c r="E132" s="45">
        <v>-1721.5034590170483</v>
      </c>
      <c r="F132" s="44">
        <v>-32032.78498349309</v>
      </c>
      <c r="G132" s="44">
        <v>16023.20897682318</v>
      </c>
      <c r="H132" s="44">
        <v>10740.062933392892</v>
      </c>
      <c r="I132" s="44">
        <v>0</v>
      </c>
    </row>
    <row r="133" spans="1:9" ht="15">
      <c r="A133" s="41" t="str">
        <f>HLOOKUP(INDICE!$F$2,Nombres!$C$3:$D$636,46,FALSE)</f>
        <v>Resultado antes de impuestos</v>
      </c>
      <c r="B133" s="41">
        <f>+B130+B131+B132</f>
        <v>29792.641242688864</v>
      </c>
      <c r="C133" s="41">
        <f aca="true" t="shared" si="21" ref="C133:I133">+C130+C131+C132</f>
        <v>244180.45718753862</v>
      </c>
      <c r="D133" s="41">
        <f t="shared" si="21"/>
        <v>354449.9960215359</v>
      </c>
      <c r="E133" s="42">
        <f t="shared" si="21"/>
        <v>412005.3471983776</v>
      </c>
      <c r="F133" s="50">
        <f t="shared" si="21"/>
        <v>295373.12721470726</v>
      </c>
      <c r="G133" s="50">
        <f t="shared" si="21"/>
        <v>361379.83526013937</v>
      </c>
      <c r="H133" s="50">
        <f t="shared" si="21"/>
        <v>392249.6420981313</v>
      </c>
      <c r="I133" s="50">
        <f t="shared" si="21"/>
        <v>0</v>
      </c>
    </row>
    <row r="134" spans="1:9" ht="15">
      <c r="A134" s="43" t="str">
        <f>HLOOKUP(INDICE!$F$2,Nombres!$C$3:$D$636,47,FALSE)</f>
        <v>Impuesto sobre beneficios</v>
      </c>
      <c r="B134" s="44">
        <v>1757.345509663166</v>
      </c>
      <c r="C134" s="44">
        <v>-74673.68391714999</v>
      </c>
      <c r="D134" s="44">
        <v>-113368.83995203474</v>
      </c>
      <c r="E134" s="45">
        <v>-133634.14819695827</v>
      </c>
      <c r="F134" s="44">
        <v>-80643.89796417106</v>
      </c>
      <c r="G134" s="44">
        <v>-95528.5417774448</v>
      </c>
      <c r="H134" s="44">
        <v>-139768.7230787812</v>
      </c>
      <c r="I134" s="44">
        <v>0</v>
      </c>
    </row>
    <row r="135" spans="1:9" ht="15">
      <c r="A135" s="41" t="str">
        <f>HLOOKUP(INDICE!$F$2,Nombres!$C$3:$D$636,48,FALSE)</f>
        <v>Resultado del ejercicio</v>
      </c>
      <c r="B135" s="41">
        <f>+B133+B134</f>
        <v>31549.98675235203</v>
      </c>
      <c r="C135" s="41">
        <f aca="true" t="shared" si="22" ref="C135:I135">+C133+C134</f>
        <v>169506.77327038863</v>
      </c>
      <c r="D135" s="41">
        <f t="shared" si="22"/>
        <v>241081.15606950113</v>
      </c>
      <c r="E135" s="42">
        <f t="shared" si="22"/>
        <v>278371.19900141936</v>
      </c>
      <c r="F135" s="50">
        <f t="shared" si="22"/>
        <v>214729.22925053618</v>
      </c>
      <c r="G135" s="50">
        <f t="shared" si="22"/>
        <v>265851.29348269454</v>
      </c>
      <c r="H135" s="50">
        <f t="shared" si="22"/>
        <v>252480.9190193501</v>
      </c>
      <c r="I135" s="50">
        <f t="shared" si="22"/>
        <v>0</v>
      </c>
    </row>
    <row r="136" spans="1:9" ht="15">
      <c r="A136" s="43" t="str">
        <f>HLOOKUP(INDICE!$F$2,Nombres!$C$3:$D$636,49,FALSE)</f>
        <v>Minoritarios</v>
      </c>
      <c r="B136" s="44">
        <v>391.25176803513205</v>
      </c>
      <c r="C136" s="44">
        <v>-6122.860017061439</v>
      </c>
      <c r="D136" s="44">
        <v>-8881.46414519483</v>
      </c>
      <c r="E136" s="45">
        <v>-10571.462639679614</v>
      </c>
      <c r="F136" s="44">
        <v>-8150.699597180766</v>
      </c>
      <c r="G136" s="44">
        <v>-10070.910178310898</v>
      </c>
      <c r="H136" s="44">
        <v>-9238.935420099922</v>
      </c>
      <c r="I136" s="44">
        <v>0</v>
      </c>
    </row>
    <row r="137" spans="1:9" ht="15">
      <c r="A137" s="47" t="str">
        <f>HLOOKUP(INDICE!$F$2,Nombres!$C$3:$D$636,50,FALSE)</f>
        <v>Resultado atribuido</v>
      </c>
      <c r="B137" s="47">
        <f>+B135+B136</f>
        <v>31941.23852038716</v>
      </c>
      <c r="C137" s="47">
        <f aca="true" t="shared" si="23" ref="C137:I137">+C135+C136</f>
        <v>163383.9132533272</v>
      </c>
      <c r="D137" s="47">
        <f t="shared" si="23"/>
        <v>232199.6919243063</v>
      </c>
      <c r="E137" s="47">
        <f t="shared" si="23"/>
        <v>267799.73636173975</v>
      </c>
      <c r="F137" s="51">
        <f t="shared" si="23"/>
        <v>206578.52965335542</v>
      </c>
      <c r="G137" s="51">
        <f t="shared" si="23"/>
        <v>255780.38330438363</v>
      </c>
      <c r="H137" s="51">
        <f t="shared" si="23"/>
        <v>243241.9835992502</v>
      </c>
      <c r="I137" s="51">
        <f t="shared" si="23"/>
        <v>0</v>
      </c>
    </row>
    <row r="138" spans="1:9" ht="15">
      <c r="A138" s="62"/>
      <c r="B138" s="63">
        <v>5.093170329928398E-11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9"/>
      <c r="G140" s="69"/>
      <c r="H140" s="69"/>
      <c r="I140" s="69"/>
    </row>
    <row r="141" spans="1:9" ht="15">
      <c r="A141" s="35" t="str">
        <f>HLOOKUP(INDICE!$F$2,Nombres!$C$3:$D$636,75,FALSE)</f>
        <v>(Millones de pesos colombianos)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43" t="str">
        <f>HLOOKUP(INDICE!$F$2,Nombres!$C$3:$D$636,52,FALSE)</f>
        <v>Efectivo, saldos en efectivo en bancos centrales y otros depósitos a la vista</v>
      </c>
      <c r="B143" s="44">
        <v>5748211.327396308</v>
      </c>
      <c r="C143" s="44">
        <v>9347805.931162573</v>
      </c>
      <c r="D143" s="44">
        <v>5729782.146067682</v>
      </c>
      <c r="E143" s="45">
        <v>5781213.304085398</v>
      </c>
      <c r="F143" s="44">
        <v>3728039.759377931</v>
      </c>
      <c r="G143" s="44">
        <v>7309172.660047796</v>
      </c>
      <c r="H143" s="44">
        <v>7125274.712022508</v>
      </c>
      <c r="I143" s="44">
        <v>0</v>
      </c>
    </row>
    <row r="144" spans="1:9" ht="15">
      <c r="A144" s="43" t="str">
        <f>HLOOKUP(INDICE!$F$2,Nombres!$C$3:$D$636,53,FALSE)</f>
        <v>Activos financieros a valor razonable</v>
      </c>
      <c r="B144" s="58">
        <v>15327024.145769738</v>
      </c>
      <c r="C144" s="58">
        <v>12960072.291628709</v>
      </c>
      <c r="D144" s="58">
        <v>12118821.219874823</v>
      </c>
      <c r="E144" s="65">
        <v>9831193.411974963</v>
      </c>
      <c r="F144" s="44">
        <v>10252738.087411333</v>
      </c>
      <c r="G144" s="44">
        <v>8023668.425606111</v>
      </c>
      <c r="H144" s="44">
        <v>8322963.339345169</v>
      </c>
      <c r="I144" s="44">
        <v>0</v>
      </c>
    </row>
    <row r="145" spans="1:9" ht="15">
      <c r="A145" s="43" t="str">
        <f>HLOOKUP(INDICE!$F$2,Nombres!$C$3:$D$636,54,FALSE)</f>
        <v>Activos financieros a coste amortizado</v>
      </c>
      <c r="B145" s="44">
        <v>51611923.16047239</v>
      </c>
      <c r="C145" s="44">
        <v>53149026.36213451</v>
      </c>
      <c r="D145" s="44">
        <v>52632426.52776959</v>
      </c>
      <c r="E145" s="45">
        <v>52478156.31292574</v>
      </c>
      <c r="F145" s="44">
        <v>53147690.07978696</v>
      </c>
      <c r="G145" s="44">
        <v>54154803.01097002</v>
      </c>
      <c r="H145" s="44">
        <v>55810458.904663906</v>
      </c>
      <c r="I145" s="44">
        <v>0</v>
      </c>
    </row>
    <row r="146" spans="1:9" ht="15">
      <c r="A146" s="43" t="str">
        <f>HLOOKUP(INDICE!$F$2,Nombres!$C$3:$D$636,55,FALSE)</f>
        <v>    de los que préstamos y anticipos a la clientela</v>
      </c>
      <c r="B146" s="44">
        <v>49291003.98391889</v>
      </c>
      <c r="C146" s="44">
        <v>49831974.166085646</v>
      </c>
      <c r="D146" s="44">
        <v>49124536.964358926</v>
      </c>
      <c r="E146" s="45">
        <v>48897235.260743074</v>
      </c>
      <c r="F146" s="44">
        <v>49537171.63714026</v>
      </c>
      <c r="G146" s="44">
        <v>50675251.22333102</v>
      </c>
      <c r="H146" s="44">
        <v>52193678.04281339</v>
      </c>
      <c r="I146" s="44">
        <v>0</v>
      </c>
    </row>
    <row r="147" spans="1:9" ht="15">
      <c r="A147" s="43"/>
      <c r="B147" s="44"/>
      <c r="C147" s="44"/>
      <c r="D147" s="44"/>
      <c r="E147" s="45"/>
      <c r="F147" s="44"/>
      <c r="G147" s="44"/>
      <c r="H147" s="44"/>
      <c r="I147" s="44"/>
    </row>
    <row r="148" spans="1:9" ht="15">
      <c r="A148" s="43" t="str">
        <f>HLOOKUP(INDICE!$F$2,Nombres!$C$3:$D$636,56,FALSE)</f>
        <v>Activos tangibles</v>
      </c>
      <c r="B148" s="44">
        <v>514270.4001681748</v>
      </c>
      <c r="C148" s="44">
        <v>510612.9586815629</v>
      </c>
      <c r="D148" s="44">
        <v>496817.8809276826</v>
      </c>
      <c r="E148" s="45">
        <v>483990.6692957426</v>
      </c>
      <c r="F148" s="44">
        <v>465559.1495517467</v>
      </c>
      <c r="G148" s="44">
        <v>451715.15011656843</v>
      </c>
      <c r="H148" s="44">
        <v>447876.11042307375</v>
      </c>
      <c r="I148" s="44">
        <v>0</v>
      </c>
    </row>
    <row r="149" spans="1:9" ht="15">
      <c r="A149" s="43" t="str">
        <f>HLOOKUP(INDICE!$F$2,Nombres!$C$3:$D$636,57,FALSE)</f>
        <v>Otros activos</v>
      </c>
      <c r="B149" s="58">
        <f>+B150-B148-B145-B144-B143</f>
        <v>2952127.107399541</v>
      </c>
      <c r="C149" s="58">
        <f aca="true" t="shared" si="25" ref="C149:I149">+C150-C148-C145-C144-C143</f>
        <v>2010087.0851689074</v>
      </c>
      <c r="D149" s="58">
        <f t="shared" si="25"/>
        <v>2158066.7851010663</v>
      </c>
      <c r="E149" s="65">
        <f t="shared" si="25"/>
        <v>2278058.7911667023</v>
      </c>
      <c r="F149" s="44">
        <f t="shared" si="25"/>
        <v>2916063.94198928</v>
      </c>
      <c r="G149" s="44">
        <f t="shared" si="25"/>
        <v>3238807.5820518155</v>
      </c>
      <c r="H149" s="44">
        <f t="shared" si="25"/>
        <v>3179396.8872563783</v>
      </c>
      <c r="I149" s="44">
        <f t="shared" si="25"/>
        <v>0</v>
      </c>
    </row>
    <row r="150" spans="1:9" ht="15">
      <c r="A150" s="47" t="str">
        <f>HLOOKUP(INDICE!$F$2,Nombres!$C$3:$D$636,58,FALSE)</f>
        <v>Total activo / pasivo</v>
      </c>
      <c r="B150" s="47">
        <v>76153556.14120616</v>
      </c>
      <c r="C150" s="47">
        <v>77977604.62877627</v>
      </c>
      <c r="D150" s="47">
        <v>73135914.55974084</v>
      </c>
      <c r="E150" s="47">
        <v>70852612.48944855</v>
      </c>
      <c r="F150" s="51">
        <v>70510091.01811725</v>
      </c>
      <c r="G150" s="51">
        <v>73178166.8287923</v>
      </c>
      <c r="H150" s="51">
        <v>74885969.95371103</v>
      </c>
      <c r="I150" s="51">
        <v>0</v>
      </c>
    </row>
    <row r="151" spans="1:9" ht="15">
      <c r="A151" s="43" t="str">
        <f>HLOOKUP(INDICE!$F$2,Nombres!$C$3:$D$636,59,FALSE)</f>
        <v>Pasivos financieros mantenidos para negociar y designados a valor razonable con cambios en resultados</v>
      </c>
      <c r="B151" s="58">
        <v>7737765.9352413695</v>
      </c>
      <c r="C151" s="58">
        <v>6928788.193861306</v>
      </c>
      <c r="D151" s="58">
        <v>6260938.0283637345</v>
      </c>
      <c r="E151" s="65">
        <v>4641596.331606228</v>
      </c>
      <c r="F151" s="44">
        <v>4179231.881953251</v>
      </c>
      <c r="G151" s="44">
        <v>3577702.2069401927</v>
      </c>
      <c r="H151" s="44">
        <v>4754611.476854079</v>
      </c>
      <c r="I151" s="44">
        <v>0</v>
      </c>
    </row>
    <row r="152" spans="1:9" ht="15">
      <c r="A152" s="43" t="str">
        <f>HLOOKUP(INDICE!$F$2,Nombres!$C$3:$D$636,60,FALSE)</f>
        <v>Depósitos de bancos centrales y entidades de crédito</v>
      </c>
      <c r="B152" s="58">
        <v>2413309.53421374</v>
      </c>
      <c r="C152" s="58">
        <v>1878721.306922682</v>
      </c>
      <c r="D152" s="58">
        <v>2738751.939585027</v>
      </c>
      <c r="E152" s="65">
        <v>2254858.9808289623</v>
      </c>
      <c r="F152" s="44">
        <v>1733538.0061865845</v>
      </c>
      <c r="G152" s="44">
        <v>1960035.0778928602</v>
      </c>
      <c r="H152" s="44">
        <v>2260529.1102399295</v>
      </c>
      <c r="I152" s="44">
        <v>0</v>
      </c>
    </row>
    <row r="153" spans="1:9" ht="15">
      <c r="A153" s="43" t="str">
        <f>HLOOKUP(INDICE!$F$2,Nombres!$C$3:$D$636,61,FALSE)</f>
        <v>Depósitos de la clientela</v>
      </c>
      <c r="B153" s="58">
        <v>53473838.70339409</v>
      </c>
      <c r="C153" s="58">
        <v>57134718.54152763</v>
      </c>
      <c r="D153" s="58">
        <v>51531684.90369076</v>
      </c>
      <c r="E153" s="65">
        <v>51093395.52028173</v>
      </c>
      <c r="F153" s="44">
        <v>51483608.039330855</v>
      </c>
      <c r="G153" s="44">
        <v>54345099.195764795</v>
      </c>
      <c r="H153" s="44">
        <v>54138368.55568788</v>
      </c>
      <c r="I153" s="44">
        <v>0</v>
      </c>
    </row>
    <row r="154" spans="1:9" ht="15">
      <c r="A154" s="43" t="str">
        <f>HLOOKUP(INDICE!$F$2,Nombres!$C$3:$D$636,62,FALSE)</f>
        <v>Valores representativos de deuda emitidos</v>
      </c>
      <c r="B154" s="44">
        <v>3113139.815184192</v>
      </c>
      <c r="C154" s="44">
        <v>3241176.7678141627</v>
      </c>
      <c r="D154" s="44">
        <v>3355481.686157816</v>
      </c>
      <c r="E154" s="45">
        <v>2986085.868217984</v>
      </c>
      <c r="F154" s="44">
        <v>3445013.0918054557</v>
      </c>
      <c r="G154" s="44">
        <v>3488102.760698742</v>
      </c>
      <c r="H154" s="44">
        <v>3609708.5747333057</v>
      </c>
      <c r="I154" s="44">
        <v>0</v>
      </c>
    </row>
    <row r="155" spans="1:9" ht="15">
      <c r="A155" s="43"/>
      <c r="B155" s="44"/>
      <c r="C155" s="44"/>
      <c r="D155" s="44"/>
      <c r="E155" s="45"/>
      <c r="F155" s="44"/>
      <c r="G155" s="44"/>
      <c r="H155" s="44"/>
      <c r="I155" s="44"/>
    </row>
    <row r="156" spans="1:9" ht="15.75" customHeight="1">
      <c r="A156" s="43" t="str">
        <f>HLOOKUP(INDICE!$F$2,Nombres!$C$3:$D$636,63,FALSE)</f>
        <v>Otros pasivos</v>
      </c>
      <c r="B156" s="58">
        <f>+B150-B151-B152-B153-B154-B157</f>
        <v>2586254.7440685406</v>
      </c>
      <c r="C156" s="58">
        <f aca="true" t="shared" si="26" ref="C156:I156">+C150-C151-C152-C153-C154-C157</f>
        <v>2141818.812130846</v>
      </c>
      <c r="D156" s="58">
        <f t="shared" si="26"/>
        <v>2821212.1099671805</v>
      </c>
      <c r="E156" s="65">
        <f t="shared" si="26"/>
        <v>3610094.0922474638</v>
      </c>
      <c r="F156" s="44">
        <f t="shared" si="26"/>
        <v>3180451.470568632</v>
      </c>
      <c r="G156" s="44">
        <f t="shared" si="26"/>
        <v>3306535.7303018384</v>
      </c>
      <c r="H156" s="44">
        <f t="shared" si="26"/>
        <v>3411272.9067624006</v>
      </c>
      <c r="I156" s="44">
        <f t="shared" si="26"/>
        <v>0</v>
      </c>
    </row>
    <row r="157" spans="1:9" ht="15.75" customHeight="1">
      <c r="A157" s="43" t="str">
        <f>HLOOKUP(INDICE!$F$2,Nombres!$C$3:$D$636,282,FALSE)</f>
        <v>Dotación de capital regulatorio</v>
      </c>
      <c r="B157" s="58">
        <v>6829247.409104228</v>
      </c>
      <c r="C157" s="58">
        <v>6652381.006519634</v>
      </c>
      <c r="D157" s="58">
        <v>6427845.891976318</v>
      </c>
      <c r="E157" s="65">
        <v>6266581.69626618</v>
      </c>
      <c r="F157" s="44">
        <v>6488248.5282724695</v>
      </c>
      <c r="G157" s="44">
        <v>6500691.857193885</v>
      </c>
      <c r="H157" s="44">
        <v>6711479.329433436</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5">
      <c r="A161" s="35" t="str">
        <f>HLOOKUP(INDICE!$F$2,Nombres!$C$3:$D$636,75,FALSE)</f>
        <v>(Millones de pesos colombianos)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43" t="str">
        <f>HLOOKUP(INDICE!$F$2,Nombres!$C$3:$D$636,66,FALSE)</f>
        <v>Préstamos y anticipos a la clientela bruto (*)</v>
      </c>
      <c r="B163" s="44">
        <v>52201927.88932139</v>
      </c>
      <c r="C163" s="44">
        <v>52917801.40203388</v>
      </c>
      <c r="D163" s="44">
        <v>52300693.14786749</v>
      </c>
      <c r="E163" s="45">
        <v>52053699.541286506</v>
      </c>
      <c r="F163" s="44">
        <v>52740309.599485286</v>
      </c>
      <c r="G163" s="44">
        <v>53935958.19001965</v>
      </c>
      <c r="H163" s="44">
        <v>55442453.036314204</v>
      </c>
      <c r="I163" s="44">
        <v>0</v>
      </c>
    </row>
    <row r="164" spans="1:9" ht="15">
      <c r="A164" s="43" t="str">
        <f>HLOOKUP(INDICE!$F$2,Nombres!$C$3:$D$636,67,FALSE)</f>
        <v>Depósitos de clientes en gestión (**)</v>
      </c>
      <c r="B164" s="44">
        <v>53509443.45511044</v>
      </c>
      <c r="C164" s="44">
        <v>57170392.76052621</v>
      </c>
      <c r="D164" s="44">
        <v>51531684.368297696</v>
      </c>
      <c r="E164" s="45">
        <v>51089039.7514682</v>
      </c>
      <c r="F164" s="44">
        <v>51481678.25470285</v>
      </c>
      <c r="G164" s="44">
        <v>54274006.29193966</v>
      </c>
      <c r="H164" s="44">
        <v>54037982.15701076</v>
      </c>
      <c r="I164" s="44">
        <v>0</v>
      </c>
    </row>
    <row r="165" spans="1:9" ht="15">
      <c r="A165" s="43" t="str">
        <f>HLOOKUP(INDICE!$F$2,Nombres!$C$3:$D$636,68,FALSE)</f>
        <v>Fondos de inversión</v>
      </c>
      <c r="B165" s="44">
        <v>3067408.5441227555</v>
      </c>
      <c r="C165" s="44">
        <v>4799207.974091734</v>
      </c>
      <c r="D165" s="44">
        <v>6839495.465673959</v>
      </c>
      <c r="E165" s="45">
        <v>6598572.229294627</v>
      </c>
      <c r="F165" s="44">
        <v>4954692.152314935</v>
      </c>
      <c r="G165" s="44">
        <v>4382044.5564956</v>
      </c>
      <c r="H165" s="44">
        <v>4658193.424268995</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5">
      <c r="A170" s="30"/>
      <c r="B170" s="30"/>
      <c r="C170" s="30"/>
      <c r="D170" s="30"/>
      <c r="E170" s="30"/>
      <c r="F170" s="30"/>
      <c r="G170" s="30"/>
      <c r="H170" s="30"/>
      <c r="I170" s="30"/>
      <c r="K170" s="74"/>
      <c r="L170" s="74"/>
      <c r="M170" s="74"/>
      <c r="N170" s="74"/>
      <c r="O170" s="74"/>
    </row>
    <row r="171" spans="1:15" ht="15">
      <c r="A171" s="30"/>
      <c r="B171" s="30"/>
      <c r="C171" s="30"/>
      <c r="D171" s="30"/>
      <c r="E171" s="30"/>
      <c r="F171" s="30"/>
      <c r="G171" s="30"/>
      <c r="H171" s="30"/>
      <c r="I171" s="30"/>
      <c r="K171" s="74"/>
      <c r="L171" s="74"/>
      <c r="M171" s="74"/>
      <c r="N171" s="74"/>
      <c r="O171" s="74"/>
    </row>
    <row r="172" spans="1:15" ht="15">
      <c r="A172" s="73"/>
      <c r="B172" s="74"/>
      <c r="C172" s="75"/>
      <c r="D172" s="75"/>
      <c r="E172" s="75"/>
      <c r="F172" s="74"/>
      <c r="G172" s="74"/>
      <c r="H172" s="74"/>
      <c r="I172" s="74"/>
      <c r="K172" s="74"/>
      <c r="L172" s="74"/>
      <c r="M172" s="74"/>
      <c r="N172" s="74"/>
      <c r="O172" s="74"/>
    </row>
    <row r="173" spans="1:15" ht="15">
      <c r="A173" s="73"/>
      <c r="B173" s="74"/>
      <c r="C173" s="75"/>
      <c r="D173" s="75"/>
      <c r="E173" s="75"/>
      <c r="F173" s="74"/>
      <c r="G173" s="74"/>
      <c r="H173" s="74"/>
      <c r="I173" s="74"/>
      <c r="J173" s="74"/>
      <c r="K173" s="74"/>
      <c r="L173" s="74"/>
      <c r="M173" s="74"/>
      <c r="N173" s="74"/>
      <c r="O173" s="74"/>
    </row>
    <row r="174" spans="1:15" ht="15">
      <c r="A174" s="74"/>
      <c r="B174" s="74"/>
      <c r="C174" s="74"/>
      <c r="D174" s="74"/>
      <c r="E174" s="74"/>
      <c r="F174" s="74"/>
      <c r="G174" s="74"/>
      <c r="H174" s="74"/>
      <c r="I174" s="74"/>
      <c r="J174" s="74"/>
      <c r="K174" s="74"/>
      <c r="L174" s="74"/>
      <c r="M174" s="74"/>
      <c r="N174" s="74"/>
      <c r="O174" s="74"/>
    </row>
    <row r="175" spans="1:10" ht="15">
      <c r="A175" s="74"/>
      <c r="B175" s="74"/>
      <c r="C175" s="74"/>
      <c r="D175" s="74"/>
      <c r="E175" s="74"/>
      <c r="F175" s="74"/>
      <c r="G175" s="74"/>
      <c r="H175" s="74"/>
      <c r="I175" s="74"/>
      <c r="J175" s="74"/>
    </row>
    <row r="176" spans="1:10" ht="15">
      <c r="A176" s="74"/>
      <c r="B176" s="74"/>
      <c r="C176" s="74"/>
      <c r="D176" s="74"/>
      <c r="E176" s="74"/>
      <c r="F176" s="74"/>
      <c r="G176" s="74"/>
      <c r="H176" s="74"/>
      <c r="I176" s="74"/>
      <c r="J176" s="74"/>
    </row>
    <row r="177" spans="1:10" ht="15">
      <c r="A177" s="74"/>
      <c r="B177" s="74"/>
      <c r="C177" s="74"/>
      <c r="D177" s="74"/>
      <c r="E177" s="74"/>
      <c r="F177" s="74"/>
      <c r="G177" s="74"/>
      <c r="H177" s="74"/>
      <c r="I177" s="74"/>
      <c r="J177" s="74"/>
    </row>
    <row r="178" spans="1:10" ht="15">
      <c r="A178" s="74"/>
      <c r="B178" s="74"/>
      <c r="C178" s="74"/>
      <c r="D178" s="74"/>
      <c r="E178" s="74"/>
      <c r="F178" s="74"/>
      <c r="G178" s="74"/>
      <c r="H178" s="74"/>
      <c r="I178" s="74"/>
      <c r="J178" s="74"/>
    </row>
    <row r="179" spans="1:10" ht="15">
      <c r="A179" s="74"/>
      <c r="B179" s="74"/>
      <c r="C179" s="74"/>
      <c r="D179" s="74"/>
      <c r="E179" s="74"/>
      <c r="F179" s="74"/>
      <c r="G179" s="74"/>
      <c r="H179" s="74"/>
      <c r="I179" s="74"/>
      <c r="J179" s="74"/>
    </row>
    <row r="180" spans="1:10" ht="15">
      <c r="A180" s="74"/>
      <c r="B180" s="74"/>
      <c r="C180" s="74"/>
      <c r="D180" s="74"/>
      <c r="E180" s="74"/>
      <c r="F180" s="74"/>
      <c r="G180" s="74"/>
      <c r="H180" s="74"/>
      <c r="I180" s="74"/>
      <c r="J180" s="74"/>
    </row>
    <row r="1006" ht="1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3"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3" t="str">
        <f>HLOOKUP(INDICE!$F$2,Nombres!$C$3:$D$636,31,FALSE)</f>
        <v>Cuenta de resultados  </v>
      </c>
      <c r="B3" s="34"/>
      <c r="C3" s="34"/>
      <c r="D3" s="34"/>
      <c r="E3" s="34"/>
      <c r="F3" s="34"/>
      <c r="G3" s="34"/>
      <c r="H3" s="34"/>
      <c r="I3" s="34"/>
    </row>
    <row r="4" spans="1:9" ht="15">
      <c r="A4" s="84"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5">
      <c r="A8" s="41" t="str">
        <f>HLOOKUP(INDICE!$F$2,Nombres!$C$3:$D$636,33,FALSE)</f>
        <v>Margen de intereses</v>
      </c>
      <c r="B8" s="41">
        <v>219.20199999999997</v>
      </c>
      <c r="C8" s="41">
        <v>203.419</v>
      </c>
      <c r="D8" s="41">
        <v>197.277</v>
      </c>
      <c r="E8" s="42">
        <v>187.60899999999995</v>
      </c>
      <c r="F8" s="50">
        <v>182.101</v>
      </c>
      <c r="G8" s="50">
        <v>177.75799999</v>
      </c>
      <c r="H8" s="244">
        <v>192.64100001000003</v>
      </c>
      <c r="I8" s="244">
        <v>0</v>
      </c>
      <c r="J8" s="87"/>
      <c r="K8" s="87"/>
      <c r="L8" s="87"/>
      <c r="M8" s="87"/>
      <c r="N8" s="87"/>
      <c r="O8" s="87"/>
    </row>
    <row r="9" spans="1:9" ht="15">
      <c r="A9" s="88" t="str">
        <f>HLOOKUP(INDICE!$F$2,Nombres!$C$3:$D$636,34,FALSE)</f>
        <v>Comisiones netas</v>
      </c>
      <c r="B9" s="44">
        <v>53.25286948</v>
      </c>
      <c r="C9" s="44">
        <v>45.76907599999999</v>
      </c>
      <c r="D9" s="44">
        <v>61.25642644999999</v>
      </c>
      <c r="E9" s="45">
        <v>57.49436593000001</v>
      </c>
      <c r="F9" s="44">
        <v>54.90512816999999</v>
      </c>
      <c r="G9" s="44">
        <v>59.07316048999999</v>
      </c>
      <c r="H9" s="44">
        <v>58.71583202000001</v>
      </c>
      <c r="I9" s="44">
        <v>0</v>
      </c>
    </row>
    <row r="10" spans="1:9" ht="15">
      <c r="A10" s="88" t="str">
        <f>HLOOKUP(INDICE!$F$2,Nombres!$C$3:$D$636,35,FALSE)</f>
        <v>Resultados de operaciones financieras</v>
      </c>
      <c r="B10" s="44">
        <v>37.0917533</v>
      </c>
      <c r="C10" s="44">
        <v>35.56265369999999</v>
      </c>
      <c r="D10" s="44">
        <v>43.15786289000003</v>
      </c>
      <c r="E10" s="45">
        <v>43.211782320000005</v>
      </c>
      <c r="F10" s="44">
        <v>33.87019303999999</v>
      </c>
      <c r="G10" s="44">
        <v>55.55867029999999</v>
      </c>
      <c r="H10" s="44">
        <v>22.65121704000002</v>
      </c>
      <c r="I10" s="44">
        <v>0</v>
      </c>
    </row>
    <row r="11" spans="1:9" ht="15">
      <c r="A11" s="88" t="str">
        <f>HLOOKUP(INDICE!$F$2,Nombres!$C$3:$D$636,36,FALSE)</f>
        <v>Otros ingresos y cargas de explotación</v>
      </c>
      <c r="B11" s="44">
        <v>-6.353000000000001</v>
      </c>
      <c r="C11" s="44">
        <v>-8.053999999999998</v>
      </c>
      <c r="D11" s="44">
        <v>-6.8309999999999995</v>
      </c>
      <c r="E11" s="45">
        <v>-9.733999999999998</v>
      </c>
      <c r="F11" s="44">
        <v>-8.507</v>
      </c>
      <c r="G11" s="44">
        <v>-10.249</v>
      </c>
      <c r="H11" s="44">
        <v>-8.525999999999998</v>
      </c>
      <c r="I11" s="44">
        <v>0</v>
      </c>
    </row>
    <row r="12" spans="1:9" ht="15">
      <c r="A12" s="41" t="str">
        <f>HLOOKUP(INDICE!$F$2,Nombres!$C$3:$D$636,37,FALSE)</f>
        <v>Margen bruto</v>
      </c>
      <c r="B12" s="41">
        <f aca="true" t="shared" si="0" ref="B12:I12">+SUM(B8:B11)</f>
        <v>303.19362277999994</v>
      </c>
      <c r="C12" s="41">
        <f t="shared" si="0"/>
        <v>276.6967297</v>
      </c>
      <c r="D12" s="41">
        <f t="shared" si="0"/>
        <v>294.86028934</v>
      </c>
      <c r="E12" s="42">
        <f t="shared" si="0"/>
        <v>278.58114825</v>
      </c>
      <c r="F12" s="50">
        <f t="shared" si="0"/>
        <v>262.36932120999995</v>
      </c>
      <c r="G12" s="50">
        <f t="shared" si="0"/>
        <v>282.14083078</v>
      </c>
      <c r="H12" s="50">
        <f t="shared" si="0"/>
        <v>265.48204907</v>
      </c>
      <c r="I12" s="50">
        <f t="shared" si="0"/>
        <v>0</v>
      </c>
    </row>
    <row r="13" spans="1:9" ht="15">
      <c r="A13" s="88" t="str">
        <f>HLOOKUP(INDICE!$F$2,Nombres!$C$3:$D$636,38,FALSE)</f>
        <v>Gastos de explotación</v>
      </c>
      <c r="B13" s="44">
        <v>-119.76099933</v>
      </c>
      <c r="C13" s="44">
        <v>-107.01099999999998</v>
      </c>
      <c r="D13" s="44">
        <v>-103.13842657</v>
      </c>
      <c r="E13" s="45">
        <v>-105.46067678</v>
      </c>
      <c r="F13" s="44">
        <v>-100.81222875</v>
      </c>
      <c r="G13" s="44">
        <v>-100.92502215000002</v>
      </c>
      <c r="H13" s="44">
        <v>-99.56160415</v>
      </c>
      <c r="I13" s="44">
        <v>0</v>
      </c>
    </row>
    <row r="14" spans="1:9" ht="15">
      <c r="A14" s="88" t="str">
        <f>HLOOKUP(INDICE!$F$2,Nombres!$C$3:$D$636,39,FALSE)</f>
        <v>  Gastos de administración</v>
      </c>
      <c r="B14" s="44">
        <v>-101.47299933000001</v>
      </c>
      <c r="C14" s="44">
        <v>-91.223</v>
      </c>
      <c r="D14" s="44">
        <v>-88.39842657</v>
      </c>
      <c r="E14" s="45">
        <v>-90.94667677999999</v>
      </c>
      <c r="F14" s="44">
        <v>-85.88322875</v>
      </c>
      <c r="G14" s="44">
        <v>-86.83702214999998</v>
      </c>
      <c r="H14" s="44">
        <v>-86.09760415</v>
      </c>
      <c r="I14" s="44">
        <v>0</v>
      </c>
    </row>
    <row r="15" spans="1:9" ht="15">
      <c r="A15" s="89" t="str">
        <f>HLOOKUP(INDICE!$F$2,Nombres!$C$3:$D$636,40,FALSE)</f>
        <v>  Gastos de personal</v>
      </c>
      <c r="B15" s="44">
        <v>-58.68299999999999</v>
      </c>
      <c r="C15" s="44">
        <v>-51.48700000000001</v>
      </c>
      <c r="D15" s="44">
        <v>-50.19099999999999</v>
      </c>
      <c r="E15" s="45">
        <v>-52.01820126000001</v>
      </c>
      <c r="F15" s="44">
        <v>-47.685</v>
      </c>
      <c r="G15" s="44">
        <v>-47.566</v>
      </c>
      <c r="H15" s="44">
        <v>-48.599000000000004</v>
      </c>
      <c r="I15" s="44">
        <v>0</v>
      </c>
    </row>
    <row r="16" spans="1:9" ht="15">
      <c r="A16" s="89" t="str">
        <f>HLOOKUP(INDICE!$F$2,Nombres!$C$3:$D$636,41,FALSE)</f>
        <v>  Otros gastos de administración</v>
      </c>
      <c r="B16" s="44">
        <v>-42.789999330000015</v>
      </c>
      <c r="C16" s="44">
        <v>-39.736</v>
      </c>
      <c r="D16" s="44">
        <v>-38.207426569999996</v>
      </c>
      <c r="E16" s="45">
        <v>-38.92847552</v>
      </c>
      <c r="F16" s="44">
        <v>-38.198228750000006</v>
      </c>
      <c r="G16" s="44">
        <v>-39.27102214999999</v>
      </c>
      <c r="H16" s="44">
        <v>-37.498604150000006</v>
      </c>
      <c r="I16" s="44">
        <v>0</v>
      </c>
    </row>
    <row r="17" spans="1:9" ht="15">
      <c r="A17" s="88" t="str">
        <f>HLOOKUP(INDICE!$F$2,Nombres!$C$3:$D$636,42,FALSE)</f>
        <v>  Amortización</v>
      </c>
      <c r="B17" s="44">
        <v>-18.288</v>
      </c>
      <c r="C17" s="44">
        <v>-15.788000000000002</v>
      </c>
      <c r="D17" s="44">
        <v>-14.740000000000002</v>
      </c>
      <c r="E17" s="45">
        <v>-14.514</v>
      </c>
      <c r="F17" s="44">
        <v>-14.929</v>
      </c>
      <c r="G17" s="44">
        <v>-14.088</v>
      </c>
      <c r="H17" s="44">
        <v>-13.463999999999999</v>
      </c>
      <c r="I17" s="44">
        <v>0</v>
      </c>
    </row>
    <row r="18" spans="1:9" ht="15">
      <c r="A18" s="41" t="str">
        <f>HLOOKUP(INDICE!$F$2,Nombres!$C$3:$D$636,43,FALSE)</f>
        <v>Margen neto</v>
      </c>
      <c r="B18" s="41">
        <f aca="true" t="shared" si="1" ref="B18:I18">+B12+B13</f>
        <v>183.43262344999994</v>
      </c>
      <c r="C18" s="41">
        <f t="shared" si="1"/>
        <v>169.68572970000002</v>
      </c>
      <c r="D18" s="41">
        <f t="shared" si="1"/>
        <v>191.72186277000003</v>
      </c>
      <c r="E18" s="42">
        <f t="shared" si="1"/>
        <v>173.12047147</v>
      </c>
      <c r="F18" s="50">
        <f t="shared" si="1"/>
        <v>161.55709245999995</v>
      </c>
      <c r="G18" s="50">
        <f t="shared" si="1"/>
        <v>181.21580862999997</v>
      </c>
      <c r="H18" s="50">
        <f t="shared" si="1"/>
        <v>165.92044492000002</v>
      </c>
      <c r="I18" s="50">
        <f t="shared" si="1"/>
        <v>0</v>
      </c>
    </row>
    <row r="19" spans="1:9" ht="15">
      <c r="A19" s="88" t="str">
        <f>HLOOKUP(INDICE!$F$2,Nombres!$C$3:$D$636,44,FALSE)</f>
        <v>Deterioro de activos financieros no valorados a valor razonable con cambios en resultados</v>
      </c>
      <c r="B19" s="44">
        <v>-96.36200000000001</v>
      </c>
      <c r="C19" s="44">
        <v>-139.38000000000002</v>
      </c>
      <c r="D19" s="44">
        <v>-40.41399999999998</v>
      </c>
      <c r="E19" s="45">
        <v>-73.531</v>
      </c>
      <c r="F19" s="44">
        <v>-66.37799999999997</v>
      </c>
      <c r="G19" s="44">
        <v>-81.15900000000002</v>
      </c>
      <c r="H19" s="44">
        <v>-72.707</v>
      </c>
      <c r="I19" s="44">
        <v>0</v>
      </c>
    </row>
    <row r="20" spans="1:9" ht="15">
      <c r="A20" s="88" t="str">
        <f>HLOOKUP(INDICE!$F$2,Nombres!$C$3:$D$636,45,FALSE)</f>
        <v>Provisiones o reversión de provisiones y otros resultados</v>
      </c>
      <c r="B20" s="44">
        <v>-3.584</v>
      </c>
      <c r="C20" s="44">
        <v>-22.791</v>
      </c>
      <c r="D20" s="44">
        <v>-18.483999999999995</v>
      </c>
      <c r="E20" s="45">
        <v>3.048999999999999</v>
      </c>
      <c r="F20" s="44">
        <v>-6.544999999999999</v>
      </c>
      <c r="G20" s="44">
        <v>-12.276</v>
      </c>
      <c r="H20" s="44">
        <v>-14.729</v>
      </c>
      <c r="I20" s="44">
        <v>0</v>
      </c>
    </row>
    <row r="21" spans="1:9" ht="15">
      <c r="A21" s="90" t="str">
        <f>HLOOKUP(INDICE!$F$2,Nombres!$C$3:$D$636,46,FALSE)</f>
        <v>Resultado antes de impuestos</v>
      </c>
      <c r="B21" s="41">
        <f aca="true" t="shared" si="2" ref="B21:I21">+B18+B19+B20</f>
        <v>83.48662344999993</v>
      </c>
      <c r="C21" s="41">
        <f t="shared" si="2"/>
        <v>7.5147297</v>
      </c>
      <c r="D21" s="41">
        <f t="shared" si="2"/>
        <v>132.82386277000006</v>
      </c>
      <c r="E21" s="42">
        <f t="shared" si="2"/>
        <v>102.63847147</v>
      </c>
      <c r="F21" s="50">
        <f t="shared" si="2"/>
        <v>88.63409245999998</v>
      </c>
      <c r="G21" s="50">
        <f t="shared" si="2"/>
        <v>87.78080862999995</v>
      </c>
      <c r="H21" s="50">
        <f t="shared" si="2"/>
        <v>78.48444492000003</v>
      </c>
      <c r="I21" s="50">
        <f t="shared" si="2"/>
        <v>0</v>
      </c>
    </row>
    <row r="22" spans="1:9" ht="15">
      <c r="A22" s="43" t="str">
        <f>HLOOKUP(INDICE!$F$2,Nombres!$C$3:$D$636,47,FALSE)</f>
        <v>Impuesto sobre beneficios</v>
      </c>
      <c r="B22" s="44">
        <v>-18.682028610000003</v>
      </c>
      <c r="C22" s="44">
        <v>-1.8973019799999982</v>
      </c>
      <c r="D22" s="44">
        <v>-39.41538393000001</v>
      </c>
      <c r="E22" s="45">
        <v>-30.93051554</v>
      </c>
      <c r="F22" s="44">
        <v>-27.43245745</v>
      </c>
      <c r="G22" s="44">
        <v>-30.13029891</v>
      </c>
      <c r="H22" s="44">
        <v>-26.078615120000002</v>
      </c>
      <c r="I22" s="44">
        <v>0</v>
      </c>
    </row>
    <row r="23" spans="1:9" ht="15">
      <c r="A23" s="90" t="str">
        <f>HLOOKUP(INDICE!$F$2,Nombres!$C$3:$D$636,48,FALSE)</f>
        <v>Resultado del ejercicio</v>
      </c>
      <c r="B23" s="41">
        <f aca="true" t="shared" si="3" ref="B23:I23">+B21+B22</f>
        <v>64.80459483999992</v>
      </c>
      <c r="C23" s="41">
        <f t="shared" si="3"/>
        <v>5.617427720000002</v>
      </c>
      <c r="D23" s="41">
        <f t="shared" si="3"/>
        <v>93.40847884000004</v>
      </c>
      <c r="E23" s="42">
        <f t="shared" si="3"/>
        <v>71.70795593</v>
      </c>
      <c r="F23" s="50">
        <f t="shared" si="3"/>
        <v>61.201635009999976</v>
      </c>
      <c r="G23" s="50">
        <f t="shared" si="3"/>
        <v>57.65050971999995</v>
      </c>
      <c r="H23" s="50">
        <f t="shared" si="3"/>
        <v>52.40582980000003</v>
      </c>
      <c r="I23" s="50">
        <f t="shared" si="3"/>
        <v>0</v>
      </c>
    </row>
    <row r="24" spans="1:9" ht="15">
      <c r="A24" s="88" t="str">
        <f>HLOOKUP(INDICE!$F$2,Nombres!$C$3:$D$636,49,FALSE)</f>
        <v>Minoritarios</v>
      </c>
      <c r="B24" s="44">
        <v>-35.001207810000004</v>
      </c>
      <c r="C24" s="44">
        <v>-3.0148977499999976</v>
      </c>
      <c r="D24" s="44">
        <v>-49.344258679999996</v>
      </c>
      <c r="E24" s="45">
        <v>-38.33356466999999</v>
      </c>
      <c r="F24" s="44">
        <v>-33.19100227</v>
      </c>
      <c r="G24" s="44">
        <v>-30.662351949999998</v>
      </c>
      <c r="H24" s="44">
        <v>-28.361814059999997</v>
      </c>
      <c r="I24" s="44">
        <v>0</v>
      </c>
    </row>
    <row r="25" spans="1:9" ht="15">
      <c r="A25" s="91" t="str">
        <f>HLOOKUP(INDICE!$F$2,Nombres!$C$3:$D$636,50,FALSE)</f>
        <v>Resultado atribuido</v>
      </c>
      <c r="B25" s="47">
        <f aca="true" t="shared" si="4" ref="B25:I25">+B23+B24</f>
        <v>29.803387029999918</v>
      </c>
      <c r="C25" s="47">
        <f t="shared" si="4"/>
        <v>2.6025299700000044</v>
      </c>
      <c r="D25" s="47">
        <f t="shared" si="4"/>
        <v>44.06422016000005</v>
      </c>
      <c r="E25" s="47">
        <f t="shared" si="4"/>
        <v>33.37439126000001</v>
      </c>
      <c r="F25" s="51">
        <f t="shared" si="4"/>
        <v>28.010632739999977</v>
      </c>
      <c r="G25" s="51">
        <f t="shared" si="4"/>
        <v>26.988157769999955</v>
      </c>
      <c r="H25" s="51">
        <f t="shared" si="4"/>
        <v>24.04401574000003</v>
      </c>
      <c r="I25" s="51">
        <f t="shared" si="4"/>
        <v>0</v>
      </c>
    </row>
    <row r="26" spans="1:9" ht="15">
      <c r="A26" s="92"/>
      <c r="B26" s="63">
        <v>-3.907985046680551E-14</v>
      </c>
      <c r="C26" s="63">
        <v>1.9539925233402755E-14</v>
      </c>
      <c r="D26" s="63">
        <v>0</v>
      </c>
      <c r="E26" s="63">
        <v>0</v>
      </c>
      <c r="F26" s="63">
        <v>-3.552713678800501E-14</v>
      </c>
      <c r="G26" s="63">
        <v>0</v>
      </c>
      <c r="H26" s="63">
        <v>0</v>
      </c>
      <c r="I26" s="63">
        <v>0</v>
      </c>
    </row>
    <row r="27" spans="1:9" ht="15">
      <c r="A27" s="90"/>
      <c r="B27" s="41"/>
      <c r="C27" s="41"/>
      <c r="D27" s="41"/>
      <c r="E27" s="41"/>
      <c r="F27" s="41"/>
      <c r="G27" s="41"/>
      <c r="H27" s="41"/>
      <c r="I27" s="41"/>
    </row>
    <row r="28" spans="1:9" ht="18">
      <c r="A28" s="93" t="str">
        <f>HLOOKUP(INDICE!$F$2,Nombres!$C$3:$D$636,51,FALSE)</f>
        <v>Balances</v>
      </c>
      <c r="B28" s="34"/>
      <c r="C28" s="34"/>
      <c r="D28" s="34"/>
      <c r="E28" s="34"/>
      <c r="F28" s="34"/>
      <c r="G28" s="34"/>
      <c r="H28" s="34"/>
      <c r="I28" s="34"/>
    </row>
    <row r="29" spans="1:9" ht="15">
      <c r="A29" s="84"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88" t="str">
        <f>HLOOKUP(INDICE!$F$2,Nombres!$C$3:$D$636,52,FALSE)</f>
        <v>Efectivo, saldos en efectivo en bancos centrales y otros depósitos a la vista</v>
      </c>
      <c r="B31" s="44">
        <v>3381.091</v>
      </c>
      <c r="C31" s="44">
        <v>3129.6730000000002</v>
      </c>
      <c r="D31" s="44">
        <v>2480.178</v>
      </c>
      <c r="E31" s="45">
        <v>2821.008</v>
      </c>
      <c r="F31" s="44">
        <v>3055.0239999999994</v>
      </c>
      <c r="G31" s="44">
        <v>2519.9790000000003</v>
      </c>
      <c r="H31" s="44">
        <v>3426.904</v>
      </c>
      <c r="I31" s="44">
        <v>0</v>
      </c>
    </row>
    <row r="32" spans="1:9" ht="15">
      <c r="A32" s="88" t="str">
        <f>HLOOKUP(INDICE!$F$2,Nombres!$C$3:$D$636,53,FALSE)</f>
        <v>Activos financieros a valor razonable</v>
      </c>
      <c r="B32" s="58">
        <v>2243.8010000000004</v>
      </c>
      <c r="C32" s="58">
        <v>3027.178</v>
      </c>
      <c r="D32" s="58">
        <v>2967.7070000000003</v>
      </c>
      <c r="E32" s="65">
        <v>2769.0370000000003</v>
      </c>
      <c r="F32" s="44">
        <v>2774.0229999999997</v>
      </c>
      <c r="G32" s="44">
        <v>3046.906</v>
      </c>
      <c r="H32" s="44">
        <v>2781.4759999999997</v>
      </c>
      <c r="I32" s="44">
        <v>0</v>
      </c>
    </row>
    <row r="33" spans="1:9" ht="15">
      <c r="A33" s="43" t="str">
        <f>HLOOKUP(INDICE!$F$2,Nombres!$C$3:$D$636,54,FALSE)</f>
        <v>Activos financieros a coste amortizado</v>
      </c>
      <c r="B33" s="44">
        <v>16307.016000000001</v>
      </c>
      <c r="C33" s="44">
        <v>17648.992000000002</v>
      </c>
      <c r="D33" s="44">
        <v>18860.053</v>
      </c>
      <c r="E33" s="45">
        <v>18001.387000000002</v>
      </c>
      <c r="F33" s="44">
        <v>17518.131999999998</v>
      </c>
      <c r="G33" s="44">
        <v>16835.772999999997</v>
      </c>
      <c r="H33" s="44">
        <v>16144.789999999999</v>
      </c>
      <c r="I33" s="44">
        <v>0</v>
      </c>
    </row>
    <row r="34" spans="1:9" ht="15">
      <c r="A34" s="88" t="str">
        <f>HLOOKUP(INDICE!$F$2,Nombres!$C$3:$D$636,55,FALSE)</f>
        <v>    de los que préstamos y anticipos a la clientela</v>
      </c>
      <c r="B34" s="44">
        <v>15505.136000000002</v>
      </c>
      <c r="C34" s="44">
        <v>16097.621000000001</v>
      </c>
      <c r="D34" s="44">
        <v>15923.884999999998</v>
      </c>
      <c r="E34" s="45">
        <v>15093.016</v>
      </c>
      <c r="F34" s="44">
        <v>15276.72</v>
      </c>
      <c r="G34" s="44">
        <v>15395.269999999997</v>
      </c>
      <c r="H34" s="44">
        <v>14612.89</v>
      </c>
      <c r="I34" s="44">
        <v>0</v>
      </c>
    </row>
    <row r="35" spans="1:9" ht="15">
      <c r="A35" s="88"/>
      <c r="B35" s="44"/>
      <c r="C35" s="44"/>
      <c r="D35" s="44"/>
      <c r="E35" s="45"/>
      <c r="F35" s="44"/>
      <c r="G35" s="44"/>
      <c r="H35" s="44"/>
      <c r="I35" s="44"/>
    </row>
    <row r="36" spans="1:9" ht="15">
      <c r="A36" s="43" t="str">
        <f>HLOOKUP(INDICE!$F$2,Nombres!$C$3:$D$636,56,FALSE)</f>
        <v>Activos tangibles</v>
      </c>
      <c r="B36" s="44">
        <v>308.02099999999996</v>
      </c>
      <c r="C36" s="44">
        <v>288.18399999999997</v>
      </c>
      <c r="D36" s="44">
        <v>270.52299999999997</v>
      </c>
      <c r="E36" s="45">
        <v>266.389</v>
      </c>
      <c r="F36" s="44">
        <v>262.35299999999995</v>
      </c>
      <c r="G36" s="44">
        <v>247.649</v>
      </c>
      <c r="H36" s="44">
        <v>239.67399999999998</v>
      </c>
      <c r="I36" s="44">
        <v>0</v>
      </c>
    </row>
    <row r="37" spans="1:9" ht="15">
      <c r="A37" s="88" t="str">
        <f>HLOOKUP(INDICE!$F$2,Nombres!$C$3:$D$636,57,FALSE)</f>
        <v>Otros activos</v>
      </c>
      <c r="B37" s="58">
        <f aca="true" t="shared" si="5" ref="B37:I37">+B38-B36-B33-B32-B31</f>
        <v>420.6919999999968</v>
      </c>
      <c r="C37" s="58">
        <f t="shared" si="5"/>
        <v>464.5180000000023</v>
      </c>
      <c r="D37" s="58">
        <f t="shared" si="5"/>
        <v>376.17135819000214</v>
      </c>
      <c r="E37" s="65">
        <f t="shared" si="5"/>
        <v>347.228976209999</v>
      </c>
      <c r="F37" s="44">
        <f t="shared" si="5"/>
        <v>362.53500002000465</v>
      </c>
      <c r="G37" s="44">
        <f t="shared" si="5"/>
        <v>352.3049318799949</v>
      </c>
      <c r="H37" s="44">
        <f t="shared" si="5"/>
        <v>354.51499999999896</v>
      </c>
      <c r="I37" s="44">
        <f t="shared" si="5"/>
        <v>0</v>
      </c>
    </row>
    <row r="38" spans="1:9" ht="15">
      <c r="A38" s="91" t="str">
        <f>HLOOKUP(INDICE!$F$2,Nombres!$C$3:$D$636,58,FALSE)</f>
        <v>Total activo / pasivo</v>
      </c>
      <c r="B38" s="47">
        <v>22660.621</v>
      </c>
      <c r="C38" s="47">
        <v>24558.545000000006</v>
      </c>
      <c r="D38" s="47">
        <v>24954.632358190003</v>
      </c>
      <c r="E38" s="47">
        <v>24205.04997621</v>
      </c>
      <c r="F38" s="51">
        <v>23972.06700002</v>
      </c>
      <c r="G38" s="51">
        <v>23002.611931879994</v>
      </c>
      <c r="H38" s="51">
        <v>22947.358999999997</v>
      </c>
      <c r="I38" s="51">
        <v>0</v>
      </c>
    </row>
    <row r="39" spans="1:9" ht="15">
      <c r="A39" s="88" t="str">
        <f>HLOOKUP(INDICE!$F$2,Nombres!$C$3:$D$636,59,FALSE)</f>
        <v>Pasivos financieros mantenidos para negociar y designados a valor razonable con cambios en resultados</v>
      </c>
      <c r="B39" s="58">
        <v>250.91199999999998</v>
      </c>
      <c r="C39" s="58">
        <v>280.795</v>
      </c>
      <c r="D39" s="58">
        <v>226.805</v>
      </c>
      <c r="E39" s="65">
        <v>222.03099999999998</v>
      </c>
      <c r="F39" s="44">
        <v>265.115</v>
      </c>
      <c r="G39" s="44">
        <v>374.055</v>
      </c>
      <c r="H39" s="44">
        <v>513.88</v>
      </c>
      <c r="I39" s="44">
        <v>0</v>
      </c>
    </row>
    <row r="40" spans="1:9" ht="15.75" customHeight="1">
      <c r="A40" s="88" t="str">
        <f>HLOOKUP(INDICE!$F$2,Nombres!$C$3:$D$636,60,FALSE)</f>
        <v>Depósitos de bancos centrales y entidades de crédito</v>
      </c>
      <c r="B40" s="58">
        <v>2750.2699999999995</v>
      </c>
      <c r="C40" s="58">
        <v>3087.928</v>
      </c>
      <c r="D40" s="58">
        <v>4562.022</v>
      </c>
      <c r="E40" s="65">
        <v>4086.2529999999997</v>
      </c>
      <c r="F40" s="44">
        <v>4194.721</v>
      </c>
      <c r="G40" s="44">
        <v>4325.62</v>
      </c>
      <c r="H40" s="44">
        <v>4183.368</v>
      </c>
      <c r="I40" s="44">
        <v>0</v>
      </c>
    </row>
    <row r="41" spans="1:9" ht="15">
      <c r="A41" s="88" t="str">
        <f>HLOOKUP(INDICE!$F$2,Nombres!$C$3:$D$636,61,FALSE)</f>
        <v>Depósitos de la clientela</v>
      </c>
      <c r="B41" s="58">
        <v>14764.692</v>
      </c>
      <c r="C41" s="58">
        <v>16406.72</v>
      </c>
      <c r="D41" s="58">
        <v>15659.979</v>
      </c>
      <c r="E41" s="65">
        <v>15849.82</v>
      </c>
      <c r="F41" s="44">
        <v>15191.590000000002</v>
      </c>
      <c r="G41" s="44">
        <v>14250.752</v>
      </c>
      <c r="H41" s="44">
        <v>14239.42</v>
      </c>
      <c r="I41" s="44">
        <v>0</v>
      </c>
    </row>
    <row r="42" spans="1:9" ht="15">
      <c r="A42" s="43" t="str">
        <f>HLOOKUP(INDICE!$F$2,Nombres!$C$3:$D$636,62,FALSE)</f>
        <v>Valores representativos de deuda emitidos</v>
      </c>
      <c r="B42" s="44">
        <v>2104.8350432999996</v>
      </c>
      <c r="C42" s="44">
        <v>2020.28450636</v>
      </c>
      <c r="D42" s="44">
        <v>1511.43275094</v>
      </c>
      <c r="E42" s="45">
        <v>1303.1936730399998</v>
      </c>
      <c r="F42" s="44">
        <v>1330.2121669000003</v>
      </c>
      <c r="G42" s="44">
        <v>1252.4018942</v>
      </c>
      <c r="H42" s="44">
        <v>1261.7598223500001</v>
      </c>
      <c r="I42" s="44">
        <v>0</v>
      </c>
    </row>
    <row r="43" spans="1:9" ht="15">
      <c r="A43" s="43"/>
      <c r="B43" s="44"/>
      <c r="C43" s="44"/>
      <c r="D43" s="44"/>
      <c r="E43" s="45"/>
      <c r="F43" s="44"/>
      <c r="G43" s="44"/>
      <c r="H43" s="44"/>
      <c r="I43" s="44"/>
    </row>
    <row r="44" spans="1:9" ht="15">
      <c r="A44" s="88" t="str">
        <f>HLOOKUP(INDICE!$F$2,Nombres!$C$3:$D$636,63,FALSE)</f>
        <v>Otros pasivos</v>
      </c>
      <c r="B44" s="58">
        <f aca="true" t="shared" si="6" ref="B44:I44">+B38-B39-B40-B41-B42-B45</f>
        <v>498.06310791999977</v>
      </c>
      <c r="C44" s="58">
        <f t="shared" si="6"/>
        <v>541.0607535100066</v>
      </c>
      <c r="D44" s="58">
        <f t="shared" si="6"/>
        <v>1039.9663570800028</v>
      </c>
      <c r="E44" s="65">
        <f t="shared" si="6"/>
        <v>777.1711647500015</v>
      </c>
      <c r="F44" s="44">
        <f t="shared" si="6"/>
        <v>1075.1958847099995</v>
      </c>
      <c r="G44" s="44">
        <f t="shared" si="6"/>
        <v>936.8081084299938</v>
      </c>
      <c r="H44" s="44">
        <f t="shared" si="6"/>
        <v>861.285709539997</v>
      </c>
      <c r="I44" s="44">
        <f t="shared" si="6"/>
        <v>0</v>
      </c>
    </row>
    <row r="45" spans="1:9" ht="15">
      <c r="A45" s="43" t="str">
        <f>HLOOKUP(INDICE!$F$2,Nombres!$C$3:$D$636,282,FALSE)</f>
        <v>Dotación de capital regulatorio</v>
      </c>
      <c r="B45" s="58">
        <v>2291.84884878</v>
      </c>
      <c r="C45" s="58">
        <v>2221.75674013</v>
      </c>
      <c r="D45" s="58">
        <v>1954.42725017</v>
      </c>
      <c r="E45" s="65">
        <v>1966.5811384200001</v>
      </c>
      <c r="F45" s="44">
        <v>1915.2329484099996</v>
      </c>
      <c r="G45" s="44">
        <v>1862.97492925</v>
      </c>
      <c r="H45" s="44">
        <v>1887.6454681100001</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3" t="str">
        <f>HLOOKUP(INDICE!$F$2,Nombres!$C$3:$D$636,65,FALSE)</f>
        <v>Indicadores relevantes y de gestión</v>
      </c>
      <c r="B48" s="34"/>
      <c r="C48" s="34"/>
      <c r="D48" s="34"/>
      <c r="E48" s="34"/>
      <c r="F48" s="69"/>
      <c r="G48" s="69"/>
      <c r="H48" s="69"/>
      <c r="I48" s="69"/>
    </row>
    <row r="49" spans="1:9" ht="15">
      <c r="A49" s="84" t="str">
        <f>HLOOKUP(INDICE!$F$2,Nombres!$C$3:$D$636,32,FALSE)</f>
        <v>(Millones de euros)</v>
      </c>
      <c r="B49" s="30"/>
      <c r="C49" s="30"/>
      <c r="D49" s="30"/>
      <c r="E49" s="30"/>
      <c r="F49" s="70"/>
      <c r="G49" s="44"/>
      <c r="H49" s="44"/>
      <c r="I49" s="44"/>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88" t="str">
        <f>HLOOKUP(INDICE!$F$2,Nombres!$C$3:$D$636,66,FALSE)</f>
        <v>Préstamos y anticipos a la clientela bruto (*)</v>
      </c>
      <c r="B51" s="44">
        <v>16297.387603329998</v>
      </c>
      <c r="C51" s="44">
        <v>16892.626638960002</v>
      </c>
      <c r="D51" s="44">
        <v>16798.6447358</v>
      </c>
      <c r="E51" s="45">
        <v>15968.36124162</v>
      </c>
      <c r="F51" s="44">
        <v>16203.4205379</v>
      </c>
      <c r="G51" s="44">
        <v>16301.067692819997</v>
      </c>
      <c r="H51" s="44">
        <v>15449.167464920003</v>
      </c>
      <c r="I51" s="44">
        <v>0</v>
      </c>
    </row>
    <row r="52" spans="1:9" ht="15">
      <c r="A52" s="88" t="str">
        <f>HLOOKUP(INDICE!$F$2,Nombres!$C$3:$D$636,67,FALSE)</f>
        <v>Depósitos de clientes en gestión (**)</v>
      </c>
      <c r="B52" s="44">
        <v>14764.69045178</v>
      </c>
      <c r="C52" s="44">
        <v>16406.719858620003</v>
      </c>
      <c r="D52" s="44">
        <v>15659.98047436</v>
      </c>
      <c r="E52" s="45">
        <v>15849.82414508</v>
      </c>
      <c r="F52" s="44">
        <v>15191.590106359998</v>
      </c>
      <c r="G52" s="44">
        <v>14250.75032512</v>
      </c>
      <c r="H52" s="44">
        <v>14239.41983855</v>
      </c>
      <c r="I52" s="44">
        <v>0</v>
      </c>
    </row>
    <row r="53" spans="1:9" ht="15">
      <c r="A53" s="43" t="str">
        <f>HLOOKUP(INDICE!$F$2,Nombres!$C$3:$D$636,68,FALSE)</f>
        <v>Fondos de inversión</v>
      </c>
      <c r="B53" s="44">
        <v>1860.64184488</v>
      </c>
      <c r="C53" s="44">
        <v>1887.0736063</v>
      </c>
      <c r="D53" s="44">
        <v>2043.50743651</v>
      </c>
      <c r="E53" s="45">
        <v>2145.97857369</v>
      </c>
      <c r="F53" s="44">
        <v>2325.87276861</v>
      </c>
      <c r="G53" s="44">
        <v>1905.85596754</v>
      </c>
      <c r="H53" s="44">
        <v>1551.9569313</v>
      </c>
      <c r="I53" s="44">
        <v>0</v>
      </c>
    </row>
    <row r="54" spans="1:9" ht="15">
      <c r="A54" s="88" t="str">
        <f>HLOOKUP(INDICE!$F$2,Nombres!$C$3:$D$636,69,FALSE)</f>
        <v>Fondos de pensiones</v>
      </c>
      <c r="B54" s="44">
        <v>0</v>
      </c>
      <c r="C54" s="44">
        <v>0</v>
      </c>
      <c r="D54" s="44">
        <v>0</v>
      </c>
      <c r="E54" s="45">
        <v>0</v>
      </c>
      <c r="F54" s="44">
        <v>0</v>
      </c>
      <c r="G54" s="44">
        <v>0</v>
      </c>
      <c r="H54" s="44">
        <v>0</v>
      </c>
      <c r="I54" s="44">
        <v>0</v>
      </c>
    </row>
    <row r="55" spans="1:9" ht="15">
      <c r="A55" s="88" t="str">
        <f>HLOOKUP(INDICE!$F$2,Nombres!$C$3:$D$636,70,FALSE)</f>
        <v>Otros recursos fuera de balance</v>
      </c>
      <c r="B55" s="44">
        <v>0</v>
      </c>
      <c r="C55" s="44">
        <v>0</v>
      </c>
      <c r="D55" s="44">
        <v>0</v>
      </c>
      <c r="E55" s="45">
        <v>0</v>
      </c>
      <c r="F55" s="44">
        <v>0</v>
      </c>
      <c r="G55" s="44">
        <v>0</v>
      </c>
      <c r="H55" s="44">
        <v>0</v>
      </c>
      <c r="I55" s="44">
        <v>0</v>
      </c>
    </row>
    <row r="56" spans="1:9" ht="15">
      <c r="A56" s="92" t="str">
        <f>HLOOKUP(INDICE!$F$2,Nombres!$C$3:$D$636,71,FALSE)</f>
        <v>(*) No incluye las adquisiciones temporales de activos.</v>
      </c>
      <c r="B56" s="58"/>
      <c r="C56" s="58"/>
      <c r="D56" s="58"/>
      <c r="E56" s="58"/>
      <c r="F56" s="58"/>
      <c r="G56" s="58"/>
      <c r="H56" s="58"/>
      <c r="I56" s="58"/>
    </row>
    <row r="57" spans="1:9" ht="15">
      <c r="A57" s="9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3" t="str">
        <f>HLOOKUP(INDICE!$F$2,Nombres!$C$3:$D$636,31,FALSE)</f>
        <v>Cuenta de resultados  </v>
      </c>
      <c r="B59" s="34"/>
      <c r="C59" s="34"/>
      <c r="D59" s="34"/>
      <c r="E59" s="34"/>
      <c r="F59" s="34"/>
      <c r="G59" s="34"/>
      <c r="H59" s="34"/>
      <c r="I59" s="34"/>
    </row>
    <row r="60" spans="1:9" ht="15">
      <c r="A60" s="84"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5">
      <c r="A64" s="41" t="str">
        <f>HLOOKUP(INDICE!$F$2,Nombres!$C$3:$D$636,33,FALSE)</f>
        <v>Margen de intereses</v>
      </c>
      <c r="B64" s="41">
        <v>179.50988695580963</v>
      </c>
      <c r="C64" s="41">
        <v>167.53286025023317</v>
      </c>
      <c r="D64" s="41">
        <v>179.28784392157263</v>
      </c>
      <c r="E64" s="42">
        <v>177.16702041739103</v>
      </c>
      <c r="F64" s="50">
        <v>175.26423862298324</v>
      </c>
      <c r="G64" s="50">
        <v>177.47072057716042</v>
      </c>
      <c r="H64" s="50">
        <v>199.76504079985637</v>
      </c>
      <c r="I64" s="50">
        <v>0</v>
      </c>
    </row>
    <row r="65" spans="1:9" ht="15">
      <c r="A65" s="88" t="str">
        <f>HLOOKUP(INDICE!$F$2,Nombres!$C$3:$D$636,34,FALSE)</f>
        <v>Comisiones netas</v>
      </c>
      <c r="B65" s="44">
        <v>43.61007919830697</v>
      </c>
      <c r="C65" s="44">
        <v>37.703551674428155</v>
      </c>
      <c r="D65" s="44">
        <v>54.77232236939295</v>
      </c>
      <c r="E65" s="45">
        <v>53.6369853133604</v>
      </c>
      <c r="F65" s="44">
        <v>52.84378166628606</v>
      </c>
      <c r="G65" s="44">
        <v>58.8781066324768</v>
      </c>
      <c r="H65" s="44">
        <v>60.97223238123712</v>
      </c>
      <c r="I65" s="44">
        <v>0</v>
      </c>
    </row>
    <row r="66" spans="1:9" ht="15">
      <c r="A66" s="88" t="str">
        <f>HLOOKUP(INDICE!$F$2,Nombres!$C$3:$D$636,35,FALSE)</f>
        <v>Resultados de operaciones financieras</v>
      </c>
      <c r="B66" s="44">
        <v>30.37534530650167</v>
      </c>
      <c r="C66" s="44">
        <v>29.286112600005442</v>
      </c>
      <c r="D66" s="44">
        <v>38.67010707843337</v>
      </c>
      <c r="E66" s="45">
        <v>40.2096995588262</v>
      </c>
      <c r="F66" s="44">
        <v>32.59857768583953</v>
      </c>
      <c r="G66" s="44">
        <v>55.059884274057794</v>
      </c>
      <c r="H66" s="44">
        <v>24.421618420102668</v>
      </c>
      <c r="I66" s="44">
        <v>0</v>
      </c>
    </row>
    <row r="67" spans="1:9" ht="15">
      <c r="A67" s="88" t="str">
        <f>HLOOKUP(INDICE!$F$2,Nombres!$C$3:$D$636,36,FALSE)</f>
        <v>Otros ingresos y cargas de explotación</v>
      </c>
      <c r="B67" s="44">
        <v>-5.20262731102024</v>
      </c>
      <c r="C67" s="44">
        <v>-6.627936856395621</v>
      </c>
      <c r="D67" s="44">
        <v>-6.201771949765187</v>
      </c>
      <c r="E67" s="45">
        <v>-8.950374899283133</v>
      </c>
      <c r="F67" s="44">
        <v>-8.187614993688769</v>
      </c>
      <c r="G67" s="44">
        <v>-10.197077052200708</v>
      </c>
      <c r="H67" s="44">
        <v>-8.897307954110522</v>
      </c>
      <c r="I67" s="44">
        <v>0</v>
      </c>
    </row>
    <row r="68" spans="1:9" ht="15">
      <c r="A68" s="41" t="str">
        <f>HLOOKUP(INDICE!$F$2,Nombres!$C$3:$D$636,37,FALSE)</f>
        <v>Margen bruto</v>
      </c>
      <c r="B68" s="41">
        <f aca="true" t="shared" si="9" ref="B68:I68">+SUM(B64:B67)</f>
        <v>248.29268414959802</v>
      </c>
      <c r="C68" s="41">
        <f t="shared" si="9"/>
        <v>227.89458766827116</v>
      </c>
      <c r="D68" s="41">
        <f t="shared" si="9"/>
        <v>266.52850141963376</v>
      </c>
      <c r="E68" s="42">
        <f t="shared" si="9"/>
        <v>262.0633303902945</v>
      </c>
      <c r="F68" s="50">
        <f t="shared" si="9"/>
        <v>252.51898298142004</v>
      </c>
      <c r="G68" s="50">
        <f t="shared" si="9"/>
        <v>281.2116344314943</v>
      </c>
      <c r="H68" s="50">
        <f t="shared" si="9"/>
        <v>276.2615836470856</v>
      </c>
      <c r="I68" s="50">
        <f t="shared" si="9"/>
        <v>0</v>
      </c>
    </row>
    <row r="69" spans="1:9" ht="15">
      <c r="A69" s="88" t="str">
        <f>HLOOKUP(INDICE!$F$2,Nombres!$C$3:$D$636,38,FALSE)</f>
        <v>Gastos de explotación</v>
      </c>
      <c r="B69" s="44">
        <v>-98.0752157892861</v>
      </c>
      <c r="C69" s="44">
        <v>-88.14264285212099</v>
      </c>
      <c r="D69" s="44">
        <v>-93.89588504402244</v>
      </c>
      <c r="E69" s="45">
        <v>-99.1802201701108</v>
      </c>
      <c r="F69" s="44">
        <v>-97.02735578472812</v>
      </c>
      <c r="G69" s="44">
        <v>-100.71615199842603</v>
      </c>
      <c r="H69" s="44">
        <v>-103.55534726684584</v>
      </c>
      <c r="I69" s="44">
        <v>0</v>
      </c>
    </row>
    <row r="70" spans="1:9" ht="15">
      <c r="A70" s="88" t="str">
        <f>HLOOKUP(INDICE!$F$2,Nombres!$C$3:$D$636,39,FALSE)</f>
        <v>  Gastos de administración</v>
      </c>
      <c r="B70" s="44">
        <v>-83.09872464117686</v>
      </c>
      <c r="C70" s="44">
        <v>-75.13702082129896</v>
      </c>
      <c r="D70" s="44">
        <v>-80.43028563719658</v>
      </c>
      <c r="E70" s="45">
        <v>-85.45503179136203</v>
      </c>
      <c r="F70" s="44">
        <v>-82.65884699893057</v>
      </c>
      <c r="G70" s="44">
        <v>-86.64210325087025</v>
      </c>
      <c r="H70" s="44">
        <v>-89.51690480019917</v>
      </c>
      <c r="I70" s="44">
        <v>0</v>
      </c>
    </row>
    <row r="71" spans="1:9" ht="15">
      <c r="A71" s="89" t="str">
        <f>HLOOKUP(INDICE!$F$2,Nombres!$C$3:$D$636,40,FALSE)</f>
        <v>  Gastos de personal</v>
      </c>
      <c r="B71" s="44">
        <v>-48.05694608729745</v>
      </c>
      <c r="C71" s="44">
        <v>-42.411107936732904</v>
      </c>
      <c r="D71" s="44">
        <v>-45.68805540657845</v>
      </c>
      <c r="E71" s="45">
        <v>-48.867996649271916</v>
      </c>
      <c r="F71" s="44">
        <v>-45.89472445915705</v>
      </c>
      <c r="G71" s="44">
        <v>-47.47061474232613</v>
      </c>
      <c r="H71" s="44">
        <v>-50.48466079851683</v>
      </c>
      <c r="I71" s="44">
        <v>0</v>
      </c>
    </row>
    <row r="72" spans="1:9" ht="15">
      <c r="A72" s="89" t="str">
        <f>HLOOKUP(INDICE!$F$2,Nombres!$C$3:$D$636,41,FALSE)</f>
        <v>  Otros gastos de administración</v>
      </c>
      <c r="B72" s="44">
        <v>-35.0417785538794</v>
      </c>
      <c r="C72" s="44">
        <v>-32.72591288456604</v>
      </c>
      <c r="D72" s="44">
        <v>-34.74223023061813</v>
      </c>
      <c r="E72" s="45">
        <v>-36.58703514209013</v>
      </c>
      <c r="F72" s="44">
        <v>-36.76412253977353</v>
      </c>
      <c r="G72" s="44">
        <v>-39.171488508544115</v>
      </c>
      <c r="H72" s="44">
        <v>-39.03224400168236</v>
      </c>
      <c r="I72" s="44">
        <v>0</v>
      </c>
    </row>
    <row r="73" spans="1:9" ht="15">
      <c r="A73" s="88" t="str">
        <f>HLOOKUP(INDICE!$F$2,Nombres!$C$3:$D$636,42,FALSE)</f>
        <v>  Amortización</v>
      </c>
      <c r="B73" s="44">
        <v>-14.976491148109263</v>
      </c>
      <c r="C73" s="44">
        <v>-13.005622030822014</v>
      </c>
      <c r="D73" s="44">
        <v>-13.465599406825861</v>
      </c>
      <c r="E73" s="45">
        <v>-13.725188378748763</v>
      </c>
      <c r="F73" s="44">
        <v>-14.368508785797536</v>
      </c>
      <c r="G73" s="44">
        <v>-14.074048747555786</v>
      </c>
      <c r="H73" s="44">
        <v>-14.038442466646677</v>
      </c>
      <c r="I73" s="44">
        <v>0</v>
      </c>
    </row>
    <row r="74" spans="1:9" ht="15">
      <c r="A74" s="41" t="str">
        <f>HLOOKUP(INDICE!$F$2,Nombres!$C$3:$D$636,43,FALSE)</f>
        <v>Margen neto</v>
      </c>
      <c r="B74" s="41">
        <f aca="true" t="shared" si="10" ref="B74:I74">+B68+B69</f>
        <v>150.2174683603119</v>
      </c>
      <c r="C74" s="41">
        <f t="shared" si="10"/>
        <v>139.75194481615017</v>
      </c>
      <c r="D74" s="41">
        <f t="shared" si="10"/>
        <v>172.63261637561132</v>
      </c>
      <c r="E74" s="42">
        <f t="shared" si="10"/>
        <v>162.88311022018368</v>
      </c>
      <c r="F74" s="50">
        <f t="shared" si="10"/>
        <v>155.49162719669192</v>
      </c>
      <c r="G74" s="50">
        <f t="shared" si="10"/>
        <v>180.49548243306828</v>
      </c>
      <c r="H74" s="50">
        <f t="shared" si="10"/>
        <v>172.70623638023977</v>
      </c>
      <c r="I74" s="50">
        <f t="shared" si="10"/>
        <v>0</v>
      </c>
    </row>
    <row r="75" spans="1:9" ht="15">
      <c r="A75" s="88" t="str">
        <f>HLOOKUP(INDICE!$F$2,Nombres!$C$3:$D$636,44,FALSE)</f>
        <v>Deterioro de activos financieros no valorados a valor razonable con cambios en resultados</v>
      </c>
      <c r="B75" s="44">
        <v>-78.91320210050878</v>
      </c>
      <c r="C75" s="44">
        <v>-114.67053205337129</v>
      </c>
      <c r="D75" s="44">
        <v>-40.88927708899822</v>
      </c>
      <c r="E75" s="45">
        <v>-70.17322623659706</v>
      </c>
      <c r="F75" s="44">
        <v>-63.88591842612825</v>
      </c>
      <c r="G75" s="44">
        <v>-80.73032759511271</v>
      </c>
      <c r="H75" s="44">
        <v>-75.62775397875903</v>
      </c>
      <c r="I75" s="44">
        <v>0</v>
      </c>
    </row>
    <row r="76" spans="1:9" ht="15">
      <c r="A76" s="88" t="str">
        <f>HLOOKUP(INDICE!$F$2,Nombres!$C$3:$D$636,45,FALSE)</f>
        <v>Provisiones o reversión de provisiones y otros resultados</v>
      </c>
      <c r="B76" s="44">
        <v>-2.9350253868560587</v>
      </c>
      <c r="C76" s="44">
        <v>-18.723274739165547</v>
      </c>
      <c r="D76" s="44">
        <v>-16.429682070071458</v>
      </c>
      <c r="E76" s="45">
        <v>1.6632389570911494</v>
      </c>
      <c r="F76" s="44">
        <v>-6.29927590615881</v>
      </c>
      <c r="G76" s="44">
        <v>-12.149129350595604</v>
      </c>
      <c r="H76" s="44">
        <v>-15.101594743245588</v>
      </c>
      <c r="I76" s="44">
        <v>0</v>
      </c>
    </row>
    <row r="77" spans="1:9" ht="15">
      <c r="A77" s="90" t="str">
        <f>HLOOKUP(INDICE!$F$2,Nombres!$C$3:$D$636,46,FALSE)</f>
        <v>Resultado antes de impuestos</v>
      </c>
      <c r="B77" s="41">
        <f aca="true" t="shared" si="11" ref="B77:I77">+B74+B75+B76</f>
        <v>68.36924087294706</v>
      </c>
      <c r="C77" s="41">
        <f t="shared" si="11"/>
        <v>6.358138023613336</v>
      </c>
      <c r="D77" s="41">
        <f t="shared" si="11"/>
        <v>115.31365721654163</v>
      </c>
      <c r="E77" s="42">
        <f t="shared" si="11"/>
        <v>94.37312294067777</v>
      </c>
      <c r="F77" s="50">
        <f t="shared" si="11"/>
        <v>85.30643286440485</v>
      </c>
      <c r="G77" s="50">
        <f t="shared" si="11"/>
        <v>87.61602548735996</v>
      </c>
      <c r="H77" s="50">
        <f t="shared" si="11"/>
        <v>81.97688765823516</v>
      </c>
      <c r="I77" s="50">
        <f t="shared" si="11"/>
        <v>0</v>
      </c>
    </row>
    <row r="78" spans="1:9" ht="15">
      <c r="A78" s="43" t="str">
        <f>HLOOKUP(INDICE!$F$2,Nombres!$C$3:$D$636,47,FALSE)</f>
        <v>Impuesto sobre beneficios</v>
      </c>
      <c r="B78" s="44">
        <v>-15.299170828214622</v>
      </c>
      <c r="C78" s="44">
        <v>-1.599912330490116</v>
      </c>
      <c r="D78" s="44">
        <v>-34.04002869170313</v>
      </c>
      <c r="E78" s="45">
        <v>-28.274668558170927</v>
      </c>
      <c r="F78" s="44">
        <v>-26.402539077389115</v>
      </c>
      <c r="G78" s="44">
        <v>-30.02066144463935</v>
      </c>
      <c r="H78" s="44">
        <v>-27.21817095797154</v>
      </c>
      <c r="I78" s="44">
        <v>0</v>
      </c>
    </row>
    <row r="79" spans="1:9" ht="15">
      <c r="A79" s="90" t="str">
        <f>HLOOKUP(INDICE!$F$2,Nombres!$C$3:$D$636,48,FALSE)</f>
        <v>Resultado del ejercicio</v>
      </c>
      <c r="B79" s="41">
        <f aca="true" t="shared" si="12" ref="B79:I79">+B77+B78</f>
        <v>53.07007004473244</v>
      </c>
      <c r="C79" s="41">
        <f t="shared" si="12"/>
        <v>4.75822569312322</v>
      </c>
      <c r="D79" s="41">
        <f t="shared" si="12"/>
        <v>81.2736285248385</v>
      </c>
      <c r="E79" s="42">
        <f t="shared" si="12"/>
        <v>66.09845438250684</v>
      </c>
      <c r="F79" s="50">
        <f t="shared" si="12"/>
        <v>58.90389378701574</v>
      </c>
      <c r="G79" s="50">
        <f t="shared" si="12"/>
        <v>57.59536404272061</v>
      </c>
      <c r="H79" s="50">
        <f t="shared" si="12"/>
        <v>54.75871670026362</v>
      </c>
      <c r="I79" s="50">
        <f t="shared" si="12"/>
        <v>0</v>
      </c>
    </row>
    <row r="80" spans="1:9" ht="15">
      <c r="A80" s="88" t="str">
        <f>HLOOKUP(INDICE!$F$2,Nombres!$C$3:$D$636,49,FALSE)</f>
        <v>Minoritarios</v>
      </c>
      <c r="B80" s="44">
        <v>-28.663346398709415</v>
      </c>
      <c r="C80" s="44">
        <v>-2.5542545052147094</v>
      </c>
      <c r="D80" s="44">
        <v>-42.95658928795098</v>
      </c>
      <c r="E80" s="45">
        <v>-35.329973578708724</v>
      </c>
      <c r="F80" s="44">
        <v>-31.944886310263307</v>
      </c>
      <c r="G80" s="44">
        <v>-30.644378641314702</v>
      </c>
      <c r="H80" s="44">
        <v>-29.625903328421984</v>
      </c>
      <c r="I80" s="44">
        <v>0</v>
      </c>
    </row>
    <row r="81" spans="1:9" ht="15">
      <c r="A81" s="91" t="str">
        <f>HLOOKUP(INDICE!$F$2,Nombres!$C$3:$D$636,50,FALSE)</f>
        <v>Resultado atribuido</v>
      </c>
      <c r="B81" s="47">
        <f aca="true" t="shared" si="13" ref="B81:I81">+B79+B80</f>
        <v>24.406723646023025</v>
      </c>
      <c r="C81" s="47">
        <f t="shared" si="13"/>
        <v>2.20397118790851</v>
      </c>
      <c r="D81" s="47">
        <f t="shared" si="13"/>
        <v>38.31703923688752</v>
      </c>
      <c r="E81" s="47">
        <f t="shared" si="13"/>
        <v>30.76848080379812</v>
      </c>
      <c r="F81" s="51">
        <f t="shared" si="13"/>
        <v>26.959007476752433</v>
      </c>
      <c r="G81" s="51">
        <f t="shared" si="13"/>
        <v>26.95098540140591</v>
      </c>
      <c r="H81" s="51">
        <f t="shared" si="13"/>
        <v>25.132813371841635</v>
      </c>
      <c r="I81" s="51">
        <f t="shared" si="13"/>
        <v>0</v>
      </c>
    </row>
    <row r="82" spans="1:9" ht="15">
      <c r="A82" s="92"/>
      <c r="B82" s="63">
        <v>0</v>
      </c>
      <c r="C82" s="63">
        <v>-4.440892098500626E-15</v>
      </c>
      <c r="D82" s="63">
        <v>0</v>
      </c>
      <c r="E82" s="63">
        <v>-4.973799150320701E-14</v>
      </c>
      <c r="F82" s="63">
        <v>-5.684341886080802E-14</v>
      </c>
      <c r="G82" s="63">
        <v>0</v>
      </c>
      <c r="H82" s="63">
        <v>0</v>
      </c>
      <c r="I82" s="63">
        <v>0</v>
      </c>
    </row>
    <row r="83" spans="1:9" ht="15">
      <c r="A83" s="90"/>
      <c r="B83" s="41"/>
      <c r="C83" s="41"/>
      <c r="D83" s="41"/>
      <c r="E83" s="41"/>
      <c r="F83" s="50"/>
      <c r="G83" s="50"/>
      <c r="H83" s="50"/>
      <c r="I83" s="50"/>
    </row>
    <row r="84" spans="1:9" ht="18">
      <c r="A84" s="93" t="str">
        <f>HLOOKUP(INDICE!$F$2,Nombres!$C$3:$D$636,51,FALSE)</f>
        <v>Balances</v>
      </c>
      <c r="B84" s="34"/>
      <c r="C84" s="34"/>
      <c r="D84" s="34"/>
      <c r="E84" s="34"/>
      <c r="F84" s="69"/>
      <c r="G84" s="69"/>
      <c r="H84" s="69"/>
      <c r="I84" s="69"/>
    </row>
    <row r="85" spans="1:9" ht="15">
      <c r="A85" s="84"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88" t="str">
        <f>HLOOKUP(INDICE!$F$2,Nombres!$C$3:$D$636,52,FALSE)</f>
        <v>Efectivo, saldos en efectivo en bancos centrales y otros depósitos a la vista</v>
      </c>
      <c r="B87" s="44">
        <v>2652.9391250425197</v>
      </c>
      <c r="C87" s="44">
        <v>2582.9702484507707</v>
      </c>
      <c r="D87" s="44">
        <v>2185.1492116186528</v>
      </c>
      <c r="E87" s="45">
        <v>2623.1930279708586</v>
      </c>
      <c r="F87" s="44">
        <v>2818.359819947891</v>
      </c>
      <c r="G87" s="44">
        <v>2431.5587211882084</v>
      </c>
      <c r="H87" s="44">
        <v>3426.904</v>
      </c>
      <c r="I87" s="44">
        <v>0</v>
      </c>
    </row>
    <row r="88" spans="1:9" ht="15">
      <c r="A88" s="88" t="str">
        <f>HLOOKUP(INDICE!$F$2,Nombres!$C$3:$D$636,53,FALSE)</f>
        <v>Activos financieros a valor razonable</v>
      </c>
      <c r="B88" s="58">
        <v>1760.575938863973</v>
      </c>
      <c r="C88" s="58">
        <v>2498.379450749234</v>
      </c>
      <c r="D88" s="58">
        <v>2614.6843538508765</v>
      </c>
      <c r="E88" s="65">
        <v>2574.866343021127</v>
      </c>
      <c r="F88" s="44">
        <v>2559.1271828998097</v>
      </c>
      <c r="G88" s="44">
        <v>2939.9970622535657</v>
      </c>
      <c r="H88" s="44">
        <v>2781.4759999999997</v>
      </c>
      <c r="I88" s="44">
        <v>0</v>
      </c>
    </row>
    <row r="89" spans="1:9" ht="15">
      <c r="A89" s="43" t="str">
        <f>HLOOKUP(INDICE!$F$2,Nombres!$C$3:$D$636,54,FALSE)</f>
        <v>Activos financieros a coste amortizado</v>
      </c>
      <c r="B89" s="44">
        <v>12795.136468996065</v>
      </c>
      <c r="C89" s="44">
        <v>14566.001384536234</v>
      </c>
      <c r="D89" s="44">
        <v>16616.561369400104</v>
      </c>
      <c r="E89" s="45">
        <v>16739.09215153068</v>
      </c>
      <c r="F89" s="44">
        <v>16161.051222295922</v>
      </c>
      <c r="G89" s="44">
        <v>16245.044369851877</v>
      </c>
      <c r="H89" s="44">
        <v>16144.789999999999</v>
      </c>
      <c r="I89" s="44">
        <v>0</v>
      </c>
    </row>
    <row r="90" spans="1:9" ht="15">
      <c r="A90" s="88" t="str">
        <f>HLOOKUP(INDICE!$F$2,Nombres!$C$3:$D$636,55,FALSE)</f>
        <v>    de los que préstamos y anticipos a la clientela</v>
      </c>
      <c r="B90" s="44">
        <v>12165.94937359133</v>
      </c>
      <c r="C90" s="44">
        <v>13285.629557412658</v>
      </c>
      <c r="D90" s="44">
        <v>14029.664303794365</v>
      </c>
      <c r="E90" s="45">
        <v>14034.662199558677</v>
      </c>
      <c r="F90" s="44">
        <v>14093.275152206443</v>
      </c>
      <c r="G90" s="44">
        <v>14855.085313626496</v>
      </c>
      <c r="H90" s="44">
        <v>14612.89</v>
      </c>
      <c r="I90" s="44">
        <v>0</v>
      </c>
    </row>
    <row r="91" spans="1:9" ht="15">
      <c r="A91" s="88"/>
      <c r="B91" s="44"/>
      <c r="C91" s="44"/>
      <c r="D91" s="44"/>
      <c r="E91" s="45"/>
      <c r="F91" s="44"/>
      <c r="G91" s="44"/>
      <c r="H91" s="44"/>
      <c r="I91" s="44"/>
    </row>
    <row r="92" spans="1:9" ht="15">
      <c r="A92" s="43" t="str">
        <f>HLOOKUP(INDICE!$F$2,Nombres!$C$3:$D$636,56,FALSE)</f>
        <v>Activos tangibles</v>
      </c>
      <c r="B92" s="44">
        <v>241.68558676318438</v>
      </c>
      <c r="C92" s="44">
        <v>237.84296253299846</v>
      </c>
      <c r="D92" s="44">
        <v>238.34302222449872</v>
      </c>
      <c r="E92" s="45">
        <v>247.70924702380466</v>
      </c>
      <c r="F92" s="44">
        <v>242.02924554530136</v>
      </c>
      <c r="G92" s="44">
        <v>238.95956503746206</v>
      </c>
      <c r="H92" s="44">
        <v>239.67399999999998</v>
      </c>
      <c r="I92" s="44">
        <v>0</v>
      </c>
    </row>
    <row r="93" spans="1:9" ht="15">
      <c r="A93" s="88" t="str">
        <f>HLOOKUP(INDICE!$F$2,Nombres!$C$3:$D$636,57,FALSE)</f>
        <v>Otros activos</v>
      </c>
      <c r="B93" s="58">
        <f aca="true" t="shared" si="15" ref="B93:I93">+B94-B92-B89-B88-B87</f>
        <v>330.09175629771516</v>
      </c>
      <c r="C93" s="58">
        <f t="shared" si="15"/>
        <v>383.37429305548994</v>
      </c>
      <c r="D93" s="58">
        <f t="shared" si="15"/>
        <v>331.4240134306492</v>
      </c>
      <c r="E93" s="65">
        <f t="shared" si="15"/>
        <v>322.8805552850349</v>
      </c>
      <c r="F93" s="44">
        <f t="shared" si="15"/>
        <v>334.45042571881004</v>
      </c>
      <c r="G93" s="44">
        <f t="shared" si="15"/>
        <v>339.9433604924616</v>
      </c>
      <c r="H93" s="44">
        <f t="shared" si="15"/>
        <v>354.51499999999896</v>
      </c>
      <c r="I93" s="44">
        <f t="shared" si="15"/>
        <v>0</v>
      </c>
    </row>
    <row r="94" spans="1:9" ht="15">
      <c r="A94" s="91" t="str">
        <f>HLOOKUP(INDICE!$F$2,Nombres!$C$3:$D$636,58,FALSE)</f>
        <v>Total activo / pasivo</v>
      </c>
      <c r="B94" s="47">
        <v>17780.42887596346</v>
      </c>
      <c r="C94" s="47">
        <v>20268.568339324727</v>
      </c>
      <c r="D94" s="47">
        <v>21986.16197052478</v>
      </c>
      <c r="E94" s="47">
        <v>22507.741324831506</v>
      </c>
      <c r="F94" s="51">
        <v>22115.017896407735</v>
      </c>
      <c r="G94" s="51">
        <v>22195.503078823574</v>
      </c>
      <c r="H94" s="51">
        <v>22947.358999999997</v>
      </c>
      <c r="I94" s="51">
        <v>0</v>
      </c>
    </row>
    <row r="95" spans="1:9" ht="15">
      <c r="A95" s="88" t="str">
        <f>HLOOKUP(INDICE!$F$2,Nombres!$C$3:$D$636,59,FALSE)</f>
        <v>Pasivos financieros mantenidos para negociar y designados a valor razonable con cambios en resultados</v>
      </c>
      <c r="B95" s="58">
        <v>196.87558298273208</v>
      </c>
      <c r="C95" s="58">
        <v>231.7447001375972</v>
      </c>
      <c r="D95" s="58">
        <v>199.82548306660593</v>
      </c>
      <c r="E95" s="65">
        <v>206.46172261595777</v>
      </c>
      <c r="F95" s="44">
        <v>244.5772811164446</v>
      </c>
      <c r="G95" s="44">
        <v>360.93026864670514</v>
      </c>
      <c r="H95" s="44">
        <v>513.88</v>
      </c>
      <c r="I95" s="44">
        <v>0</v>
      </c>
    </row>
    <row r="96" spans="1:9" ht="15">
      <c r="A96" s="88" t="str">
        <f>HLOOKUP(INDICE!$F$2,Nombres!$C$3:$D$636,60,FALSE)</f>
        <v>Depósitos de bancos centrales y entidades de crédito</v>
      </c>
      <c r="B96" s="58">
        <v>2157.97175746843</v>
      </c>
      <c r="C96" s="58">
        <v>2548.517418068307</v>
      </c>
      <c r="D96" s="58">
        <v>4019.3481180330405</v>
      </c>
      <c r="E96" s="65">
        <v>3799.716406378502</v>
      </c>
      <c r="F96" s="44">
        <v>3869.7676752430207</v>
      </c>
      <c r="G96" s="44">
        <v>4173.84392312243</v>
      </c>
      <c r="H96" s="44">
        <v>4183.368</v>
      </c>
      <c r="I96" s="44">
        <v>0</v>
      </c>
    </row>
    <row r="97" spans="1:9" ht="15">
      <c r="A97" s="88" t="str">
        <f>HLOOKUP(INDICE!$F$2,Nombres!$C$3:$D$636,61,FALSE)</f>
        <v>Depósitos de la clientela</v>
      </c>
      <c r="B97" s="58">
        <v>11584.967419097058</v>
      </c>
      <c r="C97" s="58">
        <v>13540.734011081102</v>
      </c>
      <c r="D97" s="58">
        <v>13797.15115843083</v>
      </c>
      <c r="E97" s="65">
        <v>14738.397522656112</v>
      </c>
      <c r="F97" s="44">
        <v>14014.739935634603</v>
      </c>
      <c r="G97" s="44">
        <v>13750.725823147852</v>
      </c>
      <c r="H97" s="44">
        <v>14239.42</v>
      </c>
      <c r="I97" s="44">
        <v>0</v>
      </c>
    </row>
    <row r="98" spans="1:9" ht="15">
      <c r="A98" s="43" t="str">
        <f>HLOOKUP(INDICE!$F$2,Nombres!$C$3:$D$636,62,FALSE)</f>
        <v>Valores representativos de deuda emitidos</v>
      </c>
      <c r="B98" s="44">
        <v>1651.53769541581</v>
      </c>
      <c r="C98" s="44">
        <v>1667.3738033762415</v>
      </c>
      <c r="D98" s="44">
        <v>1331.6407468057346</v>
      </c>
      <c r="E98" s="45">
        <v>1211.8110112464278</v>
      </c>
      <c r="F98" s="44">
        <v>1227.164344108844</v>
      </c>
      <c r="G98" s="44">
        <v>1208.4579864652212</v>
      </c>
      <c r="H98" s="44">
        <v>1261.7598223500001</v>
      </c>
      <c r="I98" s="44">
        <v>0</v>
      </c>
    </row>
    <row r="99" spans="1:9" ht="15">
      <c r="A99" s="43"/>
      <c r="B99" s="44"/>
      <c r="C99" s="44"/>
      <c r="D99" s="44"/>
      <c r="E99" s="45"/>
      <c r="F99" s="44"/>
      <c r="G99" s="44"/>
      <c r="H99" s="44"/>
      <c r="I99" s="44"/>
    </row>
    <row r="100" spans="1:9" ht="15">
      <c r="A100" s="88" t="str">
        <f>HLOOKUP(INDICE!$F$2,Nombres!$C$3:$D$636,63,FALSE)</f>
        <v>Otros pasivos</v>
      </c>
      <c r="B100" s="58">
        <f aca="true" t="shared" si="16" ref="B100:I100">+B94-B95-B96-B97-B98-B101</f>
        <v>390.8002197341814</v>
      </c>
      <c r="C100" s="58">
        <f t="shared" si="16"/>
        <v>446.5462778126314</v>
      </c>
      <c r="D100" s="58">
        <f t="shared" si="16"/>
        <v>916.2574884880391</v>
      </c>
      <c r="E100" s="65">
        <f t="shared" si="16"/>
        <v>722.6742997227229</v>
      </c>
      <c r="F100" s="44">
        <f t="shared" si="16"/>
        <v>991.9034613279641</v>
      </c>
      <c r="G100" s="44">
        <f t="shared" si="16"/>
        <v>903.9376622316277</v>
      </c>
      <c r="H100" s="44">
        <f t="shared" si="16"/>
        <v>861.285709539997</v>
      </c>
      <c r="I100" s="44">
        <f t="shared" si="16"/>
        <v>0</v>
      </c>
    </row>
    <row r="101" spans="1:9" ht="15">
      <c r="A101" s="43" t="str">
        <f>HLOOKUP(INDICE!$F$2,Nombres!$C$3:$D$636,282,FALSE)</f>
        <v>Dotación de capital regulatorio</v>
      </c>
      <c r="B101" s="58">
        <v>1798.2762012652481</v>
      </c>
      <c r="C101" s="58">
        <v>1833.6521288488477</v>
      </c>
      <c r="D101" s="58">
        <v>1721.9389757005292</v>
      </c>
      <c r="E101" s="65">
        <v>1828.6803622117836</v>
      </c>
      <c r="F101" s="44">
        <v>1766.8651989768578</v>
      </c>
      <c r="G101" s="44">
        <v>1797.607415209739</v>
      </c>
      <c r="H101" s="44">
        <v>1887.6454681100001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3" t="str">
        <f>HLOOKUP(INDICE!$F$2,Nombres!$C$3:$D$636,65,FALSE)</f>
        <v>Indicadores relevantes y de gestión</v>
      </c>
      <c r="B104" s="34"/>
      <c r="C104" s="34"/>
      <c r="D104" s="34"/>
      <c r="E104" s="34"/>
      <c r="F104" s="69"/>
      <c r="G104" s="69"/>
      <c r="H104" s="69"/>
      <c r="I104" s="69"/>
    </row>
    <row r="105" spans="1:9" ht="15">
      <c r="A105" s="84"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88" t="str">
        <f>HLOOKUP(INDICE!$F$2,Nombres!$C$3:$D$636,66,FALSE)</f>
        <v>Préstamos y anticipos a la clientela bruto (*)</v>
      </c>
      <c r="B107" s="44">
        <v>12787.581644166661</v>
      </c>
      <c r="C107" s="44">
        <v>13941.76069724237</v>
      </c>
      <c r="D107" s="44">
        <v>14800.367272306748</v>
      </c>
      <c r="E107" s="45">
        <v>14848.626404865807</v>
      </c>
      <c r="F107" s="44">
        <v>14948.186786662167</v>
      </c>
      <c r="G107" s="44">
        <v>15729.100644551327</v>
      </c>
      <c r="H107" s="44">
        <v>15449.167464920003</v>
      </c>
      <c r="I107" s="44">
        <v>0</v>
      </c>
    </row>
    <row r="108" spans="1:9" ht="15">
      <c r="A108" s="88" t="str">
        <f>HLOOKUP(INDICE!$F$2,Nombres!$C$3:$D$636,67,FALSE)</f>
        <v>Depósitos de clientes en gestión (**)</v>
      </c>
      <c r="B108" s="44">
        <v>11584.96620430177</v>
      </c>
      <c r="C108" s="44">
        <v>13540.73389439788</v>
      </c>
      <c r="D108" s="44">
        <v>13797.152457408803</v>
      </c>
      <c r="E108" s="45">
        <v>14738.401377074448</v>
      </c>
      <c r="F108" s="44">
        <v>14014.740033755195</v>
      </c>
      <c r="G108" s="44">
        <v>13750.724207035546</v>
      </c>
      <c r="H108" s="44">
        <v>14239.41983855</v>
      </c>
      <c r="I108" s="44">
        <v>0</v>
      </c>
    </row>
    <row r="109" spans="1:9" ht="15">
      <c r="A109" s="43" t="str">
        <f>HLOOKUP(INDICE!$F$2,Nombres!$C$3:$D$636,68,FALSE)</f>
        <v>Fondos de inversión</v>
      </c>
      <c r="B109" s="44">
        <v>1459.9339526719177</v>
      </c>
      <c r="C109" s="44">
        <v>1557.4326716272285</v>
      </c>
      <c r="D109" s="44">
        <v>1800.4226566910445</v>
      </c>
      <c r="E109" s="45">
        <v>1995.4980746876493</v>
      </c>
      <c r="F109" s="44">
        <v>2145.693898758694</v>
      </c>
      <c r="G109" s="44">
        <v>1838.9838562942302</v>
      </c>
      <c r="H109" s="44">
        <v>1551.9569313</v>
      </c>
      <c r="I109" s="44">
        <v>0</v>
      </c>
    </row>
    <row r="110" spans="1:9" ht="15">
      <c r="A110" s="88" t="str">
        <f>HLOOKUP(INDICE!$F$2,Nombres!$C$3:$D$636,69,FALSE)</f>
        <v>Fondos de pensiones</v>
      </c>
      <c r="B110" s="44">
        <v>0</v>
      </c>
      <c r="C110" s="44">
        <v>0</v>
      </c>
      <c r="D110" s="44">
        <v>0</v>
      </c>
      <c r="E110" s="45">
        <v>0</v>
      </c>
      <c r="F110" s="44">
        <v>0</v>
      </c>
      <c r="G110" s="44">
        <v>0</v>
      </c>
      <c r="H110" s="44">
        <v>0</v>
      </c>
      <c r="I110" s="44">
        <v>0</v>
      </c>
    </row>
    <row r="111" spans="1:9" ht="15">
      <c r="A111" s="88" t="str">
        <f>HLOOKUP(INDICE!$F$2,Nombres!$C$3:$D$636,70,FALSE)</f>
        <v>Otros recursos fuera de balance</v>
      </c>
      <c r="B111" s="44">
        <v>0</v>
      </c>
      <c r="C111" s="44">
        <v>0</v>
      </c>
      <c r="D111" s="44">
        <v>0</v>
      </c>
      <c r="E111" s="45">
        <v>0</v>
      </c>
      <c r="F111" s="44">
        <v>0</v>
      </c>
      <c r="G111" s="44">
        <v>0</v>
      </c>
      <c r="H111" s="44">
        <v>0</v>
      </c>
      <c r="I111" s="44">
        <v>0</v>
      </c>
    </row>
    <row r="112" spans="1:9" ht="15">
      <c r="A112" s="92" t="str">
        <f>HLOOKUP(INDICE!$F$2,Nombres!$C$3:$D$636,71,FALSE)</f>
        <v>(*) No incluye las adquisiciones temporales de activos.</v>
      </c>
      <c r="B112" s="58"/>
      <c r="C112" s="58"/>
      <c r="D112" s="58"/>
      <c r="E112" s="58"/>
      <c r="F112" s="58"/>
      <c r="G112" s="58"/>
      <c r="H112" s="58"/>
      <c r="I112" s="58"/>
    </row>
    <row r="113" spans="1:9" ht="15">
      <c r="A113" s="9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3" t="str">
        <f>HLOOKUP(INDICE!$F$2,Nombres!$C$3:$D$636,31,FALSE)</f>
        <v>Cuenta de resultados  </v>
      </c>
      <c r="B115" s="34"/>
      <c r="C115" s="34"/>
      <c r="D115" s="34"/>
      <c r="E115" s="34"/>
      <c r="F115" s="34"/>
      <c r="G115" s="34"/>
      <c r="H115" s="34"/>
      <c r="I115" s="34"/>
    </row>
    <row r="116" spans="1:9" ht="15">
      <c r="A116" s="84"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85" t="str">
        <f aca="true" t="shared" si="18" ref="B119:I119">+B$7</f>
        <v>1er Trim.</v>
      </c>
      <c r="C119" s="85" t="str">
        <f t="shared" si="18"/>
        <v>2º Trim.</v>
      </c>
      <c r="D119" s="85" t="str">
        <f t="shared" si="18"/>
        <v>3er Trim.</v>
      </c>
      <c r="E119" s="86" t="str">
        <f t="shared" si="18"/>
        <v>4º Trim.</v>
      </c>
      <c r="F119" s="85" t="str">
        <f t="shared" si="18"/>
        <v>1er Trim.</v>
      </c>
      <c r="G119" s="85" t="str">
        <f t="shared" si="18"/>
        <v>2º Trim.</v>
      </c>
      <c r="H119" s="85" t="str">
        <f t="shared" si="18"/>
        <v>3er Trim.</v>
      </c>
      <c r="I119" s="85" t="str">
        <f t="shared" si="18"/>
        <v>4º Trim.</v>
      </c>
    </row>
    <row r="120" spans="1:9" ht="15">
      <c r="A120" s="41" t="str">
        <f>HLOOKUP(INDICE!$F$2,Nombres!$C$3:$D$636,33,FALSE)</f>
        <v>Margen de intereses</v>
      </c>
      <c r="B120" s="41">
        <v>822.6164431567416</v>
      </c>
      <c r="C120" s="41">
        <v>767.7308918636254</v>
      </c>
      <c r="D120" s="41">
        <v>821.5989156313824</v>
      </c>
      <c r="E120" s="42">
        <v>811.8800955866535</v>
      </c>
      <c r="F120" s="50">
        <v>803.1604667218405</v>
      </c>
      <c r="G120" s="50">
        <v>813.2718225241067</v>
      </c>
      <c r="H120" s="50">
        <v>915.4370832526502</v>
      </c>
      <c r="I120" s="50">
        <v>0</v>
      </c>
    </row>
    <row r="121" spans="1:9" ht="15">
      <c r="A121" s="88" t="str">
        <f>HLOOKUP(INDICE!$F$2,Nombres!$C$3:$D$636,34,FALSE)</f>
        <v>Comisiones netas</v>
      </c>
      <c r="B121" s="44">
        <v>199.84619702159569</v>
      </c>
      <c r="C121" s="44">
        <v>172.77912709303683</v>
      </c>
      <c r="D121" s="44">
        <v>250.99794654784762</v>
      </c>
      <c r="E121" s="45">
        <v>245.79518615032453</v>
      </c>
      <c r="F121" s="44">
        <v>242.16027570655672</v>
      </c>
      <c r="G121" s="44">
        <v>269.8129862325331</v>
      </c>
      <c r="H121" s="44">
        <v>279.40946197089863</v>
      </c>
      <c r="I121" s="44">
        <v>0</v>
      </c>
    </row>
    <row r="122" spans="1:9" ht="15">
      <c r="A122" s="88" t="str">
        <f>HLOOKUP(INDICE!$F$2,Nombres!$C$3:$D$636,35,FALSE)</f>
        <v>Resultados de operaciones financieras</v>
      </c>
      <c r="B122" s="44">
        <v>139.19711576579294</v>
      </c>
      <c r="C122" s="44">
        <v>134.20563173121997</v>
      </c>
      <c r="D122" s="44">
        <v>177.20843392421122</v>
      </c>
      <c r="E122" s="45">
        <v>184.26372269748856</v>
      </c>
      <c r="F122" s="44">
        <v>149.38523154713724</v>
      </c>
      <c r="G122" s="44">
        <v>252.31571881774494</v>
      </c>
      <c r="H122" s="44">
        <v>111.91375150172959</v>
      </c>
      <c r="I122" s="44">
        <v>0</v>
      </c>
    </row>
    <row r="123" spans="1:9" ht="15">
      <c r="A123" s="88" t="str">
        <f>HLOOKUP(INDICE!$F$2,Nombres!$C$3:$D$636,36,FALSE)</f>
        <v>Otros ingresos y cargas de explotación</v>
      </c>
      <c r="B123" s="44">
        <v>-23.841398634021502</v>
      </c>
      <c r="C123" s="44">
        <v>-30.372977972059193</v>
      </c>
      <c r="D123" s="44">
        <v>-28.42004788204776</v>
      </c>
      <c r="E123" s="45">
        <v>-41.01571055181028</v>
      </c>
      <c r="F123" s="44">
        <v>-37.52031065399257</v>
      </c>
      <c r="G123" s="44">
        <v>-46.72880919000044</v>
      </c>
      <c r="H123" s="44">
        <v>-40.772527613937726</v>
      </c>
      <c r="I123" s="44">
        <v>0</v>
      </c>
    </row>
    <row r="124" spans="1:9" ht="15">
      <c r="A124" s="41" t="str">
        <f>HLOOKUP(INDICE!$F$2,Nombres!$C$3:$D$636,37,FALSE)</f>
        <v>Margen bruto</v>
      </c>
      <c r="B124" s="41">
        <f aca="true" t="shared" si="19" ref="B124:I124">+SUM(B120:B123)</f>
        <v>1137.8183573101087</v>
      </c>
      <c r="C124" s="41">
        <f t="shared" si="19"/>
        <v>1044.3426727158228</v>
      </c>
      <c r="D124" s="41">
        <f t="shared" si="19"/>
        <v>1221.3852482213933</v>
      </c>
      <c r="E124" s="42">
        <f t="shared" si="19"/>
        <v>1200.923293882656</v>
      </c>
      <c r="F124" s="50">
        <f t="shared" si="19"/>
        <v>1157.185663321542</v>
      </c>
      <c r="G124" s="50">
        <f t="shared" si="19"/>
        <v>1288.6717183843843</v>
      </c>
      <c r="H124" s="50">
        <f t="shared" si="19"/>
        <v>1265.9877691113406</v>
      </c>
      <c r="I124" s="50">
        <f t="shared" si="19"/>
        <v>0</v>
      </c>
    </row>
    <row r="125" spans="1:9" ht="15">
      <c r="A125" s="88" t="str">
        <f>HLOOKUP(INDICE!$F$2,Nombres!$C$3:$D$636,38,FALSE)</f>
        <v>Gastos de explotación</v>
      </c>
      <c r="B125" s="44">
        <v>-449.43644354404404</v>
      </c>
      <c r="C125" s="44">
        <v>-403.91974271197734</v>
      </c>
      <c r="D125" s="44">
        <v>-430.28437203006257</v>
      </c>
      <c r="E125" s="45">
        <v>-454.5002023644728</v>
      </c>
      <c r="F125" s="44">
        <v>-444.63455277081937</v>
      </c>
      <c r="G125" s="44">
        <v>-461.53871594701945</v>
      </c>
      <c r="H125" s="44">
        <v>-474.5495241690196</v>
      </c>
      <c r="I125" s="44">
        <v>0</v>
      </c>
    </row>
    <row r="126" spans="1:9" ht="15">
      <c r="A126" s="88" t="str">
        <f>HLOOKUP(INDICE!$F$2,Nombres!$C$3:$D$636,39,FALSE)</f>
        <v>  Gastos de administración</v>
      </c>
      <c r="B126" s="44">
        <v>-380.8056394799821</v>
      </c>
      <c r="C126" s="44">
        <v>-344.3205823678484</v>
      </c>
      <c r="D126" s="44">
        <v>-368.57733362195813</v>
      </c>
      <c r="E126" s="45">
        <v>-391.6035795808933</v>
      </c>
      <c r="F126" s="44">
        <v>-378.78986983283244</v>
      </c>
      <c r="G126" s="44">
        <v>-397.04341645201725</v>
      </c>
      <c r="H126" s="44">
        <v>-410.2173929131166</v>
      </c>
      <c r="I126" s="44">
        <v>0</v>
      </c>
    </row>
    <row r="127" spans="1:9" ht="15">
      <c r="A127" s="89" t="str">
        <f>HLOOKUP(INDICE!$F$2,Nombres!$C$3:$D$636,40,FALSE)</f>
        <v>  Gastos de personal</v>
      </c>
      <c r="B127" s="44">
        <v>-220.22427137419857</v>
      </c>
      <c r="C127" s="44">
        <v>-194.3518284864185</v>
      </c>
      <c r="D127" s="44">
        <v>-209.36866637635285</v>
      </c>
      <c r="E127" s="45">
        <v>-223.94096653693327</v>
      </c>
      <c r="F127" s="44">
        <v>-210.3157415699583</v>
      </c>
      <c r="G127" s="44">
        <v>-217.5373675290062</v>
      </c>
      <c r="H127" s="44">
        <v>-231.3494415506703</v>
      </c>
      <c r="I127" s="44">
        <v>0</v>
      </c>
    </row>
    <row r="128" spans="1:9" ht="15">
      <c r="A128" s="89" t="str">
        <f>HLOOKUP(INDICE!$F$2,Nombres!$C$3:$D$636,41,FALSE)</f>
        <v>  Otros gastos de administración</v>
      </c>
      <c r="B128" s="44">
        <v>-160.5813681057836</v>
      </c>
      <c r="C128" s="44">
        <v>-149.96875388142985</v>
      </c>
      <c r="D128" s="44">
        <v>-159.2086672456053</v>
      </c>
      <c r="E128" s="45">
        <v>-167.66261304396</v>
      </c>
      <c r="F128" s="44">
        <v>-168.47412826287413</v>
      </c>
      <c r="G128" s="44">
        <v>-179.5060489230111</v>
      </c>
      <c r="H128" s="44">
        <v>-178.86795136244632</v>
      </c>
      <c r="I128" s="44">
        <v>0</v>
      </c>
    </row>
    <row r="129" spans="1:9" ht="15">
      <c r="A129" s="88" t="str">
        <f>HLOOKUP(INDICE!$F$2,Nombres!$C$3:$D$636,42,FALSE)</f>
        <v>  Amortización</v>
      </c>
      <c r="B129" s="44">
        <v>-68.63080406406189</v>
      </c>
      <c r="C129" s="44">
        <v>-59.599160344128975</v>
      </c>
      <c r="D129" s="44">
        <v>-61.70703840810442</v>
      </c>
      <c r="E129" s="45">
        <v>-62.8966227835795</v>
      </c>
      <c r="F129" s="44">
        <v>-65.84468293798695</v>
      </c>
      <c r="G129" s="44">
        <v>-64.49529949500223</v>
      </c>
      <c r="H129" s="44">
        <v>-64.33213125590296</v>
      </c>
      <c r="I129" s="44">
        <v>0</v>
      </c>
    </row>
    <row r="130" spans="1:9" ht="15">
      <c r="A130" s="41" t="str">
        <f>HLOOKUP(INDICE!$F$2,Nombres!$C$3:$D$636,43,FALSE)</f>
        <v>Margen neto</v>
      </c>
      <c r="B130" s="41">
        <f aca="true" t="shared" si="20" ref="B130:I130">+B124+B125</f>
        <v>688.3819137660646</v>
      </c>
      <c r="C130" s="41">
        <f t="shared" si="20"/>
        <v>640.4229300038455</v>
      </c>
      <c r="D130" s="41">
        <f t="shared" si="20"/>
        <v>791.1008761913308</v>
      </c>
      <c r="E130" s="42">
        <f t="shared" si="20"/>
        <v>746.4230915181832</v>
      </c>
      <c r="F130" s="50">
        <f t="shared" si="20"/>
        <v>712.5511105507227</v>
      </c>
      <c r="G130" s="50">
        <f t="shared" si="20"/>
        <v>827.1330024373649</v>
      </c>
      <c r="H130" s="50">
        <f t="shared" si="20"/>
        <v>791.438244942321</v>
      </c>
      <c r="I130" s="50">
        <f t="shared" si="20"/>
        <v>0</v>
      </c>
    </row>
    <row r="131" spans="1:9" ht="15">
      <c r="A131" s="88" t="str">
        <f>HLOOKUP(INDICE!$F$2,Nombres!$C$3:$D$636,44,FALSE)</f>
        <v>Deterioro de activos financieros no valorados a valor razonable con cambios en resultados</v>
      </c>
      <c r="B131" s="44">
        <v>-361.6251936363261</v>
      </c>
      <c r="C131" s="44">
        <v>-525.4856254009944</v>
      </c>
      <c r="D131" s="44">
        <v>-187.37793362034995</v>
      </c>
      <c r="E131" s="45">
        <v>-321.5736511816382</v>
      </c>
      <c r="F131" s="44">
        <v>-292.76162931594195</v>
      </c>
      <c r="G131" s="44">
        <v>-369.952296597003</v>
      </c>
      <c r="H131" s="44">
        <v>-346.5694009224958</v>
      </c>
      <c r="I131" s="44">
        <v>0</v>
      </c>
    </row>
    <row r="132" spans="1:9" ht="15">
      <c r="A132" s="88" t="str">
        <f>HLOOKUP(INDICE!$F$2,Nombres!$C$3:$D$636,45,FALSE)</f>
        <v>Provisiones o reversión de provisiones y otros resultados</v>
      </c>
      <c r="B132" s="44">
        <v>-13.449956352012133</v>
      </c>
      <c r="C132" s="44">
        <v>-85.8006983981356</v>
      </c>
      <c r="D132" s="44">
        <v>-75.2901517341236</v>
      </c>
      <c r="E132" s="45">
        <v>7.621907284353988</v>
      </c>
      <c r="F132" s="44">
        <v>-28.866866489994273</v>
      </c>
      <c r="G132" s="44">
        <v>-55.67422353899872</v>
      </c>
      <c r="H132" s="44">
        <v>-69.20409992092185</v>
      </c>
      <c r="I132" s="44">
        <v>0</v>
      </c>
    </row>
    <row r="133" spans="1:9" ht="15">
      <c r="A133" s="90" t="str">
        <f>HLOOKUP(INDICE!$F$2,Nombres!$C$3:$D$636,46,FALSE)</f>
        <v>Resultado antes de impuestos</v>
      </c>
      <c r="B133" s="41">
        <f aca="true" t="shared" si="21" ref="B133:I133">+B130+B131+B132</f>
        <v>313.30676377772636</v>
      </c>
      <c r="C133" s="41">
        <f t="shared" si="21"/>
        <v>29.136606204715505</v>
      </c>
      <c r="D133" s="41">
        <f t="shared" si="21"/>
        <v>528.4327908368573</v>
      </c>
      <c r="E133" s="42">
        <f t="shared" si="21"/>
        <v>432.47134762089905</v>
      </c>
      <c r="F133" s="50">
        <f t="shared" si="21"/>
        <v>390.9226147447865</v>
      </c>
      <c r="G133" s="50">
        <f t="shared" si="21"/>
        <v>401.5064823013632</v>
      </c>
      <c r="H133" s="50">
        <f t="shared" si="21"/>
        <v>375.6647440989034</v>
      </c>
      <c r="I133" s="50">
        <f t="shared" si="21"/>
        <v>0</v>
      </c>
    </row>
    <row r="134" spans="1:9" ht="15">
      <c r="A134" s="43" t="str">
        <f>HLOOKUP(INDICE!$F$2,Nombres!$C$3:$D$636,47,FALSE)</f>
        <v>Impuesto sobre beneficios</v>
      </c>
      <c r="B134" s="44">
        <v>-70.10950596304181</v>
      </c>
      <c r="C134" s="44">
        <v>-7.331708648417695</v>
      </c>
      <c r="D134" s="44">
        <v>-155.99078024162293</v>
      </c>
      <c r="E134" s="45">
        <v>-129.570619619877</v>
      </c>
      <c r="F134" s="44">
        <v>-120.99145709726491</v>
      </c>
      <c r="G134" s="44">
        <v>-137.5717524956233</v>
      </c>
      <c r="H134" s="44">
        <v>-124.7291464686316</v>
      </c>
      <c r="I134" s="44">
        <v>0</v>
      </c>
    </row>
    <row r="135" spans="1:9" ht="15">
      <c r="A135" s="90" t="str">
        <f>HLOOKUP(INDICE!$F$2,Nombres!$C$3:$D$636,48,FALSE)</f>
        <v>Resultado del ejercicio</v>
      </c>
      <c r="B135" s="41">
        <f aca="true" t="shared" si="22" ref="B135:I135">+B133+B134</f>
        <v>243.19725781468455</v>
      </c>
      <c r="C135" s="41">
        <f t="shared" si="22"/>
        <v>21.80489755629781</v>
      </c>
      <c r="D135" s="41">
        <f t="shared" si="22"/>
        <v>372.44201059523436</v>
      </c>
      <c r="E135" s="42">
        <f t="shared" si="22"/>
        <v>302.90072800102206</v>
      </c>
      <c r="F135" s="50">
        <f t="shared" si="22"/>
        <v>269.93115764752156</v>
      </c>
      <c r="G135" s="50">
        <f t="shared" si="22"/>
        <v>263.9347298057399</v>
      </c>
      <c r="H135" s="50">
        <f t="shared" si="22"/>
        <v>250.9355976302718</v>
      </c>
      <c r="I135" s="50">
        <f t="shared" si="22"/>
        <v>0</v>
      </c>
    </row>
    <row r="136" spans="1:9" ht="15">
      <c r="A136" s="88" t="str">
        <f>HLOOKUP(INDICE!$F$2,Nombres!$C$3:$D$636,49,FALSE)</f>
        <v>Minoritarios</v>
      </c>
      <c r="B136" s="44">
        <v>-131.35176264291465</v>
      </c>
      <c r="C136" s="44">
        <v>-11.70504751370077</v>
      </c>
      <c r="D136" s="44">
        <v>-196.85153441658724</v>
      </c>
      <c r="E136" s="45">
        <v>-161.90204169252</v>
      </c>
      <c r="F136" s="44">
        <v>-146.38964571385588</v>
      </c>
      <c r="G136" s="44">
        <v>-140.42997958587307</v>
      </c>
      <c r="H136" s="44">
        <v>-135.76274618974824</v>
      </c>
      <c r="I136" s="44">
        <v>0</v>
      </c>
    </row>
    <row r="137" spans="1:9" ht="15">
      <c r="A137" s="91" t="str">
        <f>HLOOKUP(INDICE!$F$2,Nombres!$C$3:$D$636,50,FALSE)</f>
        <v>Resultado atribuido</v>
      </c>
      <c r="B137" s="47">
        <f aca="true" t="shared" si="23" ref="B137:I137">+B135+B136</f>
        <v>111.8454951717699</v>
      </c>
      <c r="C137" s="47">
        <f t="shared" si="23"/>
        <v>10.09985004259704</v>
      </c>
      <c r="D137" s="47">
        <f t="shared" si="23"/>
        <v>175.59047617864712</v>
      </c>
      <c r="E137" s="47">
        <f t="shared" si="23"/>
        <v>140.99868630850207</v>
      </c>
      <c r="F137" s="51">
        <f t="shared" si="23"/>
        <v>123.54151193366567</v>
      </c>
      <c r="G137" s="51">
        <f t="shared" si="23"/>
        <v>123.50475021986682</v>
      </c>
      <c r="H137" s="51">
        <f t="shared" si="23"/>
        <v>115.17285144052354</v>
      </c>
      <c r="I137" s="51">
        <f t="shared" si="23"/>
        <v>0</v>
      </c>
    </row>
    <row r="138" spans="1:9" ht="15">
      <c r="A138" s="92"/>
      <c r="B138" s="63">
        <v>-3.410605131648481E-13</v>
      </c>
      <c r="C138" s="63">
        <v>-4.263256414560601E-14</v>
      </c>
      <c r="D138" s="63">
        <v>0</v>
      </c>
      <c r="E138" s="63">
        <v>-3.410605131648481E-13</v>
      </c>
      <c r="F138" s="63">
        <v>0</v>
      </c>
      <c r="G138" s="63">
        <v>1.9895196601282805E-13</v>
      </c>
      <c r="H138" s="63">
        <v>0</v>
      </c>
      <c r="I138" s="63">
        <v>0</v>
      </c>
    </row>
    <row r="139" spans="1:9" ht="15">
      <c r="A139" s="90"/>
      <c r="B139" s="41"/>
      <c r="C139" s="41"/>
      <c r="D139" s="41"/>
      <c r="E139" s="41"/>
      <c r="F139" s="50"/>
      <c r="G139" s="50"/>
      <c r="H139" s="50"/>
      <c r="I139" s="50"/>
    </row>
    <row r="140" spans="1:9" ht="18">
      <c r="A140" s="93" t="str">
        <f>HLOOKUP(INDICE!$F$2,Nombres!$C$3:$D$636,51,FALSE)</f>
        <v>Balances</v>
      </c>
      <c r="B140" s="34"/>
      <c r="C140" s="34"/>
      <c r="D140" s="34"/>
      <c r="E140" s="34"/>
      <c r="F140" s="69"/>
      <c r="G140" s="69"/>
      <c r="H140" s="69"/>
      <c r="I140" s="69"/>
    </row>
    <row r="141" spans="1:9" ht="15">
      <c r="A141" s="84" t="str">
        <f>HLOOKUP(INDICE!$F$2,Nombres!$C$3:$D$636,79,FALSE)</f>
        <v>(Millones de soles peruanos)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88" t="str">
        <f>HLOOKUP(INDICE!$F$2,Nombres!$C$3:$D$636,52,FALSE)</f>
        <v>Efectivo, saldos en efectivo en bancos centrales y otros depósitos a la vista</v>
      </c>
      <c r="B143" s="44">
        <v>12687.30730110878</v>
      </c>
      <c r="C143" s="44">
        <v>12352.691014420088</v>
      </c>
      <c r="D143" s="44">
        <v>10450.167998535244</v>
      </c>
      <c r="E143" s="45">
        <v>12545.050786063142</v>
      </c>
      <c r="F143" s="44">
        <v>13478.40845017633</v>
      </c>
      <c r="G143" s="44">
        <v>11628.58673431168</v>
      </c>
      <c r="H143" s="44">
        <v>16388.685186548348</v>
      </c>
      <c r="I143" s="44">
        <v>0</v>
      </c>
    </row>
    <row r="144" spans="1:9" ht="15">
      <c r="A144" s="88" t="str">
        <f>HLOOKUP(INDICE!$F$2,Nombres!$C$3:$D$636,53,FALSE)</f>
        <v>Activos financieros a valor razonable</v>
      </c>
      <c r="B144" s="58">
        <v>8419.706186415917</v>
      </c>
      <c r="C144" s="58">
        <v>11948.14745171466</v>
      </c>
      <c r="D144" s="58">
        <v>12504.359251807346</v>
      </c>
      <c r="E144" s="65">
        <v>12313.935229353452</v>
      </c>
      <c r="F144" s="44">
        <v>12238.664915294772</v>
      </c>
      <c r="G144" s="44">
        <v>14060.121410652497</v>
      </c>
      <c r="H144" s="44">
        <v>13302.016781894023</v>
      </c>
      <c r="I144" s="44">
        <v>0</v>
      </c>
    </row>
    <row r="145" spans="1:9" ht="15">
      <c r="A145" s="43" t="str">
        <f>HLOOKUP(INDICE!$F$2,Nombres!$C$3:$D$636,54,FALSE)</f>
        <v>Activos financieros a coste amortizado</v>
      </c>
      <c r="B145" s="44">
        <v>61190.93604877764</v>
      </c>
      <c r="C145" s="44">
        <v>69659.84781540181</v>
      </c>
      <c r="D145" s="44">
        <v>79466.36181406281</v>
      </c>
      <c r="E145" s="45">
        <v>80052.34800276243</v>
      </c>
      <c r="F145" s="44">
        <v>77287.94876246613</v>
      </c>
      <c r="G145" s="44">
        <v>77689.634147619</v>
      </c>
      <c r="H145" s="44">
        <v>77210.1817596682</v>
      </c>
      <c r="I145" s="44">
        <v>0</v>
      </c>
    </row>
    <row r="146" spans="1:9" ht="15">
      <c r="A146" s="88" t="str">
        <f>HLOOKUP(INDICE!$F$2,Nombres!$C$3:$D$636,55,FALSE)</f>
        <v>    de los que préstamos y anticipos a la clientela</v>
      </c>
      <c r="B146" s="44">
        <v>58181.937480382694</v>
      </c>
      <c r="C146" s="44">
        <v>63536.650084606306</v>
      </c>
      <c r="D146" s="44">
        <v>67094.89135028025</v>
      </c>
      <c r="E146" s="45">
        <v>67118.79308206981</v>
      </c>
      <c r="F146" s="44">
        <v>67399.10126368164</v>
      </c>
      <c r="G146" s="44">
        <v>71042.35094544305</v>
      </c>
      <c r="H146" s="44">
        <v>69884.08600756266</v>
      </c>
      <c r="I146" s="44">
        <v>0</v>
      </c>
    </row>
    <row r="147" spans="1:9" ht="15">
      <c r="A147" s="88"/>
      <c r="B147" s="44"/>
      <c r="C147" s="44"/>
      <c r="D147" s="44"/>
      <c r="E147" s="45"/>
      <c r="F147" s="44"/>
      <c r="G147" s="44"/>
      <c r="H147" s="44"/>
      <c r="I147" s="44"/>
    </row>
    <row r="148" spans="1:9" ht="15">
      <c r="A148" s="43" t="str">
        <f>HLOOKUP(INDICE!$F$2,Nombres!$C$3:$D$636,56,FALSE)</f>
        <v>Activos tangibles</v>
      </c>
      <c r="B148" s="44">
        <v>1155.8272410280667</v>
      </c>
      <c r="C148" s="44">
        <v>1137.450432457205</v>
      </c>
      <c r="D148" s="44">
        <v>1139.8418974233905</v>
      </c>
      <c r="E148" s="45">
        <v>1184.634546888408</v>
      </c>
      <c r="F148" s="44">
        <v>1157.4707406976545</v>
      </c>
      <c r="G148" s="44">
        <v>1142.790426493853</v>
      </c>
      <c r="H148" s="44">
        <v>1146.2071109668636</v>
      </c>
      <c r="I148" s="44">
        <v>0</v>
      </c>
    </row>
    <row r="149" spans="1:9" ht="15">
      <c r="A149" s="88" t="str">
        <f>HLOOKUP(INDICE!$F$2,Nombres!$C$3:$D$636,57,FALSE)</f>
        <v>Otros activos</v>
      </c>
      <c r="B149" s="58">
        <f aca="true" t="shared" si="25" ref="B149:I149">+B150-B148-B145-B144-B143</f>
        <v>1578.6172815573864</v>
      </c>
      <c r="C149" s="58">
        <f t="shared" si="25"/>
        <v>1833.4335007639493</v>
      </c>
      <c r="D149" s="58">
        <f t="shared" si="25"/>
        <v>1584.9886134473836</v>
      </c>
      <c r="E149" s="65">
        <f t="shared" si="25"/>
        <v>1544.130729493554</v>
      </c>
      <c r="F149" s="44">
        <f t="shared" si="25"/>
        <v>1599.462003491417</v>
      </c>
      <c r="G149" s="44">
        <f t="shared" si="25"/>
        <v>1625.7311895425883</v>
      </c>
      <c r="H149" s="44">
        <f t="shared" si="25"/>
        <v>1695.418000886275</v>
      </c>
      <c r="I149" s="44">
        <f t="shared" si="25"/>
        <v>0</v>
      </c>
    </row>
    <row r="150" spans="1:9" ht="15">
      <c r="A150" s="91" t="str">
        <f>HLOOKUP(INDICE!$F$2,Nombres!$C$3:$D$636,58,FALSE)</f>
        <v>Total activo / pasivo</v>
      </c>
      <c r="B150" s="47">
        <v>85032.39405888779</v>
      </c>
      <c r="C150" s="47">
        <v>96931.57021475771</v>
      </c>
      <c r="D150" s="47">
        <v>105145.71957527618</v>
      </c>
      <c r="E150" s="47">
        <v>107640.09929456099</v>
      </c>
      <c r="F150" s="51">
        <v>105761.9548721263</v>
      </c>
      <c r="G150" s="51">
        <v>106146.86390861962</v>
      </c>
      <c r="H150" s="51">
        <v>109742.5088399637</v>
      </c>
      <c r="I150" s="51">
        <v>0</v>
      </c>
    </row>
    <row r="151" spans="1:9" ht="15">
      <c r="A151" s="88" t="str">
        <f>HLOOKUP(INDICE!$F$2,Nombres!$C$3:$D$636,59,FALSE)</f>
        <v>Pasivos financieros mantenidos para negociar y designados a valor razonable con cambios en resultados</v>
      </c>
      <c r="B151" s="58">
        <v>941.5297161584251</v>
      </c>
      <c r="C151" s="58">
        <v>1108.2863524061743</v>
      </c>
      <c r="D151" s="58">
        <v>955.6371973736507</v>
      </c>
      <c r="E151" s="65">
        <v>987.3740773086731</v>
      </c>
      <c r="F151" s="44">
        <v>1169.6563615436403</v>
      </c>
      <c r="G151" s="44">
        <v>1726.0981186362885</v>
      </c>
      <c r="H151" s="44">
        <v>2457.558642921852</v>
      </c>
      <c r="I151" s="44">
        <v>0</v>
      </c>
    </row>
    <row r="152" spans="1:9" ht="15">
      <c r="A152" s="88" t="str">
        <f>HLOOKUP(INDICE!$F$2,Nombres!$C$3:$D$636,60,FALSE)</f>
        <v>Depósitos de bancos centrales y entidades de crédito</v>
      </c>
      <c r="B152" s="58">
        <v>10320.195656082738</v>
      </c>
      <c r="C152" s="58">
        <v>12187.925210964913</v>
      </c>
      <c r="D152" s="58">
        <v>19221.96564642286</v>
      </c>
      <c r="E152" s="65">
        <v>18171.60795350558</v>
      </c>
      <c r="F152" s="44">
        <v>18506.618269621486</v>
      </c>
      <c r="G152" s="44">
        <v>19960.8200503549</v>
      </c>
      <c r="H152" s="44">
        <v>20006.367605127074</v>
      </c>
      <c r="I152" s="44">
        <v>0</v>
      </c>
    </row>
    <row r="153" spans="1:9" ht="15">
      <c r="A153" s="88" t="str">
        <f>HLOOKUP(INDICE!$F$2,Nombres!$C$3:$D$636,61,FALSE)</f>
        <v>Depósitos de la clientela</v>
      </c>
      <c r="B153" s="58">
        <v>55403.47320146733</v>
      </c>
      <c r="C153" s="58">
        <v>64756.651164548595</v>
      </c>
      <c r="D153" s="58">
        <v>65982.93001693183</v>
      </c>
      <c r="E153" s="65">
        <v>70484.30803810529</v>
      </c>
      <c r="F153" s="44">
        <v>67023.51766389208</v>
      </c>
      <c r="G153" s="44">
        <v>65760.9073969131</v>
      </c>
      <c r="H153" s="44">
        <v>68098.01839183131</v>
      </c>
      <c r="I153" s="44">
        <v>0</v>
      </c>
    </row>
    <row r="154" spans="1:9" ht="15">
      <c r="A154" s="43" t="str">
        <f>HLOOKUP(INDICE!$F$2,Nombres!$C$3:$D$636,62,FALSE)</f>
        <v>Valores representativos de deuda emitidos</v>
      </c>
      <c r="B154" s="44">
        <v>7898.246161517009</v>
      </c>
      <c r="C154" s="44">
        <v>7973.9801149466075</v>
      </c>
      <c r="D154" s="44">
        <v>6368.3841102579245</v>
      </c>
      <c r="E154" s="45">
        <v>5795.315295937822</v>
      </c>
      <c r="F154" s="44">
        <v>5868.74044553245</v>
      </c>
      <c r="G154" s="44">
        <v>5779.279927698184</v>
      </c>
      <c r="H154" s="44">
        <v>6034.188442258471</v>
      </c>
      <c r="I154" s="44">
        <v>0</v>
      </c>
    </row>
    <row r="155" spans="1:9" ht="15">
      <c r="A155" s="43"/>
      <c r="B155" s="44"/>
      <c r="C155" s="44"/>
      <c r="D155" s="44"/>
      <c r="E155" s="45"/>
      <c r="F155" s="44"/>
      <c r="G155" s="44"/>
      <c r="H155" s="44"/>
      <c r="I155" s="44"/>
    </row>
    <row r="156" spans="1:9" ht="15.75" customHeight="1">
      <c r="A156" s="88" t="str">
        <f>HLOOKUP(INDICE!$F$2,Nombres!$C$3:$D$636,63,FALSE)</f>
        <v>Otros pasivos</v>
      </c>
      <c r="B156" s="58">
        <f aca="true" t="shared" si="26" ref="B156:I156">+B150-B151-B152-B153-B154-B157</f>
        <v>1868.9469480491316</v>
      </c>
      <c r="C156" s="58">
        <f t="shared" si="26"/>
        <v>2135.544610615374</v>
      </c>
      <c r="D156" s="58">
        <f t="shared" si="26"/>
        <v>4381.872246391495</v>
      </c>
      <c r="E156" s="65">
        <f t="shared" si="26"/>
        <v>3456.087941350259</v>
      </c>
      <c r="F156" s="44">
        <f t="shared" si="26"/>
        <v>4743.638445416505</v>
      </c>
      <c r="G156" s="44">
        <f t="shared" si="26"/>
        <v>4322.954414415635</v>
      </c>
      <c r="H156" s="44">
        <f t="shared" si="26"/>
        <v>4118.977464593119</v>
      </c>
      <c r="I156" s="44">
        <f t="shared" si="26"/>
        <v>0</v>
      </c>
    </row>
    <row r="157" spans="1:9" ht="15.75" customHeight="1">
      <c r="A157" s="43" t="str">
        <f>HLOOKUP(INDICE!$F$2,Nombres!$C$3:$D$636,282,FALSE)</f>
        <v>Dotación de capital regulatorio</v>
      </c>
      <c r="B157" s="58">
        <v>8600.00237561315</v>
      </c>
      <c r="C157" s="58">
        <v>8769.182761276055</v>
      </c>
      <c r="D157" s="58">
        <v>8234.930357898413</v>
      </c>
      <c r="E157" s="65">
        <v>8745.405988353372</v>
      </c>
      <c r="F157" s="44">
        <v>8449.783686120132</v>
      </c>
      <c r="G157" s="44">
        <v>8596.804000601509</v>
      </c>
      <c r="H157" s="44">
        <v>9027.398293231874</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Indicadores relevantes y de gestión</v>
      </c>
      <c r="B160" s="34"/>
      <c r="C160" s="34"/>
      <c r="D160" s="34"/>
      <c r="E160" s="34"/>
      <c r="F160" s="69"/>
      <c r="G160" s="69"/>
      <c r="H160" s="69"/>
      <c r="I160" s="69"/>
    </row>
    <row r="161" spans="1:9" ht="15">
      <c r="A161" s="84" t="str">
        <f>HLOOKUP(INDICE!$F$2,Nombres!$C$3:$D$636,79,FALSE)</f>
        <v>(Millones de soles peruanos)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88" t="str">
        <f>HLOOKUP(INDICE!$F$2,Nombres!$C$3:$D$636,66,FALSE)</f>
        <v>Préstamos y anticipos a la clientela bruto (*)</v>
      </c>
      <c r="B163" s="44">
        <v>61154.8061642613</v>
      </c>
      <c r="C163" s="44">
        <v>66674.50474635356</v>
      </c>
      <c r="D163" s="44">
        <v>70780.66962807495</v>
      </c>
      <c r="E163" s="45">
        <v>71011.46212500113</v>
      </c>
      <c r="F163" s="44">
        <v>71487.59561292877</v>
      </c>
      <c r="G163" s="44">
        <v>75222.20602943253</v>
      </c>
      <c r="H163" s="44">
        <v>73883.46506842301</v>
      </c>
      <c r="I163" s="44">
        <v>0</v>
      </c>
    </row>
    <row r="164" spans="1:9" ht="15">
      <c r="A164" s="88" t="str">
        <f>HLOOKUP(INDICE!$F$2,Nombres!$C$3:$D$636,67,FALSE)</f>
        <v>Depósitos de clientes en gestión (**)</v>
      </c>
      <c r="B164" s="44">
        <v>55403.46739188016</v>
      </c>
      <c r="C164" s="44">
        <v>64756.65060652754</v>
      </c>
      <c r="D164" s="44">
        <v>65982.93622911083</v>
      </c>
      <c r="E164" s="45">
        <v>70484.3264713175</v>
      </c>
      <c r="F164" s="44">
        <v>67023.51813313995</v>
      </c>
      <c r="G164" s="44">
        <v>65760.89966808388</v>
      </c>
      <c r="H164" s="44">
        <v>68098.01761971945</v>
      </c>
      <c r="I164" s="44">
        <v>0</v>
      </c>
    </row>
    <row r="165" spans="1:9" ht="15">
      <c r="A165" s="43" t="str">
        <f>HLOOKUP(INDICE!$F$2,Nombres!$C$3:$D$636,68,FALSE)</f>
        <v>Fondos de inversión</v>
      </c>
      <c r="B165" s="44">
        <v>6981.92827797138</v>
      </c>
      <c r="C165" s="44">
        <v>7448.202154056133</v>
      </c>
      <c r="D165" s="44">
        <v>8610.267496036815</v>
      </c>
      <c r="E165" s="45">
        <v>9543.188176972342</v>
      </c>
      <c r="F165" s="44">
        <v>10261.478527981464</v>
      </c>
      <c r="G165" s="44">
        <v>8794.680996010045</v>
      </c>
      <c r="H165" s="44">
        <v>7422.015198020528</v>
      </c>
      <c r="I165" s="44">
        <v>0</v>
      </c>
    </row>
    <row r="166" spans="1:9" ht="15">
      <c r="A166" s="88" t="str">
        <f>HLOOKUP(INDICE!$F$2,Nombres!$C$3:$D$636,69,FALSE)</f>
        <v>Fondos de pensiones</v>
      </c>
      <c r="B166" s="44">
        <v>0</v>
      </c>
      <c r="C166" s="44">
        <v>0</v>
      </c>
      <c r="D166" s="44">
        <v>0</v>
      </c>
      <c r="E166" s="45">
        <v>0</v>
      </c>
      <c r="F166" s="44">
        <v>0</v>
      </c>
      <c r="G166" s="44">
        <v>0</v>
      </c>
      <c r="H166" s="44">
        <v>0</v>
      </c>
      <c r="I166" s="44">
        <v>0</v>
      </c>
    </row>
    <row r="167" spans="1:15" ht="15">
      <c r="A167" s="88"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5">
      <c r="A168" s="9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5">
      <c r="A169" s="92" t="str">
        <f>HLOOKUP(INDICE!$F$2,Nombres!$C$3:$D$636,72,FALSE)</f>
        <v>(**) No incluye las cesiones temporales de activos.</v>
      </c>
      <c r="B169" s="30"/>
      <c r="C169" s="30"/>
      <c r="D169" s="30"/>
      <c r="E169" s="30"/>
      <c r="F169" s="30"/>
      <c r="G169" s="30"/>
      <c r="H169" s="30"/>
      <c r="I169" s="30"/>
      <c r="K169" s="74"/>
      <c r="L169" s="74"/>
      <c r="M169" s="74"/>
      <c r="N169" s="74"/>
      <c r="O169" s="74"/>
    </row>
    <row r="170" spans="1:15" ht="15">
      <c r="A170" s="30"/>
      <c r="B170" s="30"/>
      <c r="C170" s="30"/>
      <c r="D170" s="30"/>
      <c r="E170" s="30"/>
      <c r="F170" s="30"/>
      <c r="G170" s="30"/>
      <c r="H170" s="30"/>
      <c r="I170" s="30"/>
      <c r="K170" s="74"/>
      <c r="L170" s="74"/>
      <c r="M170" s="74"/>
      <c r="N170" s="74"/>
      <c r="O170" s="74"/>
    </row>
    <row r="171" spans="1:15" ht="15">
      <c r="A171" s="30"/>
      <c r="B171" s="30"/>
      <c r="C171" s="30"/>
      <c r="D171" s="30"/>
      <c r="E171" s="30"/>
      <c r="F171" s="30"/>
      <c r="G171" s="30"/>
      <c r="H171" s="30"/>
      <c r="I171" s="30"/>
      <c r="K171" s="74"/>
      <c r="L171" s="74"/>
      <c r="M171" s="74"/>
      <c r="N171" s="74"/>
      <c r="O171" s="74"/>
    </row>
    <row r="172" spans="1:15" ht="15">
      <c r="A172" s="73"/>
      <c r="B172" s="74"/>
      <c r="C172" s="75"/>
      <c r="D172" s="75"/>
      <c r="E172" s="75"/>
      <c r="F172" s="74"/>
      <c r="G172" s="74"/>
      <c r="H172" s="74"/>
      <c r="I172" s="74"/>
      <c r="K172" s="74"/>
      <c r="L172" s="74"/>
      <c r="M172" s="74"/>
      <c r="N172" s="74"/>
      <c r="O172" s="74"/>
    </row>
    <row r="173" spans="1:15" ht="15">
      <c r="A173" s="73"/>
      <c r="B173" s="74"/>
      <c r="C173" s="75"/>
      <c r="D173" s="75"/>
      <c r="E173" s="75"/>
      <c r="F173" s="74"/>
      <c r="G173" s="74"/>
      <c r="H173" s="74"/>
      <c r="I173" s="74"/>
      <c r="J173" s="74"/>
      <c r="K173" s="74"/>
      <c r="L173" s="74"/>
      <c r="M173" s="74"/>
      <c r="N173" s="74"/>
      <c r="O173" s="74"/>
    </row>
    <row r="174" spans="1:15" ht="15">
      <c r="A174" s="74"/>
      <c r="B174" s="74"/>
      <c r="C174" s="74"/>
      <c r="D174" s="74"/>
      <c r="E174" s="74"/>
      <c r="F174" s="74"/>
      <c r="G174" s="74"/>
      <c r="H174" s="74"/>
      <c r="I174" s="74"/>
      <c r="J174" s="74"/>
      <c r="K174" s="74"/>
      <c r="L174" s="74"/>
      <c r="M174" s="74"/>
      <c r="N174" s="74"/>
      <c r="O174" s="74"/>
    </row>
    <row r="175" spans="1:10" ht="15">
      <c r="A175" s="74"/>
      <c r="B175" s="74"/>
      <c r="C175" s="74"/>
      <c r="D175" s="74"/>
      <c r="E175" s="74"/>
      <c r="F175" s="74"/>
      <c r="G175" s="74"/>
      <c r="H175" s="74"/>
      <c r="I175" s="74"/>
      <c r="J175" s="74"/>
    </row>
    <row r="176" spans="1:10" ht="15">
      <c r="A176" s="74"/>
      <c r="B176" s="74"/>
      <c r="C176" s="74"/>
      <c r="D176" s="74"/>
      <c r="E176" s="74"/>
      <c r="F176" s="74"/>
      <c r="G176" s="74"/>
      <c r="H176" s="74"/>
      <c r="I176" s="74"/>
      <c r="J176" s="74"/>
    </row>
    <row r="177" spans="1:10" ht="15">
      <c r="A177" s="74"/>
      <c r="B177" s="74"/>
      <c r="C177" s="74"/>
      <c r="D177" s="74"/>
      <c r="E177" s="74"/>
      <c r="F177" s="74"/>
      <c r="G177" s="74"/>
      <c r="H177" s="74"/>
      <c r="I177" s="74"/>
      <c r="J177" s="74"/>
    </row>
    <row r="178" spans="1:10" ht="15">
      <c r="A178" s="74"/>
      <c r="B178" s="74"/>
      <c r="C178" s="74"/>
      <c r="D178" s="74"/>
      <c r="E178" s="74"/>
      <c r="F178" s="74"/>
      <c r="G178" s="74"/>
      <c r="H178" s="74"/>
      <c r="I178" s="74"/>
      <c r="J178" s="74"/>
    </row>
    <row r="179" spans="1:10" ht="15">
      <c r="A179" s="74"/>
      <c r="B179" s="74"/>
      <c r="C179" s="74"/>
      <c r="D179" s="74"/>
      <c r="E179" s="74"/>
      <c r="F179" s="74"/>
      <c r="G179" s="74"/>
      <c r="H179" s="74"/>
      <c r="I179" s="74"/>
      <c r="J179" s="74"/>
    </row>
    <row r="180" spans="1:10" ht="15">
      <c r="A180" s="74"/>
      <c r="B180" s="74"/>
      <c r="C180" s="74"/>
      <c r="D180" s="74"/>
      <c r="E180" s="74"/>
      <c r="F180" s="74"/>
      <c r="G180" s="74"/>
      <c r="H180" s="74"/>
      <c r="I180" s="74"/>
      <c r="J180" s="74"/>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3"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4"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4" ht="15">
      <c r="A8" s="41" t="str">
        <f>HLOOKUP(INDICE!$F$2,Nombres!$C$3:$D$636,33,FALSE)</f>
        <v>Margen de intereses</v>
      </c>
      <c r="B8" s="41">
        <v>64.93846999</v>
      </c>
      <c r="C8" s="41">
        <v>79.95420902999997</v>
      </c>
      <c r="D8" s="41">
        <v>75.15565635</v>
      </c>
      <c r="E8" s="42">
        <v>70.71576833000003</v>
      </c>
      <c r="F8" s="50">
        <v>72.44060586</v>
      </c>
      <c r="G8" s="244">
        <v>67.33079158</v>
      </c>
      <c r="H8" s="244">
        <v>69.54857393</v>
      </c>
      <c r="I8" s="244">
        <v>0</v>
      </c>
      <c r="J8" s="87"/>
      <c r="K8" s="87"/>
      <c r="L8" s="87"/>
      <c r="M8" s="87"/>
      <c r="N8" s="87"/>
    </row>
    <row r="9" spans="1:9" ht="15">
      <c r="A9" s="88" t="str">
        <f>HLOOKUP(INDICE!$F$2,Nombres!$C$3:$D$636,34,FALSE)</f>
        <v>Comisiones netas</v>
      </c>
      <c r="B9" s="44">
        <v>83.70778100000001</v>
      </c>
      <c r="C9" s="44">
        <v>96.51713118</v>
      </c>
      <c r="D9" s="44">
        <v>82.93294128000001</v>
      </c>
      <c r="E9" s="45">
        <v>68.69284372</v>
      </c>
      <c r="F9" s="44">
        <v>72.68694468000001</v>
      </c>
      <c r="G9" s="44">
        <v>62.288212079999994</v>
      </c>
      <c r="H9" s="44">
        <v>53.59773997</v>
      </c>
      <c r="I9" s="44">
        <v>0</v>
      </c>
    </row>
    <row r="10" spans="1:9" ht="15">
      <c r="A10" s="88" t="str">
        <f>HLOOKUP(INDICE!$F$2,Nombres!$C$3:$D$636,35,FALSE)</f>
        <v>Resultados de operaciones financieras</v>
      </c>
      <c r="B10" s="44">
        <v>49.90112140000001</v>
      </c>
      <c r="C10" s="44">
        <v>53.663314760000006</v>
      </c>
      <c r="D10" s="44">
        <v>29.362716579999997</v>
      </c>
      <c r="E10" s="45">
        <v>38.26450061999999</v>
      </c>
      <c r="F10" s="44">
        <v>64.59993850999999</v>
      </c>
      <c r="G10" s="44">
        <v>44.555502849999996</v>
      </c>
      <c r="H10" s="44">
        <v>47.22640444999999</v>
      </c>
      <c r="I10" s="44">
        <v>0</v>
      </c>
    </row>
    <row r="11" spans="1:9" ht="15">
      <c r="A11" s="88" t="str">
        <f>HLOOKUP(INDICE!$F$2,Nombres!$C$3:$D$636,36,FALSE)</f>
        <v>Otros ingresos y cargas de explotación</v>
      </c>
      <c r="B11" s="44">
        <v>12.05052473</v>
      </c>
      <c r="C11" s="44">
        <v>10.087501880000001</v>
      </c>
      <c r="D11" s="44">
        <v>11.783548949999997</v>
      </c>
      <c r="E11" s="45">
        <v>11.14637806</v>
      </c>
      <c r="F11" s="44">
        <v>8.416999220000001</v>
      </c>
      <c r="G11" s="44">
        <v>7.957013449999996</v>
      </c>
      <c r="H11" s="44">
        <v>-2.540170099999999</v>
      </c>
      <c r="I11" s="44">
        <v>0</v>
      </c>
    </row>
    <row r="12" spans="1:9" ht="15">
      <c r="A12" s="41" t="str">
        <f>HLOOKUP(INDICE!$F$2,Nombres!$C$3:$D$636,37,FALSE)</f>
        <v>Margen bruto</v>
      </c>
      <c r="B12" s="41">
        <f aca="true" t="shared" si="0" ref="B12:I12">+SUM(B8:B11)</f>
        <v>210.59789712000003</v>
      </c>
      <c r="C12" s="41">
        <f t="shared" si="0"/>
        <v>240.22215684999998</v>
      </c>
      <c r="D12" s="41">
        <f t="shared" si="0"/>
        <v>199.23486316000003</v>
      </c>
      <c r="E12" s="42">
        <f t="shared" si="0"/>
        <v>188.81949073</v>
      </c>
      <c r="F12" s="50">
        <f t="shared" si="0"/>
        <v>218.14448827</v>
      </c>
      <c r="G12" s="50">
        <f t="shared" si="0"/>
        <v>182.13151995999996</v>
      </c>
      <c r="H12" s="50">
        <f t="shared" si="0"/>
        <v>167.83254824999997</v>
      </c>
      <c r="I12" s="50">
        <f t="shared" si="0"/>
        <v>0</v>
      </c>
    </row>
    <row r="13" spans="1:9" ht="15">
      <c r="A13" s="88" t="str">
        <f>HLOOKUP(INDICE!$F$2,Nombres!$C$3:$D$636,38,FALSE)</f>
        <v>Gastos de explotación</v>
      </c>
      <c r="B13" s="44">
        <v>-124.66857150999999</v>
      </c>
      <c r="C13" s="44">
        <v>-105.52319539999999</v>
      </c>
      <c r="D13" s="44">
        <v>-110.92420679</v>
      </c>
      <c r="E13" s="45">
        <v>-125.45134300999999</v>
      </c>
      <c r="F13" s="44">
        <v>-114.83214407</v>
      </c>
      <c r="G13" s="44">
        <v>-111.97193662999999</v>
      </c>
      <c r="H13" s="44">
        <v>-98.38278474</v>
      </c>
      <c r="I13" s="44">
        <v>0</v>
      </c>
    </row>
    <row r="14" spans="1:9" ht="15">
      <c r="A14" s="88" t="str">
        <f>HLOOKUP(INDICE!$F$2,Nombres!$C$3:$D$636,39,FALSE)</f>
        <v>  Gastos de administración</v>
      </c>
      <c r="B14" s="44">
        <v>-119.36771676</v>
      </c>
      <c r="C14" s="44">
        <v>-100.28532064999999</v>
      </c>
      <c r="D14" s="44">
        <v>-105.96999604000001</v>
      </c>
      <c r="E14" s="45">
        <v>-120.6703809</v>
      </c>
      <c r="F14" s="44">
        <v>-110.03722214</v>
      </c>
      <c r="G14" s="44">
        <v>-107.06928356</v>
      </c>
      <c r="H14" s="44">
        <v>-92.57139794</v>
      </c>
      <c r="I14" s="44">
        <v>0</v>
      </c>
    </row>
    <row r="15" spans="1:9" ht="15">
      <c r="A15" s="89" t="str">
        <f>HLOOKUP(INDICE!$F$2,Nombres!$C$3:$D$636,40,FALSE)</f>
        <v>  Gastos de personal</v>
      </c>
      <c r="B15" s="44">
        <v>-73.26202813999998</v>
      </c>
      <c r="C15" s="44">
        <v>-55.51775033</v>
      </c>
      <c r="D15" s="44">
        <v>-56.576993529999996</v>
      </c>
      <c r="E15" s="45">
        <v>-71.96828531</v>
      </c>
      <c r="F15" s="44">
        <v>-63.98054629</v>
      </c>
      <c r="G15" s="44">
        <v>-49.52917489</v>
      </c>
      <c r="H15" s="44">
        <v>-51.18094961999999</v>
      </c>
      <c r="I15" s="44">
        <v>0</v>
      </c>
    </row>
    <row r="16" spans="1:9" ht="15">
      <c r="A16" s="89" t="str">
        <f>HLOOKUP(INDICE!$F$2,Nombres!$C$3:$D$636,41,FALSE)</f>
        <v>  Otros gastos de administración</v>
      </c>
      <c r="B16" s="44">
        <v>-46.105688619999995</v>
      </c>
      <c r="C16" s="44">
        <v>-44.767570320000004</v>
      </c>
      <c r="D16" s="44">
        <v>-49.393002509999995</v>
      </c>
      <c r="E16" s="45">
        <v>-48.702095590000006</v>
      </c>
      <c r="F16" s="44">
        <v>-46.05667585</v>
      </c>
      <c r="G16" s="44">
        <v>-57.54010867</v>
      </c>
      <c r="H16" s="44">
        <v>-41.390448320000004</v>
      </c>
      <c r="I16" s="44">
        <v>0</v>
      </c>
    </row>
    <row r="17" spans="1:9" ht="15">
      <c r="A17" s="88" t="str">
        <f>HLOOKUP(INDICE!$F$2,Nombres!$C$3:$D$636,42,FALSE)</f>
        <v>  Amortización</v>
      </c>
      <c r="B17" s="44">
        <v>-5.30085475</v>
      </c>
      <c r="C17" s="44">
        <v>-5.23787475</v>
      </c>
      <c r="D17" s="44">
        <v>-4.9542107500000006</v>
      </c>
      <c r="E17" s="45">
        <v>-4.78096211</v>
      </c>
      <c r="F17" s="44">
        <v>-4.794921930000001</v>
      </c>
      <c r="G17" s="44">
        <v>-4.90265307</v>
      </c>
      <c r="H17" s="44">
        <v>-5.8113868</v>
      </c>
      <c r="I17" s="44">
        <v>0</v>
      </c>
    </row>
    <row r="18" spans="1:9" ht="15">
      <c r="A18" s="41" t="str">
        <f>HLOOKUP(INDICE!$F$2,Nombres!$C$3:$D$636,43,FALSE)</f>
        <v>Margen neto</v>
      </c>
      <c r="B18" s="41">
        <f aca="true" t="shared" si="1" ref="B18:I18">+B12+B13</f>
        <v>85.92932561000003</v>
      </c>
      <c r="C18" s="41">
        <f t="shared" si="1"/>
        <v>134.69896144999998</v>
      </c>
      <c r="D18" s="41">
        <f t="shared" si="1"/>
        <v>88.31065637000003</v>
      </c>
      <c r="E18" s="42">
        <f t="shared" si="1"/>
        <v>63.368147720000024</v>
      </c>
      <c r="F18" s="50">
        <f t="shared" si="1"/>
        <v>103.31234420000001</v>
      </c>
      <c r="G18" s="50">
        <f t="shared" si="1"/>
        <v>70.15958332999998</v>
      </c>
      <c r="H18" s="50">
        <f t="shared" si="1"/>
        <v>69.44976350999997</v>
      </c>
      <c r="I18" s="50">
        <f t="shared" si="1"/>
        <v>0</v>
      </c>
    </row>
    <row r="19" spans="1:9" ht="15">
      <c r="A19" s="88" t="str">
        <f>HLOOKUP(INDICE!$F$2,Nombres!$C$3:$D$636,44,FALSE)</f>
        <v>Deterioro de activos financieros no valorados a valor razonable con cambios en resultados</v>
      </c>
      <c r="B19" s="44">
        <v>-9.131852000000004</v>
      </c>
      <c r="C19" s="44">
        <v>-65.189352</v>
      </c>
      <c r="D19" s="44">
        <v>-25.472357000000002</v>
      </c>
      <c r="E19" s="45">
        <v>15.160934450000006</v>
      </c>
      <c r="F19" s="44">
        <v>1.822051</v>
      </c>
      <c r="G19" s="44">
        <v>13.512144870000002</v>
      </c>
      <c r="H19" s="44">
        <v>4.267074569999999</v>
      </c>
      <c r="I19" s="44">
        <v>0</v>
      </c>
    </row>
    <row r="20" spans="1:9" ht="15">
      <c r="A20" s="88" t="str">
        <f>HLOOKUP(INDICE!$F$2,Nombres!$C$3:$D$636,45,FALSE)</f>
        <v>Provisiones o reversión de provisiones y otros resultados</v>
      </c>
      <c r="B20" s="44">
        <v>11.101726999999999</v>
      </c>
      <c r="C20" s="44">
        <v>-17.054603</v>
      </c>
      <c r="D20" s="44">
        <v>-5.040946</v>
      </c>
      <c r="E20" s="45">
        <v>2.948495000000001</v>
      </c>
      <c r="F20" s="44">
        <v>-12.404064000000002</v>
      </c>
      <c r="G20" s="44">
        <v>7.942953</v>
      </c>
      <c r="H20" s="44">
        <v>0.7744620000000013</v>
      </c>
      <c r="I20" s="44">
        <v>0</v>
      </c>
    </row>
    <row r="21" spans="1:9" ht="15">
      <c r="A21" s="90" t="str">
        <f>HLOOKUP(INDICE!$F$2,Nombres!$C$3:$D$636,46,FALSE)</f>
        <v>Resultado antes de impuestos</v>
      </c>
      <c r="B21" s="41">
        <f aca="true" t="shared" si="2" ref="B21:I21">+B18+B19+B20</f>
        <v>87.89920061000002</v>
      </c>
      <c r="C21" s="41">
        <f t="shared" si="2"/>
        <v>52.455006449999985</v>
      </c>
      <c r="D21" s="41">
        <f t="shared" si="2"/>
        <v>57.79735337000003</v>
      </c>
      <c r="E21" s="42">
        <f t="shared" si="2"/>
        <v>81.47757717000005</v>
      </c>
      <c r="F21" s="50">
        <f t="shared" si="2"/>
        <v>92.73033120000001</v>
      </c>
      <c r="G21" s="50">
        <f t="shared" si="2"/>
        <v>91.61468119999998</v>
      </c>
      <c r="H21" s="50">
        <f t="shared" si="2"/>
        <v>74.49130007999997</v>
      </c>
      <c r="I21" s="50">
        <f t="shared" si="2"/>
        <v>0</v>
      </c>
    </row>
    <row r="22" spans="1:9" ht="15">
      <c r="A22" s="43" t="str">
        <f>HLOOKUP(INDICE!$F$2,Nombres!$C$3:$D$636,47,FALSE)</f>
        <v>Impuesto sobre beneficios</v>
      </c>
      <c r="B22" s="44">
        <v>-19.84192226</v>
      </c>
      <c r="C22" s="44">
        <v>-11.469910320000002</v>
      </c>
      <c r="D22" s="44">
        <v>-10.14419638</v>
      </c>
      <c r="E22" s="45">
        <v>-16.0063562</v>
      </c>
      <c r="F22" s="44">
        <v>-17.32033964</v>
      </c>
      <c r="G22" s="44">
        <v>-22.07384703</v>
      </c>
      <c r="H22" s="44">
        <v>-14.82093823</v>
      </c>
      <c r="I22" s="44">
        <v>0</v>
      </c>
    </row>
    <row r="23" spans="1:9" ht="15">
      <c r="A23" s="90" t="str">
        <f>HLOOKUP(INDICE!$F$2,Nombres!$C$3:$D$636,48,FALSE)</f>
        <v>Resultado del ejercicio</v>
      </c>
      <c r="B23" s="41">
        <f aca="true" t="shared" si="3" ref="B23:I23">+B21+B22</f>
        <v>68.05727835000002</v>
      </c>
      <c r="C23" s="41">
        <f t="shared" si="3"/>
        <v>40.98509612999998</v>
      </c>
      <c r="D23" s="41">
        <f t="shared" si="3"/>
        <v>47.65315699000003</v>
      </c>
      <c r="E23" s="42">
        <f t="shared" si="3"/>
        <v>65.47122097000005</v>
      </c>
      <c r="F23" s="50">
        <f t="shared" si="3"/>
        <v>75.40999156000001</v>
      </c>
      <c r="G23" s="50">
        <f t="shared" si="3"/>
        <v>69.54083416999998</v>
      </c>
      <c r="H23" s="50">
        <f t="shared" si="3"/>
        <v>59.67036184999998</v>
      </c>
      <c r="I23" s="50">
        <f t="shared" si="3"/>
        <v>0</v>
      </c>
    </row>
    <row r="24" spans="1:9" ht="15">
      <c r="A24" s="88" t="str">
        <f>HLOOKUP(INDICE!$F$2,Nombres!$C$3:$D$636,49,FALSE)</f>
        <v>Minoritarios</v>
      </c>
      <c r="B24" s="44">
        <v>0</v>
      </c>
      <c r="C24" s="44">
        <v>0</v>
      </c>
      <c r="D24" s="44">
        <v>0</v>
      </c>
      <c r="E24" s="45">
        <v>0</v>
      </c>
      <c r="F24" s="44">
        <v>0</v>
      </c>
      <c r="G24" s="44">
        <v>0</v>
      </c>
      <c r="H24" s="44">
        <v>0</v>
      </c>
      <c r="I24" s="44">
        <v>0</v>
      </c>
    </row>
    <row r="25" spans="1:9" ht="15">
      <c r="A25" s="91" t="str">
        <f>HLOOKUP(INDICE!$F$2,Nombres!$C$3:$D$636,50,FALSE)</f>
        <v>Resultado atribuido</v>
      </c>
      <c r="B25" s="47">
        <f aca="true" t="shared" si="4" ref="B25:I25">+B23+B24</f>
        <v>68.05727835000002</v>
      </c>
      <c r="C25" s="47">
        <f t="shared" si="4"/>
        <v>40.98509612999998</v>
      </c>
      <c r="D25" s="47">
        <f t="shared" si="4"/>
        <v>47.65315699000003</v>
      </c>
      <c r="E25" s="47">
        <f t="shared" si="4"/>
        <v>65.47122097000005</v>
      </c>
      <c r="F25" s="51">
        <f t="shared" si="4"/>
        <v>75.40999156000001</v>
      </c>
      <c r="G25" s="51">
        <f t="shared" si="4"/>
        <v>69.54083416999998</v>
      </c>
      <c r="H25" s="51">
        <f t="shared" si="4"/>
        <v>59.67036184999998</v>
      </c>
      <c r="I25" s="51">
        <f t="shared" si="4"/>
        <v>0</v>
      </c>
    </row>
    <row r="26" spans="1:9" ht="23.25" customHeight="1">
      <c r="A26" s="9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3" t="str">
        <f>HLOOKUP(INDICE!$F$2,Nombres!$C$3:$D$636,51,FALSE)</f>
        <v>Balances</v>
      </c>
      <c r="B28" s="34"/>
      <c r="C28" s="34"/>
      <c r="D28" s="34"/>
      <c r="E28" s="34"/>
      <c r="F28" s="34"/>
      <c r="G28" s="34"/>
      <c r="H28" s="34"/>
      <c r="I28" s="34"/>
    </row>
    <row r="29" spans="1:9" ht="15">
      <c r="A29" s="84"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88" t="str">
        <f>HLOOKUP(INDICE!$F$2,Nombres!$C$3:$D$636,52,FALSE)</f>
        <v>Efectivo, saldos en efectivo en bancos centrales y otros depósitos a la vista</v>
      </c>
      <c r="B31" s="44">
        <v>6202.221257000002</v>
      </c>
      <c r="C31" s="44">
        <v>3308.841176</v>
      </c>
      <c r="D31" s="44">
        <v>5058.705266</v>
      </c>
      <c r="E31" s="45">
        <v>6121.427863000002</v>
      </c>
      <c r="F31" s="44">
        <v>5508.754659000004</v>
      </c>
      <c r="G31" s="44">
        <v>4012.9091270000004</v>
      </c>
      <c r="H31" s="44">
        <v>4453.81229</v>
      </c>
      <c r="I31" s="44">
        <v>0</v>
      </c>
    </row>
    <row r="32" spans="1:9" ht="15">
      <c r="A32" s="88" t="str">
        <f>HLOOKUP(INDICE!$F$2,Nombres!$C$3:$D$636,53,FALSE)</f>
        <v>Activos financieros a valor razonable</v>
      </c>
      <c r="B32" s="58">
        <v>951.69119339</v>
      </c>
      <c r="C32" s="58">
        <v>887.94594839</v>
      </c>
      <c r="D32" s="58">
        <v>823.4329333899999</v>
      </c>
      <c r="E32" s="65">
        <v>1469.63681939</v>
      </c>
      <c r="F32" s="44">
        <v>2144.63786839</v>
      </c>
      <c r="G32" s="44">
        <v>2427.8114603900003</v>
      </c>
      <c r="H32" s="44">
        <v>2544.1569943800005</v>
      </c>
      <c r="I32" s="44">
        <v>0</v>
      </c>
    </row>
    <row r="33" spans="1:9" ht="15">
      <c r="A33" s="43" t="str">
        <f>HLOOKUP(INDICE!$F$2,Nombres!$C$3:$D$636,54,FALSE)</f>
        <v>Activos financieros a coste amortizado</v>
      </c>
      <c r="B33" s="44">
        <v>34212.100122</v>
      </c>
      <c r="C33" s="44">
        <v>34230.28191799999</v>
      </c>
      <c r="D33" s="44">
        <v>30259.825950000002</v>
      </c>
      <c r="E33" s="45">
        <v>27213.156282</v>
      </c>
      <c r="F33" s="44">
        <v>27950.021301</v>
      </c>
      <c r="G33" s="44">
        <v>27436.391720000003</v>
      </c>
      <c r="H33" s="44">
        <v>28506.76462863</v>
      </c>
      <c r="I33" s="44">
        <v>0</v>
      </c>
    </row>
    <row r="34" spans="1:9" ht="15">
      <c r="A34" s="88" t="str">
        <f>HLOOKUP(INDICE!$F$2,Nombres!$C$3:$D$636,55,FALSE)</f>
        <v>    de los que préstamos y anticipos a la clientela</v>
      </c>
      <c r="B34" s="44">
        <v>30816.043758</v>
      </c>
      <c r="C34" s="44">
        <v>30796.11473</v>
      </c>
      <c r="D34" s="44">
        <v>27076.811182999998</v>
      </c>
      <c r="E34" s="45">
        <v>24015.194186</v>
      </c>
      <c r="F34" s="44">
        <v>24449.966155000006</v>
      </c>
      <c r="G34" s="44">
        <v>24240.523395</v>
      </c>
      <c r="H34" s="44">
        <v>24994.78154463</v>
      </c>
      <c r="I34" s="44">
        <v>0</v>
      </c>
    </row>
    <row r="35" spans="1:9" ht="15">
      <c r="A35" s="88"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82.257151</v>
      </c>
      <c r="C36" s="44">
        <v>81.524617</v>
      </c>
      <c r="D36" s="44">
        <v>77.21567200000001</v>
      </c>
      <c r="E36" s="45">
        <v>75.050525</v>
      </c>
      <c r="F36" s="44">
        <v>72.698882</v>
      </c>
      <c r="G36" s="44">
        <v>68.3416</v>
      </c>
      <c r="H36" s="44">
        <v>64.94780399</v>
      </c>
      <c r="I36" s="44">
        <v>0</v>
      </c>
    </row>
    <row r="37" spans="1:9" ht="15">
      <c r="A37" s="88" t="str">
        <f>HLOOKUP(INDICE!$F$2,Nombres!$C$3:$D$636,57,FALSE)</f>
        <v>Otros activos</v>
      </c>
      <c r="B37" s="58">
        <f>+B38-B36-B33-B32-B31-B35</f>
        <v>720.100978999988</v>
      </c>
      <c r="C37" s="58">
        <f aca="true" t="shared" si="5" ref="C37:I37">+C38-C36-C33-C32-C31</f>
        <v>524.3265359999941</v>
      </c>
      <c r="D37" s="58">
        <f t="shared" si="5"/>
        <v>421.3027209999964</v>
      </c>
      <c r="E37" s="65">
        <f t="shared" si="5"/>
        <v>293.0149710000087</v>
      </c>
      <c r="F37" s="44">
        <f t="shared" si="5"/>
        <v>338.7671179999943</v>
      </c>
      <c r="G37" s="44">
        <f t="shared" si="5"/>
        <v>418.8808445899899</v>
      </c>
      <c r="H37" s="44">
        <f t="shared" si="5"/>
        <v>363.43964401000267</v>
      </c>
      <c r="I37" s="44">
        <f t="shared" si="5"/>
        <v>0</v>
      </c>
    </row>
    <row r="38" spans="1:9" ht="15">
      <c r="A38" s="91" t="str">
        <f>HLOOKUP(INDICE!$F$2,Nombres!$C$3:$D$636,58,FALSE)</f>
        <v>Total activo / pasivo</v>
      </c>
      <c r="B38" s="47">
        <v>42168.37070238999</v>
      </c>
      <c r="C38" s="47">
        <v>39032.92019538999</v>
      </c>
      <c r="D38" s="47">
        <v>36640.48254239</v>
      </c>
      <c r="E38" s="71">
        <v>35172.28646039001</v>
      </c>
      <c r="F38" s="47">
        <v>36014.879828389996</v>
      </c>
      <c r="G38" s="47">
        <v>34364.33475197999</v>
      </c>
      <c r="H38" s="47">
        <v>35933.12136101</v>
      </c>
      <c r="I38" s="47">
        <v>0</v>
      </c>
    </row>
    <row r="39" spans="1:9" ht="15">
      <c r="A39" s="88" t="str">
        <f>HLOOKUP(INDICE!$F$2,Nombres!$C$3:$D$636,59,FALSE)</f>
        <v>Pasivos financieros mantenidos para negociar y designados a valor razonable con cambios en resultados</v>
      </c>
      <c r="B39" s="58">
        <v>438.96618900000004</v>
      </c>
      <c r="C39" s="58">
        <v>291.003285</v>
      </c>
      <c r="D39" s="58">
        <v>207.70747899999998</v>
      </c>
      <c r="E39" s="65">
        <v>848.6265159999999</v>
      </c>
      <c r="F39" s="44">
        <v>1508.9990369999998</v>
      </c>
      <c r="G39" s="44">
        <v>1803.7522860000001</v>
      </c>
      <c r="H39" s="44">
        <v>1904.733948</v>
      </c>
      <c r="I39" s="44">
        <v>0</v>
      </c>
    </row>
    <row r="40" spans="1:9" ht="15">
      <c r="A40" s="88" t="str">
        <f>HLOOKUP(INDICE!$F$2,Nombres!$C$3:$D$636,60,FALSE)</f>
        <v>Depósitos de bancos centrales y entidades de crédito</v>
      </c>
      <c r="B40" s="58">
        <v>1441.5881160000001</v>
      </c>
      <c r="C40" s="58">
        <v>1941.1155410000001</v>
      </c>
      <c r="D40" s="58">
        <v>1831.530121</v>
      </c>
      <c r="E40" s="65">
        <v>1700.008924</v>
      </c>
      <c r="F40" s="44">
        <v>1552.9310349999998</v>
      </c>
      <c r="G40" s="44">
        <v>1478.405105</v>
      </c>
      <c r="H40" s="44">
        <v>1797.902211</v>
      </c>
      <c r="I40" s="44">
        <v>0</v>
      </c>
    </row>
    <row r="41" spans="1:9" ht="15.75" customHeight="1">
      <c r="A41" s="88" t="str">
        <f>HLOOKUP(INDICE!$F$2,Nombres!$C$3:$D$636,61,FALSE)</f>
        <v>Depósitos de la clientela</v>
      </c>
      <c r="B41" s="58">
        <v>9352.503787</v>
      </c>
      <c r="C41" s="58">
        <v>9382.881924</v>
      </c>
      <c r="D41" s="58">
        <v>9209.631687000001</v>
      </c>
      <c r="E41" s="65">
        <v>9333.238973</v>
      </c>
      <c r="F41" s="44">
        <v>6764.373215</v>
      </c>
      <c r="G41" s="44">
        <v>6873.259162</v>
      </c>
      <c r="H41" s="44">
        <v>7341.137872</v>
      </c>
      <c r="I41" s="44">
        <v>0</v>
      </c>
    </row>
    <row r="42" spans="1:9" ht="15">
      <c r="A42" s="43" t="str">
        <f>HLOOKUP(INDICE!$F$2,Nombres!$C$3:$D$636,62,FALSE)</f>
        <v>Valores representativos de deuda emitidos</v>
      </c>
      <c r="B42" s="44">
        <v>1669.47207076</v>
      </c>
      <c r="C42" s="44">
        <v>1318.05595697</v>
      </c>
      <c r="D42" s="44">
        <v>1280.45049843</v>
      </c>
      <c r="E42" s="45">
        <v>1511.15205589</v>
      </c>
      <c r="F42" s="44">
        <v>1127.3096247699998</v>
      </c>
      <c r="G42" s="44">
        <v>1325.2338552200001</v>
      </c>
      <c r="H42" s="44">
        <v>1248.51230337</v>
      </c>
      <c r="I42" s="44">
        <v>0</v>
      </c>
    </row>
    <row r="43" spans="1:9" ht="15">
      <c r="A43" s="88" t="str">
        <f>HLOOKUP(INDICE!$F$2,Nombres!$C$3:$D$636,122,FALSE)</f>
        <v>Posiciones inter-áreas pasivo</v>
      </c>
      <c r="B43" s="44">
        <v>25529.535976959996</v>
      </c>
      <c r="C43" s="44">
        <v>21817.558847259992</v>
      </c>
      <c r="D43" s="44">
        <v>20358.716725079994</v>
      </c>
      <c r="E43" s="45">
        <v>18131.87499315001</v>
      </c>
      <c r="F43" s="44">
        <v>21499.376987039996</v>
      </c>
      <c r="G43" s="44">
        <v>18589.777296579996</v>
      </c>
      <c r="H43" s="44">
        <v>19534.79114113</v>
      </c>
      <c r="I43" s="44">
        <v>0</v>
      </c>
    </row>
    <row r="44" spans="1:9" ht="15">
      <c r="A44" s="43" t="str">
        <f>HLOOKUP(INDICE!$F$2,Nombres!$C$3:$D$636,63,FALSE)</f>
        <v>Otros pasivos</v>
      </c>
      <c r="B44" s="58">
        <f aca="true" t="shared" si="6" ref="B44:I44">+B38-B39-B40-B41-B42-B45-B43</f>
        <v>592.9758993799951</v>
      </c>
      <c r="C44" s="58">
        <f t="shared" si="6"/>
        <v>854.8760110700023</v>
      </c>
      <c r="D44" s="58">
        <f t="shared" si="6"/>
        <v>608.059849109999</v>
      </c>
      <c r="E44" s="65">
        <f t="shared" si="6"/>
        <v>608.231388250002</v>
      </c>
      <c r="F44" s="58">
        <f t="shared" si="6"/>
        <v>563.060551159997</v>
      </c>
      <c r="G44" s="58">
        <f t="shared" si="6"/>
        <v>844.9276182499925</v>
      </c>
      <c r="H44" s="58">
        <f t="shared" si="6"/>
        <v>798.9451224299992</v>
      </c>
      <c r="I44" s="58">
        <f t="shared" si="6"/>
        <v>0</v>
      </c>
    </row>
    <row r="45" spans="1:9" ht="15">
      <c r="A45" s="43" t="str">
        <f>HLOOKUP(INDICE!$F$2,Nombres!$C$3:$D$636,282,FALSE)</f>
        <v>Dotación de capital regulatorio</v>
      </c>
      <c r="B45" s="58">
        <v>3143.3286632900003</v>
      </c>
      <c r="C45" s="58">
        <v>3427.42863009</v>
      </c>
      <c r="D45" s="58">
        <v>3144.3861827700002</v>
      </c>
      <c r="E45" s="65">
        <v>3039.1536100999997</v>
      </c>
      <c r="F45" s="58">
        <v>2998.8293784199996</v>
      </c>
      <c r="G45" s="58">
        <v>3448.97942893</v>
      </c>
      <c r="H45" s="58">
        <v>3307.0987630799996</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3" t="str">
        <f>HLOOKUP(INDICE!$F$2,Nombres!$C$3:$D$636,65,FALSE)</f>
        <v>Indicadores relevantes y de gestión</v>
      </c>
      <c r="B48" s="34"/>
      <c r="C48" s="34"/>
      <c r="D48" s="34"/>
      <c r="E48" s="34"/>
      <c r="F48" s="69"/>
      <c r="G48" s="69"/>
      <c r="H48" s="69"/>
      <c r="I48" s="69"/>
    </row>
    <row r="49" spans="1:9" ht="15">
      <c r="A49" s="84" t="str">
        <f>HLOOKUP(INDICE!$F$2,Nombres!$C$3:$D$636,32,FALSE)</f>
        <v>(Millones de euros)</v>
      </c>
      <c r="B49" s="30"/>
      <c r="C49" s="30"/>
      <c r="D49" s="30"/>
      <c r="E49" s="30"/>
      <c r="F49" s="70"/>
      <c r="G49" s="44"/>
      <c r="H49" s="44"/>
      <c r="I49" s="44"/>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88" t="str">
        <f>HLOOKUP(INDICE!$F$2,Nombres!$C$3:$D$636,66,FALSE)</f>
        <v>Préstamos y anticipos a la clientela bruto (*)</v>
      </c>
      <c r="B51" s="44">
        <v>31159.538962</v>
      </c>
      <c r="C51" s="44">
        <v>31147.58698</v>
      </c>
      <c r="D51" s="44">
        <v>27447.170533</v>
      </c>
      <c r="E51" s="45">
        <v>24348.612419</v>
      </c>
      <c r="F51" s="44">
        <v>24763.71064</v>
      </c>
      <c r="G51" s="44">
        <v>24537.328534999997</v>
      </c>
      <c r="H51" s="44">
        <v>25286.08017663</v>
      </c>
      <c r="I51" s="44">
        <v>0</v>
      </c>
    </row>
    <row r="52" spans="1:9" ht="15">
      <c r="A52" s="88" t="str">
        <f>HLOOKUP(INDICE!$F$2,Nombres!$C$3:$D$636,67,FALSE)</f>
        <v>Depósitos de clientes en gestión (**)</v>
      </c>
      <c r="B52" s="44">
        <v>9352.503787000001</v>
      </c>
      <c r="C52" s="44">
        <v>9382.881924000001</v>
      </c>
      <c r="D52" s="44">
        <v>9209.631687000001</v>
      </c>
      <c r="E52" s="45">
        <v>9333.238973</v>
      </c>
      <c r="F52" s="44">
        <v>6764.373215</v>
      </c>
      <c r="G52" s="44">
        <v>6873.259162</v>
      </c>
      <c r="H52" s="44">
        <v>7341.137872</v>
      </c>
      <c r="I52" s="44">
        <v>0</v>
      </c>
    </row>
    <row r="53" spans="1:9" ht="15">
      <c r="A53" s="43" t="str">
        <f>HLOOKUP(INDICE!$F$2,Nombres!$C$3:$D$636,68,FALSE)</f>
        <v>Fondos de inversión</v>
      </c>
      <c r="B53" s="44">
        <v>0</v>
      </c>
      <c r="C53" s="44">
        <v>0</v>
      </c>
      <c r="D53" s="44">
        <v>0</v>
      </c>
      <c r="E53" s="45">
        <v>0</v>
      </c>
      <c r="F53" s="44">
        <v>0</v>
      </c>
      <c r="G53" s="44">
        <v>0</v>
      </c>
      <c r="H53" s="44">
        <v>0</v>
      </c>
      <c r="I53" s="44">
        <v>0</v>
      </c>
    </row>
    <row r="54" spans="1:9" ht="15">
      <c r="A54" s="88" t="str">
        <f>HLOOKUP(INDICE!$F$2,Nombres!$C$3:$D$636,69,FALSE)</f>
        <v>Fondos de pensiones</v>
      </c>
      <c r="B54" s="44">
        <v>494.78505432</v>
      </c>
      <c r="C54" s="44">
        <v>517.96026945</v>
      </c>
      <c r="D54" s="44">
        <v>529.31975174</v>
      </c>
      <c r="E54" s="45">
        <v>569.33256496</v>
      </c>
      <c r="F54" s="44">
        <v>529.59826012</v>
      </c>
      <c r="G54" s="44">
        <v>549.65363599</v>
      </c>
      <c r="H54" s="44">
        <v>566.58063193</v>
      </c>
      <c r="I54" s="44">
        <v>0</v>
      </c>
    </row>
    <row r="55" spans="1:9" ht="15">
      <c r="A55" s="88" t="str">
        <f>HLOOKUP(INDICE!$F$2,Nombres!$C$3:$D$636,70,FALSE)</f>
        <v>Otros recursos fuera de balance</v>
      </c>
      <c r="B55" s="44">
        <v>0</v>
      </c>
      <c r="C55" s="44">
        <v>0</v>
      </c>
      <c r="D55" s="44">
        <v>0</v>
      </c>
      <c r="E55" s="45">
        <v>0</v>
      </c>
      <c r="F55" s="44">
        <v>0</v>
      </c>
      <c r="G55" s="44">
        <v>0</v>
      </c>
      <c r="H55" s="44">
        <v>0</v>
      </c>
      <c r="I55" s="44">
        <v>0</v>
      </c>
    </row>
    <row r="56" spans="1:9" ht="15">
      <c r="A56" s="92" t="str">
        <f>HLOOKUP(INDICE!$F$2,Nombres!$C$3:$D$636,71,FALSE)</f>
        <v>(*) No incluye las adquisiciones temporales de activos.</v>
      </c>
      <c r="B56" s="58"/>
      <c r="C56" s="58"/>
      <c r="D56" s="58"/>
      <c r="E56" s="58"/>
      <c r="F56" s="44"/>
      <c r="G56" s="44"/>
      <c r="H56" s="44"/>
      <c r="I56" s="44"/>
    </row>
    <row r="57" spans="1:9" ht="15">
      <c r="A57" s="92" t="str">
        <f>HLOOKUP(INDICE!$F$2,Nombres!$C$3:$D$636,72,FALSE)</f>
        <v>(**) No incluye las cesiones temporales de activos.</v>
      </c>
      <c r="B57" s="30"/>
      <c r="C57" s="30"/>
      <c r="D57" s="30"/>
      <c r="E57" s="30"/>
      <c r="F57" s="70"/>
      <c r="G57" s="70"/>
      <c r="H57" s="70"/>
      <c r="I57" s="70"/>
    </row>
    <row r="58" spans="1:9" ht="15">
      <c r="A58" s="62"/>
      <c r="B58" s="30"/>
      <c r="C58" s="30"/>
      <c r="D58" s="30"/>
      <c r="E58" s="30"/>
      <c r="F58" s="70"/>
      <c r="G58" s="70"/>
      <c r="H58" s="70"/>
      <c r="I58" s="70"/>
    </row>
    <row r="59" spans="1:9" ht="18">
      <c r="A59" s="93" t="str">
        <f>HLOOKUP(INDICE!$F$2,Nombres!$C$3:$D$636,31,FALSE)</f>
        <v>Cuenta de resultados  </v>
      </c>
      <c r="B59" s="34"/>
      <c r="C59" s="34"/>
      <c r="D59" s="34"/>
      <c r="E59" s="34"/>
      <c r="F59" s="69"/>
      <c r="G59" s="69"/>
      <c r="H59" s="69"/>
      <c r="I59" s="69"/>
    </row>
    <row r="60" spans="1:9" ht="15">
      <c r="A60" s="84" t="str">
        <f>HLOOKUP(INDICE!$F$2,Nombres!$C$3:$D$636,73,FALSE)</f>
        <v>(Millones de euros constantes)</v>
      </c>
      <c r="B60" s="30"/>
      <c r="C60" s="36"/>
      <c r="D60" s="36"/>
      <c r="E60" s="36"/>
      <c r="F60" s="70"/>
      <c r="G60" s="70"/>
      <c r="H60" s="70"/>
      <c r="I60" s="7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5">
      <c r="A64" s="41" t="str">
        <f>HLOOKUP(INDICE!$F$2,Nombres!$C$3:$D$636,33,FALSE)</f>
        <v>Margen de intereses</v>
      </c>
      <c r="B64" s="41">
        <v>63.934243403934495</v>
      </c>
      <c r="C64" s="41">
        <v>79.47039251245366</v>
      </c>
      <c r="D64" s="41">
        <v>77.26167415160533</v>
      </c>
      <c r="E64" s="42">
        <v>74.6536017696201</v>
      </c>
      <c r="F64" s="50">
        <v>72.66617604508531</v>
      </c>
      <c r="G64" s="50">
        <v>67.96695741492535</v>
      </c>
      <c r="H64" s="50">
        <v>68.68683790998934</v>
      </c>
      <c r="I64" s="50">
        <v>0</v>
      </c>
    </row>
    <row r="65" spans="1:9" ht="15">
      <c r="A65" s="88" t="str">
        <f>HLOOKUP(INDICE!$F$2,Nombres!$C$3:$D$636,34,FALSE)</f>
        <v>Comisiones netas</v>
      </c>
      <c r="B65" s="44">
        <v>80.31396191397322</v>
      </c>
      <c r="C65" s="44">
        <v>92.71491946855997</v>
      </c>
      <c r="D65" s="44">
        <v>83.04032206165056</v>
      </c>
      <c r="E65" s="45">
        <v>70.68204530614571</v>
      </c>
      <c r="F65" s="44">
        <v>72.99666746352936</v>
      </c>
      <c r="G65" s="44">
        <v>62.84363540988335</v>
      </c>
      <c r="H65" s="44">
        <v>52.732593856587286</v>
      </c>
      <c r="I65" s="44">
        <v>0</v>
      </c>
    </row>
    <row r="66" spans="1:9" ht="15">
      <c r="A66" s="88" t="str">
        <f>HLOOKUP(INDICE!$F$2,Nombres!$C$3:$D$636,35,FALSE)</f>
        <v>Resultados de operaciones financieras</v>
      </c>
      <c r="B66" s="44">
        <v>49.10468202036157</v>
      </c>
      <c r="C66" s="44">
        <v>53.4921261975313</v>
      </c>
      <c r="D66" s="44">
        <v>30.431924290349027</v>
      </c>
      <c r="E66" s="45">
        <v>39.92394353488475</v>
      </c>
      <c r="F66" s="44">
        <v>64.73835775638342</v>
      </c>
      <c r="G66" s="44">
        <v>44.82877545621902</v>
      </c>
      <c r="H66" s="44">
        <v>46.814712597397545</v>
      </c>
      <c r="I66" s="44">
        <v>0</v>
      </c>
    </row>
    <row r="67" spans="1:9" ht="15">
      <c r="A67" s="88" t="str">
        <f>HLOOKUP(INDICE!$F$2,Nombres!$C$3:$D$636,36,FALSE)</f>
        <v>Otros ingresos y cargas de explotación</v>
      </c>
      <c r="B67" s="44">
        <v>11.33343621942122</v>
      </c>
      <c r="C67" s="44">
        <v>9.678022871167512</v>
      </c>
      <c r="D67" s="44">
        <v>11.865972055634185</v>
      </c>
      <c r="E67" s="45">
        <v>11.555964731612747</v>
      </c>
      <c r="F67" s="44">
        <v>8.492269315354656</v>
      </c>
      <c r="G67" s="44">
        <v>8.039504962594002</v>
      </c>
      <c r="H67" s="44">
        <v>-2.6979317079486616</v>
      </c>
      <c r="I67" s="44">
        <v>0</v>
      </c>
    </row>
    <row r="68" spans="1:9" ht="15">
      <c r="A68" s="41" t="str">
        <f>HLOOKUP(INDICE!$F$2,Nombres!$C$3:$D$636,37,FALSE)</f>
        <v>Margen bruto</v>
      </c>
      <c r="B68" s="41">
        <f aca="true" t="shared" si="9" ref="B68:I68">+SUM(B64:B67)</f>
        <v>204.6863235576905</v>
      </c>
      <c r="C68" s="41">
        <f t="shared" si="9"/>
        <v>235.35546104971243</v>
      </c>
      <c r="D68" s="41">
        <f t="shared" si="9"/>
        <v>202.59989255923912</v>
      </c>
      <c r="E68" s="42">
        <f t="shared" si="9"/>
        <v>196.81555534226328</v>
      </c>
      <c r="F68" s="50">
        <f t="shared" si="9"/>
        <v>218.89347058035278</v>
      </c>
      <c r="G68" s="50">
        <f t="shared" si="9"/>
        <v>183.67887324362172</v>
      </c>
      <c r="H68" s="50">
        <f t="shared" si="9"/>
        <v>165.5362126560255</v>
      </c>
      <c r="I68" s="50">
        <f t="shared" si="9"/>
        <v>0</v>
      </c>
    </row>
    <row r="69" spans="1:9" ht="15">
      <c r="A69" s="88" t="str">
        <f>HLOOKUP(INDICE!$F$2,Nombres!$C$3:$D$636,38,FALSE)</f>
        <v>Gastos de explotación</v>
      </c>
      <c r="B69" s="44">
        <v>-120.81286068632022</v>
      </c>
      <c r="C69" s="44">
        <v>-102.87468242634071</v>
      </c>
      <c r="D69" s="44">
        <v>-111.6361994695901</v>
      </c>
      <c r="E69" s="45">
        <v>-128.24056696229997</v>
      </c>
      <c r="F69" s="44">
        <v>-115.244200874613</v>
      </c>
      <c r="G69" s="44">
        <v>-112.82930212270927</v>
      </c>
      <c r="H69" s="44">
        <v>-97.11336244267773</v>
      </c>
      <c r="I69" s="44">
        <v>0</v>
      </c>
    </row>
    <row r="70" spans="1:9" ht="15">
      <c r="A70" s="88" t="str">
        <f>HLOOKUP(INDICE!$F$2,Nombres!$C$3:$D$636,39,FALSE)</f>
        <v>  Gastos de administración</v>
      </c>
      <c r="B70" s="44">
        <v>-115.58845203886781</v>
      </c>
      <c r="C70" s="44">
        <v>-97.69108848527264</v>
      </c>
      <c r="D70" s="44">
        <v>-106.64502321038509</v>
      </c>
      <c r="E70" s="45">
        <v>-123.36742890267102</v>
      </c>
      <c r="F70" s="44">
        <v>-110.44058749673678</v>
      </c>
      <c r="G70" s="44">
        <v>-107.90022214648349</v>
      </c>
      <c r="H70" s="44">
        <v>-91.3370939967797</v>
      </c>
      <c r="I70" s="44">
        <v>0</v>
      </c>
    </row>
    <row r="71" spans="1:9" ht="15">
      <c r="A71" s="89" t="str">
        <f>HLOOKUP(INDICE!$F$2,Nombres!$C$3:$D$636,40,FALSE)</f>
        <v>  Gastos de personal</v>
      </c>
      <c r="B71" s="44">
        <v>-70.46247629445475</v>
      </c>
      <c r="C71" s="44">
        <v>-53.62776638163891</v>
      </c>
      <c r="D71" s="44">
        <v>-56.78354507988297</v>
      </c>
      <c r="E71" s="45">
        <v>-73.37261846142039</v>
      </c>
      <c r="F71" s="44">
        <v>-64.2536357759402</v>
      </c>
      <c r="G71" s="44">
        <v>-49.97824605331741</v>
      </c>
      <c r="H71" s="44">
        <v>-50.45878897074238</v>
      </c>
      <c r="I71" s="44">
        <v>0</v>
      </c>
    </row>
    <row r="72" spans="1:9" ht="15">
      <c r="A72" s="89" t="str">
        <f>HLOOKUP(INDICE!$F$2,Nombres!$C$3:$D$636,41,FALSE)</f>
        <v>  Otros gastos de administración</v>
      </c>
      <c r="B72" s="44">
        <v>-45.125975744413054</v>
      </c>
      <c r="C72" s="44">
        <v>-44.06332210363373</v>
      </c>
      <c r="D72" s="44">
        <v>-49.86147813050213</v>
      </c>
      <c r="E72" s="45">
        <v>-49.99481044125062</v>
      </c>
      <c r="F72" s="44">
        <v>-46.186951720796586</v>
      </c>
      <c r="G72" s="44">
        <v>-57.92197609316608</v>
      </c>
      <c r="H72" s="44">
        <v>-40.878305026037324</v>
      </c>
      <c r="I72" s="44">
        <v>0</v>
      </c>
    </row>
    <row r="73" spans="1:9" ht="15">
      <c r="A73" s="88" t="str">
        <f>HLOOKUP(INDICE!$F$2,Nombres!$C$3:$D$636,42,FALSE)</f>
        <v>  Amortización</v>
      </c>
      <c r="B73" s="44">
        <v>-5.224408647452415</v>
      </c>
      <c r="C73" s="44">
        <v>-5.183593941068073</v>
      </c>
      <c r="D73" s="44">
        <v>-4.991176259205</v>
      </c>
      <c r="E73" s="45">
        <v>-4.873138059628942</v>
      </c>
      <c r="F73" s="44">
        <v>-4.80361337787621</v>
      </c>
      <c r="G73" s="44">
        <v>-4.929079976225777</v>
      </c>
      <c r="H73" s="44">
        <v>-5.776268445898014</v>
      </c>
      <c r="I73" s="44">
        <v>0</v>
      </c>
    </row>
    <row r="74" spans="1:9" ht="15">
      <c r="A74" s="41" t="str">
        <f>HLOOKUP(INDICE!$F$2,Nombres!$C$3:$D$636,43,FALSE)</f>
        <v>Margen neto</v>
      </c>
      <c r="B74" s="41">
        <f aca="true" t="shared" si="10" ref="B74:I74">+B68+B69</f>
        <v>83.8734628713703</v>
      </c>
      <c r="C74" s="41">
        <f t="shared" si="10"/>
        <v>132.48077862337172</v>
      </c>
      <c r="D74" s="41">
        <f t="shared" si="10"/>
        <v>90.96369308964903</v>
      </c>
      <c r="E74" s="42">
        <f t="shared" si="10"/>
        <v>68.57498837996332</v>
      </c>
      <c r="F74" s="50">
        <f t="shared" si="10"/>
        <v>103.64926970573978</v>
      </c>
      <c r="G74" s="50">
        <f t="shared" si="10"/>
        <v>70.84957112091246</v>
      </c>
      <c r="H74" s="50">
        <f t="shared" si="10"/>
        <v>68.42285021334777</v>
      </c>
      <c r="I74" s="50">
        <f t="shared" si="10"/>
        <v>0</v>
      </c>
    </row>
    <row r="75" spans="1:9" ht="15">
      <c r="A75" s="88" t="str">
        <f>HLOOKUP(INDICE!$F$2,Nombres!$C$3:$D$636,44,FALSE)</f>
        <v>Deterioro de activos financieros no valorados a valor razonable con cambios en resultados</v>
      </c>
      <c r="B75" s="44">
        <v>-8.30323699327497</v>
      </c>
      <c r="C75" s="44">
        <v>-64.70180324067383</v>
      </c>
      <c r="D75" s="44">
        <v>-27.364050852327207</v>
      </c>
      <c r="E75" s="45">
        <v>12.943425808966115</v>
      </c>
      <c r="F75" s="44">
        <v>1.9435545009016515</v>
      </c>
      <c r="G75" s="44">
        <v>13.874334429107563</v>
      </c>
      <c r="H75" s="44">
        <v>3.7833815099907833</v>
      </c>
      <c r="I75" s="44">
        <v>0</v>
      </c>
    </row>
    <row r="76" spans="1:9" ht="15">
      <c r="A76" s="88" t="str">
        <f>HLOOKUP(INDICE!$F$2,Nombres!$C$3:$D$636,45,FALSE)</f>
        <v>Provisiones o reversión de provisiones y otros resultados</v>
      </c>
      <c r="B76" s="44">
        <v>10.480104497710228</v>
      </c>
      <c r="C76" s="44">
        <v>-16.48642644986576</v>
      </c>
      <c r="D76" s="44">
        <v>-5.020128814749308</v>
      </c>
      <c r="E76" s="45">
        <v>2.640431243103796</v>
      </c>
      <c r="F76" s="44">
        <v>-12.477748947918768</v>
      </c>
      <c r="G76" s="44">
        <v>8.09793149787761</v>
      </c>
      <c r="H76" s="44">
        <v>0.6931684500411602</v>
      </c>
      <c r="I76" s="44">
        <v>0</v>
      </c>
    </row>
    <row r="77" spans="1:9" ht="15">
      <c r="A77" s="90" t="str">
        <f>HLOOKUP(INDICE!$F$2,Nombres!$C$3:$D$636,46,FALSE)</f>
        <v>Resultado antes de impuestos</v>
      </c>
      <c r="B77" s="41">
        <f aca="true" t="shared" si="11" ref="B77:I77">+B74+B75+B76</f>
        <v>86.05033037580556</v>
      </c>
      <c r="C77" s="41">
        <f t="shared" si="11"/>
        <v>51.29254893283213</v>
      </c>
      <c r="D77" s="41">
        <f t="shared" si="11"/>
        <v>58.57951342257251</v>
      </c>
      <c r="E77" s="42">
        <f t="shared" si="11"/>
        <v>84.15884543203322</v>
      </c>
      <c r="F77" s="50">
        <f t="shared" si="11"/>
        <v>93.11507525872267</v>
      </c>
      <c r="G77" s="50">
        <f t="shared" si="11"/>
        <v>92.82183704789763</v>
      </c>
      <c r="H77" s="50">
        <f t="shared" si="11"/>
        <v>72.89940017337972</v>
      </c>
      <c r="I77" s="50">
        <f t="shared" si="11"/>
        <v>0</v>
      </c>
    </row>
    <row r="78" spans="1:9" ht="15">
      <c r="A78" s="43" t="str">
        <f>HLOOKUP(INDICE!$F$2,Nombres!$C$3:$D$636,47,FALSE)</f>
        <v>Impuesto sobre beneficios</v>
      </c>
      <c r="B78" s="44">
        <v>-19.45098679198584</v>
      </c>
      <c r="C78" s="44">
        <v>-11.223205994631247</v>
      </c>
      <c r="D78" s="44">
        <v>-10.355982325242872</v>
      </c>
      <c r="E78" s="45">
        <v>-16.401720628669775</v>
      </c>
      <c r="F78" s="44">
        <v>-17.399555923358236</v>
      </c>
      <c r="G78" s="44">
        <v>-22.308870272423945</v>
      </c>
      <c r="H78" s="44">
        <v>-14.506698704217817</v>
      </c>
      <c r="I78" s="44">
        <v>0</v>
      </c>
    </row>
    <row r="79" spans="1:9" ht="15">
      <c r="A79" s="90" t="str">
        <f>HLOOKUP(INDICE!$F$2,Nombres!$C$3:$D$636,48,FALSE)</f>
        <v>Resultado del ejercicio</v>
      </c>
      <c r="B79" s="41">
        <f aca="true" t="shared" si="12" ref="B79:I79">+B77+B78</f>
        <v>66.59934358381972</v>
      </c>
      <c r="C79" s="41">
        <f t="shared" si="12"/>
        <v>40.06934293820089</v>
      </c>
      <c r="D79" s="41">
        <f t="shared" si="12"/>
        <v>48.22353109732964</v>
      </c>
      <c r="E79" s="42">
        <f t="shared" si="12"/>
        <v>67.75712480336344</v>
      </c>
      <c r="F79" s="50">
        <f t="shared" si="12"/>
        <v>75.71551933536443</v>
      </c>
      <c r="G79" s="50">
        <f t="shared" si="12"/>
        <v>70.51296677547369</v>
      </c>
      <c r="H79" s="50">
        <f t="shared" si="12"/>
        <v>58.3927014691619</v>
      </c>
      <c r="I79" s="50">
        <f t="shared" si="12"/>
        <v>0</v>
      </c>
    </row>
    <row r="80" spans="1:9" ht="15">
      <c r="A80" s="88" t="str">
        <f>HLOOKUP(INDICE!$F$2,Nombres!$C$3:$D$636,49,FALSE)</f>
        <v>Minoritarios</v>
      </c>
      <c r="B80" s="44">
        <v>0</v>
      </c>
      <c r="C80" s="44">
        <v>0</v>
      </c>
      <c r="D80" s="44">
        <v>0</v>
      </c>
      <c r="E80" s="45">
        <v>0</v>
      </c>
      <c r="F80" s="44">
        <v>0</v>
      </c>
      <c r="G80" s="44">
        <v>0</v>
      </c>
      <c r="H80" s="44">
        <v>0</v>
      </c>
      <c r="I80" s="44">
        <v>0</v>
      </c>
    </row>
    <row r="81" spans="1:9" ht="15">
      <c r="A81" s="91" t="str">
        <f>HLOOKUP(INDICE!$F$2,Nombres!$C$3:$D$636,50,FALSE)</f>
        <v>Resultado atribuido</v>
      </c>
      <c r="B81" s="47">
        <f aca="true" t="shared" si="13" ref="B81:I81">+B79+B80</f>
        <v>66.59934358381972</v>
      </c>
      <c r="C81" s="47">
        <f t="shared" si="13"/>
        <v>40.06934293820089</v>
      </c>
      <c r="D81" s="47">
        <f t="shared" si="13"/>
        <v>48.22353109732964</v>
      </c>
      <c r="E81" s="47">
        <f t="shared" si="13"/>
        <v>67.75712480336344</v>
      </c>
      <c r="F81" s="51">
        <f t="shared" si="13"/>
        <v>75.71551933536443</v>
      </c>
      <c r="G81" s="51">
        <f t="shared" si="13"/>
        <v>70.51296677547369</v>
      </c>
      <c r="H81" s="51">
        <f t="shared" si="13"/>
        <v>58.3927014691619</v>
      </c>
      <c r="I81" s="51">
        <f t="shared" si="13"/>
        <v>0</v>
      </c>
    </row>
    <row r="82" spans="1:9" ht="15">
      <c r="A82" s="9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3" t="str">
        <f>HLOOKUP(INDICE!$F$2,Nombres!$C$3:$D$636,51,FALSE)</f>
        <v>Balances</v>
      </c>
      <c r="B84" s="34"/>
      <c r="C84" s="34"/>
      <c r="D84" s="34"/>
      <c r="E84" s="34"/>
      <c r="F84" s="69"/>
      <c r="G84" s="69"/>
      <c r="H84" s="69"/>
      <c r="I84" s="69"/>
    </row>
    <row r="85" spans="1:9" ht="15">
      <c r="A85" s="84"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88" t="str">
        <f>HLOOKUP(INDICE!$F$2,Nombres!$C$3:$D$636,52,FALSE)</f>
        <v>Efectivo, saldos en efectivo en bancos centrales y otros depósitos a la vista</v>
      </c>
      <c r="B87" s="44">
        <v>5880.172895423744</v>
      </c>
      <c r="C87" s="44">
        <v>3206.978757421186</v>
      </c>
      <c r="D87" s="44">
        <v>5111.262905871585</v>
      </c>
      <c r="E87" s="45">
        <v>6470.130655900202</v>
      </c>
      <c r="F87" s="44">
        <v>5577.650330785525</v>
      </c>
      <c r="G87" s="44">
        <v>4114.039591189677</v>
      </c>
      <c r="H87" s="44">
        <v>4453.81229</v>
      </c>
      <c r="I87" s="44">
        <v>0</v>
      </c>
    </row>
    <row r="88" spans="1:9" ht="15">
      <c r="A88" s="88" t="str">
        <f>HLOOKUP(INDICE!$F$2,Nombres!$C$3:$D$636,53,FALSE)</f>
        <v>Activos financieros a valor razonable</v>
      </c>
      <c r="B88" s="58">
        <v>926.7608670669174</v>
      </c>
      <c r="C88" s="58">
        <v>874.2651550407974</v>
      </c>
      <c r="D88" s="58">
        <v>827.2723990451879</v>
      </c>
      <c r="E88" s="65">
        <v>1528.007514422588</v>
      </c>
      <c r="F88" s="44">
        <v>2165.7160780960994</v>
      </c>
      <c r="G88" s="44">
        <v>2478.9402568410223</v>
      </c>
      <c r="H88" s="44">
        <v>2544.1569943800005</v>
      </c>
      <c r="I88" s="44">
        <v>0</v>
      </c>
    </row>
    <row r="89" spans="1:9" ht="15">
      <c r="A89" s="43" t="str">
        <f>HLOOKUP(INDICE!$F$2,Nombres!$C$3:$D$636,54,FALSE)</f>
        <v>Activos financieros a coste amortizado</v>
      </c>
      <c r="B89" s="44">
        <v>33714.84572295171</v>
      </c>
      <c r="C89" s="44">
        <v>33935.29486138819</v>
      </c>
      <c r="D89" s="44">
        <v>30329.695858822724</v>
      </c>
      <c r="E89" s="45">
        <v>27532.021298690626</v>
      </c>
      <c r="F89" s="44">
        <v>28031.45817197674</v>
      </c>
      <c r="G89" s="44">
        <v>27571.823619276198</v>
      </c>
      <c r="H89" s="44">
        <v>28506.76462863</v>
      </c>
      <c r="I89" s="44">
        <v>0</v>
      </c>
    </row>
    <row r="90" spans="1:9" ht="15">
      <c r="A90" s="88" t="str">
        <f>HLOOKUP(INDICE!$F$2,Nombres!$C$3:$D$636,55,FALSE)</f>
        <v>    de los que préstamos y anticipos a la clientela</v>
      </c>
      <c r="B90" s="44">
        <v>30345.8704834574</v>
      </c>
      <c r="C90" s="44">
        <v>30517.381085139332</v>
      </c>
      <c r="D90" s="44">
        <v>27144.175041080172</v>
      </c>
      <c r="E90" s="45">
        <v>24319.35106168293</v>
      </c>
      <c r="F90" s="44">
        <v>24517.746755141714</v>
      </c>
      <c r="G90" s="44">
        <v>24363.199483304772</v>
      </c>
      <c r="H90" s="44">
        <v>24994.78154463</v>
      </c>
      <c r="I90" s="44">
        <v>0</v>
      </c>
    </row>
    <row r="91" spans="1:9" ht="15">
      <c r="A91" s="88"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81.3950442756411</v>
      </c>
      <c r="C92" s="44">
        <v>81.0255474369739</v>
      </c>
      <c r="D92" s="44">
        <v>77.331564569277</v>
      </c>
      <c r="E92" s="45">
        <v>75.65214035700374</v>
      </c>
      <c r="F92" s="44">
        <v>72.904579069587</v>
      </c>
      <c r="G92" s="44">
        <v>68.62883330452406</v>
      </c>
      <c r="H92" s="44">
        <v>64.94780399</v>
      </c>
      <c r="I92" s="44">
        <v>0</v>
      </c>
    </row>
    <row r="93" spans="1:9" ht="15">
      <c r="A93" s="88" t="str">
        <f>HLOOKUP(INDICE!$F$2,Nombres!$C$3:$D$636,57,FALSE)</f>
        <v>Otros activos</v>
      </c>
      <c r="B93" s="58">
        <f>+B94-B92-B89-B88-B87-B91</f>
        <v>695.0866768236883</v>
      </c>
      <c r="C93" s="58">
        <f aca="true" t="shared" si="15" ref="C93:I93">+C94-C92-C89-C88-C87</f>
        <v>514.7301201470418</v>
      </c>
      <c r="D93" s="58">
        <f t="shared" si="15"/>
        <v>423.4126672706034</v>
      </c>
      <c r="E93" s="65">
        <f t="shared" si="15"/>
        <v>298.5214284021913</v>
      </c>
      <c r="F93" s="44">
        <f t="shared" si="15"/>
        <v>340.70103512425885</v>
      </c>
      <c r="G93" s="44">
        <f t="shared" si="15"/>
        <v>423.2627248627987</v>
      </c>
      <c r="H93" s="44">
        <f t="shared" si="15"/>
        <v>363.43964401000267</v>
      </c>
      <c r="I93" s="44">
        <f t="shared" si="15"/>
        <v>0</v>
      </c>
    </row>
    <row r="94" spans="1:9" ht="15">
      <c r="A94" s="91" t="str">
        <f>HLOOKUP(INDICE!$F$2,Nombres!$C$3:$D$636,58,FALSE)</f>
        <v>Total activo / pasivo</v>
      </c>
      <c r="B94" s="47">
        <v>41298.2612065417</v>
      </c>
      <c r="C94" s="47">
        <v>38612.29444143419</v>
      </c>
      <c r="D94" s="47">
        <v>36768.97539557938</v>
      </c>
      <c r="E94" s="71">
        <v>35904.33303777261</v>
      </c>
      <c r="F94" s="51">
        <v>36188.43019505221</v>
      </c>
      <c r="G94" s="51">
        <v>34656.69502547422</v>
      </c>
      <c r="H94" s="51">
        <v>35933.12136101</v>
      </c>
      <c r="I94" s="51">
        <v>0</v>
      </c>
    </row>
    <row r="95" spans="1:9" ht="15">
      <c r="A95" s="88" t="str">
        <f>HLOOKUP(INDICE!$F$2,Nombres!$C$3:$D$636,59,FALSE)</f>
        <v>Pasivos financieros mantenidos para negociar y designados a valor razonable con cambios en resultados</v>
      </c>
      <c r="B95" s="58">
        <v>417.6817239968697</v>
      </c>
      <c r="C95" s="58">
        <v>282.97723235977173</v>
      </c>
      <c r="D95" s="58">
        <v>209.5377349690964</v>
      </c>
      <c r="E95" s="65">
        <v>896.5871498587007</v>
      </c>
      <c r="F95" s="44">
        <v>1527.646300286015</v>
      </c>
      <c r="G95" s="44">
        <v>1850.12995984426</v>
      </c>
      <c r="H95" s="44">
        <v>1904.733948</v>
      </c>
      <c r="I95" s="44">
        <v>0</v>
      </c>
    </row>
    <row r="96" spans="1:9" ht="15">
      <c r="A96" s="88" t="str">
        <f>HLOOKUP(INDICE!$F$2,Nombres!$C$3:$D$636,60,FALSE)</f>
        <v>Depósitos de bancos centrales y entidades de crédito</v>
      </c>
      <c r="B96" s="58">
        <v>1406.1026194374992</v>
      </c>
      <c r="C96" s="58">
        <v>1911.8966914490634</v>
      </c>
      <c r="D96" s="58">
        <v>1842.3795469001693</v>
      </c>
      <c r="E96" s="65">
        <v>1750.462730641046</v>
      </c>
      <c r="F96" s="44">
        <v>1564.496750570583</v>
      </c>
      <c r="G96" s="44">
        <v>1499.487218918154</v>
      </c>
      <c r="H96" s="44">
        <v>1797.902211</v>
      </c>
      <c r="I96" s="44">
        <v>0</v>
      </c>
    </row>
    <row r="97" spans="1:9" ht="15">
      <c r="A97" s="88" t="str">
        <f>HLOOKUP(INDICE!$F$2,Nombres!$C$3:$D$636,61,FALSE)</f>
        <v>Depósitos de la clientela</v>
      </c>
      <c r="B97" s="58">
        <v>9100.958917376714</v>
      </c>
      <c r="C97" s="58">
        <v>9208.731183716656</v>
      </c>
      <c r="D97" s="58">
        <v>9258.893700452527</v>
      </c>
      <c r="E97" s="65">
        <v>9615.092584808888</v>
      </c>
      <c r="F97" s="44">
        <v>6818.658243505592</v>
      </c>
      <c r="G97" s="44">
        <v>6948.249559534405</v>
      </c>
      <c r="H97" s="44">
        <v>7341.137872</v>
      </c>
      <c r="I97" s="44">
        <v>0</v>
      </c>
    </row>
    <row r="98" spans="1:9" ht="15">
      <c r="A98" s="43" t="str">
        <f>HLOOKUP(INDICE!$F$2,Nombres!$C$3:$D$636,62,FALSE)</f>
        <v>Valores representativos de deuda emitidos</v>
      </c>
      <c r="B98" s="44">
        <v>1652.8982452778</v>
      </c>
      <c r="C98" s="44">
        <v>1307.0896994309633</v>
      </c>
      <c r="D98" s="44">
        <v>1284.348357461908</v>
      </c>
      <c r="E98" s="45">
        <v>1527.5207504421812</v>
      </c>
      <c r="F98" s="44">
        <v>1130.847632650516</v>
      </c>
      <c r="G98" s="44">
        <v>1333.151516084005</v>
      </c>
      <c r="H98" s="44">
        <v>1248.51230337</v>
      </c>
      <c r="I98" s="44">
        <v>0</v>
      </c>
    </row>
    <row r="99" spans="1:9" ht="15">
      <c r="A99" s="88" t="str">
        <f>HLOOKUP(INDICE!$F$2,Nombres!$C$3:$D$636,122,FALSE)</f>
        <v>Posiciones inter-áreas pasivo</v>
      </c>
      <c r="B99" s="44">
        <v>25047.44934103003</v>
      </c>
      <c r="C99" s="44">
        <v>21669.792156558422</v>
      </c>
      <c r="D99" s="44">
        <v>20408.69586733346</v>
      </c>
      <c r="E99" s="45">
        <v>18403.479840984564</v>
      </c>
      <c r="F99" s="44">
        <v>21571.19442793442</v>
      </c>
      <c r="G99" s="44">
        <v>18701.24555623584</v>
      </c>
      <c r="H99" s="44">
        <v>19534.79114113</v>
      </c>
      <c r="I99" s="44">
        <v>0</v>
      </c>
    </row>
    <row r="100" spans="1:9" ht="15">
      <c r="A100" s="43" t="str">
        <f>HLOOKUP(INDICE!$F$2,Nombres!$C$3:$D$636,63,FALSE)</f>
        <v>Otros pasivos</v>
      </c>
      <c r="B100" s="58">
        <f aca="true" t="shared" si="16" ref="B100:I100">+B94-B95-B96-B97-B98-B101-B99</f>
        <v>581.4354289315597</v>
      </c>
      <c r="C100" s="58">
        <f t="shared" si="16"/>
        <v>839.1511088197767</v>
      </c>
      <c r="D100" s="58">
        <f t="shared" si="16"/>
        <v>610.251923973934</v>
      </c>
      <c r="E100" s="65">
        <f t="shared" si="16"/>
        <v>619.4956671202635</v>
      </c>
      <c r="F100" s="58">
        <f t="shared" si="16"/>
        <v>565.6452915803566</v>
      </c>
      <c r="G100" s="58">
        <f t="shared" si="16"/>
        <v>853.9832886157201</v>
      </c>
      <c r="H100" s="58">
        <f t="shared" si="16"/>
        <v>798.9451224299992</v>
      </c>
      <c r="I100" s="58">
        <f t="shared" si="16"/>
        <v>0</v>
      </c>
    </row>
    <row r="101" spans="1:9" ht="15">
      <c r="A101" s="43" t="str">
        <f>HLOOKUP(INDICE!$F$2,Nombres!$C$3:$D$636,282,FALSE)</f>
        <v>Dotación de capital regulatorio</v>
      </c>
      <c r="B101" s="58">
        <v>3091.7349304912163</v>
      </c>
      <c r="C101" s="58">
        <v>3392.6563690995335</v>
      </c>
      <c r="D101" s="58">
        <v>3154.8682644882792</v>
      </c>
      <c r="E101" s="65">
        <v>3091.6943139169653</v>
      </c>
      <c r="F101" s="58">
        <v>3009.9415485247255</v>
      </c>
      <c r="G101" s="58">
        <v>3470.447926241837</v>
      </c>
      <c r="H101" s="58">
        <v>3307.0987630799996</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3" t="str">
        <f>HLOOKUP(INDICE!$F$2,Nombres!$C$3:$D$636,65,FALSE)</f>
        <v>Indicadores relevantes y de gestión</v>
      </c>
      <c r="B104" s="34"/>
      <c r="C104" s="34"/>
      <c r="D104" s="34"/>
      <c r="E104" s="34"/>
      <c r="F104" s="69"/>
      <c r="G104" s="69"/>
      <c r="H104" s="69"/>
      <c r="I104" s="69"/>
    </row>
    <row r="105" spans="1:9" ht="15">
      <c r="A105" s="84"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88" t="str">
        <f>HLOOKUP(INDICE!$F$2,Nombres!$C$3:$D$636,66,FALSE)</f>
        <v>Préstamos y anticipos a la clientela bruto (*)</v>
      </c>
      <c r="B107" s="44">
        <v>30688.074157558527</v>
      </c>
      <c r="C107" s="44">
        <v>30867.25884326229</v>
      </c>
      <c r="D107" s="44">
        <v>27515.206529353498</v>
      </c>
      <c r="E107" s="45">
        <v>24655.894751977285</v>
      </c>
      <c r="F107" s="44">
        <v>24831.74800945528</v>
      </c>
      <c r="G107" s="44">
        <v>24660.239926234637</v>
      </c>
      <c r="H107" s="44">
        <v>25286.08017663</v>
      </c>
      <c r="I107" s="44">
        <v>0</v>
      </c>
    </row>
    <row r="108" spans="1:9" ht="15">
      <c r="A108" s="88" t="str">
        <f>HLOOKUP(INDICE!$F$2,Nombres!$C$3:$D$636,67,FALSE)</f>
        <v>Depósitos de clientes en gestión (**)</v>
      </c>
      <c r="B108" s="44">
        <v>9100.958917376716</v>
      </c>
      <c r="C108" s="44">
        <v>9208.731183716656</v>
      </c>
      <c r="D108" s="44">
        <v>9258.893700452527</v>
      </c>
      <c r="E108" s="45">
        <v>9615.092584808888</v>
      </c>
      <c r="F108" s="44">
        <v>6818.658243505592</v>
      </c>
      <c r="G108" s="44">
        <v>6948.249559534406</v>
      </c>
      <c r="H108" s="44">
        <v>7341.137872</v>
      </c>
      <c r="I108" s="44">
        <v>0</v>
      </c>
    </row>
    <row r="109" spans="1:9" ht="15">
      <c r="A109" s="43" t="str">
        <f>HLOOKUP(INDICE!$F$2,Nombres!$C$3:$D$636,68,FALSE)</f>
        <v>Fondos de inversión</v>
      </c>
      <c r="B109" s="44">
        <v>0</v>
      </c>
      <c r="C109" s="44">
        <v>0</v>
      </c>
      <c r="D109" s="44">
        <v>0</v>
      </c>
      <c r="E109" s="45">
        <v>0</v>
      </c>
      <c r="F109" s="44">
        <v>0</v>
      </c>
      <c r="G109" s="44">
        <v>0</v>
      </c>
      <c r="H109" s="44">
        <v>0</v>
      </c>
      <c r="I109" s="44">
        <v>0</v>
      </c>
    </row>
    <row r="110" spans="1:9" ht="15">
      <c r="A110" s="88" t="str">
        <f>HLOOKUP(INDICE!$F$2,Nombres!$C$3:$D$636,69,FALSE)</f>
        <v>Fondos de pensiones</v>
      </c>
      <c r="B110" s="44">
        <v>494.78505432</v>
      </c>
      <c r="C110" s="44">
        <v>517.96026945</v>
      </c>
      <c r="D110" s="44">
        <v>529.31975174</v>
      </c>
      <c r="E110" s="45">
        <v>569.33256496</v>
      </c>
      <c r="F110" s="44">
        <v>529.59826012</v>
      </c>
      <c r="G110" s="44">
        <v>549.65363599</v>
      </c>
      <c r="H110" s="44">
        <v>566.58063193</v>
      </c>
      <c r="I110" s="44">
        <v>0</v>
      </c>
    </row>
    <row r="111" spans="1:9" ht="15">
      <c r="A111" s="88" t="str">
        <f>HLOOKUP(INDICE!$F$2,Nombres!$C$3:$D$636,70,FALSE)</f>
        <v>Otros recursos fuera de balance</v>
      </c>
      <c r="B111" s="44">
        <v>0</v>
      </c>
      <c r="C111" s="44">
        <v>0</v>
      </c>
      <c r="D111" s="44">
        <v>0</v>
      </c>
      <c r="E111" s="45">
        <v>0</v>
      </c>
      <c r="F111" s="44">
        <v>0</v>
      </c>
      <c r="G111" s="44">
        <v>0</v>
      </c>
      <c r="H111" s="44">
        <v>0</v>
      </c>
      <c r="I111" s="44">
        <v>0</v>
      </c>
    </row>
    <row r="112" spans="1:9" ht="15">
      <c r="A112" s="92" t="str">
        <f>HLOOKUP(INDICE!$F$2,Nombres!$C$3:$D$636,71,FALSE)</f>
        <v>(*) No incluye las adquisiciones temporales de activos.</v>
      </c>
      <c r="B112" s="58"/>
      <c r="C112" s="58"/>
      <c r="D112" s="58"/>
      <c r="E112" s="58"/>
      <c r="F112" s="58"/>
      <c r="G112" s="58"/>
      <c r="H112" s="58"/>
      <c r="I112" s="58"/>
    </row>
    <row r="113" spans="1:9" ht="15">
      <c r="A113" s="9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2"/>
      <c r="G120" s="82"/>
      <c r="H120" s="82"/>
      <c r="I120" s="82"/>
    </row>
    <row r="121" spans="6:9" ht="15">
      <c r="F121" s="82"/>
      <c r="G121" s="82"/>
      <c r="H121" s="82"/>
      <c r="I121" s="82"/>
    </row>
    <row r="122" spans="6:9" ht="15">
      <c r="F122" s="82"/>
      <c r="G122" s="82"/>
      <c r="H122" s="82"/>
      <c r="I122" s="82"/>
    </row>
    <row r="123" spans="6:9" ht="15">
      <c r="F123" s="82"/>
      <c r="G123" s="82"/>
      <c r="H123" s="82"/>
      <c r="I123" s="82"/>
    </row>
    <row r="124" spans="6:9" ht="15">
      <c r="F124" s="82"/>
      <c r="G124" s="82"/>
      <c r="H124" s="82"/>
      <c r="I124" s="82"/>
    </row>
    <row r="125" spans="6:9" ht="15">
      <c r="F125" s="82"/>
      <c r="G125" s="82"/>
      <c r="H125" s="82"/>
      <c r="I125" s="82"/>
    </row>
    <row r="126" spans="6:9" ht="15">
      <c r="F126" s="82"/>
      <c r="G126" s="82"/>
      <c r="H126" s="82"/>
      <c r="I126" s="82"/>
    </row>
    <row r="127" spans="6:9" ht="15">
      <c r="F127" s="82"/>
      <c r="G127" s="82"/>
      <c r="H127" s="82"/>
      <c r="I127" s="82"/>
    </row>
    <row r="128" spans="6:9" ht="15">
      <c r="F128" s="82"/>
      <c r="G128" s="82"/>
      <c r="H128" s="82"/>
      <c r="I128" s="82"/>
    </row>
    <row r="129" spans="6:9" ht="15">
      <c r="F129" s="82"/>
      <c r="G129" s="82"/>
      <c r="H129" s="82"/>
      <c r="I129" s="82"/>
    </row>
    <row r="130" spans="6:9" ht="15">
      <c r="F130" s="82"/>
      <c r="G130" s="82"/>
      <c r="H130" s="82"/>
      <c r="I130" s="82"/>
    </row>
    <row r="131" spans="6:9" ht="15">
      <c r="F131" s="82"/>
      <c r="G131" s="82"/>
      <c r="H131" s="82"/>
      <c r="I131" s="82"/>
    </row>
    <row r="132" spans="6:9" ht="15">
      <c r="F132" s="82"/>
      <c r="G132" s="82"/>
      <c r="H132" s="82"/>
      <c r="I132" s="82"/>
    </row>
    <row r="133" spans="6:9" ht="15">
      <c r="F133" s="82"/>
      <c r="G133" s="82"/>
      <c r="H133" s="82"/>
      <c r="I133" s="82"/>
    </row>
    <row r="134" spans="6:9" ht="15">
      <c r="F134" s="82"/>
      <c r="G134" s="82"/>
      <c r="H134" s="82"/>
      <c r="I134" s="82"/>
    </row>
    <row r="135" spans="6:9" ht="15">
      <c r="F135" s="82"/>
      <c r="G135" s="82"/>
      <c r="H135" s="82"/>
      <c r="I135" s="82"/>
    </row>
    <row r="136" spans="6:9" ht="15">
      <c r="F136" s="82"/>
      <c r="G136" s="82"/>
      <c r="H136" s="82"/>
      <c r="I136" s="82"/>
    </row>
    <row r="137" spans="6:9" ht="15">
      <c r="F137" s="82"/>
      <c r="G137" s="82"/>
      <c r="H137" s="82"/>
      <c r="I137" s="82"/>
    </row>
    <row r="138" spans="6:9" ht="15">
      <c r="F138" s="82"/>
      <c r="G138" s="82"/>
      <c r="H138" s="82"/>
      <c r="I138" s="82"/>
    </row>
    <row r="139" spans="6:9" ht="15">
      <c r="F139" s="82"/>
      <c r="G139" s="82"/>
      <c r="H139" s="82"/>
      <c r="I139" s="82"/>
    </row>
    <row r="140" spans="6:9" ht="15">
      <c r="F140" s="82"/>
      <c r="G140" s="82"/>
      <c r="H140" s="82"/>
      <c r="I140" s="82"/>
    </row>
    <row r="141" spans="6:9" ht="15">
      <c r="F141" s="82"/>
      <c r="G141" s="82"/>
      <c r="H141" s="82"/>
      <c r="I141" s="82"/>
    </row>
    <row r="142" spans="6:9" ht="15">
      <c r="F142" s="82"/>
      <c r="G142" s="82"/>
      <c r="H142" s="82"/>
      <c r="I142" s="82"/>
    </row>
    <row r="143" spans="6:9" ht="15">
      <c r="F143" s="82"/>
      <c r="G143" s="82"/>
      <c r="H143" s="82"/>
      <c r="I143" s="82"/>
    </row>
    <row r="144" spans="6:9" ht="15">
      <c r="F144" s="82"/>
      <c r="G144" s="82"/>
      <c r="H144" s="82"/>
      <c r="I144" s="82"/>
    </row>
    <row r="145" spans="6:9" ht="15">
      <c r="F145" s="82"/>
      <c r="G145" s="82"/>
      <c r="H145" s="82"/>
      <c r="I145" s="82"/>
    </row>
    <row r="146" spans="6:9" ht="15">
      <c r="F146" s="82"/>
      <c r="G146" s="82"/>
      <c r="H146" s="82"/>
      <c r="I146" s="82"/>
    </row>
    <row r="147" spans="6:9" ht="15">
      <c r="F147" s="82"/>
      <c r="G147" s="82"/>
      <c r="H147" s="82"/>
      <c r="I147" s="82"/>
    </row>
    <row r="148" spans="6:9" ht="15">
      <c r="F148" s="82"/>
      <c r="G148" s="82"/>
      <c r="H148" s="82"/>
      <c r="I148" s="82"/>
    </row>
    <row r="149" spans="6:9" ht="15">
      <c r="F149" s="82"/>
      <c r="G149" s="82"/>
      <c r="H149" s="82"/>
      <c r="I149" s="82"/>
    </row>
    <row r="150" spans="6:9" ht="15">
      <c r="F150" s="82"/>
      <c r="G150" s="82"/>
      <c r="H150" s="82"/>
      <c r="I150" s="82"/>
    </row>
    <row r="151" spans="6:9" ht="15">
      <c r="F151" s="82"/>
      <c r="G151" s="82"/>
      <c r="H151" s="82"/>
      <c r="I151" s="82"/>
    </row>
    <row r="152" spans="6:9" ht="15">
      <c r="F152" s="82"/>
      <c r="G152" s="82"/>
      <c r="H152" s="82"/>
      <c r="I152" s="82"/>
    </row>
    <row r="153" spans="6:9" ht="15">
      <c r="F153" s="82"/>
      <c r="G153" s="82"/>
      <c r="H153" s="82"/>
      <c r="I153" s="82"/>
    </row>
    <row r="154" spans="6:9" ht="15">
      <c r="F154" s="82"/>
      <c r="G154" s="82"/>
      <c r="H154" s="82"/>
      <c r="I154" s="82"/>
    </row>
    <row r="155" spans="6:9" ht="15">
      <c r="F155" s="82"/>
      <c r="G155" s="82"/>
      <c r="H155" s="82"/>
      <c r="I155" s="82"/>
    </row>
    <row r="156" spans="6:9" ht="15">
      <c r="F156" s="82"/>
      <c r="G156" s="82"/>
      <c r="H156" s="82"/>
      <c r="I156" s="82"/>
    </row>
    <row r="157" spans="6:9" ht="15">
      <c r="F157" s="82"/>
      <c r="G157" s="82"/>
      <c r="H157" s="82"/>
      <c r="I157" s="82"/>
    </row>
    <row r="158" spans="6:9" ht="15">
      <c r="F158" s="82"/>
      <c r="G158" s="82"/>
      <c r="H158" s="82"/>
      <c r="I158" s="82"/>
    </row>
    <row r="159" spans="6:9" ht="15">
      <c r="F159" s="82"/>
      <c r="G159" s="82"/>
      <c r="H159" s="82"/>
      <c r="I159" s="82"/>
    </row>
    <row r="160" spans="6:9" ht="15">
      <c r="F160" s="82"/>
      <c r="G160" s="82"/>
      <c r="H160" s="82"/>
      <c r="I160" s="82"/>
    </row>
    <row r="161" spans="6:9" ht="15">
      <c r="F161" s="82"/>
      <c r="G161" s="82"/>
      <c r="H161" s="82"/>
      <c r="I161" s="82"/>
    </row>
    <row r="162" spans="6:9" ht="15">
      <c r="F162" s="82"/>
      <c r="G162" s="82"/>
      <c r="H162" s="82"/>
      <c r="I162" s="82"/>
    </row>
    <row r="163" spans="6:9" ht="15">
      <c r="F163" s="82"/>
      <c r="G163" s="82"/>
      <c r="H163" s="82"/>
      <c r="I163" s="82"/>
    </row>
    <row r="164" spans="6:9" ht="15">
      <c r="F164" s="82"/>
      <c r="G164" s="82"/>
      <c r="H164" s="82"/>
      <c r="I164" s="82"/>
    </row>
    <row r="165" spans="6:9" ht="15">
      <c r="F165" s="82"/>
      <c r="G165" s="82"/>
      <c r="H165" s="82"/>
      <c r="I165" s="82"/>
    </row>
    <row r="166" spans="6:9" ht="15">
      <c r="F166" s="82"/>
      <c r="G166" s="82"/>
      <c r="H166" s="82"/>
      <c r="I166" s="82"/>
    </row>
    <row r="1000" ht="15">
      <c r="A1000" s="31" t="s">
        <v>396</v>
      </c>
    </row>
  </sheetData>
  <sheetProtection/>
  <mergeCells count="4">
    <mergeCell ref="B6:E6"/>
    <mergeCell ref="B62:E62"/>
    <mergeCell ref="F6:I6"/>
    <mergeCell ref="F62:I62"/>
  </mergeCells>
  <conditionalFormatting sqref="B26:I26">
    <cfRule type="cellIs" priority="2" dxfId="114" operator="notBetween">
      <formula>0.5</formula>
      <formula>-0.5</formula>
    </cfRule>
  </conditionalFormatting>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8"/>
  <sheetViews>
    <sheetView showGridLines="0" zoomScalePageLayoutView="0" workbookViewId="0" topLeftCell="A1">
      <selection activeCell="A1" sqref="A1"/>
    </sheetView>
  </sheetViews>
  <sheetFormatPr defaultColWidth="11.421875" defaultRowHeight="15"/>
  <cols>
    <col min="1" max="1" width="75.8515625" style="31" customWidth="1"/>
    <col min="2" max="2" width="10.421875" style="31" customWidth="1"/>
    <col min="3" max="8" width="11.421875" style="31" customWidth="1"/>
    <col min="9" max="9" width="0" style="31" hidden="1" customWidth="1"/>
    <col min="10" max="16384" width="11.421875" style="31" customWidth="1"/>
  </cols>
  <sheetData>
    <row r="1" spans="1:9" ht="18">
      <c r="A1" s="83"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3" t="str">
        <f>HLOOKUP(INDICE!$F$2,Nombres!$C$3:$D$636,31,FALSE)</f>
        <v>Cuenta de resultados  </v>
      </c>
      <c r="B3" s="34"/>
      <c r="C3" s="34"/>
      <c r="D3" s="34"/>
      <c r="E3" s="34"/>
      <c r="F3" s="34"/>
      <c r="G3" s="34"/>
      <c r="H3" s="34"/>
      <c r="I3" s="34"/>
    </row>
    <row r="4" spans="1:9" ht="15">
      <c r="A4" s="84"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5">
      <c r="A8" s="41" t="str">
        <f>HLOOKUP(INDICE!$F$2,Nombres!$C$3:$D$636,33,FALSE)</f>
        <v>Margen de intereses</v>
      </c>
      <c r="B8" s="41">
        <v>-47.055076810000074</v>
      </c>
      <c r="C8" s="41">
        <v>-32.26434003999989</v>
      </c>
      <c r="D8" s="41">
        <v>-35.99118196999993</v>
      </c>
      <c r="E8" s="42">
        <v>-48.589085819999795</v>
      </c>
      <c r="F8" s="50">
        <v>-43.85290882999996</v>
      </c>
      <c r="G8" s="50">
        <v>-38.06992179000004</v>
      </c>
      <c r="H8" s="244">
        <v>-46.28257633999999</v>
      </c>
      <c r="I8" s="244">
        <v>0</v>
      </c>
      <c r="J8" s="87"/>
      <c r="K8" s="87"/>
      <c r="L8" s="87"/>
      <c r="M8" s="87"/>
      <c r="N8" s="87"/>
      <c r="O8" s="87"/>
    </row>
    <row r="9" spans="1:9" ht="15">
      <c r="A9" s="88" t="str">
        <f>HLOOKUP(INDICE!$F$2,Nombres!$C$3:$D$636,34,FALSE)</f>
        <v>Comisiones netas</v>
      </c>
      <c r="B9" s="44">
        <v>-8.573050729999979</v>
      </c>
      <c r="C9" s="44">
        <v>-29.27252246000003</v>
      </c>
      <c r="D9" s="44">
        <v>-15.310159790000004</v>
      </c>
      <c r="E9" s="45">
        <v>-12.417189980000023</v>
      </c>
      <c r="F9" s="44">
        <v>-2.8937995999999706</v>
      </c>
      <c r="G9" s="44">
        <v>-19.98526829</v>
      </c>
      <c r="H9" s="44">
        <v>-6.331155229999984</v>
      </c>
      <c r="I9" s="44">
        <v>0</v>
      </c>
    </row>
    <row r="10" spans="1:9" ht="15">
      <c r="A10" s="88" t="str">
        <f>HLOOKUP(INDICE!$F$2,Nombres!$C$3:$D$636,35,FALSE)</f>
        <v>Resultados de operaciones financieras</v>
      </c>
      <c r="B10" s="44">
        <v>208.42607193000003</v>
      </c>
      <c r="C10" s="44">
        <v>6.726411070000005</v>
      </c>
      <c r="D10" s="44">
        <v>0.7390275400000341</v>
      </c>
      <c r="E10" s="45">
        <v>-71.59923100000002</v>
      </c>
      <c r="F10" s="44">
        <v>46.397079110000014</v>
      </c>
      <c r="G10" s="44">
        <v>121.14912622000003</v>
      </c>
      <c r="H10" s="44">
        <v>100.69057497999995</v>
      </c>
      <c r="I10" s="44">
        <v>0</v>
      </c>
    </row>
    <row r="11" spans="1:9" ht="15">
      <c r="A11" s="88" t="str">
        <f>HLOOKUP(INDICE!$F$2,Nombres!$C$3:$D$636,36,FALSE)</f>
        <v>Otros ingresos y cargas de explotación</v>
      </c>
      <c r="B11" s="44">
        <v>-25.304007719999994</v>
      </c>
      <c r="C11" s="44">
        <v>33.239516950000116</v>
      </c>
      <c r="D11" s="44">
        <v>-22.827044260000047</v>
      </c>
      <c r="E11" s="45">
        <v>37.181960630000106</v>
      </c>
      <c r="F11" s="44">
        <v>-17.859285009999983</v>
      </c>
      <c r="G11" s="44">
        <v>101.63862162000012</v>
      </c>
      <c r="H11" s="44">
        <v>11.070859999999932</v>
      </c>
      <c r="I11" s="44">
        <v>0</v>
      </c>
    </row>
    <row r="12" spans="1:9" ht="15">
      <c r="A12" s="41" t="str">
        <f>HLOOKUP(INDICE!$F$2,Nombres!$C$3:$D$636,37,FALSE)</f>
        <v>Margen bruto</v>
      </c>
      <c r="B12" s="41">
        <f aca="true" t="shared" si="0" ref="B12:I12">+SUM(B8:B11)</f>
        <v>127.49393667000001</v>
      </c>
      <c r="C12" s="41">
        <f t="shared" si="0"/>
        <v>-21.570934479999792</v>
      </c>
      <c r="D12" s="41">
        <f t="shared" si="0"/>
        <v>-73.38935847999994</v>
      </c>
      <c r="E12" s="42">
        <f t="shared" si="0"/>
        <v>-95.42354616999972</v>
      </c>
      <c r="F12" s="50">
        <f t="shared" si="0"/>
        <v>-18.208914329999903</v>
      </c>
      <c r="G12" s="50">
        <f t="shared" si="0"/>
        <v>164.7325577600001</v>
      </c>
      <c r="H12" s="50">
        <f t="shared" si="0"/>
        <v>59.147703409999906</v>
      </c>
      <c r="I12" s="50">
        <f t="shared" si="0"/>
        <v>0</v>
      </c>
    </row>
    <row r="13" spans="1:9" ht="15">
      <c r="A13" s="88" t="str">
        <f>HLOOKUP(INDICE!$F$2,Nombres!$C$3:$D$636,38,FALSE)</f>
        <v>Gastos de explotación</v>
      </c>
      <c r="B13" s="44">
        <v>-210.8874681600001</v>
      </c>
      <c r="C13" s="44">
        <v>-202.13285829999992</v>
      </c>
      <c r="D13" s="44">
        <v>-205.24954835000005</v>
      </c>
      <c r="E13" s="45">
        <v>-217.25666457000008</v>
      </c>
      <c r="F13" s="44">
        <v>-212.17693998999997</v>
      </c>
      <c r="G13" s="44">
        <v>-211.3452443000001</v>
      </c>
      <c r="H13" s="44">
        <v>-225.86830799999996</v>
      </c>
      <c r="I13" s="44">
        <v>0</v>
      </c>
    </row>
    <row r="14" spans="1:9" ht="15">
      <c r="A14" s="88" t="str">
        <f>HLOOKUP(INDICE!$F$2,Nombres!$C$3:$D$636,39,FALSE)</f>
        <v>  Gastos de administración</v>
      </c>
      <c r="B14" s="44">
        <v>-163.30472440000003</v>
      </c>
      <c r="C14" s="44">
        <v>-154.00731253999993</v>
      </c>
      <c r="D14" s="44">
        <v>-156.57168757000005</v>
      </c>
      <c r="E14" s="45">
        <v>-168.1046232300002</v>
      </c>
      <c r="F14" s="44">
        <v>-165.11286656000001</v>
      </c>
      <c r="G14" s="44">
        <v>-163.71882301000014</v>
      </c>
      <c r="H14" s="44">
        <v>-176.62432237999997</v>
      </c>
      <c r="I14" s="44">
        <v>0</v>
      </c>
    </row>
    <row r="15" spans="1:9" ht="15">
      <c r="A15" s="89" t="str">
        <f>HLOOKUP(INDICE!$F$2,Nombres!$C$3:$D$636,40,FALSE)</f>
        <v>  Gastos de personal</v>
      </c>
      <c r="B15" s="44">
        <v>-116.80718312000002</v>
      </c>
      <c r="C15" s="44">
        <v>-115.15472833000001</v>
      </c>
      <c r="D15" s="44">
        <v>-125.39259477999998</v>
      </c>
      <c r="E15" s="45">
        <v>-135.6019537200001</v>
      </c>
      <c r="F15" s="44">
        <v>-129.45738859</v>
      </c>
      <c r="G15" s="44">
        <v>-138.08783414000004</v>
      </c>
      <c r="H15" s="44">
        <v>-141.70301090999996</v>
      </c>
      <c r="I15" s="44">
        <v>0</v>
      </c>
    </row>
    <row r="16" spans="1:9" ht="15">
      <c r="A16" s="89" t="str">
        <f>HLOOKUP(INDICE!$F$2,Nombres!$C$3:$D$636,41,FALSE)</f>
        <v>  Otros gastos de administración</v>
      </c>
      <c r="B16" s="44">
        <v>-46.49754128000002</v>
      </c>
      <c r="C16" s="44">
        <v>-38.852584209999954</v>
      </c>
      <c r="D16" s="44">
        <v>-31.17909278999999</v>
      </c>
      <c r="E16" s="45">
        <v>-32.50266951000003</v>
      </c>
      <c r="F16" s="44">
        <v>-35.655477969999964</v>
      </c>
      <c r="G16" s="44">
        <v>-25.63098887000005</v>
      </c>
      <c r="H16" s="44">
        <v>-34.921311469999964</v>
      </c>
      <c r="I16" s="44">
        <v>0</v>
      </c>
    </row>
    <row r="17" spans="1:9" ht="15">
      <c r="A17" s="88" t="str">
        <f>HLOOKUP(INDICE!$F$2,Nombres!$C$3:$D$636,42,FALSE)</f>
        <v>  Amortización</v>
      </c>
      <c r="B17" s="44">
        <v>-47.58274375999999</v>
      </c>
      <c r="C17" s="44">
        <v>-48.12554576000001</v>
      </c>
      <c r="D17" s="44">
        <v>-48.677860779999996</v>
      </c>
      <c r="E17" s="45">
        <v>-49.152041340000004</v>
      </c>
      <c r="F17" s="44">
        <v>-47.06407342999999</v>
      </c>
      <c r="G17" s="44">
        <v>-47.62642129</v>
      </c>
      <c r="H17" s="44">
        <v>-49.24398562000002</v>
      </c>
      <c r="I17" s="44">
        <v>0</v>
      </c>
    </row>
    <row r="18" spans="1:9" ht="15">
      <c r="A18" s="41" t="str">
        <f>HLOOKUP(INDICE!$F$2,Nombres!$C$3:$D$636,43,FALSE)</f>
        <v>Margen neto</v>
      </c>
      <c r="B18" s="41">
        <f aca="true" t="shared" si="1" ref="B18:I18">+B12+B13</f>
        <v>-83.3935314900001</v>
      </c>
      <c r="C18" s="41">
        <f t="shared" si="1"/>
        <v>-223.70379277999973</v>
      </c>
      <c r="D18" s="41">
        <f t="shared" si="1"/>
        <v>-278.63890683</v>
      </c>
      <c r="E18" s="42">
        <f t="shared" si="1"/>
        <v>-312.6802107399998</v>
      </c>
      <c r="F18" s="50">
        <f t="shared" si="1"/>
        <v>-230.38585431999988</v>
      </c>
      <c r="G18" s="50">
        <f t="shared" si="1"/>
        <v>-46.61268654</v>
      </c>
      <c r="H18" s="50">
        <f t="shared" si="1"/>
        <v>-166.72060459000005</v>
      </c>
      <c r="I18" s="50">
        <f t="shared" si="1"/>
        <v>0</v>
      </c>
    </row>
    <row r="19" spans="1:9" ht="15">
      <c r="A19" s="88" t="str">
        <f>HLOOKUP(INDICE!$F$2,Nombres!$C$3:$D$636,44,FALSE)</f>
        <v>Deterioro de activos financieros no valorados a valor razonable con cambios en resultados</v>
      </c>
      <c r="B19" s="44">
        <v>-0.0251740800000037</v>
      </c>
      <c r="C19" s="44">
        <v>0.44119642000001424</v>
      </c>
      <c r="D19" s="44">
        <v>-0.0011676399999749434</v>
      </c>
      <c r="E19" s="45">
        <v>4.054889259999961</v>
      </c>
      <c r="F19" s="44">
        <v>-0.0005037100000008419</v>
      </c>
      <c r="G19" s="44">
        <v>0.21530097000000128</v>
      </c>
      <c r="H19" s="44">
        <v>-1.8477096999999891</v>
      </c>
      <c r="I19" s="44">
        <v>0</v>
      </c>
    </row>
    <row r="20" spans="1:9" ht="15">
      <c r="A20" s="88" t="str">
        <f>HLOOKUP(INDICE!$F$2,Nombres!$C$3:$D$636,45,FALSE)</f>
        <v>Provisiones o reversión de provisiones y otros resultados</v>
      </c>
      <c r="B20" s="44">
        <v>-24.602517879999915</v>
      </c>
      <c r="C20" s="44">
        <v>-84.41909953000001</v>
      </c>
      <c r="D20" s="44">
        <v>-122.92274500999997</v>
      </c>
      <c r="E20" s="45">
        <v>-56.99554261000023</v>
      </c>
      <c r="F20" s="44">
        <v>8.925271209999982</v>
      </c>
      <c r="G20" s="44">
        <v>-27.99695481000005</v>
      </c>
      <c r="H20" s="44">
        <v>5.549369000000079</v>
      </c>
      <c r="I20" s="44">
        <v>0</v>
      </c>
    </row>
    <row r="21" spans="1:9" ht="15">
      <c r="A21" s="90" t="str">
        <f>HLOOKUP(INDICE!$F$2,Nombres!$C$3:$D$636,46,FALSE)</f>
        <v>Resultado antes de impuestos</v>
      </c>
      <c r="B21" s="41">
        <f aca="true" t="shared" si="2" ref="B21:I21">+B18+B19+B20</f>
        <v>-108.02122345000001</v>
      </c>
      <c r="C21" s="41">
        <f t="shared" si="2"/>
        <v>-307.68169588999973</v>
      </c>
      <c r="D21" s="41">
        <f t="shared" si="2"/>
        <v>-401.5628194799999</v>
      </c>
      <c r="E21" s="42">
        <f t="shared" si="2"/>
        <v>-365.62086409000005</v>
      </c>
      <c r="F21" s="50">
        <f t="shared" si="2"/>
        <v>-221.4610868199999</v>
      </c>
      <c r="G21" s="50">
        <f t="shared" si="2"/>
        <v>-74.39434038000005</v>
      </c>
      <c r="H21" s="50">
        <f t="shared" si="2"/>
        <v>-163.01894528999998</v>
      </c>
      <c r="I21" s="50">
        <f t="shared" si="2"/>
        <v>0</v>
      </c>
    </row>
    <row r="22" spans="1:9" ht="15">
      <c r="A22" s="43" t="str">
        <f>HLOOKUP(INDICE!$F$2,Nombres!$C$3:$D$636,47,FALSE)</f>
        <v>Impuesto sobre beneficios</v>
      </c>
      <c r="B22" s="44">
        <v>30.897878089999992</v>
      </c>
      <c r="C22" s="44">
        <v>35.28298148000006</v>
      </c>
      <c r="D22" s="44">
        <v>106.83870416999999</v>
      </c>
      <c r="E22" s="45">
        <v>94.76312492999998</v>
      </c>
      <c r="F22" s="44">
        <v>10.872089020000002</v>
      </c>
      <c r="G22" s="44">
        <v>-2.050762049999939</v>
      </c>
      <c r="H22" s="44">
        <v>32.128476019999965</v>
      </c>
      <c r="I22" s="44">
        <v>0</v>
      </c>
    </row>
    <row r="23" spans="1:9" ht="15">
      <c r="A23" s="41" t="str">
        <f>HLOOKUP(INDICE!$F$2,Nombres!$C$3:$D$636,48,FALSE)</f>
        <v>Resultado del ejercicio</v>
      </c>
      <c r="B23" s="41">
        <f aca="true" t="shared" si="3" ref="B23:I23">+B21+B22</f>
        <v>-77.12334536000002</v>
      </c>
      <c r="C23" s="41">
        <f t="shared" si="3"/>
        <v>-272.3987144099997</v>
      </c>
      <c r="D23" s="41">
        <f t="shared" si="3"/>
        <v>-294.72411530999995</v>
      </c>
      <c r="E23" s="42">
        <f t="shared" si="3"/>
        <v>-270.85773916000005</v>
      </c>
      <c r="F23" s="50">
        <f t="shared" si="3"/>
        <v>-210.5889977999999</v>
      </c>
      <c r="G23" s="50">
        <f t="shared" si="3"/>
        <v>-76.44510242999999</v>
      </c>
      <c r="H23" s="50">
        <f t="shared" si="3"/>
        <v>-130.89046927</v>
      </c>
      <c r="I23" s="50">
        <f t="shared" si="3"/>
        <v>0</v>
      </c>
    </row>
    <row r="24" spans="1:9" ht="15">
      <c r="A24" s="43" t="str">
        <f>HLOOKUP(INDICE!$F$2,Nombres!$C$3:$D$636,49,FALSE)</f>
        <v>Minoritarios</v>
      </c>
      <c r="B24" s="44">
        <v>-0.28234462999999976</v>
      </c>
      <c r="C24" s="44">
        <v>-0.51301793</v>
      </c>
      <c r="D24" s="44">
        <v>0.75410717</v>
      </c>
      <c r="E24" s="45">
        <v>0.1258005299999999</v>
      </c>
      <c r="F24" s="44">
        <v>-0.6575781699999999</v>
      </c>
      <c r="G24" s="44">
        <v>-4.24266055</v>
      </c>
      <c r="H24" s="44">
        <v>-10.52869901</v>
      </c>
      <c r="I24" s="44">
        <v>0</v>
      </c>
    </row>
    <row r="25" spans="1:9" ht="15">
      <c r="A25" s="47" t="str">
        <f>HLOOKUP(INDICE!$F$2,Nombres!$C$3:$D$636,305,FALSE)</f>
        <v>Resultado atribuido excluyendo impactos no recurrentes</v>
      </c>
      <c r="B25" s="47">
        <f aca="true" t="shared" si="4" ref="B25:I25">+B23+B24</f>
        <v>-77.40568999000001</v>
      </c>
      <c r="C25" s="47">
        <f t="shared" si="4"/>
        <v>-272.9117323399997</v>
      </c>
      <c r="D25" s="47">
        <f t="shared" si="4"/>
        <v>-293.97000813999995</v>
      </c>
      <c r="E25" s="47">
        <f t="shared" si="4"/>
        <v>-270.73193863000006</v>
      </c>
      <c r="F25" s="47">
        <f t="shared" si="4"/>
        <v>-211.2465759699999</v>
      </c>
      <c r="G25" s="47">
        <f t="shared" si="4"/>
        <v>-80.68776297999999</v>
      </c>
      <c r="H25" s="47">
        <f t="shared" si="4"/>
        <v>-141.41916828</v>
      </c>
      <c r="I25" s="47">
        <f t="shared" si="4"/>
        <v>0</v>
      </c>
    </row>
    <row r="26" spans="1:9" ht="15">
      <c r="A26" s="41" t="str">
        <f>HLOOKUP(INDICE!$F$2,Nombres!$C$3:$D$636,311,FALSE)</f>
        <v>Operaciones Corporativas e Interrumpidas</v>
      </c>
      <c r="B26" s="201">
        <f aca="true" t="shared" si="5" ref="B26:I26">+B27+B28+B29</f>
        <v>-2223.7850000000003</v>
      </c>
      <c r="C26" s="201">
        <f t="shared" si="5"/>
        <v>119.91999999999999</v>
      </c>
      <c r="D26" s="201">
        <f t="shared" si="5"/>
        <v>73.239</v>
      </c>
      <c r="E26" s="300">
        <f t="shared" si="5"/>
        <v>606.3115058600004</v>
      </c>
      <c r="F26" s="201">
        <f t="shared" si="5"/>
        <v>177.04100000000003</v>
      </c>
      <c r="G26" s="201">
        <f t="shared" si="5"/>
        <v>-593.0077980200002</v>
      </c>
      <c r="H26" s="201">
        <f t="shared" si="5"/>
        <v>0</v>
      </c>
      <c r="I26" s="201">
        <f t="shared" si="5"/>
        <v>0</v>
      </c>
    </row>
    <row r="27" spans="1:9" ht="15">
      <c r="A27" s="43" t="str">
        <f>HLOOKUP(INDICE!$F$2,Nombres!$C$3:$D$636,306,FALSE)</f>
        <v>Resultado después de impuestos de operaciones interrumpidas (1)</v>
      </c>
      <c r="B27" s="44">
        <v>-2223.7850000000003</v>
      </c>
      <c r="C27" s="44">
        <v>119.91999999999999</v>
      </c>
      <c r="D27" s="44">
        <v>73.239</v>
      </c>
      <c r="E27" s="45">
        <v>301.8430058600003</v>
      </c>
      <c r="F27" s="44">
        <v>177.04100000000003</v>
      </c>
      <c r="G27" s="44">
        <v>102.65999999999976</v>
      </c>
      <c r="H27" s="44">
        <v>0</v>
      </c>
      <c r="I27" s="44">
        <v>0</v>
      </c>
    </row>
    <row r="28" spans="1:9" ht="15">
      <c r="A28" s="43" t="str">
        <f>HLOOKUP(INDICE!$F$2,Nombres!$C$3:$D$636,307,FALSE)</f>
        <v>Operaciones Corporativas (2)</v>
      </c>
      <c r="B28" s="44">
        <v>0</v>
      </c>
      <c r="C28" s="44">
        <v>0</v>
      </c>
      <c r="D28" s="44">
        <v>0</v>
      </c>
      <c r="E28" s="45">
        <v>304.4685</v>
      </c>
      <c r="F28" s="44">
        <v>0</v>
      </c>
      <c r="G28" s="44">
        <v>0</v>
      </c>
      <c r="H28" s="44">
        <v>0</v>
      </c>
      <c r="I28" s="44">
        <v>0</v>
      </c>
    </row>
    <row r="29" spans="1:9" ht="15">
      <c r="A29" s="43" t="str">
        <f>HLOOKUP(INDICE!$F$2,Nombres!$C$3:$D$636,308,FALSE)</f>
        <v>Costes netos asociados al proceso de reestructuración</v>
      </c>
      <c r="B29" s="44">
        <v>0</v>
      </c>
      <c r="C29" s="44">
        <v>0</v>
      </c>
      <c r="D29" s="44">
        <v>0</v>
      </c>
      <c r="E29" s="45">
        <v>0</v>
      </c>
      <c r="F29" s="44">
        <v>0</v>
      </c>
      <c r="G29" s="44">
        <v>-695.66779802</v>
      </c>
      <c r="H29" s="44">
        <v>0</v>
      </c>
      <c r="I29" s="44">
        <v>0</v>
      </c>
    </row>
    <row r="30" spans="1:9" ht="15">
      <c r="A30" s="47" t="str">
        <f>HLOOKUP(INDICE!$F$2,Nombres!$C$3:$D$636,50,FALSE)</f>
        <v>Resultado atribuido</v>
      </c>
      <c r="B30" s="47">
        <f aca="true" t="shared" si="6" ref="B30:I30">+B25+B26</f>
        <v>-2301.1906899900005</v>
      </c>
      <c r="C30" s="47">
        <f t="shared" si="6"/>
        <v>-152.9917323399997</v>
      </c>
      <c r="D30" s="47">
        <f t="shared" si="6"/>
        <v>-220.73100813999994</v>
      </c>
      <c r="E30" s="47">
        <f t="shared" si="6"/>
        <v>335.5795672300003</v>
      </c>
      <c r="F30" s="47">
        <f t="shared" si="6"/>
        <v>-34.20557596999987</v>
      </c>
      <c r="G30" s="47">
        <f t="shared" si="6"/>
        <v>-673.6955610000002</v>
      </c>
      <c r="H30" s="47">
        <f t="shared" si="6"/>
        <v>-141.41916828</v>
      </c>
      <c r="I30" s="47">
        <f t="shared" si="6"/>
        <v>0</v>
      </c>
    </row>
    <row r="31" spans="1:9" ht="15">
      <c r="A31" s="282" t="s">
        <v>5</v>
      </c>
      <c r="B31" s="44"/>
      <c r="C31" s="44"/>
      <c r="D31" s="44"/>
      <c r="E31" s="44"/>
      <c r="F31" s="44"/>
      <c r="G31" s="44"/>
      <c r="H31" s="44"/>
      <c r="I31" s="44"/>
    </row>
    <row r="32" spans="1:9" ht="14.25" customHeight="1">
      <c r="A32" s="305" t="str">
        <f>HLOOKUP(INDICE!$F$2,Nombres!$C$3:$D$636,309,FALSE)</f>
        <v>(1) Incluye EEUU como operación interrumpida y el deterioro del fondo de comercio de Estados Unidos registrado en el primer trimestre de 2020 por importe de 2084 millones de euros</v>
      </c>
      <c r="B32" s="305"/>
      <c r="C32" s="305"/>
      <c r="D32" s="305"/>
      <c r="E32" s="305"/>
      <c r="F32" s="305"/>
      <c r="G32" s="305"/>
      <c r="H32" s="305"/>
      <c r="I32" s="305"/>
    </row>
    <row r="33" spans="1:9" ht="14.25" customHeight="1">
      <c r="A33"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3" s="305"/>
      <c r="C33" s="305"/>
      <c r="D33" s="305"/>
      <c r="E33" s="305"/>
      <c r="F33" s="305"/>
      <c r="G33" s="305"/>
      <c r="H33" s="305"/>
      <c r="I33" s="305"/>
    </row>
    <row r="34" spans="1:9" ht="15">
      <c r="A34" s="41"/>
      <c r="B34" s="63">
        <v>4.547473508864641E-13</v>
      </c>
      <c r="C34" s="63">
        <v>0</v>
      </c>
      <c r="D34" s="63">
        <v>0</v>
      </c>
      <c r="E34" s="63">
        <v>0</v>
      </c>
      <c r="F34" s="63">
        <v>0</v>
      </c>
      <c r="G34" s="63">
        <v>2.7000623958883807E-13</v>
      </c>
      <c r="H34" s="63">
        <v>0</v>
      </c>
      <c r="I34" s="63">
        <v>0</v>
      </c>
    </row>
    <row r="35" spans="1:9" ht="15">
      <c r="A35" s="41"/>
      <c r="B35" s="41"/>
      <c r="C35" s="41"/>
      <c r="D35" s="41"/>
      <c r="E35" s="41"/>
      <c r="F35" s="41"/>
      <c r="G35" s="41"/>
      <c r="H35" s="41"/>
      <c r="I35" s="41"/>
    </row>
    <row r="36" spans="1:9" ht="18">
      <c r="A36" s="93" t="str">
        <f>HLOOKUP(INDICE!$F$2,Nombres!$C$3:$D$636,51,FALSE)</f>
        <v>Balances</v>
      </c>
      <c r="B36" s="34"/>
      <c r="C36" s="34"/>
      <c r="D36" s="34"/>
      <c r="E36" s="34"/>
      <c r="F36" s="81"/>
      <c r="G36" s="81"/>
      <c r="H36" s="81"/>
      <c r="I36" s="81"/>
    </row>
    <row r="37" spans="1:9" ht="15">
      <c r="A37" s="84" t="str">
        <f>HLOOKUP(INDICE!$F$2,Nombres!$C$3:$D$636,32,FALSE)</f>
        <v>(Millones de euros)</v>
      </c>
      <c r="B37" s="30"/>
      <c r="C37" s="52"/>
      <c r="D37" s="52"/>
      <c r="E37" s="52"/>
      <c r="F37" s="79"/>
      <c r="G37" s="77"/>
      <c r="H37" s="77"/>
      <c r="I37" s="77"/>
    </row>
    <row r="38" spans="1:9" ht="15.75">
      <c r="A38" s="30"/>
      <c r="B38" s="53">
        <f>+España!B30</f>
        <v>43921</v>
      </c>
      <c r="C38" s="53">
        <f>+España!C30</f>
        <v>44012</v>
      </c>
      <c r="D38" s="53">
        <f>+España!D30</f>
        <v>44104</v>
      </c>
      <c r="E38" s="68">
        <f>+España!E30</f>
        <v>44196</v>
      </c>
      <c r="F38" s="53">
        <f>+España!F30</f>
        <v>44286</v>
      </c>
      <c r="G38" s="53">
        <f>+España!G30</f>
        <v>44377</v>
      </c>
      <c r="H38" s="53">
        <f>+España!H30</f>
        <v>44469</v>
      </c>
      <c r="I38" s="53">
        <f>+España!I30</f>
        <v>44561</v>
      </c>
    </row>
    <row r="39" spans="1:9" ht="15">
      <c r="A39" s="88" t="str">
        <f>HLOOKUP(INDICE!$F$2,Nombres!$C$3:$D$636,52,FALSE)</f>
        <v>Efectivo, saldos en efectivo en bancos centrales y otros depósitos a la vista</v>
      </c>
      <c r="B39" s="44">
        <v>830.3840019999981</v>
      </c>
      <c r="C39" s="44">
        <v>889.8779950000022</v>
      </c>
      <c r="D39" s="44">
        <v>821.1040000000008</v>
      </c>
      <c r="E39" s="45">
        <v>873.8519959999968</v>
      </c>
      <c r="F39" s="44">
        <v>923.0540969999975</v>
      </c>
      <c r="G39" s="44">
        <v>10200.758577</v>
      </c>
      <c r="H39" s="44">
        <v>10188.903583</v>
      </c>
      <c r="I39" s="44">
        <v>0</v>
      </c>
    </row>
    <row r="40" spans="1:9" ht="15">
      <c r="A40" s="88" t="str">
        <f>HLOOKUP(INDICE!$F$2,Nombres!$C$3:$D$636,53,FALSE)</f>
        <v>Activos financieros a valor razonable</v>
      </c>
      <c r="B40" s="58">
        <v>1780.8215814000012</v>
      </c>
      <c r="C40" s="58">
        <v>1879.5348080600006</v>
      </c>
      <c r="D40" s="58">
        <v>1450.3653814600002</v>
      </c>
      <c r="E40" s="65">
        <v>1464.46171155</v>
      </c>
      <c r="F40" s="58">
        <v>1679.5687306799996</v>
      </c>
      <c r="G40" s="58">
        <v>1902.8554403500002</v>
      </c>
      <c r="H40" s="58">
        <v>2057.83634224</v>
      </c>
      <c r="I40" s="58">
        <v>0</v>
      </c>
    </row>
    <row r="41" spans="1:9" ht="15">
      <c r="A41" s="43" t="str">
        <f>HLOOKUP(INDICE!$F$2,Nombres!$C$3:$D$636,54,FALSE)</f>
        <v>Activos financieros a coste amortizado</v>
      </c>
      <c r="B41" s="44">
        <v>1881.9313669999974</v>
      </c>
      <c r="C41" s="44">
        <v>1918.4545914300309</v>
      </c>
      <c r="D41" s="44">
        <v>1915.1642939999856</v>
      </c>
      <c r="E41" s="45">
        <v>1717.801835</v>
      </c>
      <c r="F41" s="44">
        <v>1782.3869010000071</v>
      </c>
      <c r="G41" s="44">
        <v>1659.7929520000012</v>
      </c>
      <c r="H41" s="44">
        <v>1576.5927729999994</v>
      </c>
      <c r="I41" s="44">
        <v>0</v>
      </c>
    </row>
    <row r="42" spans="1:9" ht="15">
      <c r="A42" s="88" t="str">
        <f>HLOOKUP(INDICE!$F$2,Nombres!$C$3:$D$636,55,FALSE)</f>
        <v>    de los que préstamos y anticipos a la clientela</v>
      </c>
      <c r="B42" s="44">
        <v>354.7427700000073</v>
      </c>
      <c r="C42" s="44">
        <v>427.70760743001824</v>
      </c>
      <c r="D42" s="44">
        <v>288.2759780000109</v>
      </c>
      <c r="E42" s="45">
        <v>504.5246399999926</v>
      </c>
      <c r="F42" s="44">
        <v>668.7451439999999</v>
      </c>
      <c r="G42" s="44">
        <v>574.5940129999998</v>
      </c>
      <c r="H42" s="44">
        <v>170.45724900000087</v>
      </c>
      <c r="I42" s="44">
        <v>0</v>
      </c>
    </row>
    <row r="43" spans="1:9" ht="15">
      <c r="A43" s="88" t="str">
        <f>HLOOKUP(INDICE!$F$2,Nombres!$C$3:$D$636,121,FALSE)</f>
        <v>Posiciones inter-áreas activo</v>
      </c>
      <c r="B43" s="44">
        <v>1.199805410578847E-07</v>
      </c>
      <c r="C43" s="44">
        <v>0.01766683997993823</v>
      </c>
      <c r="D43" s="44">
        <v>0.2936261699651368</v>
      </c>
      <c r="E43" s="45">
        <v>0</v>
      </c>
      <c r="F43" s="44">
        <v>-1.129992597270757E-06</v>
      </c>
      <c r="G43" s="44">
        <v>1.500011421740055E-07</v>
      </c>
      <c r="H43" s="44">
        <v>0</v>
      </c>
      <c r="I43" s="44">
        <v>0</v>
      </c>
    </row>
    <row r="44" spans="1:9" ht="15.75" customHeight="1">
      <c r="A44" s="43" t="str">
        <f>HLOOKUP(INDICE!$F$2,Nombres!$C$3:$D$636,56,FALSE)</f>
        <v>Activos tangibles</v>
      </c>
      <c r="B44" s="44">
        <v>2176.688747</v>
      </c>
      <c r="C44" s="44">
        <v>2126.2533180000005</v>
      </c>
      <c r="D44" s="44">
        <v>2121.074613</v>
      </c>
      <c r="E44" s="45">
        <v>2062.7604020000003</v>
      </c>
      <c r="F44" s="44">
        <v>2038.8515439999996</v>
      </c>
      <c r="G44" s="44">
        <v>2019.6463440000002</v>
      </c>
      <c r="H44" s="44">
        <v>1988.1729079999998</v>
      </c>
      <c r="I44" s="44">
        <v>0</v>
      </c>
    </row>
    <row r="45" spans="1:9" ht="15">
      <c r="A45" s="88" t="str">
        <f>HLOOKUP(INDICE!$F$2,Nombres!$C$3:$D$636,57,FALSE)</f>
        <v>Otros activos</v>
      </c>
      <c r="B45" s="44">
        <v>102340.09597659</v>
      </c>
      <c r="C45" s="44">
        <v>106743.53107094001</v>
      </c>
      <c r="D45" s="44">
        <v>103677.47378254</v>
      </c>
      <c r="E45" s="45">
        <v>99297.51923184999</v>
      </c>
      <c r="F45" s="44">
        <v>102929.1741058</v>
      </c>
      <c r="G45" s="44">
        <v>15358.58276591</v>
      </c>
      <c r="H45" s="44">
        <v>15307.8097385</v>
      </c>
      <c r="I45" s="44">
        <v>0</v>
      </c>
    </row>
    <row r="46" spans="1:9" ht="15">
      <c r="A46" s="91" t="str">
        <f>HLOOKUP(INDICE!$F$2,Nombres!$C$3:$D$636,58,FALSE)</f>
        <v>Total activo / pasivo</v>
      </c>
      <c r="B46" s="51">
        <f aca="true" t="shared" si="7" ref="B46:I46">+B39+B40+B41+B43+B44+B45</f>
        <v>109009.92167410998</v>
      </c>
      <c r="C46" s="51">
        <f t="shared" si="7"/>
        <v>113557.66945027003</v>
      </c>
      <c r="D46" s="51">
        <f t="shared" si="7"/>
        <v>109985.47569716995</v>
      </c>
      <c r="E46" s="80">
        <f t="shared" si="7"/>
        <v>105416.3951764</v>
      </c>
      <c r="F46" s="51">
        <f t="shared" si="7"/>
        <v>109353.03537735001</v>
      </c>
      <c r="G46" s="51">
        <f t="shared" si="7"/>
        <v>31141.636079410004</v>
      </c>
      <c r="H46" s="51">
        <f t="shared" si="7"/>
        <v>31119.31534474</v>
      </c>
      <c r="I46" s="51">
        <f t="shared" si="7"/>
        <v>0</v>
      </c>
    </row>
    <row r="47" spans="1:9" ht="15">
      <c r="A47" s="88" t="str">
        <f>HLOOKUP(INDICE!$F$2,Nombres!$C$3:$D$636,59,FALSE)</f>
        <v>Pasivos financieros mantenidos para negociar y designados a valor razonable con cambios en resultados</v>
      </c>
      <c r="B47" s="44">
        <v>181.39863200000005</v>
      </c>
      <c r="C47" s="44">
        <v>110.11049999999999</v>
      </c>
      <c r="D47" s="44">
        <v>90.95825199999996</v>
      </c>
      <c r="E47" s="45">
        <v>71.54622399999997</v>
      </c>
      <c r="F47" s="44">
        <v>60.11018000000022</v>
      </c>
      <c r="G47" s="44">
        <v>7.505910999999773</v>
      </c>
      <c r="H47" s="44">
        <v>8.221091999999999</v>
      </c>
      <c r="I47" s="44">
        <v>0</v>
      </c>
    </row>
    <row r="48" spans="1:9" ht="15">
      <c r="A48" s="88" t="str">
        <f>HLOOKUP(INDICE!$F$2,Nombres!$C$3:$D$636,60,FALSE)</f>
        <v>Depósitos de bancos centrales y entidades de crédito</v>
      </c>
      <c r="B48" s="44">
        <v>882.6989400000007</v>
      </c>
      <c r="C48" s="44">
        <v>897.9802210000012</v>
      </c>
      <c r="D48" s="44">
        <v>887.829414999998</v>
      </c>
      <c r="E48" s="45">
        <v>845.2698359999996</v>
      </c>
      <c r="F48" s="44">
        <v>858.9708349999993</v>
      </c>
      <c r="G48" s="44">
        <v>829.7628249999999</v>
      </c>
      <c r="H48" s="44">
        <v>846.620849</v>
      </c>
      <c r="I48" s="44">
        <v>0</v>
      </c>
    </row>
    <row r="49" spans="1:9" ht="15">
      <c r="A49" s="88" t="str">
        <f>HLOOKUP(INDICE!$F$2,Nombres!$C$3:$D$636,61,FALSE)</f>
        <v>Depósitos de la clientela</v>
      </c>
      <c r="B49" s="44">
        <v>323.06331100000085</v>
      </c>
      <c r="C49" s="44">
        <v>308.4758510000023</v>
      </c>
      <c r="D49" s="44">
        <v>297.6699890000037</v>
      </c>
      <c r="E49" s="45">
        <v>362.7727920000083</v>
      </c>
      <c r="F49" s="44">
        <v>176.72810500000043</v>
      </c>
      <c r="G49" s="44">
        <v>172.892991</v>
      </c>
      <c r="H49" s="44">
        <v>179.817772</v>
      </c>
      <c r="I49" s="44">
        <v>0</v>
      </c>
    </row>
    <row r="50" spans="1:9" ht="15">
      <c r="A50" s="43" t="str">
        <f>HLOOKUP(INDICE!$F$2,Nombres!$C$3:$D$636,62,FALSE)</f>
        <v>Valores representativos de deuda emitidos</v>
      </c>
      <c r="B50" s="44">
        <v>2575.3184890700004</v>
      </c>
      <c r="C50" s="44">
        <v>2296.0677641100006</v>
      </c>
      <c r="D50" s="44">
        <v>4161.2864997</v>
      </c>
      <c r="E50" s="45">
        <v>4344.0197249799985</v>
      </c>
      <c r="F50" s="44">
        <v>3383.116619570001</v>
      </c>
      <c r="G50" s="44">
        <v>1882.2815565000024</v>
      </c>
      <c r="H50" s="44">
        <v>1602.5345867100018</v>
      </c>
      <c r="I50" s="44">
        <v>0</v>
      </c>
    </row>
    <row r="51" spans="1:9" ht="15">
      <c r="A51" s="88" t="str">
        <f>HLOOKUP(INDICE!$F$2,Nombres!$C$3:$D$636,122,FALSE)</f>
        <v>Posiciones inter-áreas pasivo</v>
      </c>
      <c r="B51" s="44">
        <v>4897.194646269985</v>
      </c>
      <c r="C51" s="44">
        <v>4857.093192460088</v>
      </c>
      <c r="D51" s="44">
        <v>1332.2403736899869</v>
      </c>
      <c r="E51" s="45">
        <v>63.86956714997359</v>
      </c>
      <c r="F51" s="44">
        <v>495.6647034899943</v>
      </c>
      <c r="G51" s="44">
        <v>6842.26328375001</v>
      </c>
      <c r="H51" s="44">
        <v>7279.65206851</v>
      </c>
      <c r="I51" s="44">
        <v>0</v>
      </c>
    </row>
    <row r="52" spans="1:9" ht="15">
      <c r="A52" s="43" t="str">
        <f>HLOOKUP(INDICE!$F$2,Nombres!$C$3:$D$636,63,FALSE)</f>
        <v>Otros pasivos</v>
      </c>
      <c r="B52" s="44">
        <f aca="true" t="shared" si="8" ref="B52:I52">+B46-B47-B48-B49-B50-B51-B54-B53</f>
        <v>86761.56249852997</v>
      </c>
      <c r="C52" s="44">
        <f t="shared" si="8"/>
        <v>91099.97897047995</v>
      </c>
      <c r="D52" s="44">
        <f t="shared" si="8"/>
        <v>88154.75219911998</v>
      </c>
      <c r="E52" s="45">
        <f t="shared" si="8"/>
        <v>83707.30302859002</v>
      </c>
      <c r="F52" s="44">
        <f t="shared" si="8"/>
        <v>87418.23253749</v>
      </c>
      <c r="G52" s="44">
        <f t="shared" si="8"/>
        <v>5871.181720359982</v>
      </c>
      <c r="H52" s="44">
        <f t="shared" si="8"/>
        <v>6101.580429310001</v>
      </c>
      <c r="I52" s="44">
        <f t="shared" si="8"/>
        <v>0</v>
      </c>
    </row>
    <row r="53" spans="1:9" ht="15">
      <c r="A53" s="43" t="str">
        <f>HLOOKUP(INDICE!$F$2,Nombres!$C$3:$D$636,282,FALSE)</f>
        <v>Dotación de capital regulatorio</v>
      </c>
      <c r="B53" s="44">
        <f>-España!B45-Mexico!B45-Turquia!B45-AdS!B45-'Resto de Negocios'!B45</f>
        <v>-35785.5598368</v>
      </c>
      <c r="C53" s="44">
        <f>-España!C45-Mexico!C45-Turquia!C45-AdS!C45-'Resto de Negocios'!C45</f>
        <v>-35566.85705479</v>
      </c>
      <c r="D53" s="44">
        <f>-España!D45-Mexico!D45-Turquia!D45-AdS!D45-'Resto de Negocios'!D45</f>
        <v>-33460.786026320005</v>
      </c>
      <c r="E53" s="45">
        <f>-España!E45-Mexico!E45-Turquia!E45-AdS!E45-'Resto de Negocios'!E45</f>
        <v>-33998.21599224</v>
      </c>
      <c r="F53" s="44">
        <f>-España!F45-Mexico!F45-Turquia!F45-AdS!F45-'Resto de Negocios'!F45</f>
        <v>-33751.07960414</v>
      </c>
      <c r="G53" s="44">
        <f>-España!G45-Mexico!G45-Turquia!G45-AdS!G45-'Resto de Negocios'!G45</f>
        <v>-34408.421212249996</v>
      </c>
      <c r="H53" s="44">
        <f>-España!H45-Mexico!H45-Turquia!H45-AdS!H45-'Resto de Negocios'!H45</f>
        <v>-35466.034445749996</v>
      </c>
      <c r="I53" s="44">
        <f>-España!I45-Mexico!I45-Turquia!I45-AdS!I45-'Resto de Negocios'!I45</f>
        <v>0</v>
      </c>
    </row>
    <row r="54" spans="1:9" ht="15">
      <c r="A54" s="88" t="str">
        <f>HLOOKUP(INDICE!$F$2,Nombres!$C$3:$D$636,150,FALSE)</f>
        <v>Patrimonio neto</v>
      </c>
      <c r="B54" s="44">
        <v>49174.24499404001</v>
      </c>
      <c r="C54" s="44">
        <v>49554.82000600999</v>
      </c>
      <c r="D54" s="44">
        <v>48521.524994980005</v>
      </c>
      <c r="E54" s="45">
        <v>50019.82999592</v>
      </c>
      <c r="F54" s="44">
        <v>50711.29200094001</v>
      </c>
      <c r="G54" s="44">
        <v>49944.16900405</v>
      </c>
      <c r="H54" s="44">
        <v>50566.92299296</v>
      </c>
      <c r="I54" s="44">
        <v>0</v>
      </c>
    </row>
    <row r="55" spans="1:9" ht="15">
      <c r="A55" s="43"/>
      <c r="B55" s="58"/>
      <c r="C55" s="58"/>
      <c r="D55" s="58"/>
      <c r="E55" s="58"/>
      <c r="F55" s="58"/>
      <c r="G55" s="58"/>
      <c r="H55" s="58"/>
      <c r="I55" s="58"/>
    </row>
    <row r="56" spans="1:9" ht="15">
      <c r="A56" s="43"/>
      <c r="B56" s="58"/>
      <c r="C56" s="58"/>
      <c r="D56" s="58"/>
      <c r="E56" s="58"/>
      <c r="F56" s="58"/>
      <c r="G56" s="58"/>
      <c r="H56" s="58"/>
      <c r="I56" s="58"/>
    </row>
    <row r="57" spans="1:9" ht="15">
      <c r="A57" s="43"/>
      <c r="B57" s="58"/>
      <c r="C57" s="58"/>
      <c r="D57" s="58"/>
      <c r="E57" s="58"/>
      <c r="F57" s="44"/>
      <c r="G57" s="44"/>
      <c r="H57" s="44"/>
      <c r="I57" s="44"/>
    </row>
    <row r="58" spans="1:9" ht="15">
      <c r="A58" s="43"/>
      <c r="B58" s="30"/>
      <c r="C58" s="283"/>
      <c r="D58" s="30"/>
      <c r="E58" s="30"/>
      <c r="F58" s="70"/>
      <c r="G58" s="44"/>
      <c r="H58" s="44"/>
      <c r="I58" s="44"/>
    </row>
    <row r="59" spans="1:9" ht="15.75">
      <c r="A59" s="43"/>
      <c r="B59" s="30"/>
      <c r="C59" s="53"/>
      <c r="D59" s="53"/>
      <c r="E59" s="53"/>
      <c r="F59" s="53"/>
      <c r="G59" s="53"/>
      <c r="H59" s="53"/>
      <c r="I59" s="53"/>
    </row>
    <row r="60" spans="1:9" ht="15">
      <c r="A60" s="43"/>
      <c r="B60" s="44"/>
      <c r="C60" s="44"/>
      <c r="D60" s="44"/>
      <c r="E60" s="44"/>
      <c r="F60" s="44"/>
      <c r="G60" s="44"/>
      <c r="H60" s="44"/>
      <c r="I60" s="44"/>
    </row>
    <row r="61" spans="1:9" ht="15">
      <c r="A61" s="41"/>
      <c r="B61" s="44"/>
      <c r="C61" s="44"/>
      <c r="D61" s="44"/>
      <c r="E61" s="44"/>
      <c r="F61" s="44"/>
      <c r="G61" s="44"/>
      <c r="H61" s="44"/>
      <c r="I61" s="44"/>
    </row>
    <row r="62" spans="1:9" ht="15">
      <c r="A62" s="43"/>
      <c r="B62" s="44"/>
      <c r="C62" s="44"/>
      <c r="D62" s="44"/>
      <c r="E62" s="44"/>
      <c r="F62" s="44"/>
      <c r="G62" s="44"/>
      <c r="H62" s="44"/>
      <c r="I62" s="44"/>
    </row>
    <row r="63" spans="1:9" ht="15">
      <c r="A63" s="43"/>
      <c r="B63" s="44"/>
      <c r="D63" s="44"/>
      <c r="E63" s="44"/>
      <c r="F63" s="44"/>
      <c r="G63" s="44"/>
      <c r="H63" s="44"/>
      <c r="I63" s="44"/>
    </row>
    <row r="64" spans="1:9" ht="15">
      <c r="A64" s="43"/>
      <c r="B64" s="44"/>
      <c r="D64" s="44"/>
      <c r="E64" s="44"/>
      <c r="F64" s="44"/>
      <c r="G64" s="44"/>
      <c r="H64" s="44"/>
      <c r="I64" s="44"/>
    </row>
    <row r="65" spans="1:9" ht="15">
      <c r="A65" s="62"/>
      <c r="B65" s="58"/>
      <c r="D65" s="58"/>
      <c r="E65" s="58"/>
      <c r="F65" s="44"/>
      <c r="G65" s="44"/>
      <c r="H65" s="44"/>
      <c r="I65" s="44"/>
    </row>
    <row r="66" spans="1:9" ht="15">
      <c r="A66" s="62"/>
      <c r="B66" s="58"/>
      <c r="D66" s="30"/>
      <c r="E66" s="30"/>
      <c r="F66" s="70"/>
      <c r="G66" s="70"/>
      <c r="H66" s="70"/>
      <c r="I66" s="70"/>
    </row>
    <row r="67" spans="1:9" ht="15">
      <c r="A67" s="62"/>
      <c r="B67" s="58"/>
      <c r="D67" s="30"/>
      <c r="E67" s="30"/>
      <c r="F67" s="70"/>
      <c r="G67" s="70"/>
      <c r="H67" s="70"/>
      <c r="I67" s="70"/>
    </row>
    <row r="68" spans="2:9" ht="15">
      <c r="B68" s="54"/>
      <c r="C68" s="54"/>
      <c r="D68" s="54"/>
      <c r="E68" s="74"/>
      <c r="F68" s="94"/>
      <c r="G68" s="82"/>
      <c r="H68" s="82"/>
      <c r="I68" s="82"/>
    </row>
    <row r="69" spans="2:9" ht="15">
      <c r="B69" s="54"/>
      <c r="F69" s="82"/>
      <c r="G69" s="82"/>
      <c r="H69" s="82"/>
      <c r="I69" s="82"/>
    </row>
    <row r="70" spans="2:9" ht="15">
      <c r="B70" s="54"/>
      <c r="F70" s="82"/>
      <c r="G70" s="82"/>
      <c r="H70" s="82"/>
      <c r="I70" s="82"/>
    </row>
    <row r="71" spans="2:9" ht="15">
      <c r="B71" s="54"/>
      <c r="F71" s="82"/>
      <c r="G71" s="82"/>
      <c r="H71" s="82"/>
      <c r="I71" s="82"/>
    </row>
    <row r="72" spans="2:9" ht="15">
      <c r="B72" s="54"/>
      <c r="F72" s="82"/>
      <c r="G72" s="82"/>
      <c r="H72" s="82"/>
      <c r="I72" s="82"/>
    </row>
    <row r="73" spans="2:9" ht="15">
      <c r="B73" s="54"/>
      <c r="F73" s="82"/>
      <c r="G73" s="82"/>
      <c r="H73" s="82"/>
      <c r="I73" s="82"/>
    </row>
    <row r="74" spans="2:9" ht="15">
      <c r="B74" s="54"/>
      <c r="F74" s="82"/>
      <c r="G74" s="82"/>
      <c r="H74" s="82"/>
      <c r="I74" s="82"/>
    </row>
    <row r="75" spans="2:9" ht="15">
      <c r="B75" s="54"/>
      <c r="F75" s="82"/>
      <c r="G75" s="82"/>
      <c r="H75" s="82"/>
      <c r="I75" s="82"/>
    </row>
    <row r="76" spans="6:9" ht="15">
      <c r="F76" s="82"/>
      <c r="G76" s="82"/>
      <c r="H76" s="82"/>
      <c r="I76" s="82"/>
    </row>
    <row r="77" spans="6:9" ht="15">
      <c r="F77" s="82"/>
      <c r="G77" s="82"/>
      <c r="H77" s="82"/>
      <c r="I77" s="82"/>
    </row>
    <row r="78" spans="6:9" ht="15">
      <c r="F78" s="82"/>
      <c r="G78" s="82"/>
      <c r="H78" s="82"/>
      <c r="I78" s="82"/>
    </row>
    <row r="79" spans="6:9" ht="15">
      <c r="F79" s="82"/>
      <c r="G79" s="82"/>
      <c r="H79" s="82"/>
      <c r="I79" s="82"/>
    </row>
    <row r="80" spans="6:9" ht="15">
      <c r="F80" s="82"/>
      <c r="G80" s="82"/>
      <c r="H80" s="82"/>
      <c r="I80" s="82"/>
    </row>
    <row r="81" spans="6:9" ht="15">
      <c r="F81" s="82"/>
      <c r="G81" s="82"/>
      <c r="H81" s="82"/>
      <c r="I81" s="82"/>
    </row>
    <row r="82" spans="6:9" ht="15">
      <c r="F82" s="82"/>
      <c r="G82" s="82"/>
      <c r="H82" s="82"/>
      <c r="I82" s="82"/>
    </row>
    <row r="83" spans="6:9" ht="15">
      <c r="F83" s="82"/>
      <c r="G83" s="82"/>
      <c r="H83" s="82"/>
      <c r="I83" s="82"/>
    </row>
    <row r="84" spans="6:9" ht="15">
      <c r="F84" s="82"/>
      <c r="G84" s="82"/>
      <c r="H84" s="82"/>
      <c r="I84" s="82"/>
    </row>
    <row r="85" spans="6:9" ht="15">
      <c r="F85" s="82"/>
      <c r="G85" s="82"/>
      <c r="H85" s="82"/>
      <c r="I85" s="82"/>
    </row>
    <row r="86" spans="6:9" ht="15">
      <c r="F86" s="82"/>
      <c r="G86" s="82"/>
      <c r="H86" s="82"/>
      <c r="I86" s="82"/>
    </row>
    <row r="87" spans="6:9" ht="15">
      <c r="F87" s="82"/>
      <c r="G87" s="82"/>
      <c r="H87" s="82"/>
      <c r="I87" s="82"/>
    </row>
    <row r="88" spans="6:9" ht="15">
      <c r="F88" s="82"/>
      <c r="G88" s="82"/>
      <c r="H88" s="82"/>
      <c r="I88" s="82"/>
    </row>
    <row r="89" spans="6:9" ht="15">
      <c r="F89" s="82"/>
      <c r="G89" s="82"/>
      <c r="H89" s="82"/>
      <c r="I89" s="82"/>
    </row>
    <row r="90" spans="6:9" ht="15">
      <c r="F90" s="82"/>
      <c r="G90" s="82"/>
      <c r="H90" s="82"/>
      <c r="I90" s="82"/>
    </row>
    <row r="91" spans="6:9" ht="15">
      <c r="F91" s="82"/>
      <c r="G91" s="82"/>
      <c r="H91" s="82"/>
      <c r="I91" s="82"/>
    </row>
    <row r="92" spans="6:9" ht="15">
      <c r="F92" s="82"/>
      <c r="G92" s="82"/>
      <c r="H92" s="82"/>
      <c r="I92" s="82"/>
    </row>
    <row r="93" spans="6:9" ht="15">
      <c r="F93" s="82"/>
      <c r="G93" s="82"/>
      <c r="H93" s="82"/>
      <c r="I93" s="82"/>
    </row>
    <row r="94" spans="6:9" ht="15">
      <c r="F94" s="82"/>
      <c r="G94" s="82"/>
      <c r="H94" s="82"/>
      <c r="I94" s="82"/>
    </row>
    <row r="95" spans="6:9" ht="15">
      <c r="F95" s="82"/>
      <c r="G95" s="82"/>
      <c r="H95" s="82"/>
      <c r="I95" s="82"/>
    </row>
    <row r="96" spans="6:9" ht="15">
      <c r="F96" s="82"/>
      <c r="G96" s="82"/>
      <c r="H96" s="82"/>
      <c r="I96" s="82"/>
    </row>
    <row r="97" spans="6:9" ht="15">
      <c r="F97" s="82"/>
      <c r="G97" s="82"/>
      <c r="H97" s="82"/>
      <c r="I97" s="82"/>
    </row>
    <row r="98" spans="6:9" ht="15">
      <c r="F98" s="82"/>
      <c r="G98" s="82"/>
      <c r="H98" s="82"/>
      <c r="I98" s="82"/>
    </row>
    <row r="99" spans="6:9" ht="15">
      <c r="F99" s="82"/>
      <c r="G99" s="82"/>
      <c r="H99" s="82"/>
      <c r="I99" s="82"/>
    </row>
    <row r="100" spans="6:9" ht="15">
      <c r="F100" s="82"/>
      <c r="G100" s="82"/>
      <c r="H100" s="82"/>
      <c r="I100" s="82"/>
    </row>
    <row r="101" spans="6:9" ht="15">
      <c r="F101" s="82"/>
      <c r="G101" s="82"/>
      <c r="H101" s="82"/>
      <c r="I101" s="82"/>
    </row>
    <row r="102" spans="6:9" ht="15">
      <c r="F102" s="82"/>
      <c r="G102" s="82"/>
      <c r="H102" s="82"/>
      <c r="I102" s="82"/>
    </row>
    <row r="103" spans="6:9" ht="15">
      <c r="F103" s="82"/>
      <c r="G103" s="82"/>
      <c r="H103" s="82"/>
      <c r="I103" s="82"/>
    </row>
    <row r="104" spans="6:9" ht="15">
      <c r="F104" s="82"/>
      <c r="G104" s="82"/>
      <c r="H104" s="82"/>
      <c r="I104" s="82"/>
    </row>
    <row r="105" spans="6:9" ht="15">
      <c r="F105" s="82"/>
      <c r="G105" s="82"/>
      <c r="H105" s="82"/>
      <c r="I105" s="82"/>
    </row>
    <row r="106" spans="6:9" ht="15">
      <c r="F106" s="82"/>
      <c r="G106" s="82"/>
      <c r="H106" s="82"/>
      <c r="I106" s="82"/>
    </row>
    <row r="107" spans="6:9" ht="15">
      <c r="F107" s="82"/>
      <c r="G107" s="82"/>
      <c r="H107" s="82"/>
      <c r="I107" s="82"/>
    </row>
    <row r="108" spans="6:9" ht="15">
      <c r="F108" s="82"/>
      <c r="G108" s="82"/>
      <c r="H108" s="82"/>
      <c r="I108" s="82"/>
    </row>
    <row r="109" spans="6:9" ht="15">
      <c r="F109" s="82"/>
      <c r="G109" s="82"/>
      <c r="H109" s="82"/>
      <c r="I109" s="82"/>
    </row>
    <row r="110" spans="6:9" ht="15">
      <c r="F110" s="82"/>
      <c r="G110" s="82"/>
      <c r="H110" s="82"/>
      <c r="I110" s="82"/>
    </row>
    <row r="111" spans="6:9" ht="15">
      <c r="F111" s="82"/>
      <c r="G111" s="82"/>
      <c r="H111" s="82"/>
      <c r="I111" s="82"/>
    </row>
    <row r="112" spans="6:9" ht="15">
      <c r="F112" s="82"/>
      <c r="G112" s="82"/>
      <c r="H112" s="82"/>
      <c r="I112" s="82"/>
    </row>
    <row r="113" spans="6:9" ht="15">
      <c r="F113" s="82"/>
      <c r="G113" s="82"/>
      <c r="H113" s="82"/>
      <c r="I113" s="82"/>
    </row>
    <row r="122" spans="6:9" ht="15">
      <c r="F122" s="82"/>
      <c r="G122" s="82"/>
      <c r="H122" s="82"/>
      <c r="I122" s="82"/>
    </row>
    <row r="123" spans="6:9" ht="15">
      <c r="F123" s="82"/>
      <c r="G123" s="82"/>
      <c r="H123" s="82"/>
      <c r="I123" s="82"/>
    </row>
    <row r="124" spans="6:9" ht="15">
      <c r="F124" s="82"/>
      <c r="G124" s="82"/>
      <c r="H124" s="82"/>
      <c r="I124" s="82"/>
    </row>
    <row r="125" spans="6:9" ht="15">
      <c r="F125" s="82"/>
      <c r="G125" s="82"/>
      <c r="H125" s="82"/>
      <c r="I125" s="82"/>
    </row>
    <row r="126" spans="6:9" ht="15">
      <c r="F126" s="82"/>
      <c r="G126" s="82"/>
      <c r="H126" s="82"/>
      <c r="I126" s="82"/>
    </row>
    <row r="127" spans="6:9" ht="15">
      <c r="F127" s="82"/>
      <c r="G127" s="82"/>
      <c r="H127" s="82"/>
      <c r="I127" s="82"/>
    </row>
    <row r="128" spans="6:9" ht="15">
      <c r="F128" s="82"/>
      <c r="G128" s="82"/>
      <c r="H128" s="82"/>
      <c r="I128" s="82"/>
    </row>
    <row r="129" spans="6:9" ht="15">
      <c r="F129" s="82"/>
      <c r="G129" s="82"/>
      <c r="H129" s="82"/>
      <c r="I129" s="82"/>
    </row>
    <row r="130" spans="6:9" ht="15">
      <c r="F130" s="82"/>
      <c r="G130" s="82"/>
      <c r="H130" s="82"/>
      <c r="I130" s="82"/>
    </row>
    <row r="131" spans="6:9" ht="15">
      <c r="F131" s="82"/>
      <c r="G131" s="82"/>
      <c r="H131" s="82"/>
      <c r="I131" s="82"/>
    </row>
    <row r="132" spans="6:9" ht="15">
      <c r="F132" s="82"/>
      <c r="G132" s="82"/>
      <c r="H132" s="82"/>
      <c r="I132" s="82"/>
    </row>
    <row r="133" spans="6:9" ht="15">
      <c r="F133" s="82"/>
      <c r="G133" s="82"/>
      <c r="H133" s="82"/>
      <c r="I133" s="82"/>
    </row>
    <row r="134" spans="6:9" ht="15">
      <c r="F134" s="82"/>
      <c r="G134" s="82"/>
      <c r="H134" s="82"/>
      <c r="I134" s="82"/>
    </row>
    <row r="135" spans="6:9" ht="15">
      <c r="F135" s="82"/>
      <c r="G135" s="82"/>
      <c r="H135" s="82"/>
      <c r="I135" s="82"/>
    </row>
    <row r="136" spans="6:9" ht="15">
      <c r="F136" s="82"/>
      <c r="G136" s="82"/>
      <c r="H136" s="82"/>
      <c r="I136" s="82"/>
    </row>
    <row r="137" spans="6:9" ht="15">
      <c r="F137" s="82"/>
      <c r="G137" s="82"/>
      <c r="H137" s="82"/>
      <c r="I137" s="82"/>
    </row>
    <row r="138" spans="6:9" ht="15">
      <c r="F138" s="82"/>
      <c r="G138" s="82"/>
      <c r="H138" s="82"/>
      <c r="I138" s="82"/>
    </row>
    <row r="139" spans="6:9" ht="15">
      <c r="F139" s="82"/>
      <c r="G139" s="82"/>
      <c r="H139" s="82"/>
      <c r="I139" s="82"/>
    </row>
    <row r="140" spans="6:9" ht="15">
      <c r="F140" s="82"/>
      <c r="G140" s="82"/>
      <c r="H140" s="82"/>
      <c r="I140" s="82"/>
    </row>
    <row r="141" spans="6:9" ht="15">
      <c r="F141" s="82"/>
      <c r="G141" s="82"/>
      <c r="H141" s="82"/>
      <c r="I141" s="82"/>
    </row>
    <row r="142" spans="6:9" ht="15">
      <c r="F142" s="82"/>
      <c r="G142" s="82"/>
      <c r="H142" s="82"/>
      <c r="I142" s="82"/>
    </row>
    <row r="143" spans="6:9" ht="15">
      <c r="F143" s="82"/>
      <c r="G143" s="82"/>
      <c r="H143" s="82"/>
      <c r="I143" s="82"/>
    </row>
    <row r="144" spans="6:9" ht="15">
      <c r="F144" s="82"/>
      <c r="G144" s="82"/>
      <c r="H144" s="82"/>
      <c r="I144" s="82"/>
    </row>
    <row r="145" spans="6:9" ht="15">
      <c r="F145" s="82"/>
      <c r="G145" s="82"/>
      <c r="H145" s="82"/>
      <c r="I145" s="82"/>
    </row>
    <row r="146" spans="6:9" ht="15">
      <c r="F146" s="82"/>
      <c r="G146" s="82"/>
      <c r="H146" s="82"/>
      <c r="I146" s="82"/>
    </row>
    <row r="147" spans="6:9" ht="15">
      <c r="F147" s="82"/>
      <c r="G147" s="82"/>
      <c r="H147" s="82"/>
      <c r="I147" s="82"/>
    </row>
    <row r="148" spans="6:9" ht="15">
      <c r="F148" s="82"/>
      <c r="G148" s="82"/>
      <c r="H148" s="82"/>
      <c r="I148" s="82"/>
    </row>
    <row r="149" spans="6:9" ht="15">
      <c r="F149" s="82"/>
      <c r="G149" s="82"/>
      <c r="H149" s="82"/>
      <c r="I149" s="82"/>
    </row>
    <row r="150" spans="6:9" ht="15">
      <c r="F150" s="82"/>
      <c r="G150" s="82"/>
      <c r="H150" s="82"/>
      <c r="I150" s="82"/>
    </row>
    <row r="151" spans="6:9" ht="15">
      <c r="F151" s="82"/>
      <c r="G151" s="82"/>
      <c r="H151" s="82"/>
      <c r="I151" s="82"/>
    </row>
    <row r="152" spans="6:9" ht="15">
      <c r="F152" s="82"/>
      <c r="G152" s="82"/>
      <c r="H152" s="82"/>
      <c r="I152" s="82"/>
    </row>
    <row r="153" spans="6:9" ht="15">
      <c r="F153" s="82"/>
      <c r="G153" s="82"/>
      <c r="H153" s="82"/>
      <c r="I153" s="82"/>
    </row>
    <row r="154" spans="6:9" ht="15">
      <c r="F154" s="82"/>
      <c r="G154" s="82"/>
      <c r="H154" s="82"/>
      <c r="I154" s="82"/>
    </row>
    <row r="155" spans="6:9" ht="15">
      <c r="F155" s="82"/>
      <c r="G155" s="82"/>
      <c r="H155" s="82"/>
      <c r="I155" s="82"/>
    </row>
    <row r="156" spans="6:9" ht="15">
      <c r="F156" s="82"/>
      <c r="G156" s="82"/>
      <c r="H156" s="82"/>
      <c r="I156" s="82"/>
    </row>
    <row r="157" spans="6:9" ht="15">
      <c r="F157" s="82"/>
      <c r="G157" s="82"/>
      <c r="H157" s="82"/>
      <c r="I157" s="82"/>
    </row>
    <row r="158" spans="6:9" ht="15">
      <c r="F158" s="82"/>
      <c r="G158" s="82"/>
      <c r="H158" s="82"/>
      <c r="I158" s="82"/>
    </row>
    <row r="159" spans="6:9" ht="15">
      <c r="F159" s="82"/>
      <c r="G159" s="82"/>
      <c r="H159" s="82"/>
      <c r="I159" s="82"/>
    </row>
    <row r="160" spans="6:9" ht="15">
      <c r="F160" s="82"/>
      <c r="G160" s="82"/>
      <c r="H160" s="82"/>
      <c r="I160" s="82"/>
    </row>
    <row r="161" spans="6:9" ht="15">
      <c r="F161" s="82"/>
      <c r="G161" s="82"/>
      <c r="H161" s="82"/>
      <c r="I161" s="82"/>
    </row>
    <row r="162" spans="6:9" ht="15">
      <c r="F162" s="82"/>
      <c r="G162" s="82"/>
      <c r="H162" s="82"/>
      <c r="I162" s="82"/>
    </row>
    <row r="163" spans="6:9" ht="15">
      <c r="F163" s="82"/>
      <c r="G163" s="82"/>
      <c r="H163" s="82"/>
      <c r="I163" s="82"/>
    </row>
    <row r="164" spans="6:9" ht="15">
      <c r="F164" s="82"/>
      <c r="G164" s="82"/>
      <c r="H164" s="82"/>
      <c r="I164" s="82"/>
    </row>
    <row r="165" spans="6:9" ht="15">
      <c r="F165" s="82"/>
      <c r="G165" s="82"/>
      <c r="H165" s="82"/>
      <c r="I165" s="82"/>
    </row>
    <row r="166" spans="6:9" ht="15">
      <c r="F166" s="82"/>
      <c r="G166" s="82"/>
      <c r="H166" s="82"/>
      <c r="I166" s="82"/>
    </row>
    <row r="167" spans="6:9" ht="15">
      <c r="F167" s="82"/>
      <c r="G167" s="82"/>
      <c r="H167" s="82"/>
      <c r="I167" s="82"/>
    </row>
    <row r="168" spans="6:9" ht="15">
      <c r="F168" s="82"/>
      <c r="G168" s="82"/>
      <c r="H168" s="82"/>
      <c r="I168" s="82"/>
    </row>
  </sheetData>
  <sheetProtection/>
  <mergeCells count="4">
    <mergeCell ref="B6:E6"/>
    <mergeCell ref="F6:I6"/>
    <mergeCell ref="A32:I32"/>
    <mergeCell ref="A33:I33"/>
  </mergeCells>
  <conditionalFormatting sqref="B34:I3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305" t="str">
        <f>HLOOKUP(INDICE!$F$2,Nombres!$C$3:$D$636,281,FALSE)</f>
        <v>(*) No incluye el negocio de CIB vendido a PNC.</v>
      </c>
      <c r="B2" s="305"/>
      <c r="C2" s="305"/>
      <c r="D2" s="305"/>
      <c r="E2" s="305"/>
      <c r="F2" s="305"/>
      <c r="G2" s="305"/>
      <c r="H2" s="305"/>
      <c r="I2" s="305"/>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357.56602584</v>
      </c>
      <c r="C8" s="41">
        <v>394.77856554999994</v>
      </c>
      <c r="D8" s="41">
        <v>358.52760286</v>
      </c>
      <c r="E8" s="42">
        <v>370.95510364000006</v>
      </c>
      <c r="F8" s="50">
        <v>381.29258699</v>
      </c>
      <c r="G8" s="50">
        <v>370.54351188</v>
      </c>
      <c r="H8" s="50">
        <v>403.88620781000003</v>
      </c>
      <c r="I8" s="50">
        <v>0</v>
      </c>
    </row>
    <row r="9" spans="1:9" ht="15">
      <c r="A9" s="43" t="str">
        <f>HLOOKUP(INDICE!$F$2,Nombres!$C$3:$D$636,34,FALSE)</f>
        <v>Comisiones netas</v>
      </c>
      <c r="B9" s="44">
        <v>184.48124925</v>
      </c>
      <c r="C9" s="44">
        <v>199.18133853</v>
      </c>
      <c r="D9" s="44">
        <v>195.67699916000004</v>
      </c>
      <c r="E9" s="45">
        <v>171.61122332000002</v>
      </c>
      <c r="F9" s="44">
        <v>192.20334071999997</v>
      </c>
      <c r="G9" s="44">
        <v>194.29422526</v>
      </c>
      <c r="H9" s="44">
        <v>196.41635784000005</v>
      </c>
      <c r="I9" s="44">
        <v>0</v>
      </c>
    </row>
    <row r="10" spans="1:9" ht="15">
      <c r="A10" s="43" t="str">
        <f>HLOOKUP(INDICE!$F$2,Nombres!$C$3:$D$636,35,FALSE)</f>
        <v>Resultados de operaciones financieras</v>
      </c>
      <c r="B10" s="44">
        <v>171.79554944</v>
      </c>
      <c r="C10" s="44">
        <v>220.95454060000006</v>
      </c>
      <c r="D10" s="44">
        <v>201.53798054</v>
      </c>
      <c r="E10" s="45">
        <v>144.56472738</v>
      </c>
      <c r="F10" s="44">
        <v>272.72820229999996</v>
      </c>
      <c r="G10" s="44">
        <v>227.23399022</v>
      </c>
      <c r="H10" s="44">
        <v>135.55511238000003</v>
      </c>
      <c r="I10" s="44">
        <v>0</v>
      </c>
    </row>
    <row r="11" spans="1:9" ht="15">
      <c r="A11" s="43" t="str">
        <f>HLOOKUP(INDICE!$F$2,Nombres!$C$3:$D$636,36,FALSE)</f>
        <v>Otros ingresos y cargas de explotación</v>
      </c>
      <c r="B11" s="44">
        <v>-11.649163249999999</v>
      </c>
      <c r="C11" s="44">
        <v>-8.8943631</v>
      </c>
      <c r="D11" s="44">
        <v>-8.124054129999998</v>
      </c>
      <c r="E11" s="45">
        <v>-9.119876120000004</v>
      </c>
      <c r="F11" s="44">
        <v>-10.777639520000001</v>
      </c>
      <c r="G11" s="44">
        <v>-6.95802839</v>
      </c>
      <c r="H11" s="44">
        <v>-10.40183254</v>
      </c>
      <c r="I11" s="44">
        <v>0</v>
      </c>
    </row>
    <row r="12" spans="1:9" ht="15">
      <c r="A12" s="41" t="str">
        <f>HLOOKUP(INDICE!$F$2,Nombres!$C$3:$D$636,37,FALSE)</f>
        <v>Margen bruto</v>
      </c>
      <c r="B12" s="41">
        <f>+SUM(B8:B11)</f>
        <v>702.1936612799999</v>
      </c>
      <c r="C12" s="41">
        <f aca="true" t="shared" si="0" ref="C12:I12">+SUM(C8:C11)</f>
        <v>806.02008158</v>
      </c>
      <c r="D12" s="41">
        <f t="shared" si="0"/>
        <v>747.6185284300001</v>
      </c>
      <c r="E12" s="42">
        <f t="shared" si="0"/>
        <v>678.0111782200001</v>
      </c>
      <c r="F12" s="50">
        <f t="shared" si="0"/>
        <v>835.44649049</v>
      </c>
      <c r="G12" s="50">
        <f t="shared" si="0"/>
        <v>785.11369897</v>
      </c>
      <c r="H12" s="50">
        <f t="shared" si="0"/>
        <v>725.4558454900002</v>
      </c>
      <c r="I12" s="50">
        <f t="shared" si="0"/>
        <v>0</v>
      </c>
    </row>
    <row r="13" spans="1:9" ht="15">
      <c r="A13" s="43" t="str">
        <f>HLOOKUP(INDICE!$F$2,Nombres!$C$3:$D$636,38,FALSE)</f>
        <v>Gastos de explotación</v>
      </c>
      <c r="B13" s="44">
        <v>-253.82480341000002</v>
      </c>
      <c r="C13" s="44">
        <v>-197.58986168</v>
      </c>
      <c r="D13" s="44">
        <v>-219.17793269999999</v>
      </c>
      <c r="E13" s="45">
        <v>-251.79492152000003</v>
      </c>
      <c r="F13" s="44">
        <v>-231.51141617000002</v>
      </c>
      <c r="G13" s="44">
        <v>-234.94686456</v>
      </c>
      <c r="H13" s="44">
        <v>-235.15196282000005</v>
      </c>
      <c r="I13" s="44">
        <v>0</v>
      </c>
    </row>
    <row r="14" spans="1:9" ht="15">
      <c r="A14" s="43" t="str">
        <f>HLOOKUP(INDICE!$F$2,Nombres!$C$3:$D$636,39,FALSE)</f>
        <v>  Gastos de administración</v>
      </c>
      <c r="B14" s="44">
        <v>-224.32390685</v>
      </c>
      <c r="C14" s="44">
        <v>-168.29633151</v>
      </c>
      <c r="D14" s="44">
        <v>-190.31110582999997</v>
      </c>
      <c r="E14" s="45">
        <v>-224.27593569000004</v>
      </c>
      <c r="F14" s="44">
        <v>-204.50501931999997</v>
      </c>
      <c r="G14" s="44">
        <v>-207.86738302</v>
      </c>
      <c r="H14" s="44">
        <v>-207.84041636</v>
      </c>
      <c r="I14" s="44">
        <v>0</v>
      </c>
    </row>
    <row r="15" spans="1:9" ht="15">
      <c r="A15" s="46" t="str">
        <f>HLOOKUP(INDICE!$F$2,Nombres!$C$3:$D$636,40,FALSE)</f>
        <v>  Gastos de personal</v>
      </c>
      <c r="B15" s="44">
        <v>-119.93243466</v>
      </c>
      <c r="C15" s="44">
        <v>-74.66623368</v>
      </c>
      <c r="D15" s="44">
        <v>-89.29042893</v>
      </c>
      <c r="E15" s="45">
        <v>-125.25417997</v>
      </c>
      <c r="F15" s="44">
        <v>-106.12042787000001</v>
      </c>
      <c r="G15" s="44">
        <v>-106.18169408000001</v>
      </c>
      <c r="H15" s="44">
        <v>-111.42435185000001</v>
      </c>
      <c r="I15" s="44">
        <v>0</v>
      </c>
    </row>
    <row r="16" spans="1:9" ht="15">
      <c r="A16" s="46" t="str">
        <f>HLOOKUP(INDICE!$F$2,Nombres!$C$3:$D$636,41,FALSE)</f>
        <v>  Otros gastos de administración</v>
      </c>
      <c r="B16" s="44">
        <v>-104.39147219</v>
      </c>
      <c r="C16" s="44">
        <v>-93.63009783</v>
      </c>
      <c r="D16" s="44">
        <v>-101.02067689999998</v>
      </c>
      <c r="E16" s="45">
        <v>-99.02175572000002</v>
      </c>
      <c r="F16" s="44">
        <v>-98.38459144999996</v>
      </c>
      <c r="G16" s="44">
        <v>-101.68568894000002</v>
      </c>
      <c r="H16" s="44">
        <v>-96.41606451000001</v>
      </c>
      <c r="I16" s="44">
        <v>0</v>
      </c>
    </row>
    <row r="17" spans="1:9" ht="15">
      <c r="A17" s="43" t="str">
        <f>HLOOKUP(INDICE!$F$2,Nombres!$C$3:$D$636,42,FALSE)</f>
        <v>  Amortización</v>
      </c>
      <c r="B17" s="44">
        <v>-29.50089656</v>
      </c>
      <c r="C17" s="44">
        <v>-29.293530169999997</v>
      </c>
      <c r="D17" s="44">
        <v>-28.866826870000004</v>
      </c>
      <c r="E17" s="45">
        <v>-27.518985829999995</v>
      </c>
      <c r="F17" s="44">
        <v>-27.006396849999998</v>
      </c>
      <c r="G17" s="44">
        <v>-27.07948154</v>
      </c>
      <c r="H17" s="44">
        <v>-27.311546460000002</v>
      </c>
      <c r="I17" s="44">
        <v>0</v>
      </c>
    </row>
    <row r="18" spans="1:9" ht="15">
      <c r="A18" s="41" t="str">
        <f>HLOOKUP(INDICE!$F$2,Nombres!$C$3:$D$636,43,FALSE)</f>
        <v>Margen neto</v>
      </c>
      <c r="B18" s="41">
        <f>+B12+B13</f>
        <v>448.3688578699999</v>
      </c>
      <c r="C18" s="41">
        <f aca="true" t="shared" si="1" ref="C18:I18">+C12+C13</f>
        <v>608.4302199</v>
      </c>
      <c r="D18" s="41">
        <f t="shared" si="1"/>
        <v>528.44059573</v>
      </c>
      <c r="E18" s="42">
        <f t="shared" si="1"/>
        <v>426.21625670000014</v>
      </c>
      <c r="F18" s="50">
        <f t="shared" si="1"/>
        <v>603.93507432</v>
      </c>
      <c r="G18" s="50">
        <f t="shared" si="1"/>
        <v>550.16683441</v>
      </c>
      <c r="H18" s="50">
        <f t="shared" si="1"/>
        <v>490.3038826700002</v>
      </c>
      <c r="I18" s="50">
        <f t="shared" si="1"/>
        <v>0</v>
      </c>
    </row>
    <row r="19" spans="1:9" ht="15">
      <c r="A19" s="43" t="str">
        <f>HLOOKUP(INDICE!$F$2,Nombres!$C$3:$D$636,44,FALSE)</f>
        <v>Deterioro de activos financieros no valorados a valor razonable con cambios en resultados</v>
      </c>
      <c r="B19" s="44">
        <v>-206.98898181</v>
      </c>
      <c r="C19" s="44">
        <v>-111.12452154</v>
      </c>
      <c r="D19" s="44">
        <v>-24.82528512000001</v>
      </c>
      <c r="E19" s="45">
        <v>-110.60543652000001</v>
      </c>
      <c r="F19" s="44">
        <v>-42.86934371000001</v>
      </c>
      <c r="G19" s="44">
        <v>-10.941994219999991</v>
      </c>
      <c r="H19" s="44">
        <v>40.77339573999997</v>
      </c>
      <c r="I19" s="44">
        <v>0</v>
      </c>
    </row>
    <row r="20" spans="1:9" ht="15">
      <c r="A20" s="43" t="str">
        <f>HLOOKUP(INDICE!$F$2,Nombres!$C$3:$D$636,45,FALSE)</f>
        <v>Provisiones o reversión de provisiones y otros resultados</v>
      </c>
      <c r="B20" s="44">
        <v>7.3410485700000025</v>
      </c>
      <c r="C20" s="44">
        <v>-23.24987413</v>
      </c>
      <c r="D20" s="44">
        <v>-27.652123720000002</v>
      </c>
      <c r="E20" s="45">
        <v>-10.72368814</v>
      </c>
      <c r="F20" s="44">
        <v>-22.13165421</v>
      </c>
      <c r="G20" s="44">
        <v>5.69190444</v>
      </c>
      <c r="H20" s="44">
        <v>16.47833947</v>
      </c>
      <c r="I20" s="44">
        <v>0</v>
      </c>
    </row>
    <row r="21" spans="1:9" ht="15">
      <c r="A21" s="41" t="str">
        <f>HLOOKUP(INDICE!$F$2,Nombres!$C$3:$D$636,46,FALSE)</f>
        <v>Resultado antes de impuestos</v>
      </c>
      <c r="B21" s="41">
        <f>+B18+B19+B20</f>
        <v>248.72092462999987</v>
      </c>
      <c r="C21" s="41">
        <f aca="true" t="shared" si="2" ref="C21:I21">+C18+C19+C20</f>
        <v>474.05582423</v>
      </c>
      <c r="D21" s="41">
        <f t="shared" si="2"/>
        <v>475.96318689000003</v>
      </c>
      <c r="E21" s="42">
        <f t="shared" si="2"/>
        <v>304.88713204000015</v>
      </c>
      <c r="F21" s="50">
        <f t="shared" si="2"/>
        <v>538.9340764</v>
      </c>
      <c r="G21" s="50">
        <f t="shared" si="2"/>
        <v>544.91674463</v>
      </c>
      <c r="H21" s="50">
        <f t="shared" si="2"/>
        <v>547.5556178800002</v>
      </c>
      <c r="I21" s="50">
        <f t="shared" si="2"/>
        <v>0</v>
      </c>
    </row>
    <row r="22" spans="1:9" ht="15">
      <c r="A22" s="43" t="str">
        <f>HLOOKUP(INDICE!$F$2,Nombres!$C$3:$D$636,47,FALSE)</f>
        <v>Impuesto sobre beneficios</v>
      </c>
      <c r="B22" s="44">
        <v>-62.52903628000002</v>
      </c>
      <c r="C22" s="44">
        <v>-133.77168296</v>
      </c>
      <c r="D22" s="44">
        <v>-125.83911237999996</v>
      </c>
      <c r="E22" s="45">
        <v>-72.18783151999999</v>
      </c>
      <c r="F22" s="44">
        <v>-138.08503040000002</v>
      </c>
      <c r="G22" s="44">
        <v>-164.68503557999998</v>
      </c>
      <c r="H22" s="44">
        <v>-154.18430452</v>
      </c>
      <c r="I22" s="44">
        <v>0</v>
      </c>
    </row>
    <row r="23" spans="1:9" ht="15">
      <c r="A23" s="41" t="str">
        <f>HLOOKUP(INDICE!$F$2,Nombres!$C$3:$D$636,48,FALSE)</f>
        <v>Resultado del ejercicio</v>
      </c>
      <c r="B23" s="41">
        <f>+B21+B22</f>
        <v>186.19188834999986</v>
      </c>
      <c r="C23" s="41">
        <f aca="true" t="shared" si="3" ref="C23:I23">+C21+C22</f>
        <v>340.28414126999996</v>
      </c>
      <c r="D23" s="41">
        <f t="shared" si="3"/>
        <v>350.12407451000007</v>
      </c>
      <c r="E23" s="42">
        <f t="shared" si="3"/>
        <v>232.69930052000018</v>
      </c>
      <c r="F23" s="50">
        <f t="shared" si="3"/>
        <v>400.84904599999993</v>
      </c>
      <c r="G23" s="50">
        <f t="shared" si="3"/>
        <v>380.23170905000006</v>
      </c>
      <c r="H23" s="50">
        <f t="shared" si="3"/>
        <v>393.3713133600002</v>
      </c>
      <c r="I23" s="50">
        <f t="shared" si="3"/>
        <v>0</v>
      </c>
    </row>
    <row r="24" spans="1:9" ht="15">
      <c r="A24" s="43" t="str">
        <f>HLOOKUP(INDICE!$F$2,Nombres!$C$3:$D$636,49,FALSE)</f>
        <v>Minoritarios</v>
      </c>
      <c r="B24" s="44">
        <v>-24.241784989999996</v>
      </c>
      <c r="C24" s="44">
        <v>-63.656055300000006</v>
      </c>
      <c r="D24" s="44">
        <v>-83.11364824</v>
      </c>
      <c r="E24" s="45">
        <v>-49.14954062999999</v>
      </c>
      <c r="F24" s="44">
        <v>-77.89472169999999</v>
      </c>
      <c r="G24" s="44">
        <v>-64.79629771</v>
      </c>
      <c r="H24" s="44">
        <v>-77.18137475</v>
      </c>
      <c r="I24" s="44">
        <v>0</v>
      </c>
    </row>
    <row r="25" spans="1:9" ht="15">
      <c r="A25" s="47" t="str">
        <f>HLOOKUP(INDICE!$F$2,Nombres!$C$3:$D$636,50,FALSE)</f>
        <v>Resultado atribuido</v>
      </c>
      <c r="B25" s="47">
        <f>+B23+B24</f>
        <v>161.95010335999987</v>
      </c>
      <c r="C25" s="47">
        <f aca="true" t="shared" si="4" ref="C25:I25">+C23+C24</f>
        <v>276.62808597</v>
      </c>
      <c r="D25" s="47">
        <f t="shared" si="4"/>
        <v>267.01042627000004</v>
      </c>
      <c r="E25" s="47">
        <f t="shared" si="4"/>
        <v>183.5497598900002</v>
      </c>
      <c r="F25" s="51">
        <f t="shared" si="4"/>
        <v>322.95432429999994</v>
      </c>
      <c r="G25" s="51">
        <f t="shared" si="4"/>
        <v>315.4354113400001</v>
      </c>
      <c r="H25" s="51">
        <f t="shared" si="4"/>
        <v>316.18993861000024</v>
      </c>
      <c r="I25" s="51">
        <f t="shared" si="4"/>
        <v>0</v>
      </c>
    </row>
    <row r="26" spans="1:9" ht="15">
      <c r="A26" s="305"/>
      <c r="B26" s="305"/>
      <c r="C26" s="305"/>
      <c r="D26" s="305"/>
      <c r="E26" s="305"/>
      <c r="F26" s="305"/>
      <c r="G26" s="305"/>
      <c r="H26" s="305"/>
      <c r="I26" s="305"/>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5938.631999369999</v>
      </c>
      <c r="C31" s="44">
        <v>4179.689813610002</v>
      </c>
      <c r="D31" s="44">
        <v>5884.895129830002</v>
      </c>
      <c r="E31" s="45">
        <v>7490.881852899999</v>
      </c>
      <c r="F31" s="44">
        <v>4756.907981670004</v>
      </c>
      <c r="G31" s="44">
        <v>4748.889295559999</v>
      </c>
      <c r="H31" s="44">
        <v>5118.13634932</v>
      </c>
      <c r="I31" s="44">
        <v>0</v>
      </c>
    </row>
    <row r="32" spans="1:9" ht="15">
      <c r="A32" s="43" t="str">
        <f>HLOOKUP(INDICE!$F$2,Nombres!$C$3:$D$636,53,FALSE)</f>
        <v>Activos financieros a valor razonable</v>
      </c>
      <c r="B32" s="58">
        <v>136596.95071704</v>
      </c>
      <c r="C32" s="58">
        <v>121035.61513537</v>
      </c>
      <c r="D32" s="58">
        <v>109712.98692921</v>
      </c>
      <c r="E32" s="65">
        <v>110217.26646828002</v>
      </c>
      <c r="F32" s="44">
        <v>105243.61854435001</v>
      </c>
      <c r="G32" s="44">
        <v>110732.13108476003</v>
      </c>
      <c r="H32" s="44">
        <v>114505.34924350002</v>
      </c>
      <c r="I32" s="44">
        <v>0</v>
      </c>
    </row>
    <row r="33" spans="1:9" ht="15">
      <c r="A33" s="43" t="str">
        <f>HLOOKUP(INDICE!$F$2,Nombres!$C$3:$D$636,54,FALSE)</f>
        <v>Activos financieros a coste amortizado</v>
      </c>
      <c r="B33" s="44">
        <v>81912.71188181</v>
      </c>
      <c r="C33" s="44">
        <v>82461.02327095998</v>
      </c>
      <c r="D33" s="44">
        <v>71974.52405491</v>
      </c>
      <c r="E33" s="45">
        <v>71030.88248484001</v>
      </c>
      <c r="F33" s="44">
        <v>68969.52906482</v>
      </c>
      <c r="G33" s="44">
        <v>68486.47815959</v>
      </c>
      <c r="H33" s="44">
        <v>68979.34210170999</v>
      </c>
      <c r="I33" s="44">
        <v>0</v>
      </c>
    </row>
    <row r="34" spans="1:9" ht="15">
      <c r="A34" s="43" t="str">
        <f>HLOOKUP(INDICE!$F$2,Nombres!$C$3:$D$636,55,FALSE)</f>
        <v>    de los que préstamos y anticipos a la clientela</v>
      </c>
      <c r="B34" s="44">
        <v>69104.7624071</v>
      </c>
      <c r="C34" s="44">
        <v>69719.88077972001</v>
      </c>
      <c r="D34" s="44">
        <v>61780.859829170004</v>
      </c>
      <c r="E34" s="45">
        <v>59225.036179090006</v>
      </c>
      <c r="F34" s="44">
        <v>58026.6382368</v>
      </c>
      <c r="G34" s="44">
        <v>57870.137506349995</v>
      </c>
      <c r="H34" s="44">
        <v>58400.68174508</v>
      </c>
      <c r="I34" s="44">
        <v>0</v>
      </c>
    </row>
    <row r="35" spans="1:9" ht="15">
      <c r="A35" s="43"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57.37874926</v>
      </c>
      <c r="C36" s="44">
        <v>55.06547653</v>
      </c>
      <c r="D36" s="44">
        <v>50.91730626000001</v>
      </c>
      <c r="E36" s="45">
        <v>49.57883355999999</v>
      </c>
      <c r="F36" s="44">
        <v>45.187679179999996</v>
      </c>
      <c r="G36" s="44">
        <v>42.16608239999999</v>
      </c>
      <c r="H36" s="44">
        <v>39.26288666</v>
      </c>
      <c r="I36" s="44">
        <v>0</v>
      </c>
    </row>
    <row r="37" spans="1:9" ht="15">
      <c r="A37" s="43" t="str">
        <f>HLOOKUP(INDICE!$F$2,Nombres!$C$3:$D$636,57,FALSE)</f>
        <v>Otros activos</v>
      </c>
      <c r="B37" s="58">
        <f>+B38-B36-B33-B32-B31-B35</f>
        <v>1783.1437149400035</v>
      </c>
      <c r="C37" s="58">
        <f aca="true" t="shared" si="5" ref="C37:I37">+C38-C36-C33-C32-C31-C35</f>
        <v>1553.6018510299955</v>
      </c>
      <c r="D37" s="58">
        <f t="shared" si="5"/>
        <v>1697.9949697099873</v>
      </c>
      <c r="E37" s="65">
        <f t="shared" si="5"/>
        <v>843.2144207100055</v>
      </c>
      <c r="F37" s="58">
        <f t="shared" si="5"/>
        <v>1214.7694588500372</v>
      </c>
      <c r="G37" s="58">
        <f t="shared" si="5"/>
        <v>2355.0448191600044</v>
      </c>
      <c r="H37" s="58">
        <f t="shared" si="5"/>
        <v>1725.9821304099796</v>
      </c>
      <c r="I37" s="58">
        <f t="shared" si="5"/>
        <v>0</v>
      </c>
    </row>
    <row r="38" spans="1:9" ht="15">
      <c r="A38" s="47" t="str">
        <f>HLOOKUP(INDICE!$F$2,Nombres!$C$3:$D$636,58,FALSE)</f>
        <v>Total activo / pasivo</v>
      </c>
      <c r="B38" s="47">
        <v>226288.81706241998</v>
      </c>
      <c r="C38" s="47">
        <v>209284.99554749997</v>
      </c>
      <c r="D38" s="47">
        <v>189321.31838992</v>
      </c>
      <c r="E38" s="71">
        <v>189631.82406029003</v>
      </c>
      <c r="F38" s="51">
        <v>180230.01272887006</v>
      </c>
      <c r="G38" s="51">
        <v>186364.70944147004</v>
      </c>
      <c r="H38" s="51">
        <v>190368.0727116</v>
      </c>
      <c r="I38" s="51">
        <v>0</v>
      </c>
    </row>
    <row r="39" spans="1:9" ht="15">
      <c r="A39" s="43" t="str">
        <f>HLOOKUP(INDICE!$F$2,Nombres!$C$3:$D$636,59,FALSE)</f>
        <v>Pasivos financieros mantenidos para negociar y designados a valor razonable con cambios en resultados</v>
      </c>
      <c r="B39" s="58">
        <v>118600.52542145002</v>
      </c>
      <c r="C39" s="58">
        <v>108815.06801010002</v>
      </c>
      <c r="D39" s="58">
        <v>94676.88917559</v>
      </c>
      <c r="E39" s="65">
        <v>87507.82701787002</v>
      </c>
      <c r="F39" s="44">
        <v>83851.77844107001</v>
      </c>
      <c r="G39" s="44">
        <v>85084.72964821</v>
      </c>
      <c r="H39" s="44">
        <v>85661.48832127</v>
      </c>
      <c r="I39" s="44">
        <v>0</v>
      </c>
    </row>
    <row r="40" spans="1:9" ht="15">
      <c r="A40" s="43" t="str">
        <f>HLOOKUP(INDICE!$F$2,Nombres!$C$3:$D$636,60,FALSE)</f>
        <v>Depósitos de bancos centrales y entidades de crédito</v>
      </c>
      <c r="B40" s="58">
        <v>19470.529110820004</v>
      </c>
      <c r="C40" s="58">
        <v>15157.794969679999</v>
      </c>
      <c r="D40" s="58">
        <v>12186.52930124</v>
      </c>
      <c r="E40" s="65">
        <v>15957.88126212</v>
      </c>
      <c r="F40" s="44">
        <v>14230.34351329</v>
      </c>
      <c r="G40" s="44">
        <v>14878.946080910002</v>
      </c>
      <c r="H40" s="44">
        <v>15307.926067229997</v>
      </c>
      <c r="I40" s="44">
        <v>0</v>
      </c>
    </row>
    <row r="41" spans="1:9" ht="15.75" customHeight="1">
      <c r="A41" s="43" t="str">
        <f>HLOOKUP(INDICE!$F$2,Nombres!$C$3:$D$636,61,FALSE)</f>
        <v>Depósitos de la clientela</v>
      </c>
      <c r="B41" s="58">
        <v>37208.7609319</v>
      </c>
      <c r="C41" s="58">
        <v>39220.98264958</v>
      </c>
      <c r="D41" s="58">
        <v>39117.053663369996</v>
      </c>
      <c r="E41" s="65">
        <v>42966.24815662</v>
      </c>
      <c r="F41" s="44">
        <v>36489.330017750006</v>
      </c>
      <c r="G41" s="44">
        <v>37169.56320771</v>
      </c>
      <c r="H41" s="44">
        <v>36686.46877219</v>
      </c>
      <c r="I41" s="44">
        <v>0</v>
      </c>
    </row>
    <row r="42" spans="1:9" ht="15">
      <c r="A42" s="43" t="str">
        <f>HLOOKUP(INDICE!$F$2,Nombres!$C$3:$D$636,62,FALSE)</f>
        <v>Valores representativos de deuda emitidos</v>
      </c>
      <c r="B42" s="44">
        <v>2183.18460059</v>
      </c>
      <c r="C42" s="44">
        <v>1855.0227352500003</v>
      </c>
      <c r="D42" s="44">
        <v>1860.6350731300004</v>
      </c>
      <c r="E42" s="45">
        <v>2095.74526486</v>
      </c>
      <c r="F42" s="44">
        <v>2194.2447050700002</v>
      </c>
      <c r="G42" s="44">
        <v>2713.23074014</v>
      </c>
      <c r="H42" s="44">
        <v>3132.30489521</v>
      </c>
      <c r="I42" s="44">
        <v>0</v>
      </c>
    </row>
    <row r="43" spans="1:9" ht="15">
      <c r="A43" s="43" t="str">
        <f>HLOOKUP(INDICE!$F$2,Nombres!$C$3:$D$636,122,FALSE)</f>
        <v>Posiciones inter-áreas pasivo</v>
      </c>
      <c r="B43" s="44">
        <v>37212.50572775216</v>
      </c>
      <c r="C43" s="44">
        <v>32513.94116462047</v>
      </c>
      <c r="D43" s="44">
        <v>29813.05811604145</v>
      </c>
      <c r="E43" s="45">
        <v>30217.874870070056</v>
      </c>
      <c r="F43" s="44">
        <v>33168.557803337506</v>
      </c>
      <c r="G43" s="44">
        <v>33855.7358544344</v>
      </c>
      <c r="H43" s="44">
        <v>37137.22775206195</v>
      </c>
      <c r="I43" s="44">
        <v>0</v>
      </c>
    </row>
    <row r="44" spans="1:9" ht="15">
      <c r="A44" s="43" t="str">
        <f>HLOOKUP(INDICE!$F$2,Nombres!$C$3:$D$636,63,FALSE)</f>
        <v>Otros pasivos</v>
      </c>
      <c r="B44" s="44">
        <f>+B38-B39-B40-B41-B42-B45-B43</f>
        <v>1215.5898984392043</v>
      </c>
      <c r="C44" s="44">
        <f aca="true" t="shared" si="6" ref="C44:I44">+C38-C39-C40-C41-C42-C45-C43</f>
        <v>1415.4371559901883</v>
      </c>
      <c r="D44" s="44">
        <f t="shared" si="6"/>
        <v>2408.0897039589436</v>
      </c>
      <c r="E44" s="45">
        <f t="shared" si="6"/>
        <v>2108.307797783451</v>
      </c>
      <c r="F44" s="44">
        <f t="shared" si="6"/>
        <v>1565.8576179148804</v>
      </c>
      <c r="G44" s="44">
        <f t="shared" si="6"/>
        <v>3218.147616522925</v>
      </c>
      <c r="H44" s="44">
        <f t="shared" si="6"/>
        <v>2906.5056146528004</v>
      </c>
      <c r="I44" s="44">
        <f t="shared" si="6"/>
        <v>0</v>
      </c>
    </row>
    <row r="45" spans="1:9" ht="15">
      <c r="A45" s="43" t="str">
        <f>HLOOKUP(INDICE!$F$2,Nombres!$C$3:$D$636,282,FALSE)</f>
        <v>Dotación de capital regulatorio</v>
      </c>
      <c r="B45" s="44">
        <v>10397.7213714686</v>
      </c>
      <c r="C45" s="44">
        <v>10306.748862279299</v>
      </c>
      <c r="D45" s="44">
        <v>9259.063356589602</v>
      </c>
      <c r="E45" s="45">
        <v>8777.9396909665</v>
      </c>
      <c r="F45" s="44">
        <v>8729.900630437653</v>
      </c>
      <c r="G45" s="44">
        <v>9444.3562935427</v>
      </c>
      <c r="H45" s="44">
        <v>9536.151288985251</v>
      </c>
      <c r="I45" s="44">
        <v>0</v>
      </c>
    </row>
    <row r="46" spans="1:9" ht="15">
      <c r="A46" s="62"/>
      <c r="B46" s="58"/>
      <c r="C46" s="58"/>
      <c r="D46" s="58"/>
      <c r="E46" s="58"/>
      <c r="F46" s="77"/>
      <c r="G46" s="77"/>
      <c r="H46" s="77"/>
      <c r="I46" s="77"/>
    </row>
    <row r="47" spans="1:9" ht="15">
      <c r="A47" s="43"/>
      <c r="B47" s="58"/>
      <c r="C47" s="58"/>
      <c r="D47" s="58"/>
      <c r="E47" s="58"/>
      <c r="F47" s="77"/>
      <c r="G47" s="77"/>
      <c r="H47" s="77"/>
      <c r="I47" s="77"/>
    </row>
    <row r="48" spans="1:9" ht="18">
      <c r="A48" s="33" t="str">
        <f>HLOOKUP(INDICE!$F$2,Nombres!$C$3:$D$636,65,FALSE)</f>
        <v>Indicadores relevantes y de gestión</v>
      </c>
      <c r="B48" s="34"/>
      <c r="C48" s="34"/>
      <c r="D48" s="34"/>
      <c r="E48" s="34"/>
      <c r="F48" s="81"/>
      <c r="G48" s="81"/>
      <c r="H48" s="81"/>
      <c r="I48" s="81"/>
    </row>
    <row r="49" spans="1:9" ht="15">
      <c r="A49" s="35" t="str">
        <f>HLOOKUP(INDICE!$F$2,Nombres!$C$3:$D$636,32,FALSE)</f>
        <v>(Millones de euros)</v>
      </c>
      <c r="B49" s="30"/>
      <c r="C49" s="30"/>
      <c r="D49" s="30"/>
      <c r="E49" s="30"/>
      <c r="F49" s="79"/>
      <c r="G49" s="77"/>
      <c r="H49" s="77"/>
      <c r="I49" s="77"/>
    </row>
    <row r="50" spans="1:9" ht="15.7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ustomHeight="1">
      <c r="A51" s="43" t="str">
        <f>HLOOKUP(INDICE!$F$2,Nombres!$C$3:$D$636,66,FALSE)</f>
        <v>Préstamos y anticipos a la clientela bruto (*)</v>
      </c>
      <c r="B51" s="44">
        <v>69740.22189575002</v>
      </c>
      <c r="C51" s="44">
        <v>70237.93752371</v>
      </c>
      <c r="D51" s="44">
        <v>61987.80026845001</v>
      </c>
      <c r="E51" s="45">
        <v>58782.968713500006</v>
      </c>
      <c r="F51" s="77">
        <v>58932.06356522001</v>
      </c>
      <c r="G51" s="77">
        <v>58822.29361006</v>
      </c>
      <c r="H51" s="77">
        <v>59120.4147664</v>
      </c>
      <c r="I51" s="77">
        <v>0</v>
      </c>
    </row>
    <row r="52" spans="1:9" ht="15">
      <c r="A52" s="43" t="str">
        <f>HLOOKUP(INDICE!$F$2,Nombres!$C$3:$D$636,67,FALSE)</f>
        <v>Depósitos de clientes en gestión (**)</v>
      </c>
      <c r="B52" s="44">
        <v>36885.178716439994</v>
      </c>
      <c r="C52" s="44">
        <v>39112.72839146</v>
      </c>
      <c r="D52" s="44">
        <v>38524.903283839994</v>
      </c>
      <c r="E52" s="45">
        <v>42313.35598713</v>
      </c>
      <c r="F52" s="44">
        <v>35881.371084340004</v>
      </c>
      <c r="G52" s="44">
        <v>36524.306084339994</v>
      </c>
      <c r="H52" s="44">
        <v>36036.59698625</v>
      </c>
      <c r="I52" s="44">
        <v>0</v>
      </c>
    </row>
    <row r="53" spans="1:9" ht="15">
      <c r="A53" s="43" t="str">
        <f>HLOOKUP(INDICE!$F$2,Nombres!$C$3:$D$636,68,FALSE)</f>
        <v>Fondos de inversión</v>
      </c>
      <c r="B53" s="44">
        <v>593.74191791</v>
      </c>
      <c r="C53" s="44">
        <v>1241.6800483700001</v>
      </c>
      <c r="D53" s="44">
        <v>993.9543257399998</v>
      </c>
      <c r="E53" s="45">
        <v>948.6530913400001</v>
      </c>
      <c r="F53" s="44">
        <v>1004.22217181</v>
      </c>
      <c r="G53" s="44">
        <v>973.3377573900002</v>
      </c>
      <c r="H53" s="44">
        <v>1052.24828341</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129.95471164</v>
      </c>
      <c r="C55" s="44">
        <v>155.2092641</v>
      </c>
      <c r="D55" s="44">
        <v>101.69233328</v>
      </c>
      <c r="E55" s="45">
        <v>80.88990516999999</v>
      </c>
      <c r="F55" s="44">
        <v>92.72548207999999</v>
      </c>
      <c r="G55" s="44">
        <v>116.31582259</v>
      </c>
      <c r="H55" s="44">
        <v>112.85494168</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311.1266973534141</v>
      </c>
      <c r="C64" s="41">
        <v>368.8673256981996</v>
      </c>
      <c r="D64" s="41">
        <v>359.0971670035707</v>
      </c>
      <c r="E64" s="42">
        <v>381.30775862418955</v>
      </c>
      <c r="F64" s="50">
        <v>376.0306005907186</v>
      </c>
      <c r="G64" s="50">
        <v>374.84071416092445</v>
      </c>
      <c r="H64" s="50">
        <v>404.85099192835696</v>
      </c>
      <c r="I64" s="50">
        <v>0</v>
      </c>
    </row>
    <row r="65" spans="1:9" ht="15">
      <c r="A65" s="43" t="str">
        <f>HLOOKUP(INDICE!$F$2,Nombres!$C$3:$D$636,34,FALSE)</f>
        <v>Comisiones netas</v>
      </c>
      <c r="B65" s="44">
        <v>164.63779138210487</v>
      </c>
      <c r="C65" s="44">
        <v>190.08521655874713</v>
      </c>
      <c r="D65" s="44">
        <v>190.91220877823716</v>
      </c>
      <c r="E65" s="45">
        <v>175.41095348785421</v>
      </c>
      <c r="F65" s="44">
        <v>189.11542448943842</v>
      </c>
      <c r="G65" s="44">
        <v>196.79504131244204</v>
      </c>
      <c r="H65" s="44">
        <v>197.00345801811955</v>
      </c>
      <c r="I65" s="44">
        <v>0</v>
      </c>
    </row>
    <row r="66" spans="1:9" ht="15">
      <c r="A66" s="43" t="str">
        <f>HLOOKUP(INDICE!$F$2,Nombres!$C$3:$D$636,35,FALSE)</f>
        <v>Resultados de operaciones financieras</v>
      </c>
      <c r="B66" s="44">
        <v>147.4689332076805</v>
      </c>
      <c r="C66" s="44">
        <v>207.18584190150693</v>
      </c>
      <c r="D66" s="44">
        <v>197.46939828478537</v>
      </c>
      <c r="E66" s="45">
        <v>146.03550559786532</v>
      </c>
      <c r="F66" s="44">
        <v>266.86893194266963</v>
      </c>
      <c r="G66" s="44">
        <v>230.87681759340825</v>
      </c>
      <c r="H66" s="44">
        <v>137.77155536392206</v>
      </c>
      <c r="I66" s="44">
        <v>0</v>
      </c>
    </row>
    <row r="67" spans="1:9" ht="15">
      <c r="A67" s="43" t="str">
        <f>HLOOKUP(INDICE!$F$2,Nombres!$C$3:$D$636,36,FALSE)</f>
        <v>Otros ingresos y cargas de explotación</v>
      </c>
      <c r="B67" s="44">
        <v>-9.965225782519973</v>
      </c>
      <c r="C67" s="44">
        <v>-9.705829281736426</v>
      </c>
      <c r="D67" s="44">
        <v>-8.279648379112135</v>
      </c>
      <c r="E67" s="45">
        <v>-9.20472650720237</v>
      </c>
      <c r="F67" s="44">
        <v>-10.729702690855774</v>
      </c>
      <c r="G67" s="44">
        <v>-7.074700999125657</v>
      </c>
      <c r="H67" s="44">
        <v>-10.33309676001857</v>
      </c>
      <c r="I67" s="44">
        <v>0</v>
      </c>
    </row>
    <row r="68" spans="1:9" ht="15">
      <c r="A68" s="41" t="str">
        <f>HLOOKUP(INDICE!$F$2,Nombres!$C$3:$D$636,37,FALSE)</f>
        <v>Margen bruto</v>
      </c>
      <c r="B68" s="41">
        <f>+SUM(B64:B67)</f>
        <v>613.2681961606795</v>
      </c>
      <c r="C68" s="41">
        <f aca="true" t="shared" si="9" ref="C68:I68">+SUM(C64:C67)</f>
        <v>756.4325548767172</v>
      </c>
      <c r="D68" s="41">
        <f t="shared" si="9"/>
        <v>739.1991256874811</v>
      </c>
      <c r="E68" s="42">
        <f t="shared" si="9"/>
        <v>693.5494912027066</v>
      </c>
      <c r="F68" s="50">
        <f t="shared" si="9"/>
        <v>821.2852543319709</v>
      </c>
      <c r="G68" s="50">
        <f t="shared" si="9"/>
        <v>795.4378720676492</v>
      </c>
      <c r="H68" s="50">
        <f t="shared" si="9"/>
        <v>729.29290855038</v>
      </c>
      <c r="I68" s="50">
        <f t="shared" si="9"/>
        <v>0</v>
      </c>
    </row>
    <row r="69" spans="1:9" ht="15">
      <c r="A69" s="43" t="str">
        <f>HLOOKUP(INDICE!$F$2,Nombres!$C$3:$D$636,38,FALSE)</f>
        <v>Gastos de explotación</v>
      </c>
      <c r="B69" s="44">
        <v>-236.88007126449037</v>
      </c>
      <c r="C69" s="44">
        <v>-193.99043188079935</v>
      </c>
      <c r="D69" s="44">
        <v>-221.33398664750598</v>
      </c>
      <c r="E69" s="45">
        <v>-257.4190517557913</v>
      </c>
      <c r="F69" s="44">
        <v>-230.4697610038071</v>
      </c>
      <c r="G69" s="44">
        <v>-236.78245123039594</v>
      </c>
      <c r="H69" s="44">
        <v>-234.358031315797</v>
      </c>
      <c r="I69" s="44">
        <v>0</v>
      </c>
    </row>
    <row r="70" spans="1:9" ht="15">
      <c r="A70" s="43" t="str">
        <f>HLOOKUP(INDICE!$F$2,Nombres!$C$3:$D$636,39,FALSE)</f>
        <v>  Gastos de administración</v>
      </c>
      <c r="B70" s="44">
        <v>-207.91800502437752</v>
      </c>
      <c r="C70" s="44">
        <v>-164.6345237817714</v>
      </c>
      <c r="D70" s="44">
        <v>-192.21856149706065</v>
      </c>
      <c r="E70" s="45">
        <v>-229.74187731310258</v>
      </c>
      <c r="F70" s="44">
        <v>-203.43279939759393</v>
      </c>
      <c r="G70" s="44">
        <v>-209.64914226574354</v>
      </c>
      <c r="H70" s="44">
        <v>-207.1308770366626</v>
      </c>
      <c r="I70" s="44">
        <v>0</v>
      </c>
    </row>
    <row r="71" spans="1:9" ht="15">
      <c r="A71" s="46" t="str">
        <f>HLOOKUP(INDICE!$F$2,Nombres!$C$3:$D$636,40,FALSE)</f>
        <v>  Gastos de personal</v>
      </c>
      <c r="B71" s="44">
        <v>-113.93587514326654</v>
      </c>
      <c r="C71" s="44">
        <v>-73.61340830352344</v>
      </c>
      <c r="D71" s="44">
        <v>-90.242406682524</v>
      </c>
      <c r="E71" s="45">
        <v>-127.2933044917609</v>
      </c>
      <c r="F71" s="44">
        <v>-105.78045726283952</v>
      </c>
      <c r="G71" s="44">
        <v>-106.96520310608162</v>
      </c>
      <c r="H71" s="44">
        <v>-110.98081343107884</v>
      </c>
      <c r="I71" s="44">
        <v>0</v>
      </c>
    </row>
    <row r="72" spans="1:9" ht="15">
      <c r="A72" s="46" t="str">
        <f>HLOOKUP(INDICE!$F$2,Nombres!$C$3:$D$636,41,FALSE)</f>
        <v>  Otros gastos de administración</v>
      </c>
      <c r="B72" s="44">
        <v>-93.982129881111</v>
      </c>
      <c r="C72" s="44">
        <v>-91.02111547824794</v>
      </c>
      <c r="D72" s="44">
        <v>-101.97615481453667</v>
      </c>
      <c r="E72" s="45">
        <v>-102.44857282134166</v>
      </c>
      <c r="F72" s="44">
        <v>-97.65234213475443</v>
      </c>
      <c r="G72" s="44">
        <v>-102.68393915966186</v>
      </c>
      <c r="H72" s="44">
        <v>-96.15006360558372</v>
      </c>
      <c r="I72" s="44">
        <v>0</v>
      </c>
    </row>
    <row r="73" spans="1:9" ht="15">
      <c r="A73" s="43" t="str">
        <f>HLOOKUP(INDICE!$F$2,Nombres!$C$3:$D$636,42,FALSE)</f>
        <v>  Amortización</v>
      </c>
      <c r="B73" s="44">
        <v>-28.962066240112833</v>
      </c>
      <c r="C73" s="44">
        <v>-29.355908099027943</v>
      </c>
      <c r="D73" s="44">
        <v>-29.11542515044531</v>
      </c>
      <c r="E73" s="45">
        <v>-27.677174442688795</v>
      </c>
      <c r="F73" s="44">
        <v>-27.036961606213147</v>
      </c>
      <c r="G73" s="44">
        <v>-27.13330896465242</v>
      </c>
      <c r="H73" s="44">
        <v>-27.22715427913443</v>
      </c>
      <c r="I73" s="44">
        <v>0</v>
      </c>
    </row>
    <row r="74" spans="1:9" ht="15">
      <c r="A74" s="41" t="str">
        <f>HLOOKUP(INDICE!$F$2,Nombres!$C$3:$D$636,43,FALSE)</f>
        <v>Margen neto</v>
      </c>
      <c r="B74" s="41">
        <f>+B68+B69</f>
        <v>376.38812489618914</v>
      </c>
      <c r="C74" s="41">
        <f aca="true" t="shared" si="10" ref="C74:I74">+C68+C69</f>
        <v>562.4421229959178</v>
      </c>
      <c r="D74" s="41">
        <f t="shared" si="10"/>
        <v>517.8651390399751</v>
      </c>
      <c r="E74" s="42">
        <f t="shared" si="10"/>
        <v>436.13043944691526</v>
      </c>
      <c r="F74" s="50">
        <f t="shared" si="10"/>
        <v>590.8154933281638</v>
      </c>
      <c r="G74" s="50">
        <f t="shared" si="10"/>
        <v>558.6554208372532</v>
      </c>
      <c r="H74" s="50">
        <f t="shared" si="10"/>
        <v>494.93487723458304</v>
      </c>
      <c r="I74" s="50">
        <f t="shared" si="10"/>
        <v>0</v>
      </c>
    </row>
    <row r="75" spans="1:9" ht="15">
      <c r="A75" s="43" t="str">
        <f>HLOOKUP(INDICE!$F$2,Nombres!$C$3:$D$636,44,FALSE)</f>
        <v>Deterioro de activos financieros no valorados a valor razonable con cambios en resultados</v>
      </c>
      <c r="B75" s="44">
        <v>-153.95407945799712</v>
      </c>
      <c r="C75" s="44">
        <v>-107.69914716300632</v>
      </c>
      <c r="D75" s="44">
        <v>-38.968221966569565</v>
      </c>
      <c r="E75" s="45">
        <v>-107.88235753927444</v>
      </c>
      <c r="F75" s="44">
        <v>-40.99481651167005</v>
      </c>
      <c r="G75" s="44">
        <v>-11.704057993341282</v>
      </c>
      <c r="H75" s="44">
        <v>39.66093231501131</v>
      </c>
      <c r="I75" s="44">
        <v>0</v>
      </c>
    </row>
    <row r="76" spans="1:9" ht="15">
      <c r="A76" s="43" t="str">
        <f>HLOOKUP(INDICE!$F$2,Nombres!$C$3:$D$636,45,FALSE)</f>
        <v>Provisiones o reversión de provisiones y otros resultados</v>
      </c>
      <c r="B76" s="44">
        <v>8.084358468701932</v>
      </c>
      <c r="C76" s="44">
        <v>-23.872542131027863</v>
      </c>
      <c r="D76" s="44">
        <v>-27.304347025264686</v>
      </c>
      <c r="E76" s="45">
        <v>-10.895037891612876</v>
      </c>
      <c r="F76" s="44">
        <v>-22.312966863152454</v>
      </c>
      <c r="G76" s="44">
        <v>6.060870398124877</v>
      </c>
      <c r="H76" s="44">
        <v>16.290686165027584</v>
      </c>
      <c r="I76" s="44">
        <v>0</v>
      </c>
    </row>
    <row r="77" spans="1:9" ht="15">
      <c r="A77" s="41" t="str">
        <f>HLOOKUP(INDICE!$F$2,Nombres!$C$3:$D$636,46,FALSE)</f>
        <v>Resultado antes de impuestos</v>
      </c>
      <c r="B77" s="41">
        <f>+B74+B75+B76</f>
        <v>230.51840390689395</v>
      </c>
      <c r="C77" s="41">
        <f aca="true" t="shared" si="11" ref="C77:I77">+C74+C75+C76</f>
        <v>430.8704337018836</v>
      </c>
      <c r="D77" s="41">
        <f t="shared" si="11"/>
        <v>451.5925700481409</v>
      </c>
      <c r="E77" s="42">
        <f t="shared" si="11"/>
        <v>317.3530440160279</v>
      </c>
      <c r="F77" s="50">
        <f t="shared" si="11"/>
        <v>527.5077099533413</v>
      </c>
      <c r="G77" s="50">
        <f t="shared" si="11"/>
        <v>553.0122332420368</v>
      </c>
      <c r="H77" s="50">
        <f t="shared" si="11"/>
        <v>550.886495714622</v>
      </c>
      <c r="I77" s="50">
        <f t="shared" si="11"/>
        <v>0</v>
      </c>
    </row>
    <row r="78" spans="1:9" ht="15">
      <c r="A78" s="43" t="str">
        <f>HLOOKUP(INDICE!$F$2,Nombres!$C$3:$D$636,47,FALSE)</f>
        <v>Impuesto sobre beneficios</v>
      </c>
      <c r="B78" s="44">
        <v>-58.04075847865295</v>
      </c>
      <c r="C78" s="44">
        <v>-122.25771777626795</v>
      </c>
      <c r="D78" s="44">
        <v>-120.27210804243543</v>
      </c>
      <c r="E78" s="45">
        <v>-75.1505957966759</v>
      </c>
      <c r="F78" s="44">
        <v>-135.64044699666542</v>
      </c>
      <c r="G78" s="44">
        <v>-166.14854465786635</v>
      </c>
      <c r="H78" s="44">
        <v>-155.16537884546827</v>
      </c>
      <c r="I78" s="44">
        <v>0</v>
      </c>
    </row>
    <row r="79" spans="1:9" ht="15">
      <c r="A79" s="41" t="str">
        <f>HLOOKUP(INDICE!$F$2,Nombres!$C$3:$D$636,48,FALSE)</f>
        <v>Resultado del ejercicio</v>
      </c>
      <c r="B79" s="41">
        <f>+B77+B78</f>
        <v>172.477645428241</v>
      </c>
      <c r="C79" s="41">
        <f aca="true" t="shared" si="12" ref="C79:I79">+C77+C78</f>
        <v>308.61271592561565</v>
      </c>
      <c r="D79" s="41">
        <f t="shared" si="12"/>
        <v>331.32046200570545</v>
      </c>
      <c r="E79" s="42">
        <f t="shared" si="12"/>
        <v>242.20244821935202</v>
      </c>
      <c r="F79" s="50">
        <f t="shared" si="12"/>
        <v>391.86726295667586</v>
      </c>
      <c r="G79" s="50">
        <f t="shared" si="12"/>
        <v>386.86368858417046</v>
      </c>
      <c r="H79" s="50">
        <f t="shared" si="12"/>
        <v>395.7211168691538</v>
      </c>
      <c r="I79" s="50">
        <f t="shared" si="12"/>
        <v>0</v>
      </c>
    </row>
    <row r="80" spans="1:9" ht="15">
      <c r="A80" s="43" t="str">
        <f>HLOOKUP(INDICE!$F$2,Nombres!$C$3:$D$636,49,FALSE)</f>
        <v>Minoritarios</v>
      </c>
      <c r="B80" s="44">
        <v>-20.672600475633036</v>
      </c>
      <c r="C80" s="44">
        <v>-49.07135669545309</v>
      </c>
      <c r="D80" s="44">
        <v>-71.08442504215807</v>
      </c>
      <c r="E80" s="45">
        <v>-50.72903928167024</v>
      </c>
      <c r="F80" s="44">
        <v>-72.94012804953526</v>
      </c>
      <c r="G80" s="44">
        <v>-67.29087642003279</v>
      </c>
      <c r="H80" s="44">
        <v>-79.64138969043196</v>
      </c>
      <c r="I80" s="44">
        <v>0</v>
      </c>
    </row>
    <row r="81" spans="1:9" ht="15">
      <c r="A81" s="47" t="str">
        <f>HLOOKUP(INDICE!$F$2,Nombres!$C$3:$D$636,50,FALSE)</f>
        <v>Resultado atribuido</v>
      </c>
      <c r="B81" s="47">
        <f>+B79+B80</f>
        <v>151.80504495260797</v>
      </c>
      <c r="C81" s="47">
        <f aca="true" t="shared" si="13" ref="C81:I81">+C79+C80</f>
        <v>259.5413592301626</v>
      </c>
      <c r="D81" s="47">
        <f t="shared" si="13"/>
        <v>260.23603696354735</v>
      </c>
      <c r="E81" s="47">
        <f t="shared" si="13"/>
        <v>191.47340893768177</v>
      </c>
      <c r="F81" s="51">
        <f t="shared" si="13"/>
        <v>318.9271349071406</v>
      </c>
      <c r="G81" s="51">
        <f t="shared" si="13"/>
        <v>319.57281216413764</v>
      </c>
      <c r="H81" s="51">
        <f t="shared" si="13"/>
        <v>316.0797271787218</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5523.945571317264</v>
      </c>
      <c r="C87" s="44">
        <v>3932.3348097434427</v>
      </c>
      <c r="D87" s="44">
        <v>5797.078791574741</v>
      </c>
      <c r="E87" s="45">
        <v>7744.443356582707</v>
      </c>
      <c r="F87" s="44">
        <v>4827.269141569203</v>
      </c>
      <c r="G87" s="44">
        <v>4843.784451625535</v>
      </c>
      <c r="H87" s="44">
        <v>5118.13634932</v>
      </c>
      <c r="I87" s="44">
        <v>0</v>
      </c>
    </row>
    <row r="88" spans="1:9" ht="15">
      <c r="A88" s="43" t="str">
        <f>HLOOKUP(INDICE!$F$2,Nombres!$C$3:$D$636,53,FALSE)</f>
        <v>Activos financieros a valor razonable</v>
      </c>
      <c r="B88" s="58">
        <v>137152.6680247928</v>
      </c>
      <c r="C88" s="58">
        <v>121341.34444863202</v>
      </c>
      <c r="D88" s="58">
        <v>110606.8731291733</v>
      </c>
      <c r="E88" s="65">
        <v>110368.25624179996</v>
      </c>
      <c r="F88" s="44">
        <v>105263.28467937456</v>
      </c>
      <c r="G88" s="44">
        <v>110650.4625745901</v>
      </c>
      <c r="H88" s="44">
        <v>114505.34924350002</v>
      </c>
      <c r="I88" s="44">
        <v>0</v>
      </c>
    </row>
    <row r="89" spans="1:9" ht="15">
      <c r="A89" s="43" t="str">
        <f>HLOOKUP(INDICE!$F$2,Nombres!$C$3:$D$636,54,FALSE)</f>
        <v>Activos financieros a coste amortizado</v>
      </c>
      <c r="B89" s="44">
        <v>79005.14248629336</v>
      </c>
      <c r="C89" s="44">
        <v>80139.70777271323</v>
      </c>
      <c r="D89" s="44">
        <v>71783.87448877846</v>
      </c>
      <c r="E89" s="45">
        <v>70416.87145824557</v>
      </c>
      <c r="F89" s="44">
        <v>68454.45912890273</v>
      </c>
      <c r="G89" s="44">
        <v>68431.15799221379</v>
      </c>
      <c r="H89" s="44">
        <v>68979.34210170999</v>
      </c>
      <c r="I89" s="44">
        <v>0</v>
      </c>
    </row>
    <row r="90" spans="1:9" ht="15">
      <c r="A90" s="43" t="str">
        <f>HLOOKUP(INDICE!$F$2,Nombres!$C$3:$D$636,55,FALSE)</f>
        <v>    de los que préstamos y anticipos a la clientela</v>
      </c>
      <c r="B90" s="44">
        <v>66094.19482512238</v>
      </c>
      <c r="C90" s="44">
        <v>67258.0928202121</v>
      </c>
      <c r="D90" s="44">
        <v>61517.22239700386</v>
      </c>
      <c r="E90" s="45">
        <v>58586.63545574634</v>
      </c>
      <c r="F90" s="44">
        <v>57526.44300143306</v>
      </c>
      <c r="G90" s="44">
        <v>57836.05644007749</v>
      </c>
      <c r="H90" s="44">
        <v>58400.68174508</v>
      </c>
      <c r="I90" s="44">
        <v>0</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54.7486874514322</v>
      </c>
      <c r="C92" s="44">
        <v>53.46091602086113</v>
      </c>
      <c r="D92" s="44">
        <v>51.06896945686084</v>
      </c>
      <c r="E92" s="45">
        <v>49.63114846278317</v>
      </c>
      <c r="F92" s="44">
        <v>45.16957394832281</v>
      </c>
      <c r="G92" s="44">
        <v>42.34835103622386</v>
      </c>
      <c r="H92" s="44">
        <v>39.26288666</v>
      </c>
      <c r="I92" s="44">
        <v>0</v>
      </c>
    </row>
    <row r="93" spans="1:9" ht="15">
      <c r="A93" s="43" t="str">
        <f>HLOOKUP(INDICE!$F$2,Nombres!$C$3:$D$636,57,FALSE)</f>
        <v>Otros activos</v>
      </c>
      <c r="B93" s="58">
        <f>+B94-B92-B89-B88-B87-B91</f>
        <v>1151.0374414356638</v>
      </c>
      <c r="C93" s="58">
        <f aca="true" t="shared" si="15" ref="C93:I93">+C94-C92-C89-C88-C87-C91</f>
        <v>1199.2400270830913</v>
      </c>
      <c r="D93" s="58">
        <f t="shared" si="15"/>
        <v>1464.7369496875554</v>
      </c>
      <c r="E93" s="65">
        <f t="shared" si="15"/>
        <v>742.0102494149314</v>
      </c>
      <c r="F93" s="58">
        <f t="shared" si="15"/>
        <v>1112.8234402524458</v>
      </c>
      <c r="G93" s="58">
        <f t="shared" si="15"/>
        <v>2303.2144918389604</v>
      </c>
      <c r="H93" s="58">
        <f t="shared" si="15"/>
        <v>1725.9821304099796</v>
      </c>
      <c r="I93" s="58">
        <f t="shared" si="15"/>
        <v>0</v>
      </c>
    </row>
    <row r="94" spans="1:9" ht="15">
      <c r="A94" s="47" t="str">
        <f>HLOOKUP(INDICE!$F$2,Nombres!$C$3:$D$636,58,FALSE)</f>
        <v>Total activo / pasivo</v>
      </c>
      <c r="B94" s="47">
        <v>222887.54221129054</v>
      </c>
      <c r="C94" s="47">
        <v>206666.08797419263</v>
      </c>
      <c r="D94" s="47">
        <v>189703.6323286709</v>
      </c>
      <c r="E94" s="71">
        <v>189321.21245450596</v>
      </c>
      <c r="F94" s="51">
        <v>179703.00596404725</v>
      </c>
      <c r="G94" s="51">
        <v>186270.9678613046</v>
      </c>
      <c r="H94" s="51">
        <v>190368.0727116</v>
      </c>
      <c r="I94" s="51">
        <v>0</v>
      </c>
    </row>
    <row r="95" spans="1:9" ht="15">
      <c r="A95" s="43" t="str">
        <f>HLOOKUP(INDICE!$F$2,Nombres!$C$3:$D$636,59,FALSE)</f>
        <v>Pasivos financieros mantenidos para negociar y designados a valor razonable con cambios en resultados</v>
      </c>
      <c r="B95" s="58">
        <v>119346.15985006078</v>
      </c>
      <c r="C95" s="58">
        <v>109677.80275989448</v>
      </c>
      <c r="D95" s="58">
        <v>95568.4810164609</v>
      </c>
      <c r="E95" s="65">
        <v>87863.07628619346</v>
      </c>
      <c r="F95" s="44">
        <v>83988.07037601298</v>
      </c>
      <c r="G95" s="44">
        <v>85040.78338447066</v>
      </c>
      <c r="H95" s="44">
        <v>85661.48832127</v>
      </c>
      <c r="I95" s="44">
        <v>0</v>
      </c>
    </row>
    <row r="96" spans="1:9" ht="15">
      <c r="A96" s="43" t="str">
        <f>HLOOKUP(INDICE!$F$2,Nombres!$C$3:$D$636,60,FALSE)</f>
        <v>Depósitos de bancos centrales y entidades de crédito</v>
      </c>
      <c r="B96" s="58">
        <v>19375.113353431774</v>
      </c>
      <c r="C96" s="58">
        <v>15092.843444172686</v>
      </c>
      <c r="D96" s="58">
        <v>12203.76378571078</v>
      </c>
      <c r="E96" s="65">
        <v>15987.438552803003</v>
      </c>
      <c r="F96" s="44">
        <v>14226.203681249346</v>
      </c>
      <c r="G96" s="44">
        <v>14883.371204159514</v>
      </c>
      <c r="H96" s="44">
        <v>15307.926067229997</v>
      </c>
      <c r="I96" s="44">
        <v>0</v>
      </c>
    </row>
    <row r="97" spans="1:9" ht="15">
      <c r="A97" s="43" t="str">
        <f>HLOOKUP(INDICE!$F$2,Nombres!$C$3:$D$636,61,FALSE)</f>
        <v>Depósitos de la clientela</v>
      </c>
      <c r="B97" s="58">
        <v>35801.23426460476</v>
      </c>
      <c r="C97" s="58">
        <v>38203.056422084606</v>
      </c>
      <c r="D97" s="58">
        <v>39250.51052459791</v>
      </c>
      <c r="E97" s="65">
        <v>42650.445933010174</v>
      </c>
      <c r="F97" s="44">
        <v>36130.46036184015</v>
      </c>
      <c r="G97" s="44">
        <v>37058.06637083103</v>
      </c>
      <c r="H97" s="44">
        <v>36686.46877219</v>
      </c>
      <c r="I97" s="44">
        <v>0</v>
      </c>
    </row>
    <row r="98" spans="1:9" ht="15">
      <c r="A98" s="43" t="str">
        <f>HLOOKUP(INDICE!$F$2,Nombres!$C$3:$D$636,62,FALSE)</f>
        <v>Valores representativos de deuda emitidos</v>
      </c>
      <c r="B98" s="44">
        <v>2221.7309151443437</v>
      </c>
      <c r="C98" s="44">
        <v>1817.7095488861025</v>
      </c>
      <c r="D98" s="44">
        <v>1849.823503239384</v>
      </c>
      <c r="E98" s="45">
        <v>2067.8193440773816</v>
      </c>
      <c r="F98" s="44">
        <v>2191.473790390683</v>
      </c>
      <c r="G98" s="44">
        <v>2712.053435559057</v>
      </c>
      <c r="H98" s="44">
        <v>3132.30489521</v>
      </c>
      <c r="I98" s="44">
        <v>0</v>
      </c>
    </row>
    <row r="99" spans="1:9" ht="15">
      <c r="A99" s="43" t="str">
        <f>HLOOKUP(INDICE!$F$2,Nombres!$C$3:$D$636,122,FALSE)</f>
        <v>Posiciones inter-áreas pasivo</v>
      </c>
      <c r="B99" s="44">
        <v>34653.12592609174</v>
      </c>
      <c r="C99" s="44">
        <v>30332.125789460704</v>
      </c>
      <c r="D99" s="44">
        <v>29094.208324090898</v>
      </c>
      <c r="E99" s="45">
        <v>29904.795169076053</v>
      </c>
      <c r="F99" s="44">
        <v>32887.031989247494</v>
      </c>
      <c r="G99" s="44">
        <v>33911.191880703125</v>
      </c>
      <c r="H99" s="44">
        <v>37137.22775206195</v>
      </c>
      <c r="I99" s="44">
        <v>0</v>
      </c>
    </row>
    <row r="100" spans="1:9" ht="15">
      <c r="A100" s="43" t="str">
        <f>HLOOKUP(INDICE!$F$2,Nombres!$C$3:$D$636,63,FALSE)</f>
        <v>Otros pasivos</v>
      </c>
      <c r="B100" s="44">
        <f>+B94-B95-B96-B97-B98-B101-B99</f>
        <v>1649.290757966235</v>
      </c>
      <c r="C100" s="44">
        <f aca="true" t="shared" si="16" ref="C100:I100">+C94-C95-C96-C97-C98-C101-C99</f>
        <v>1696.251498684178</v>
      </c>
      <c r="D100" s="44">
        <f t="shared" si="16"/>
        <v>2564.7984574463517</v>
      </c>
      <c r="E100" s="45">
        <f t="shared" si="16"/>
        <v>2224.8672762856004</v>
      </c>
      <c r="F100" s="44">
        <f t="shared" si="16"/>
        <v>1649.5951117296645</v>
      </c>
      <c r="G100" s="44">
        <f t="shared" si="16"/>
        <v>3147.109169716008</v>
      </c>
      <c r="H100" s="44">
        <f t="shared" si="16"/>
        <v>2906.5056146528004</v>
      </c>
      <c r="I100" s="44">
        <f t="shared" si="16"/>
        <v>0</v>
      </c>
    </row>
    <row r="101" spans="1:9" ht="15">
      <c r="A101" s="43" t="str">
        <f>HLOOKUP(INDICE!$F$2,Nombres!$C$3:$D$636,282,FALSE)</f>
        <v>Dotación de capital regulatorio</v>
      </c>
      <c r="B101" s="44">
        <v>9840.887143990898</v>
      </c>
      <c r="C101" s="44">
        <v>9846.298511009882</v>
      </c>
      <c r="D101" s="44">
        <v>9172.046717124696</v>
      </c>
      <c r="E101" s="45">
        <v>8622.769893060293</v>
      </c>
      <c r="F101" s="44">
        <v>8630.170653576915</v>
      </c>
      <c r="G101" s="44">
        <v>9518.392415865215</v>
      </c>
      <c r="H101" s="44">
        <v>9536.151288985251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66601.94804403972</v>
      </c>
      <c r="C107" s="44">
        <v>67585.6177347232</v>
      </c>
      <c r="D107" s="44">
        <v>61584.23918088465</v>
      </c>
      <c r="E107" s="45">
        <v>58046.85446154972</v>
      </c>
      <c r="F107" s="44">
        <v>58397.01848788377</v>
      </c>
      <c r="G107" s="44">
        <v>58788.72864195735</v>
      </c>
      <c r="H107" s="44">
        <v>59120.4147664</v>
      </c>
      <c r="I107" s="44">
        <v>0</v>
      </c>
    </row>
    <row r="108" spans="1:9" ht="15">
      <c r="A108" s="43" t="str">
        <f>HLOOKUP(INDICE!$F$2,Nombres!$C$3:$D$636,67,FALSE)</f>
        <v>Depósitos de clientes en gestión (**)</v>
      </c>
      <c r="B108" s="44">
        <v>35446.89099248449</v>
      </c>
      <c r="C108" s="44">
        <v>38088.688245269084</v>
      </c>
      <c r="D108" s="44">
        <v>38600.103813773196</v>
      </c>
      <c r="E108" s="45">
        <v>41998.860571197496</v>
      </c>
      <c r="F108" s="44">
        <v>35522.4789253131</v>
      </c>
      <c r="G108" s="44">
        <v>36412.91258506983</v>
      </c>
      <c r="H108" s="44">
        <v>36036.59698625</v>
      </c>
      <c r="I108" s="44">
        <v>0</v>
      </c>
    </row>
    <row r="109" spans="1:9" ht="15">
      <c r="A109" s="43" t="str">
        <f>HLOOKUP(INDICE!$F$2,Nombres!$C$3:$D$636,68,FALSE)</f>
        <v>Fondos de inversión</v>
      </c>
      <c r="B109" s="44">
        <v>475.2419993272735</v>
      </c>
      <c r="C109" s="44">
        <v>996.6397120660205</v>
      </c>
      <c r="D109" s="44">
        <v>894.6884280028447</v>
      </c>
      <c r="E109" s="45">
        <v>892.1947117118646</v>
      </c>
      <c r="F109" s="44">
        <v>961.0310457719306</v>
      </c>
      <c r="G109" s="44">
        <v>967.9609214789444</v>
      </c>
      <c r="H109" s="44">
        <v>1052.24828341</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143.272608018816</v>
      </c>
      <c r="C111" s="44">
        <v>169.6105010400297</v>
      </c>
      <c r="D111" s="44">
        <v>112.1464211224858</v>
      </c>
      <c r="E111" s="45">
        <v>83.17959242856179</v>
      </c>
      <c r="F111" s="44">
        <v>93.92321730351355</v>
      </c>
      <c r="G111" s="44">
        <v>115.50507673046155</v>
      </c>
      <c r="H111" s="44">
        <v>112.85494168</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2"/>
      <c r="G120" s="82"/>
      <c r="H120" s="82"/>
      <c r="I120" s="82"/>
    </row>
    <row r="121" spans="6:9" ht="15">
      <c r="F121" s="82"/>
      <c r="G121" s="82"/>
      <c r="H121" s="82"/>
      <c r="I121" s="82"/>
    </row>
    <row r="122" spans="6:9" ht="15">
      <c r="F122" s="82"/>
      <c r="G122" s="82"/>
      <c r="H122" s="82"/>
      <c r="I122" s="82"/>
    </row>
    <row r="123" spans="6:9" ht="15">
      <c r="F123" s="82"/>
      <c r="G123" s="82"/>
      <c r="H123" s="82"/>
      <c r="I123" s="82"/>
    </row>
    <row r="124" spans="6:9" ht="15">
      <c r="F124" s="82"/>
      <c r="G124" s="82"/>
      <c r="H124" s="82"/>
      <c r="I124" s="82"/>
    </row>
    <row r="125" spans="6:9" ht="15">
      <c r="F125" s="82"/>
      <c r="G125" s="82"/>
      <c r="H125" s="82"/>
      <c r="I125" s="82"/>
    </row>
    <row r="126" spans="6:9" ht="15">
      <c r="F126" s="82"/>
      <c r="G126" s="82"/>
      <c r="H126" s="82"/>
      <c r="I126" s="82"/>
    </row>
    <row r="127" spans="6:9" ht="15">
      <c r="F127" s="82"/>
      <c r="G127" s="82"/>
      <c r="H127" s="82"/>
      <c r="I127" s="82"/>
    </row>
    <row r="128" spans="6:9" ht="15">
      <c r="F128" s="82"/>
      <c r="G128" s="82"/>
      <c r="H128" s="82"/>
      <c r="I128" s="82"/>
    </row>
    <row r="129" spans="6:9" ht="15">
      <c r="F129" s="82"/>
      <c r="G129" s="82"/>
      <c r="H129" s="82"/>
      <c r="I129" s="82"/>
    </row>
    <row r="130" spans="6:9" ht="15">
      <c r="F130" s="82"/>
      <c r="G130" s="82"/>
      <c r="H130" s="82"/>
      <c r="I130" s="82"/>
    </row>
    <row r="131" spans="6:9" ht="15">
      <c r="F131" s="82"/>
      <c r="G131" s="82"/>
      <c r="H131" s="82"/>
      <c r="I131" s="82"/>
    </row>
    <row r="132" spans="6:9" ht="15">
      <c r="F132" s="82"/>
      <c r="G132" s="82"/>
      <c r="H132" s="82"/>
      <c r="I132" s="82"/>
    </row>
    <row r="133" spans="6:9" ht="15">
      <c r="F133" s="82"/>
      <c r="G133" s="82"/>
      <c r="H133" s="82"/>
      <c r="I133" s="82"/>
    </row>
    <row r="134" spans="6:9" ht="15">
      <c r="F134" s="82"/>
      <c r="G134" s="82"/>
      <c r="H134" s="82"/>
      <c r="I134" s="82"/>
    </row>
    <row r="135" spans="6:9" ht="15">
      <c r="F135" s="82"/>
      <c r="G135" s="82"/>
      <c r="H135" s="82"/>
      <c r="I135" s="82"/>
    </row>
    <row r="136" spans="6:9" ht="15">
      <c r="F136" s="82"/>
      <c r="G136" s="82"/>
      <c r="H136" s="82"/>
      <c r="I136" s="82"/>
    </row>
    <row r="137" spans="6:9" ht="15">
      <c r="F137" s="82"/>
      <c r="G137" s="82"/>
      <c r="H137" s="82"/>
      <c r="I137" s="82"/>
    </row>
    <row r="138" spans="6:9" ht="15">
      <c r="F138" s="82"/>
      <c r="G138" s="82"/>
      <c r="H138" s="82"/>
      <c r="I138" s="82"/>
    </row>
    <row r="139" spans="6:9" ht="15">
      <c r="F139" s="82"/>
      <c r="G139" s="82"/>
      <c r="H139" s="82"/>
      <c r="I139" s="82"/>
    </row>
    <row r="140" spans="6:9" ht="15">
      <c r="F140" s="82"/>
      <c r="G140" s="82"/>
      <c r="H140" s="82"/>
      <c r="I140" s="82"/>
    </row>
    <row r="141" spans="6:9" ht="15">
      <c r="F141" s="82"/>
      <c r="G141" s="82"/>
      <c r="H141" s="82"/>
      <c r="I141" s="82"/>
    </row>
    <row r="142" spans="6:9" ht="15">
      <c r="F142" s="82"/>
      <c r="G142" s="82"/>
      <c r="H142" s="82"/>
      <c r="I142" s="82"/>
    </row>
    <row r="143" spans="6:9" ht="15">
      <c r="F143" s="82"/>
      <c r="G143" s="82"/>
      <c r="H143" s="82"/>
      <c r="I143" s="82"/>
    </row>
    <row r="144" spans="6:9" ht="15">
      <c r="F144" s="82"/>
      <c r="G144" s="82"/>
      <c r="H144" s="82"/>
      <c r="I144" s="82"/>
    </row>
    <row r="145" spans="6:9" ht="15">
      <c r="F145" s="82"/>
      <c r="G145" s="82"/>
      <c r="H145" s="82"/>
      <c r="I145" s="82"/>
    </row>
    <row r="146" spans="6:9" ht="15">
      <c r="F146" s="82"/>
      <c r="G146" s="82"/>
      <c r="H146" s="82"/>
      <c r="I146" s="82"/>
    </row>
    <row r="147" spans="6:9" ht="15">
      <c r="F147" s="82"/>
      <c r="G147" s="82"/>
      <c r="H147" s="82"/>
      <c r="I147" s="82"/>
    </row>
    <row r="148" spans="6:9" ht="15">
      <c r="F148" s="82"/>
      <c r="G148" s="82"/>
      <c r="H148" s="82"/>
      <c r="I148" s="82"/>
    </row>
    <row r="149" spans="6:9" ht="15">
      <c r="F149" s="82"/>
      <c r="G149" s="82"/>
      <c r="H149" s="82"/>
      <c r="I149" s="82"/>
    </row>
    <row r="150" spans="6:9" ht="15">
      <c r="F150" s="82"/>
      <c r="G150" s="82"/>
      <c r="H150" s="82"/>
      <c r="I150" s="82"/>
    </row>
    <row r="151" spans="6:9" ht="15">
      <c r="F151" s="82"/>
      <c r="G151" s="82"/>
      <c r="H151" s="82"/>
      <c r="I151" s="82"/>
    </row>
    <row r="152" spans="6:9" ht="15">
      <c r="F152" s="82"/>
      <c r="G152" s="82"/>
      <c r="H152" s="82"/>
      <c r="I152" s="82"/>
    </row>
    <row r="153" spans="6:9" ht="15">
      <c r="F153" s="82"/>
      <c r="G153" s="82"/>
      <c r="H153" s="82"/>
      <c r="I153" s="82"/>
    </row>
    <row r="154" spans="6:9" ht="15">
      <c r="F154" s="82"/>
      <c r="G154" s="82"/>
      <c r="H154" s="82"/>
      <c r="I154" s="82"/>
    </row>
    <row r="155" spans="6:9" ht="15">
      <c r="F155" s="82"/>
      <c r="G155" s="82"/>
      <c r="H155" s="82"/>
      <c r="I155" s="82"/>
    </row>
    <row r="156" spans="6:9" ht="15">
      <c r="F156" s="82"/>
      <c r="G156" s="82"/>
      <c r="H156" s="82"/>
      <c r="I156" s="82"/>
    </row>
    <row r="157" spans="6:9" ht="15">
      <c r="F157" s="82"/>
      <c r="G157" s="82"/>
      <c r="H157" s="82"/>
      <c r="I157" s="82"/>
    </row>
    <row r="158" spans="6:9" ht="15">
      <c r="F158" s="82"/>
      <c r="G158" s="82"/>
      <c r="H158" s="82"/>
      <c r="I158" s="82"/>
    </row>
    <row r="159" spans="6:9" ht="15">
      <c r="F159" s="82"/>
      <c r="G159" s="82"/>
      <c r="H159" s="82"/>
      <c r="I159" s="82"/>
    </row>
    <row r="160" spans="6:9" ht="15">
      <c r="F160" s="82"/>
      <c r="G160" s="82"/>
      <c r="H160" s="82"/>
      <c r="I160" s="82"/>
    </row>
    <row r="161" spans="6:9" ht="15">
      <c r="F161" s="82"/>
      <c r="G161" s="82"/>
      <c r="H161" s="82"/>
      <c r="I161" s="82"/>
    </row>
    <row r="162" spans="6:9" ht="15">
      <c r="F162" s="82"/>
      <c r="G162" s="82"/>
      <c r="H162" s="82"/>
      <c r="I162" s="82"/>
    </row>
    <row r="163" spans="6:9" ht="15">
      <c r="F163" s="82"/>
      <c r="G163" s="82"/>
      <c r="H163" s="82"/>
      <c r="I163" s="82"/>
    </row>
    <row r="164" spans="6:9" ht="15">
      <c r="F164" s="82"/>
      <c r="G164" s="82"/>
      <c r="H164" s="82"/>
      <c r="I164" s="82"/>
    </row>
    <row r="165" spans="6:9" ht="15">
      <c r="F165" s="82"/>
      <c r="G165" s="82"/>
      <c r="H165" s="82"/>
      <c r="I165" s="82"/>
    </row>
    <row r="166" spans="6:9" ht="15">
      <c r="F166" s="82"/>
      <c r="G166" s="82"/>
      <c r="H166" s="82"/>
      <c r="I166" s="82"/>
    </row>
    <row r="1000" ht="15">
      <c r="A1000" s="31" t="s">
        <v>396</v>
      </c>
    </row>
  </sheetData>
  <sheetProtection/>
  <mergeCells count="6">
    <mergeCell ref="B6:E6"/>
    <mergeCell ref="B62:E62"/>
    <mergeCell ref="F6:I6"/>
    <mergeCell ref="F62:I62"/>
    <mergeCell ref="A2:I2"/>
    <mergeCell ref="A26:I26"/>
  </mergeCells>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7" customWidth="1"/>
    <col min="2" max="8" width="10.00390625" style="97" customWidth="1"/>
    <col min="9" max="9" width="10.00390625" style="97" hidden="1" customWidth="1"/>
    <col min="10" max="255" width="12.57421875" style="97" customWidth="1"/>
  </cols>
  <sheetData>
    <row r="1" spans="1:9" ht="18">
      <c r="A1" s="95" t="str">
        <f>HLOOKUP(INDICE!$F$2,Nombres!$C$3:$D$636,82,FALSE)</f>
        <v>Eficiencia (*)</v>
      </c>
      <c r="B1" s="96"/>
      <c r="C1" s="96"/>
      <c r="D1" s="96"/>
      <c r="E1" s="96"/>
      <c r="F1" s="96"/>
      <c r="G1" s="96"/>
      <c r="H1" s="96"/>
      <c r="I1" s="96"/>
    </row>
    <row r="2" spans="1:9" ht="15">
      <c r="A2" s="98" t="str">
        <f>HLOOKUP(INDICE!$F$2,Nombres!$C$3:$D$636,84,FALSE)</f>
        <v>(Porcentaje)</v>
      </c>
      <c r="B2" s="99"/>
      <c r="C2" s="99"/>
      <c r="D2" s="99"/>
      <c r="E2" s="99"/>
      <c r="F2" s="99"/>
      <c r="G2" s="99"/>
      <c r="H2" s="99"/>
      <c r="I2" s="99"/>
    </row>
    <row r="3" spans="1:9" ht="15.75">
      <c r="A3" s="100"/>
      <c r="B3" s="101">
        <f>+España!B30</f>
        <v>43921</v>
      </c>
      <c r="C3" s="101">
        <f>+España!C30</f>
        <v>44012</v>
      </c>
      <c r="D3" s="101">
        <f>+España!D30</f>
        <v>44104</v>
      </c>
      <c r="E3" s="101">
        <f>+España!E30</f>
        <v>44196</v>
      </c>
      <c r="F3" s="101">
        <f>+España!F30</f>
        <v>44286</v>
      </c>
      <c r="G3" s="101">
        <f>+España!G30</f>
        <v>44377</v>
      </c>
      <c r="H3" s="101">
        <f>+España!H30</f>
        <v>44469</v>
      </c>
      <c r="I3" s="101">
        <f>+España!I30</f>
        <v>44561</v>
      </c>
    </row>
    <row r="4" spans="1:9" ht="15">
      <c r="A4" s="99"/>
      <c r="B4" s="102"/>
      <c r="C4" s="102"/>
      <c r="D4" s="102"/>
      <c r="E4" s="103"/>
      <c r="F4" s="102"/>
      <c r="G4" s="102"/>
      <c r="H4" s="99"/>
      <c r="I4" s="99"/>
    </row>
    <row r="5" spans="1:255" ht="15">
      <c r="A5" s="104" t="str">
        <f>HLOOKUP(INDICE!$F$2,Nombres!$C$3:$D$636,276,FALSE)</f>
        <v>Grupo BBVA  (**)</v>
      </c>
      <c r="B5" s="105">
        <v>42.877918340453824</v>
      </c>
      <c r="C5" s="105">
        <v>43.79781835268254</v>
      </c>
      <c r="D5" s="105">
        <v>43.68327445457022</v>
      </c>
      <c r="E5" s="106">
        <v>45.06317990535618</v>
      </c>
      <c r="F5" s="249">
        <v>44.70282177732533</v>
      </c>
      <c r="G5" s="249">
        <v>44.81983400218053</v>
      </c>
      <c r="H5" s="249">
        <v>44.74692214406712</v>
      </c>
      <c r="I5" s="249">
        <v>0</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9"/>
      <c r="B6" s="109"/>
      <c r="C6" s="109"/>
      <c r="D6" s="109"/>
      <c r="E6" s="110"/>
      <c r="F6" s="109"/>
      <c r="G6" s="109"/>
      <c r="H6" s="109"/>
      <c r="I6" s="109"/>
      <c r="J6" s="111"/>
      <c r="K6" s="111"/>
      <c r="L6" s="111"/>
    </row>
    <row r="7" spans="1:255" ht="15">
      <c r="A7" s="59" t="str">
        <f>HLOOKUP(INDICE!$F$2,Nombres!$C$3:$D$636,7,FALSE)</f>
        <v>España</v>
      </c>
      <c r="B7" s="112">
        <v>51.6208190875511</v>
      </c>
      <c r="C7" s="112">
        <v>52.700870622629346</v>
      </c>
      <c r="D7" s="112">
        <v>51.966629971940506</v>
      </c>
      <c r="E7" s="113">
        <v>54.590530353806685</v>
      </c>
      <c r="F7" s="114">
        <v>45.74427545537934</v>
      </c>
      <c r="G7" s="114">
        <v>49.0460063784315</v>
      </c>
      <c r="H7" s="114">
        <v>49.33703292814719</v>
      </c>
      <c r="I7" s="114">
        <v>0</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9"/>
      <c r="B8" s="109"/>
      <c r="C8" s="109"/>
      <c r="D8" s="109"/>
      <c r="E8" s="110"/>
      <c r="F8" s="109"/>
      <c r="G8" s="109"/>
      <c r="H8" s="109"/>
      <c r="I8" s="109"/>
      <c r="J8" s="115"/>
      <c r="K8" s="111"/>
      <c r="L8" s="111"/>
    </row>
    <row r="9" spans="1:255" ht="15">
      <c r="A9" s="59" t="str">
        <f>HLOOKUP(INDICE!$F$2,Nombres!$C$3:$D$636,11,FALSE)</f>
        <v>México</v>
      </c>
      <c r="B9" s="112">
        <v>33.23742563601183</v>
      </c>
      <c r="C9" s="112">
        <v>33.83569758591643</v>
      </c>
      <c r="D9" s="112">
        <v>33.326516700260974</v>
      </c>
      <c r="E9" s="113">
        <v>33.37414884838819</v>
      </c>
      <c r="F9" s="114">
        <v>35.34380070673852</v>
      </c>
      <c r="G9" s="114">
        <v>35.15899028816013</v>
      </c>
      <c r="H9" s="114">
        <v>35.05862073787509</v>
      </c>
      <c r="I9" s="114">
        <v>0</v>
      </c>
      <c r="J9" s="115"/>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9"/>
      <c r="B10" s="109"/>
      <c r="C10" s="109"/>
      <c r="D10" s="109"/>
      <c r="E10" s="110"/>
      <c r="F10" s="109"/>
      <c r="G10" s="109"/>
      <c r="H10" s="109"/>
      <c r="I10" s="109"/>
      <c r="J10" s="115"/>
      <c r="K10" s="111"/>
      <c r="L10" s="111"/>
    </row>
    <row r="11" spans="1:12" ht="15">
      <c r="A11" s="59" t="str">
        <f>HLOOKUP(INDICE!$F$2,Nombres!$C$3:$D$636,12,FALSE)</f>
        <v>Turquía </v>
      </c>
      <c r="B11" s="112">
        <v>28.873108173298164</v>
      </c>
      <c r="C11" s="112">
        <v>28.742199449363337</v>
      </c>
      <c r="D11" s="112">
        <v>27.62314239827984</v>
      </c>
      <c r="E11" s="113">
        <v>28.80963821216007</v>
      </c>
      <c r="F11" s="114">
        <v>31.767798882421243</v>
      </c>
      <c r="G11" s="114">
        <v>31.730747139269177</v>
      </c>
      <c r="H11" s="114">
        <v>30.408743315826758</v>
      </c>
      <c r="I11" s="114">
        <v>0</v>
      </c>
      <c r="J11" s="108"/>
      <c r="K11" s="111"/>
      <c r="L11" s="111"/>
    </row>
    <row r="12" spans="1:12" ht="15">
      <c r="A12" s="99"/>
      <c r="B12" s="109"/>
      <c r="C12" s="109"/>
      <c r="D12" s="109"/>
      <c r="E12" s="110"/>
      <c r="F12" s="109"/>
      <c r="G12" s="109"/>
      <c r="H12" s="109"/>
      <c r="I12" s="109"/>
      <c r="J12" s="111"/>
      <c r="K12" s="111"/>
      <c r="L12" s="111"/>
    </row>
    <row r="13" spans="1:255" ht="15">
      <c r="A13" s="59" t="str">
        <f>HLOOKUP(INDICE!$F$2,Nombres!$C$3:$D$636,13,FALSE)</f>
        <v>América del Sur </v>
      </c>
      <c r="B13" s="112">
        <v>45.16998086668612</v>
      </c>
      <c r="C13" s="112">
        <v>43.212821699392315</v>
      </c>
      <c r="D13" s="112">
        <v>42.765179207901255</v>
      </c>
      <c r="E13" s="113">
        <v>42.55464440923582</v>
      </c>
      <c r="F13" s="114">
        <v>47.208916874612655</v>
      </c>
      <c r="G13" s="114">
        <v>46.132936446249715</v>
      </c>
      <c r="H13" s="114">
        <v>46.809714369190964</v>
      </c>
      <c r="I13" s="114">
        <v>0</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9"/>
      <c r="B14" s="109"/>
      <c r="C14" s="109"/>
      <c r="D14" s="109"/>
      <c r="E14" s="110"/>
      <c r="F14" s="109"/>
      <c r="G14" s="109"/>
      <c r="H14" s="109"/>
      <c r="I14" s="109"/>
      <c r="J14" s="111"/>
      <c r="K14" s="111"/>
      <c r="L14" s="111"/>
    </row>
    <row r="15" spans="1:255" ht="15">
      <c r="A15" s="59" t="str">
        <f>HLOOKUP(INDICE!$F$2,Nombres!$C$3:$D$636,263,FALSE)</f>
        <v>Resto de Negocios</v>
      </c>
      <c r="B15" s="112">
        <v>59.19744366628841</v>
      </c>
      <c r="C15" s="112">
        <v>51.0606759577111</v>
      </c>
      <c r="D15" s="112">
        <v>52.474947071553736</v>
      </c>
      <c r="E15" s="113">
        <v>55.618256122538135</v>
      </c>
      <c r="F15" s="114">
        <v>52.640405898255324</v>
      </c>
      <c r="G15" s="114">
        <v>56.66192228280581</v>
      </c>
      <c r="H15" s="114">
        <v>57.24026891178288</v>
      </c>
      <c r="I15" s="114">
        <v>0</v>
      </c>
      <c r="K15" s="10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9"/>
      <c r="B16" s="116"/>
      <c r="C16" s="116"/>
      <c r="D16" s="116"/>
      <c r="E16" s="116"/>
      <c r="F16" s="116"/>
      <c r="G16" s="116"/>
      <c r="H16" s="99"/>
      <c r="I16" s="274"/>
      <c r="J16" s="111"/>
      <c r="K16" s="111"/>
      <c r="L16" s="111"/>
    </row>
    <row r="17" spans="1:10" ht="15">
      <c r="A17" s="117" t="str">
        <f>HLOOKUP(INDICE!$F$2,Nombres!$C$3:$D$636,83,FALSE)</f>
        <v>(*) Gastos de explotación / Margen bruto. Incluye amortizaciones</v>
      </c>
      <c r="B17" s="99"/>
      <c r="C17" s="99"/>
      <c r="D17" s="99"/>
      <c r="E17" s="99"/>
      <c r="F17" s="99"/>
      <c r="G17" s="99"/>
      <c r="H17" s="99"/>
      <c r="I17" s="274"/>
      <c r="J17" s="111"/>
    </row>
    <row r="18" spans="1:12" ht="15">
      <c r="A18" s="118"/>
      <c r="B18" s="118"/>
      <c r="C18" s="118"/>
      <c r="D18" s="118"/>
      <c r="E18" s="118"/>
      <c r="F18" s="118"/>
      <c r="G18" s="118"/>
      <c r="H18" s="118"/>
      <c r="I18" s="275"/>
      <c r="J18" s="111"/>
      <c r="K18" s="111"/>
      <c r="L18" s="111"/>
    </row>
    <row r="19" spans="1:12" ht="15">
      <c r="A19" s="117" t="str">
        <f>HLOOKUP(INDICE!$F$2,Nombres!$C$3:$D$636,277,FALSE)</f>
        <v>(**) Grupo BBVA no incluye el negocio vendido de EEUU vendido a PNC.</v>
      </c>
      <c r="B19" s="118"/>
      <c r="C19" s="118"/>
      <c r="D19" s="118"/>
      <c r="E19" s="118"/>
      <c r="F19" s="118"/>
      <c r="G19" s="118"/>
      <c r="H19" s="118"/>
      <c r="I19" s="118"/>
      <c r="K19" s="111"/>
      <c r="L19" s="111"/>
    </row>
    <row r="20" spans="11:12" ht="15">
      <c r="K20" s="111"/>
      <c r="L20" s="111"/>
    </row>
    <row r="998" ht="15">
      <c r="A998" s="97" t="s">
        <v>396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5" customWidth="1"/>
    <col min="2" max="6" width="10.8515625" style="97" customWidth="1" collapsed="1"/>
    <col min="7" max="7" width="10.8515625" style="97" customWidth="1"/>
    <col min="8" max="8" width="10.8515625" style="120" customWidth="1"/>
    <col min="9" max="9" width="10.8515625" style="120" hidden="1" customWidth="1"/>
    <col min="10" max="11" width="9.57421875" style="120" customWidth="1"/>
    <col min="12" max="255" width="12.57421875" style="120" customWidth="1"/>
  </cols>
  <sheetData>
    <row r="1" spans="1:9" ht="19.5">
      <c r="A1" s="95" t="str">
        <f>HLOOKUP(INDICE!$F$2,Nombres!$C$3:$D$636,85,FALSE)</f>
        <v>Tasa de mora</v>
      </c>
      <c r="B1" s="119"/>
      <c r="C1" s="119"/>
      <c r="D1" s="119"/>
      <c r="E1" s="119"/>
      <c r="F1" s="119"/>
      <c r="G1" s="96"/>
      <c r="H1" s="96"/>
      <c r="I1" s="96"/>
    </row>
    <row r="2" spans="1:9" ht="15">
      <c r="A2" s="98" t="str">
        <f>HLOOKUP(INDICE!$F$2,Nombres!$C$3:$D$636,84,FALSE)</f>
        <v>(Porcentaje)</v>
      </c>
      <c r="B2" s="99"/>
      <c r="C2" s="99"/>
      <c r="D2" s="99"/>
      <c r="E2" s="99"/>
      <c r="F2" s="99"/>
      <c r="G2" s="99"/>
      <c r="H2" s="99"/>
      <c r="I2" s="99"/>
    </row>
    <row r="3" spans="1:9" ht="15.75">
      <c r="A3" s="99"/>
      <c r="B3" s="121">
        <f>+España!B$30</f>
        <v>43921</v>
      </c>
      <c r="C3" s="121">
        <f>+España!C$30</f>
        <v>44012</v>
      </c>
      <c r="D3" s="121">
        <f>+España!D$30</f>
        <v>44104</v>
      </c>
      <c r="E3" s="121">
        <f>+España!E$30</f>
        <v>44196</v>
      </c>
      <c r="F3" s="121">
        <f>+España!F$30</f>
        <v>44286</v>
      </c>
      <c r="G3" s="121">
        <f>+España!G$30</f>
        <v>44377</v>
      </c>
      <c r="H3" s="121">
        <f>+España!H$30</f>
        <v>44469</v>
      </c>
      <c r="I3" s="121">
        <f>+España!I$30</f>
        <v>44561</v>
      </c>
    </row>
    <row r="4" spans="1:9" ht="15">
      <c r="A4" s="99"/>
      <c r="B4" s="102"/>
      <c r="C4" s="102"/>
      <c r="D4" s="99"/>
      <c r="E4" s="122"/>
      <c r="F4" s="102"/>
      <c r="G4" s="102"/>
      <c r="H4" s="99"/>
      <c r="I4" s="99"/>
    </row>
    <row r="5" spans="1:255" ht="15">
      <c r="A5" s="104" t="str">
        <f>HLOOKUP(INDICE!$F$2,Nombres!$C$3:$D$636,275,FALSE)</f>
        <v>Grupo BBVA  (*)</v>
      </c>
      <c r="B5" s="105">
        <v>4.027384466899061</v>
      </c>
      <c r="C5" s="105">
        <v>4.057535133908675</v>
      </c>
      <c r="D5" s="105">
        <v>4.109722415375619</v>
      </c>
      <c r="E5" s="106">
        <v>4.21152541296873</v>
      </c>
      <c r="F5" s="105">
        <v>4.27422612423203</v>
      </c>
      <c r="G5" s="107">
        <v>4.232742966062069</v>
      </c>
      <c r="H5" s="107">
        <v>3.9987137735189493</v>
      </c>
      <c r="I5" s="107">
        <v>0</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5">
      <c r="A7" s="59" t="str">
        <f>HLOOKUP(INDICE!$F$2,Nombres!$C$3:$D$636,7,FALSE)</f>
        <v>España</v>
      </c>
      <c r="B7" s="112">
        <v>4.305978274517319</v>
      </c>
      <c r="C7" s="112">
        <v>4.263709627851182</v>
      </c>
      <c r="D7" s="112">
        <v>4.324728623012037</v>
      </c>
      <c r="E7" s="113">
        <v>4.27353108665122</v>
      </c>
      <c r="F7" s="112">
        <v>4.380626628172922</v>
      </c>
      <c r="G7" s="114">
        <v>4.16902454058839</v>
      </c>
      <c r="H7" s="114">
        <v>4.087710135510244</v>
      </c>
      <c r="I7" s="114">
        <v>0</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9"/>
      <c r="B8" s="109"/>
      <c r="C8" s="109"/>
      <c r="D8" s="109"/>
      <c r="E8" s="110"/>
      <c r="F8" s="109"/>
      <c r="G8" s="109"/>
      <c r="H8" s="109"/>
      <c r="I8" s="109"/>
      <c r="J8" s="123"/>
      <c r="K8" s="126"/>
    </row>
    <row r="9" spans="1:255" ht="15">
      <c r="A9" s="59" t="str">
        <f>HLOOKUP(INDICE!$F$2,Nombres!$C$3:$D$636,11,FALSE)</f>
        <v>México</v>
      </c>
      <c r="B9" s="112">
        <v>2.281269629812707</v>
      </c>
      <c r="C9" s="112">
        <v>2.2208094687273987</v>
      </c>
      <c r="D9" s="112">
        <v>2.29237538034257</v>
      </c>
      <c r="E9" s="113">
        <v>3.3308570031607116</v>
      </c>
      <c r="F9" s="112">
        <v>2.958559833273872</v>
      </c>
      <c r="G9" s="114">
        <v>3.052631711283429</v>
      </c>
      <c r="H9" s="114">
        <v>2.544928431658753</v>
      </c>
      <c r="I9" s="114">
        <v>0</v>
      </c>
      <c r="J9" s="1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9"/>
      <c r="B10" s="109"/>
      <c r="C10" s="109"/>
      <c r="D10" s="109"/>
      <c r="E10" s="110"/>
      <c r="F10" s="109"/>
      <c r="G10" s="109"/>
      <c r="H10" s="109"/>
      <c r="I10" s="109"/>
      <c r="J10" s="123"/>
      <c r="K10" s="126"/>
    </row>
    <row r="11" spans="1:11" ht="15">
      <c r="A11" s="59" t="str">
        <f>HLOOKUP(INDICE!$F$2,Nombres!$C$3:$D$636,12,FALSE)</f>
        <v>Turquía </v>
      </c>
      <c r="B11" s="112">
        <v>6.736531074635012</v>
      </c>
      <c r="C11" s="112">
        <v>7.019466719362834</v>
      </c>
      <c r="D11" s="112">
        <v>7.11405458809955</v>
      </c>
      <c r="E11" s="113">
        <v>6.57533724248832</v>
      </c>
      <c r="F11" s="112">
        <v>6.8811670507497285</v>
      </c>
      <c r="G11" s="114">
        <v>7.328713512031089</v>
      </c>
      <c r="H11" s="114">
        <v>6.513944904556201</v>
      </c>
      <c r="I11" s="114">
        <v>0</v>
      </c>
      <c r="J11" s="123"/>
      <c r="K11" s="126"/>
    </row>
    <row r="12" spans="1:11" ht="15">
      <c r="A12" s="99"/>
      <c r="B12" s="109"/>
      <c r="C12" s="109"/>
      <c r="D12" s="109"/>
      <c r="E12" s="110"/>
      <c r="F12" s="109"/>
      <c r="G12" s="109"/>
      <c r="H12" s="109"/>
      <c r="I12" s="109"/>
      <c r="J12" s="123"/>
      <c r="K12" s="126"/>
    </row>
    <row r="13" spans="1:255" ht="15">
      <c r="A13" s="59" t="str">
        <f>HLOOKUP(INDICE!$F$2,Nombres!$C$3:$D$636,13,FALSE)</f>
        <v>América del Sur </v>
      </c>
      <c r="B13" s="112">
        <v>4.4385311534910175</v>
      </c>
      <c r="C13" s="112">
        <v>4.504578134978346</v>
      </c>
      <c r="D13" s="112">
        <v>4.345264892563691</v>
      </c>
      <c r="E13" s="113">
        <v>4.395882249201049</v>
      </c>
      <c r="F13" s="112">
        <v>4.611002342353146</v>
      </c>
      <c r="G13" s="114">
        <v>4.6586989564769326</v>
      </c>
      <c r="H13" s="114">
        <v>4.528299665215804</v>
      </c>
      <c r="I13" s="114">
        <v>0</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5">
      <c r="A14" s="99"/>
      <c r="B14" s="127"/>
      <c r="C14" s="127"/>
      <c r="D14" s="127"/>
      <c r="E14" s="128"/>
      <c r="F14" s="127"/>
      <c r="G14" s="245"/>
      <c r="H14" s="245"/>
      <c r="I14" s="245"/>
      <c r="J14" s="123"/>
      <c r="K14" s="126"/>
    </row>
    <row r="15" spans="1:255" ht="15">
      <c r="A15" s="59" t="str">
        <f>HLOOKUP(INDICE!$F$2,Nombres!$C$3:$D$636,263,FALSE)</f>
        <v>Resto de Negocios</v>
      </c>
      <c r="B15" s="112">
        <v>0.7371828103628951</v>
      </c>
      <c r="C15" s="112">
        <v>0.6940395279426634</v>
      </c>
      <c r="D15" s="112">
        <v>0.7968466290593523</v>
      </c>
      <c r="E15" s="113">
        <v>0.9784849944731981</v>
      </c>
      <c r="F15" s="112">
        <v>0.9917517177383175</v>
      </c>
      <c r="G15" s="114">
        <v>0.9910764891972383</v>
      </c>
      <c r="H15" s="114">
        <v>0.9064715389800193</v>
      </c>
      <c r="I15" s="114">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0" ht="15">
      <c r="A17" s="99"/>
      <c r="B17" s="127"/>
      <c r="C17" s="127"/>
      <c r="D17" s="130"/>
      <c r="E17" s="130"/>
      <c r="F17" s="127"/>
      <c r="G17" s="127"/>
      <c r="H17" s="130"/>
      <c r="I17" s="130"/>
      <c r="J17" s="126"/>
    </row>
    <row r="18" spans="1:255" ht="18">
      <c r="A18" s="95" t="str">
        <f>HLOOKUP(INDICE!$F$2,Nombres!$C$3:$D$636,86,FALSE)</f>
        <v>Tasa de cobertura</v>
      </c>
      <c r="B18" s="131"/>
      <c r="C18" s="131"/>
      <c r="D18" s="132"/>
      <c r="E18" s="132"/>
      <c r="F18" s="131"/>
      <c r="G18" s="131"/>
      <c r="H18" s="132"/>
      <c r="I18" s="132"/>
      <c r="J18" s="126"/>
      <c r="K18" s="126"/>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5">
      <c r="A19" s="98" t="str">
        <f>HLOOKUP(INDICE!$F$2,Nombres!$C$3:$D$636,84,FALSE)</f>
        <v>(Porcentaje)</v>
      </c>
      <c r="B19" s="116"/>
      <c r="C19" s="116"/>
      <c r="D19" s="130"/>
      <c r="E19" s="130"/>
      <c r="F19" s="116"/>
      <c r="G19" s="116"/>
      <c r="H19" s="130"/>
      <c r="I19" s="130"/>
      <c r="J19" s="126"/>
      <c r="K19" s="126"/>
    </row>
    <row r="20" spans="1:255" ht="15.75">
      <c r="A20" s="99"/>
      <c r="B20" s="121">
        <f>+B$3</f>
        <v>43921</v>
      </c>
      <c r="C20" s="121">
        <f aca="true" t="shared" si="0" ref="C20:I20">+C$3</f>
        <v>44012</v>
      </c>
      <c r="D20" s="121">
        <f t="shared" si="0"/>
        <v>44104</v>
      </c>
      <c r="E20" s="121">
        <f t="shared" si="0"/>
        <v>44196</v>
      </c>
      <c r="F20" s="121">
        <f t="shared" si="0"/>
        <v>44286</v>
      </c>
      <c r="G20" s="121">
        <f t="shared" si="0"/>
        <v>44377</v>
      </c>
      <c r="H20" s="121">
        <f t="shared" si="0"/>
        <v>44469</v>
      </c>
      <c r="I20" s="121">
        <f t="shared" si="0"/>
        <v>44561</v>
      </c>
      <c r="J20" s="126"/>
      <c r="K20" s="126"/>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5">
      <c r="A21" s="99"/>
      <c r="B21" s="134"/>
      <c r="C21" s="134"/>
      <c r="D21" s="130"/>
      <c r="E21" s="130"/>
      <c r="F21" s="134"/>
      <c r="G21" s="134"/>
      <c r="H21" s="130"/>
      <c r="I21" s="130"/>
      <c r="J21" s="126"/>
      <c r="K21" s="126"/>
    </row>
    <row r="22" spans="1:11" ht="15">
      <c r="A22" s="104" t="str">
        <f>HLOOKUP(INDICE!$F$2,Nombres!$C$3:$D$636,275,FALSE)</f>
        <v>Grupo BBVA  (*)</v>
      </c>
      <c r="B22" s="135">
        <v>83.19304982808094</v>
      </c>
      <c r="C22" s="135">
        <v>83.0934249953214</v>
      </c>
      <c r="D22" s="135">
        <v>84.8394198158109</v>
      </c>
      <c r="E22" s="136">
        <v>81.51683735326954</v>
      </c>
      <c r="F22" s="135">
        <v>80.77851569113308</v>
      </c>
      <c r="G22" s="246">
        <v>76.75835787440316</v>
      </c>
      <c r="H22" s="246">
        <v>80.02618491458286</v>
      </c>
      <c r="I22" s="246">
        <v>0</v>
      </c>
      <c r="J22" s="137"/>
      <c r="K22" s="126"/>
    </row>
    <row r="23" spans="1:11" ht="15">
      <c r="A23" s="99"/>
      <c r="B23" s="138"/>
      <c r="C23" s="138"/>
      <c r="D23" s="138"/>
      <c r="E23" s="139"/>
      <c r="F23" s="138"/>
      <c r="G23" s="138"/>
      <c r="H23" s="138"/>
      <c r="I23" s="138"/>
      <c r="J23" s="137"/>
      <c r="K23" s="126"/>
    </row>
    <row r="24" spans="1:255" ht="15">
      <c r="A24" s="59" t="str">
        <f>HLOOKUP(INDICE!$F$2,Nombres!$C$3:$D$636,7,FALSE)</f>
        <v>España</v>
      </c>
      <c r="B24" s="140">
        <v>66.13243939724384</v>
      </c>
      <c r="C24" s="140">
        <v>65.65056768167248</v>
      </c>
      <c r="D24" s="140">
        <v>67.58018072748976</v>
      </c>
      <c r="E24" s="141">
        <v>66.7790986133544</v>
      </c>
      <c r="F24" s="140">
        <v>66.38499260905732</v>
      </c>
      <c r="G24" s="247">
        <v>64.3502562438191</v>
      </c>
      <c r="H24" s="247">
        <v>65.47244401138379</v>
      </c>
      <c r="I24" s="247">
        <v>0</v>
      </c>
      <c r="J24" s="1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9"/>
      <c r="B25" s="138"/>
      <c r="C25" s="138"/>
      <c r="D25" s="138"/>
      <c r="E25" s="139"/>
      <c r="F25" s="138"/>
      <c r="G25" s="138"/>
      <c r="H25" s="138"/>
      <c r="I25" s="138"/>
      <c r="J25" s="137"/>
      <c r="K25" s="12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5">
      <c r="A26" s="59" t="str">
        <f>HLOOKUP(INDICE!$F$2,Nombres!$C$3:$D$636,11,FALSE)</f>
        <v>México</v>
      </c>
      <c r="B26" s="140">
        <v>155.1299650820022</v>
      </c>
      <c r="C26" s="140">
        <v>165.45673791558647</v>
      </c>
      <c r="D26" s="140">
        <v>170.20065910476924</v>
      </c>
      <c r="E26" s="141">
        <v>122.10358091012534</v>
      </c>
      <c r="F26" s="140">
        <v>128.89708113150996</v>
      </c>
      <c r="G26" s="247">
        <v>117.77392341189592</v>
      </c>
      <c r="H26" s="247">
        <v>131.01964036253145</v>
      </c>
      <c r="I26" s="247">
        <v>0</v>
      </c>
      <c r="J26" s="137"/>
      <c r="K26" s="1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5">
      <c r="A27" s="99"/>
      <c r="B27" s="138"/>
      <c r="C27" s="138"/>
      <c r="D27" s="138"/>
      <c r="E27" s="139"/>
      <c r="F27" s="138"/>
      <c r="G27" s="138"/>
      <c r="H27" s="138"/>
      <c r="I27" s="138"/>
      <c r="J27" s="137"/>
      <c r="K27" s="126"/>
    </row>
    <row r="28" spans="1:255" ht="15">
      <c r="A28" s="59" t="str">
        <f>HLOOKUP(INDICE!$F$2,Nombres!$C$3:$D$636,12,FALSE)</f>
        <v>Turquía </v>
      </c>
      <c r="B28" s="140">
        <v>86.33491378867349</v>
      </c>
      <c r="C28" s="140">
        <v>81.90898276777581</v>
      </c>
      <c r="D28" s="140">
        <v>81.90746572086384</v>
      </c>
      <c r="E28" s="141">
        <v>79.8690877197722</v>
      </c>
      <c r="F28" s="140">
        <v>78.01133138864287</v>
      </c>
      <c r="G28" s="247">
        <v>69.21982164884652</v>
      </c>
      <c r="H28" s="247">
        <v>77.84596768260919</v>
      </c>
      <c r="I28" s="247">
        <v>0</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9"/>
      <c r="B29" s="138"/>
      <c r="C29" s="138"/>
      <c r="D29" s="138"/>
      <c r="E29" s="139"/>
      <c r="F29" s="138"/>
      <c r="G29" s="138"/>
      <c r="H29" s="138"/>
      <c r="I29" s="138"/>
      <c r="J29" s="137"/>
      <c r="K29" s="126"/>
    </row>
    <row r="30" spans="1:255" ht="15">
      <c r="A30" s="59" t="str">
        <f>HLOOKUP(INDICE!$F$2,Nombres!$C$3:$D$636,13,FALSE)</f>
        <v>América del Sur </v>
      </c>
      <c r="B30" s="140">
        <v>104.35242601463545</v>
      </c>
      <c r="C30" s="140">
        <v>107.87035050497826</v>
      </c>
      <c r="D30" s="140">
        <v>109.91333998259583</v>
      </c>
      <c r="E30" s="141">
        <v>110.0138447756332</v>
      </c>
      <c r="F30" s="140">
        <v>109.14212896783424</v>
      </c>
      <c r="G30" s="247">
        <v>108.25779753594978</v>
      </c>
      <c r="H30" s="247">
        <v>108.29188948692838</v>
      </c>
      <c r="I30" s="247">
        <v>0</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9"/>
      <c r="B31" s="143"/>
      <c r="C31" s="143"/>
      <c r="D31" s="143"/>
      <c r="E31" s="144"/>
      <c r="F31" s="143"/>
      <c r="G31" s="248"/>
      <c r="H31" s="248"/>
      <c r="I31" s="248"/>
      <c r="J31" s="1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40">
        <v>116.5030995973073</v>
      </c>
      <c r="C32" s="140">
        <v>131.00867806712165</v>
      </c>
      <c r="D32" s="140">
        <v>134.7514168583698</v>
      </c>
      <c r="E32" s="141">
        <v>109.23465203812883</v>
      </c>
      <c r="F32" s="140">
        <v>100.59539002076502</v>
      </c>
      <c r="G32" s="247">
        <v>95.42769964741031</v>
      </c>
      <c r="H32" s="247">
        <v>97.88186464294992</v>
      </c>
      <c r="I32" s="247">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5">
      <c r="A33" s="129"/>
      <c r="B33" s="145"/>
      <c r="C33" s="145"/>
      <c r="D33" s="130"/>
      <c r="E33" s="130"/>
      <c r="F33" s="145"/>
      <c r="G33" s="145"/>
      <c r="H33" s="130"/>
      <c r="I33" s="130"/>
      <c r="J33" s="126"/>
      <c r="K33" s="126"/>
    </row>
    <row r="34" spans="1:255" ht="15">
      <c r="A34" s="99"/>
      <c r="B34" s="145"/>
      <c r="C34" s="145"/>
      <c r="D34" s="130"/>
      <c r="E34" s="130"/>
      <c r="F34" s="145"/>
      <c r="G34" s="145"/>
      <c r="H34" s="130"/>
      <c r="I34" s="130"/>
      <c r="J34" s="12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5" t="str">
        <f>HLOOKUP(INDICE!$F$2,Nombres!$C$3:$D$636,87,FALSE)</f>
        <v>Coste del riesgo acumulado</v>
      </c>
      <c r="B35" s="131"/>
      <c r="C35" s="131"/>
      <c r="D35" s="132"/>
      <c r="E35" s="132"/>
      <c r="F35" s="131"/>
      <c r="G35" s="131"/>
      <c r="H35" s="132"/>
      <c r="I35" s="132"/>
      <c r="J35" s="126"/>
      <c r="K35" s="12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0" ht="15">
      <c r="A36" s="98" t="str">
        <f>HLOOKUP(INDICE!$F$2,Nombres!$C$3:$D$636,84,FALSE)</f>
        <v>(Porcentaje)</v>
      </c>
      <c r="B36" s="145"/>
      <c r="C36" s="145"/>
      <c r="D36" s="130"/>
      <c r="E36" s="130"/>
      <c r="F36" s="145"/>
      <c r="G36" s="145"/>
      <c r="H36" s="130"/>
      <c r="I36" s="130"/>
      <c r="J36" s="126"/>
    </row>
    <row r="37" spans="1:255" ht="15.75">
      <c r="A37" s="99"/>
      <c r="B37" s="121">
        <f>+B$3</f>
        <v>43921</v>
      </c>
      <c r="C37" s="121">
        <f aca="true" t="shared" si="1" ref="C37:I37">+C$3</f>
        <v>44012</v>
      </c>
      <c r="D37" s="121">
        <f t="shared" si="1"/>
        <v>44104</v>
      </c>
      <c r="E37" s="121">
        <f t="shared" si="1"/>
        <v>44196</v>
      </c>
      <c r="F37" s="121">
        <f t="shared" si="1"/>
        <v>44286</v>
      </c>
      <c r="G37" s="121">
        <f t="shared" si="1"/>
        <v>44377</v>
      </c>
      <c r="H37" s="121">
        <f t="shared" si="1"/>
        <v>44469</v>
      </c>
      <c r="I37" s="121">
        <f t="shared" si="1"/>
        <v>44561</v>
      </c>
      <c r="J37" s="126"/>
      <c r="K37" s="126"/>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5">
      <c r="A38" s="99"/>
      <c r="B38" s="134"/>
      <c r="C38" s="134"/>
      <c r="D38" s="130"/>
      <c r="E38" s="130"/>
      <c r="F38" s="134"/>
      <c r="G38" s="134"/>
      <c r="H38" s="130"/>
      <c r="I38" s="130"/>
      <c r="J38" s="126"/>
      <c r="K38" s="126"/>
    </row>
    <row r="39" spans="1:11" ht="15">
      <c r="A39" s="104" t="str">
        <f>HLOOKUP(INDICE!$F$2,Nombres!$C$3:$D$636,275,FALSE)</f>
        <v>Grupo BBVA  (*)</v>
      </c>
      <c r="B39" s="146">
        <v>2.5366549638142297</v>
      </c>
      <c r="C39" s="146">
        <v>2.0669134054761957</v>
      </c>
      <c r="D39" s="146">
        <v>1.6753055251693454</v>
      </c>
      <c r="E39" s="147">
        <v>1.5537125113935448</v>
      </c>
      <c r="F39" s="146">
        <v>1.1730906180693499</v>
      </c>
      <c r="G39" s="146">
        <v>1.0014400841329902</v>
      </c>
      <c r="H39" s="249">
        <v>0.9163961296326154</v>
      </c>
      <c r="I39" s="249">
        <v>0</v>
      </c>
      <c r="J39" s="108"/>
      <c r="K39" s="126"/>
    </row>
    <row r="40" spans="1:11" ht="15">
      <c r="A40" s="99"/>
      <c r="B40" s="148"/>
      <c r="C40" s="148"/>
      <c r="D40" s="148"/>
      <c r="E40" s="149"/>
      <c r="F40" s="148"/>
      <c r="G40" s="148"/>
      <c r="H40" s="148"/>
      <c r="I40" s="148"/>
      <c r="J40" s="126"/>
      <c r="K40" s="126"/>
    </row>
    <row r="41" spans="1:11" ht="15">
      <c r="A41" s="59" t="str">
        <f>HLOOKUP(INDICE!$F$2,Nombres!$C$3:$D$636,7,FALSE)</f>
        <v>España</v>
      </c>
      <c r="B41" s="150">
        <v>1.544409409642632</v>
      </c>
      <c r="C41" s="150">
        <v>0.9979745703001622</v>
      </c>
      <c r="D41" s="150">
        <v>0.7988816786760411</v>
      </c>
      <c r="E41" s="151">
        <v>0.6718183655754664</v>
      </c>
      <c r="F41" s="150">
        <v>0.4464370216291454</v>
      </c>
      <c r="G41" s="250">
        <v>0.4145230509189175</v>
      </c>
      <c r="H41" s="250">
        <v>0.3233081057609226</v>
      </c>
      <c r="I41" s="250">
        <v>0</v>
      </c>
      <c r="J41" s="108"/>
      <c r="K41" s="126"/>
    </row>
    <row r="42" spans="1:11" ht="15">
      <c r="A42" s="99"/>
      <c r="B42" s="148"/>
      <c r="C42" s="148"/>
      <c r="D42" s="148"/>
      <c r="E42" s="149"/>
      <c r="F42" s="148"/>
      <c r="G42" s="148"/>
      <c r="H42" s="148"/>
      <c r="I42" s="148"/>
      <c r="J42" s="108"/>
      <c r="K42" s="126"/>
    </row>
    <row r="43" spans="1:255" ht="15">
      <c r="A43" s="59" t="str">
        <f>HLOOKUP(INDICE!$F$2,Nombres!$C$3:$D$636,11,FALSE)</f>
        <v>México</v>
      </c>
      <c r="B43" s="150">
        <v>5.295406173654156</v>
      </c>
      <c r="C43" s="150">
        <v>4.952459634853501</v>
      </c>
      <c r="D43" s="150">
        <v>4.270227834950972</v>
      </c>
      <c r="E43" s="151">
        <v>4.0169387347923955</v>
      </c>
      <c r="F43" s="150">
        <v>3.5535721044631865</v>
      </c>
      <c r="G43" s="250">
        <v>2.8335225953655923</v>
      </c>
      <c r="H43" s="250">
        <v>2.697884339327583</v>
      </c>
      <c r="I43" s="250">
        <v>0</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9"/>
      <c r="B44" s="148"/>
      <c r="C44" s="148"/>
      <c r="D44" s="148"/>
      <c r="E44" s="149"/>
      <c r="F44" s="148"/>
      <c r="G44" s="148"/>
      <c r="H44" s="148"/>
      <c r="I44" s="148"/>
      <c r="J44" s="126"/>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5">
      <c r="A45" s="59" t="str">
        <f>HLOOKUP(INDICE!$F$2,Nombres!$C$3:$D$636,12,FALSE)</f>
        <v>Turquía </v>
      </c>
      <c r="B45" s="150">
        <v>3.8024182673666056</v>
      </c>
      <c r="C45" s="150">
        <v>2.7125126972059963</v>
      </c>
      <c r="D45" s="150">
        <v>2.0049306351482334</v>
      </c>
      <c r="E45" s="151">
        <v>2.134983801788742</v>
      </c>
      <c r="F45" s="150">
        <v>1.3446936546426136</v>
      </c>
      <c r="G45" s="250">
        <v>0.9737620758969258</v>
      </c>
      <c r="H45" s="250">
        <v>0.8755645034712647</v>
      </c>
      <c r="I45" s="250">
        <v>0</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9"/>
      <c r="B46" s="148"/>
      <c r="C46" s="148"/>
      <c r="D46" s="148"/>
      <c r="E46" s="149"/>
      <c r="F46" s="148"/>
      <c r="G46" s="148"/>
      <c r="H46" s="148"/>
      <c r="I46" s="148"/>
      <c r="J46" s="126"/>
      <c r="K46" s="126"/>
    </row>
    <row r="47" spans="1:255" ht="15">
      <c r="A47" s="59" t="str">
        <f>HLOOKUP(INDICE!$F$2,Nombres!$C$3:$D$636,13,FALSE)</f>
        <v>América del Sur </v>
      </c>
      <c r="B47" s="150">
        <v>2.9978563658050255</v>
      </c>
      <c r="C47" s="150">
        <v>3.1004639627851667</v>
      </c>
      <c r="D47" s="150">
        <v>2.4878915183229866</v>
      </c>
      <c r="E47" s="151">
        <v>2.35718381031418</v>
      </c>
      <c r="F47" s="150">
        <v>1.8091344969893883</v>
      </c>
      <c r="G47" s="250">
        <v>1.928438254504768</v>
      </c>
      <c r="H47" s="250">
        <v>1.8729891230519553</v>
      </c>
      <c r="I47" s="250">
        <v>0</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9"/>
      <c r="B48" s="152"/>
      <c r="C48" s="152"/>
      <c r="D48" s="152"/>
      <c r="E48" s="153"/>
      <c r="F48" s="152"/>
      <c r="G48" s="251"/>
      <c r="H48" s="251"/>
      <c r="I48" s="251"/>
      <c r="J48" s="126"/>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50">
        <v>0.1357184129918632</v>
      </c>
      <c r="C49" s="150">
        <v>0.516513963816186</v>
      </c>
      <c r="D49" s="150">
        <v>0.46430108961862915</v>
      </c>
      <c r="E49" s="151">
        <v>0.30316518263846326</v>
      </c>
      <c r="F49" s="150">
        <v>-0.03025345085610629</v>
      </c>
      <c r="G49" s="250">
        <v>-0.1275024117868915</v>
      </c>
      <c r="H49" s="250">
        <v>-0.10673071982215629</v>
      </c>
      <c r="I49" s="250">
        <v>0</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5">
      <c r="A50" s="129"/>
      <c r="B50" s="99"/>
      <c r="C50" s="145"/>
      <c r="D50" s="145"/>
      <c r="E50" s="145"/>
      <c r="F50" s="99"/>
      <c r="G50" s="252"/>
      <c r="H50" s="252"/>
      <c r="I50" s="252"/>
      <c r="K50" s="126"/>
    </row>
    <row r="51" spans="1:255" ht="15">
      <c r="A51" s="117" t="str">
        <f>HLOOKUP(INDICE!$F$2,Nombres!$C$3:$D$636,278,FALSE)</f>
        <v>(*) Grupo BBVA no incluye el negocio vendido de EEUU vendido a PNC.</v>
      </c>
      <c r="B51" s="99"/>
      <c r="C51" s="99"/>
      <c r="D51" s="99"/>
      <c r="E51" s="99"/>
      <c r="F51" s="99"/>
      <c r="G51" s="99"/>
      <c r="H51" s="99"/>
      <c r="I51" s="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5">
      <c r="A52" s="99"/>
      <c r="B52" s="99"/>
      <c r="C52" s="99"/>
      <c r="D52" s="99"/>
      <c r="E52" s="99"/>
      <c r="F52" s="99"/>
      <c r="G52" s="99"/>
      <c r="H52" s="99"/>
      <c r="I52" s="99"/>
      <c r="K52" s="126"/>
    </row>
    <row r="53" spans="1:255" ht="15">
      <c r="A53" s="154"/>
      <c r="B53" s="118"/>
      <c r="C53" s="118"/>
      <c r="D53" s="118"/>
      <c r="E53" s="118"/>
      <c r="F53" s="118"/>
      <c r="G53" s="118"/>
      <c r="H53" s="154"/>
      <c r="I53" s="15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1:255" ht="15">
      <c r="K54" s="126"/>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5">
      <c r="A994" s="155" t="s">
        <v>396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 min="9" max="9" width="0" style="0" hidden="1" customWidth="1"/>
  </cols>
  <sheetData>
    <row r="1" spans="1:41" ht="18">
      <c r="A1" s="253" t="str">
        <f>HLOOKUP(INDICE!$F$2,Nombres!$C$3:$D$636,123,FALSE)</f>
        <v>Oficinas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43921</v>
      </c>
      <c r="C2" s="101">
        <f>+España!C30</f>
        <v>44012</v>
      </c>
      <c r="D2" s="101">
        <f>+España!D30</f>
        <v>44104</v>
      </c>
      <c r="E2" s="101">
        <f>+España!E30</f>
        <v>44196</v>
      </c>
      <c r="F2" s="101">
        <f>+España!F30</f>
        <v>44286</v>
      </c>
      <c r="G2" s="101">
        <f>+España!G30</f>
        <v>44377</v>
      </c>
      <c r="H2" s="101">
        <f>+España!H30</f>
        <v>44469</v>
      </c>
      <c r="I2" s="101">
        <f>+España!I30</f>
        <v>44561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54" t="str">
        <f>HLOOKUP(INDICE!$F$2,Nombres!$C$3:$D$636,7,FALSE)</f>
        <v>España</v>
      </c>
      <c r="B3" s="41">
        <v>2593</v>
      </c>
      <c r="C3" s="41">
        <v>2592</v>
      </c>
      <c r="D3" s="41">
        <v>2521</v>
      </c>
      <c r="E3" s="41">
        <v>2482</v>
      </c>
      <c r="F3" s="41">
        <v>2366</v>
      </c>
      <c r="G3" s="41">
        <v>2366</v>
      </c>
      <c r="H3" s="41">
        <v>2106</v>
      </c>
      <c r="I3" s="41">
        <v>0</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54" t="str">
        <f>HLOOKUP(INDICE!$F$2,Nombres!$C$3:$D$636,10,FALSE)</f>
        <v>EEUU</v>
      </c>
      <c r="B4" s="41">
        <v>643</v>
      </c>
      <c r="C4" s="41">
        <v>643</v>
      </c>
      <c r="D4" s="41">
        <v>639</v>
      </c>
      <c r="E4" s="41">
        <v>639</v>
      </c>
      <c r="F4" s="41">
        <v>639</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54" t="str">
        <f>HLOOKUP(INDICE!$F$2,Nombres!$C$3:$D$636,11,FALSE)</f>
        <v>México</v>
      </c>
      <c r="B5" s="41">
        <v>1864</v>
      </c>
      <c r="C5" s="41">
        <v>1866</v>
      </c>
      <c r="D5" s="41">
        <v>1814</v>
      </c>
      <c r="E5" s="41">
        <v>1746</v>
      </c>
      <c r="F5" s="41">
        <v>1728</v>
      </c>
      <c r="G5" s="41">
        <v>1746</v>
      </c>
      <c r="H5" s="41">
        <v>1746</v>
      </c>
      <c r="I5" s="41">
        <v>0</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54" t="str">
        <f>HLOOKUP(INDICE!$F$2,Nombres!$C$3:$D$636,12,FALSE)</f>
        <v>Turquía </v>
      </c>
      <c r="B6" s="41">
        <v>1038</v>
      </c>
      <c r="C6" s="41">
        <v>1035</v>
      </c>
      <c r="D6" s="41">
        <v>1028</v>
      </c>
      <c r="E6" s="41">
        <v>1021</v>
      </c>
      <c r="F6" s="41">
        <v>1021</v>
      </c>
      <c r="G6" s="41">
        <v>1009</v>
      </c>
      <c r="H6" s="41">
        <v>1007</v>
      </c>
      <c r="I6" s="41">
        <v>0</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54" t="str">
        <f>HLOOKUP(INDICE!$F$2,Nombres!$C$3:$D$636,13,FALSE)</f>
        <v>América del Sur </v>
      </c>
      <c r="B7" s="41">
        <v>1525</v>
      </c>
      <c r="C7" s="41">
        <v>1533</v>
      </c>
      <c r="D7" s="41">
        <v>1533</v>
      </c>
      <c r="E7" s="41">
        <v>1514</v>
      </c>
      <c r="F7" s="41">
        <v>1470</v>
      </c>
      <c r="G7" s="41">
        <v>1464</v>
      </c>
      <c r="H7" s="41">
        <v>1453</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9" t="str">
        <f>HLOOKUP(INDICE!$F$2,Nombres!$C$3:$D$636,14,FALSE)</f>
        <v>Argentina</v>
      </c>
      <c r="B8" s="255">
        <v>247</v>
      </c>
      <c r="C8" s="255">
        <v>248</v>
      </c>
      <c r="D8" s="255">
        <v>248</v>
      </c>
      <c r="E8" s="255">
        <v>248</v>
      </c>
      <c r="F8" s="255">
        <v>248</v>
      </c>
      <c r="G8" s="255">
        <v>244</v>
      </c>
      <c r="H8" s="255">
        <v>244</v>
      </c>
      <c r="I8" s="255">
        <v>0</v>
      </c>
      <c r="J8" s="54"/>
      <c r="K8" s="31"/>
      <c r="L8" s="118"/>
      <c r="M8" s="118"/>
      <c r="N8" s="26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9" t="str">
        <f>HLOOKUP(INDICE!$F$2,Nombres!$C$3:$D$636,15,FALSE)</f>
        <v>Chile</v>
      </c>
      <c r="B9" s="44">
        <v>17</v>
      </c>
      <c r="C9" s="44">
        <v>17</v>
      </c>
      <c r="D9" s="44">
        <v>17</v>
      </c>
      <c r="E9" s="44">
        <v>17</v>
      </c>
      <c r="F9" s="44">
        <v>17</v>
      </c>
      <c r="G9" s="44">
        <v>17</v>
      </c>
      <c r="H9" s="44">
        <v>17</v>
      </c>
      <c r="I9" s="44">
        <v>0</v>
      </c>
      <c r="J9" s="54"/>
      <c r="K9" s="31"/>
      <c r="L9" s="118"/>
      <c r="M9" s="118"/>
      <c r="N9" s="26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56" t="str">
        <f>HLOOKUP(INDICE!$F$2,Nombres!$C$3:$D$636,16,FALSE)</f>
        <v>Colombia</v>
      </c>
      <c r="B10" s="44">
        <v>551</v>
      </c>
      <c r="C10" s="44">
        <v>560</v>
      </c>
      <c r="D10" s="44">
        <v>559</v>
      </c>
      <c r="E10" s="44">
        <v>540</v>
      </c>
      <c r="F10" s="44">
        <v>522</v>
      </c>
      <c r="G10" s="44">
        <v>520</v>
      </c>
      <c r="H10" s="44">
        <v>518</v>
      </c>
      <c r="I10" s="44">
        <v>0</v>
      </c>
      <c r="J10" s="54"/>
      <c r="K10" s="118"/>
      <c r="L10" s="118"/>
      <c r="M10" s="118"/>
      <c r="N10" s="26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56" t="str">
        <f>HLOOKUP(INDICE!$F$2,Nombres!$C$3:$D$636,17,FALSE)</f>
        <v>Perú</v>
      </c>
      <c r="B11" s="44">
        <v>332</v>
      </c>
      <c r="C11" s="44">
        <v>332</v>
      </c>
      <c r="D11" s="44">
        <v>332</v>
      </c>
      <c r="E11" s="44">
        <v>332</v>
      </c>
      <c r="F11" s="44">
        <v>325</v>
      </c>
      <c r="G11" s="44">
        <v>325</v>
      </c>
      <c r="H11" s="44">
        <v>316</v>
      </c>
      <c r="I11" s="44">
        <v>0</v>
      </c>
      <c r="J11" s="54"/>
      <c r="K11" s="118"/>
      <c r="L11" s="118"/>
      <c r="M11" s="118"/>
      <c r="N11" s="26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56" t="str">
        <f>HLOOKUP(INDICE!$F$2,Nombres!$C$3:$D$636,89,FALSE)</f>
        <v>Resto de América del Sur</v>
      </c>
      <c r="B12" s="44">
        <v>378</v>
      </c>
      <c r="C12" s="44">
        <v>376</v>
      </c>
      <c r="D12" s="44">
        <v>377</v>
      </c>
      <c r="E12" s="44">
        <v>377</v>
      </c>
      <c r="F12" s="44">
        <v>358</v>
      </c>
      <c r="G12" s="44">
        <v>358</v>
      </c>
      <c r="H12" s="44">
        <v>358</v>
      </c>
      <c r="I12" s="44">
        <v>0</v>
      </c>
      <c r="J12" s="54"/>
      <c r="K12" s="118"/>
      <c r="L12" s="118"/>
      <c r="M12" s="118"/>
      <c r="N12" s="26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54" t="str">
        <f>HLOOKUP(INDICE!$F$2,Nombres!$C$3:$D$636,279,FALSE)</f>
        <v>Resto de geografías</v>
      </c>
      <c r="B13" s="41">
        <v>31</v>
      </c>
      <c r="C13" s="41">
        <v>30</v>
      </c>
      <c r="D13" s="41">
        <v>30</v>
      </c>
      <c r="E13" s="41">
        <v>30</v>
      </c>
      <c r="F13" s="41">
        <v>30</v>
      </c>
      <c r="G13" s="41">
        <v>32</v>
      </c>
      <c r="H13" s="41">
        <v>32</v>
      </c>
      <c r="I13" s="41">
        <v>0</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54" t="s">
        <v>6</v>
      </c>
      <c r="B14" s="41">
        <f aca="true" t="shared" si="0" ref="B14:I14">+SUM(B3:B6,B8:B13)</f>
        <v>7694</v>
      </c>
      <c r="C14" s="41">
        <f t="shared" si="0"/>
        <v>7699</v>
      </c>
      <c r="D14" s="41">
        <f t="shared" si="0"/>
        <v>7565</v>
      </c>
      <c r="E14" s="41">
        <f t="shared" si="0"/>
        <v>7432</v>
      </c>
      <c r="F14" s="41">
        <f t="shared" si="0"/>
        <v>7254</v>
      </c>
      <c r="G14" s="41">
        <f t="shared" si="0"/>
        <v>6617</v>
      </c>
      <c r="H14" s="41">
        <f t="shared" si="0"/>
        <v>6344</v>
      </c>
      <c r="I14" s="41">
        <f t="shared" si="0"/>
        <v>0</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53" t="str">
        <f>HLOOKUP(INDICE!$F$2,Nombres!$C$3:$D$636,124,FALSE)</f>
        <v>Empleados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43921</v>
      </c>
      <c r="C18" s="101">
        <f t="shared" si="1"/>
        <v>44012</v>
      </c>
      <c r="D18" s="101">
        <f t="shared" si="1"/>
        <v>44104</v>
      </c>
      <c r="E18" s="101">
        <f t="shared" si="1"/>
        <v>44196</v>
      </c>
      <c r="F18" s="101">
        <f t="shared" si="1"/>
        <v>44286</v>
      </c>
      <c r="G18" s="101">
        <f t="shared" si="1"/>
        <v>44377</v>
      </c>
      <c r="H18" s="101">
        <f t="shared" si="1"/>
        <v>44469</v>
      </c>
      <c r="I18" s="101">
        <f t="shared" si="1"/>
        <v>44561</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54" t="str">
        <f>HLOOKUP(INDICE!$F$2,Nombres!$C$3:$D$636,7,FALSE)</f>
        <v>España</v>
      </c>
      <c r="B19" s="41">
        <v>29753</v>
      </c>
      <c r="C19" s="41">
        <v>29406</v>
      </c>
      <c r="D19" s="41">
        <v>29475</v>
      </c>
      <c r="E19" s="41">
        <v>29330</v>
      </c>
      <c r="F19" s="41">
        <v>28777</v>
      </c>
      <c r="G19" s="41">
        <v>28673</v>
      </c>
      <c r="H19" s="41">
        <v>27387</v>
      </c>
      <c r="I19" s="41">
        <v>0</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54" t="str">
        <f>HLOOKUP(INDICE!$F$2,Nombres!$C$3:$D$636,10,FALSE)</f>
        <v>EEUU</v>
      </c>
      <c r="B20" s="41">
        <v>10895</v>
      </c>
      <c r="C20" s="41">
        <v>10945</v>
      </c>
      <c r="D20" s="41">
        <v>10867</v>
      </c>
      <c r="E20" s="41">
        <v>10895</v>
      </c>
      <c r="F20" s="41">
        <v>10532</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54" t="str">
        <f>HLOOKUP(INDICE!$F$2,Nombres!$C$3:$D$636,11,FALSE)</f>
        <v>México</v>
      </c>
      <c r="B21" s="41">
        <v>37885</v>
      </c>
      <c r="C21" s="41">
        <v>37480</v>
      </c>
      <c r="D21" s="41">
        <v>37217</v>
      </c>
      <c r="E21" s="41">
        <v>36853</v>
      </c>
      <c r="F21" s="41">
        <v>37444</v>
      </c>
      <c r="G21" s="41">
        <v>37127</v>
      </c>
      <c r="H21" s="41">
        <v>40183</v>
      </c>
      <c r="I21" s="41">
        <v>0</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54" t="str">
        <f>HLOOKUP(INDICE!$F$2,Nombres!$C$3:$D$636,12,FALSE)</f>
        <v>Turquía </v>
      </c>
      <c r="B22" s="41">
        <v>22068</v>
      </c>
      <c r="C22" s="41">
        <v>21964</v>
      </c>
      <c r="D22" s="41">
        <v>21964</v>
      </c>
      <c r="E22" s="41">
        <v>21908</v>
      </c>
      <c r="F22" s="41">
        <v>21838</v>
      </c>
      <c r="G22" s="41">
        <v>21834</v>
      </c>
      <c r="H22" s="41">
        <v>21651</v>
      </c>
      <c r="I22" s="41">
        <v>0</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54" t="str">
        <f>HLOOKUP(INDICE!$F$2,Nombres!$C$3:$D$636,13,FALSE)</f>
        <v>América del Sur </v>
      </c>
      <c r="B23" s="41">
        <v>24294</v>
      </c>
      <c r="C23" s="41">
        <v>24107</v>
      </c>
      <c r="D23" s="41">
        <v>23453</v>
      </c>
      <c r="E23" s="41">
        <v>23059</v>
      </c>
      <c r="F23" s="41">
        <v>22432</v>
      </c>
      <c r="G23" s="41">
        <v>22418</v>
      </c>
      <c r="H23" s="41">
        <v>22607</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9" t="str">
        <f>HLOOKUP(INDICE!$F$2,Nombres!$C$3:$D$636,14,FALSE)</f>
        <v>Argentina</v>
      </c>
      <c r="B24" s="44">
        <v>6315</v>
      </c>
      <c r="C24" s="44">
        <v>6266</v>
      </c>
      <c r="D24" s="44">
        <v>6143</v>
      </c>
      <c r="E24" s="44">
        <v>6052</v>
      </c>
      <c r="F24" s="44">
        <v>6017</v>
      </c>
      <c r="G24" s="44">
        <v>5937</v>
      </c>
      <c r="H24" s="44">
        <v>5887</v>
      </c>
      <c r="I24" s="44">
        <v>0</v>
      </c>
      <c r="J24" s="54"/>
      <c r="K24" s="44"/>
      <c r="L24" s="118"/>
      <c r="M24" s="54"/>
      <c r="N24" s="27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9" t="str">
        <f>HLOOKUP(INDICE!$F$2,Nombres!$C$3:$D$636,15,FALSE)</f>
        <v>Chile</v>
      </c>
      <c r="B25" s="44">
        <v>794</v>
      </c>
      <c r="C25" s="44">
        <v>721</v>
      </c>
      <c r="D25" s="44">
        <v>706</v>
      </c>
      <c r="E25" s="44">
        <v>696</v>
      </c>
      <c r="F25" s="44">
        <v>685</v>
      </c>
      <c r="G25" s="44">
        <v>694</v>
      </c>
      <c r="H25" s="44">
        <v>704</v>
      </c>
      <c r="I25" s="44">
        <v>0</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56" t="str">
        <f>HLOOKUP(INDICE!$F$2,Nombres!$C$3:$D$636,16,FALSE)</f>
        <v>Colombia</v>
      </c>
      <c r="B26" s="44">
        <v>6919</v>
      </c>
      <c r="C26" s="44">
        <v>6893</v>
      </c>
      <c r="D26" s="44">
        <v>6754</v>
      </c>
      <c r="E26" s="44">
        <v>6592</v>
      </c>
      <c r="F26" s="44">
        <v>6482</v>
      </c>
      <c r="G26" s="44">
        <v>6564</v>
      </c>
      <c r="H26" s="44">
        <v>6671</v>
      </c>
      <c r="I26" s="44">
        <v>0</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56" t="str">
        <f>HLOOKUP(INDICE!$F$2,Nombres!$C$3:$D$636,17,FALSE)</f>
        <v>Perú</v>
      </c>
      <c r="B27" s="44">
        <v>6455</v>
      </c>
      <c r="C27" s="44">
        <v>6525</v>
      </c>
      <c r="D27" s="44">
        <v>6299</v>
      </c>
      <c r="E27" s="44">
        <v>6204</v>
      </c>
      <c r="F27" s="44">
        <v>6217</v>
      </c>
      <c r="G27" s="44">
        <v>6266</v>
      </c>
      <c r="H27" s="44">
        <v>6433</v>
      </c>
      <c r="I27" s="44">
        <v>0</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56" t="str">
        <f>HLOOKUP(INDICE!$F$2,Nombres!$C$3:$D$636,89,FALSE)</f>
        <v>Resto de América del Sur</v>
      </c>
      <c r="B28" s="44">
        <v>3811</v>
      </c>
      <c r="C28" s="44">
        <v>3702</v>
      </c>
      <c r="D28" s="44">
        <v>3551</v>
      </c>
      <c r="E28" s="44">
        <v>3515</v>
      </c>
      <c r="F28" s="44">
        <v>3031</v>
      </c>
      <c r="G28" s="44">
        <v>2957</v>
      </c>
      <c r="H28" s="44">
        <v>2912</v>
      </c>
      <c r="I28" s="44">
        <v>0</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54" t="str">
        <f>HLOOKUP(INDICE!$F$2,Nombres!$C$3:$D$636,279,FALSE)</f>
        <v>Resto de geografías</v>
      </c>
      <c r="B29" s="41">
        <v>1146</v>
      </c>
      <c r="C29" s="41">
        <v>1139</v>
      </c>
      <c r="D29" s="41">
        <v>1134</v>
      </c>
      <c r="E29" s="41">
        <v>1129</v>
      </c>
      <c r="F29" s="41">
        <v>998</v>
      </c>
      <c r="G29" s="41">
        <v>1270</v>
      </c>
      <c r="H29" s="41">
        <v>1289</v>
      </c>
      <c r="I29" s="41">
        <v>0</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54" t="s">
        <v>6</v>
      </c>
      <c r="B30" s="41">
        <f aca="true" t="shared" si="2" ref="B30:I30">+SUM(B19:B22,B24:B29)</f>
        <v>126041</v>
      </c>
      <c r="C30" s="41">
        <f t="shared" si="2"/>
        <v>125041</v>
      </c>
      <c r="D30" s="41">
        <f t="shared" si="2"/>
        <v>124110</v>
      </c>
      <c r="E30" s="41">
        <f t="shared" si="2"/>
        <v>123174</v>
      </c>
      <c r="F30" s="41">
        <f t="shared" si="2"/>
        <v>122021</v>
      </c>
      <c r="G30" s="41">
        <f t="shared" si="2"/>
        <v>111322</v>
      </c>
      <c r="H30" s="41">
        <f t="shared" si="2"/>
        <v>113117</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53" t="str">
        <f>HLOOKUP(INDICE!$F$2,Nombres!$C$3:$D$636,125,FALSE)</f>
        <v>Cajeros automáticos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43921</v>
      </c>
      <c r="C34" s="101">
        <f t="shared" si="3"/>
        <v>44012</v>
      </c>
      <c r="D34" s="101">
        <f t="shared" si="3"/>
        <v>44104</v>
      </c>
      <c r="E34" s="101">
        <f t="shared" si="3"/>
        <v>44196</v>
      </c>
      <c r="F34" s="101">
        <f t="shared" si="3"/>
        <v>44286</v>
      </c>
      <c r="G34" s="101">
        <f t="shared" si="3"/>
        <v>44377</v>
      </c>
      <c r="H34" s="101">
        <f t="shared" si="3"/>
        <v>44469</v>
      </c>
      <c r="I34" s="101">
        <f t="shared" si="3"/>
        <v>44561</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54" t="str">
        <f>HLOOKUP(INDICE!$F$2,Nombres!$C$3:$D$636,7,FALSE)</f>
        <v>España</v>
      </c>
      <c r="B35" s="41">
        <v>5840</v>
      </c>
      <c r="C35" s="41">
        <v>5829</v>
      </c>
      <c r="D35" s="41">
        <v>5746</v>
      </c>
      <c r="E35" s="41">
        <v>5708</v>
      </c>
      <c r="F35" s="41">
        <v>5557</v>
      </c>
      <c r="G35" s="41">
        <v>5562</v>
      </c>
      <c r="H35" s="41">
        <v>5044</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54" t="str">
        <f>HLOOKUP(INDICE!$F$2,Nombres!$C$3:$D$636,10,FALSE)</f>
        <v>EEUU</v>
      </c>
      <c r="B36" s="41">
        <v>1384</v>
      </c>
      <c r="C36" s="41">
        <v>1375</v>
      </c>
      <c r="D36" s="41">
        <v>1369</v>
      </c>
      <c r="E36" s="41">
        <v>1383</v>
      </c>
      <c r="F36" s="41">
        <v>1371</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54" t="str">
        <f>HLOOKUP(INDICE!$F$2,Nombres!$C$3:$D$636,11,FALSE)</f>
        <v>México</v>
      </c>
      <c r="B37" s="41">
        <v>13066</v>
      </c>
      <c r="C37" s="41">
        <v>13115</v>
      </c>
      <c r="D37" s="41">
        <v>12923</v>
      </c>
      <c r="E37" s="41">
        <v>12950</v>
      </c>
      <c r="F37" s="41">
        <v>12957</v>
      </c>
      <c r="G37" s="41">
        <v>13014</v>
      </c>
      <c r="H37" s="41">
        <v>13139</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54" t="str">
        <f>HLOOKUP(INDICE!$F$2,Nombres!$C$3:$D$636,12,FALSE)</f>
        <v>Turquía </v>
      </c>
      <c r="B38" s="41">
        <v>5431</v>
      </c>
      <c r="C38" s="41">
        <v>5443</v>
      </c>
      <c r="D38" s="41">
        <v>5440</v>
      </c>
      <c r="E38" s="41">
        <v>5533</v>
      </c>
      <c r="F38" s="41">
        <v>5532</v>
      </c>
      <c r="G38" s="41">
        <v>5505</v>
      </c>
      <c r="H38" s="41">
        <v>5535</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54" t="str">
        <f>HLOOKUP(INDICE!$F$2,Nombres!$C$3:$D$636,13,FALSE)</f>
        <v>América del Sur </v>
      </c>
      <c r="B39" s="41">
        <v>6531</v>
      </c>
      <c r="C39" s="41">
        <v>6525</v>
      </c>
      <c r="D39" s="41">
        <v>5536</v>
      </c>
      <c r="E39" s="41">
        <v>5403</v>
      </c>
      <c r="F39" s="41">
        <v>5307</v>
      </c>
      <c r="G39" s="41">
        <v>5144</v>
      </c>
      <c r="H39" s="41">
        <v>5179</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9" t="str">
        <f>HLOOKUP(INDICE!$F$2,Nombres!$C$3:$D$636,14,FALSE)</f>
        <v>Argentina</v>
      </c>
      <c r="B40" s="44">
        <v>1712</v>
      </c>
      <c r="C40" s="44">
        <v>1712</v>
      </c>
      <c r="D40" s="44">
        <v>1709</v>
      </c>
      <c r="E40" s="44">
        <v>1715</v>
      </c>
      <c r="F40" s="44">
        <v>1714</v>
      </c>
      <c r="G40" s="44">
        <v>1703</v>
      </c>
      <c r="H40" s="44">
        <v>1704</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9"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56" t="str">
        <f>HLOOKUP(INDICE!$F$2,Nombres!$C$3:$D$636,16,FALSE)</f>
        <v>Colombia</v>
      </c>
      <c r="B42" s="44">
        <v>1360</v>
      </c>
      <c r="C42" s="44">
        <v>1360</v>
      </c>
      <c r="D42" s="44">
        <v>1359</v>
      </c>
      <c r="E42" s="44">
        <v>1362</v>
      </c>
      <c r="F42" s="44">
        <v>1326</v>
      </c>
      <c r="G42" s="44">
        <v>1329</v>
      </c>
      <c r="H42" s="44">
        <v>1368</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56" t="str">
        <f>HLOOKUP(INDICE!$F$2,Nombres!$C$3:$D$636,17,FALSE)</f>
        <v>Perú</v>
      </c>
      <c r="B43" s="44">
        <v>1964</v>
      </c>
      <c r="C43" s="44">
        <v>1958</v>
      </c>
      <c r="D43" s="44">
        <v>1954</v>
      </c>
      <c r="E43" s="44">
        <v>1933</v>
      </c>
      <c r="F43" s="44">
        <v>1927</v>
      </c>
      <c r="G43" s="44">
        <v>1893</v>
      </c>
      <c r="H43" s="44">
        <v>1889</v>
      </c>
      <c r="I43" s="44">
        <v>0</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56" t="str">
        <f>HLOOKUP(INDICE!$F$2,Nombres!$C$3:$D$636,89,FALSE)</f>
        <v>Resto de América del Sur</v>
      </c>
      <c r="B44" s="44">
        <v>1495</v>
      </c>
      <c r="C44" s="44">
        <v>1495</v>
      </c>
      <c r="D44" s="44">
        <v>514</v>
      </c>
      <c r="E44" s="44">
        <v>393</v>
      </c>
      <c r="F44" s="44">
        <v>340</v>
      </c>
      <c r="G44" s="44">
        <v>219</v>
      </c>
      <c r="H44" s="44">
        <v>218</v>
      </c>
      <c r="I44" s="44">
        <v>0</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54" t="str">
        <f>HLOOKUP(INDICE!$F$2,Nombres!$C$3:$D$636,279,FALSE)</f>
        <v>Resto de geografías</v>
      </c>
      <c r="B45" s="41">
        <v>23</v>
      </c>
      <c r="C45" s="41">
        <v>23</v>
      </c>
      <c r="D45" s="41">
        <v>23</v>
      </c>
      <c r="E45" s="41">
        <v>23</v>
      </c>
      <c r="F45" s="41">
        <v>23</v>
      </c>
      <c r="G45" s="41">
        <v>23</v>
      </c>
      <c r="H45" s="41">
        <v>23</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54" t="s">
        <v>6</v>
      </c>
      <c r="B46" s="41">
        <f aca="true" t="shared" si="4" ref="B46:I46">+SUM(B35:B38,B40:B45)</f>
        <v>32275</v>
      </c>
      <c r="C46" s="41">
        <f t="shared" si="4"/>
        <v>32310</v>
      </c>
      <c r="D46" s="41">
        <f t="shared" si="4"/>
        <v>31037</v>
      </c>
      <c r="E46" s="41">
        <f t="shared" si="4"/>
        <v>31000</v>
      </c>
      <c r="F46" s="41">
        <f t="shared" si="4"/>
        <v>30747</v>
      </c>
      <c r="G46" s="41">
        <f t="shared" si="4"/>
        <v>29248</v>
      </c>
      <c r="H46" s="41">
        <f t="shared" si="4"/>
        <v>28920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57"/>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57"/>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396</v>
      </c>
    </row>
  </sheetData>
  <sheetProtection/>
  <conditionalFormatting sqref="B15:B16">
    <cfRule type="cellIs" priority="6" dxfId="14" operator="notEqual">
      <formula>0</formula>
    </cfRule>
  </conditionalFormatting>
  <conditionalFormatting sqref="C15:C16">
    <cfRule type="cellIs" priority="5" dxfId="14" operator="notEqual">
      <formula>0</formula>
    </cfRule>
  </conditionalFormatting>
  <conditionalFormatting sqref="D15:D16">
    <cfRule type="cellIs" priority="4" dxfId="14" operator="notEqual">
      <formula>0</formula>
    </cfRule>
  </conditionalFormatting>
  <conditionalFormatting sqref="E15:I16">
    <cfRule type="cellIs" priority="3" dxfId="14" operator="notEqual">
      <formula>0</formula>
    </cfRule>
  </conditionalFormatting>
  <conditionalFormatting sqref="B31:I32">
    <cfRule type="cellIs" priority="2" dxfId="14" operator="notEqual">
      <formula>0</formula>
    </cfRule>
  </conditionalFormatting>
  <conditionalFormatting sqref="B47:I47">
    <cfRule type="cellIs" priority="1" dxfId="14"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5" t="str">
        <f>HLOOKUP(INDICE!$F$2,Nombres!$C$3:$D$636,161,FALSE)</f>
        <v>Tipos de cambio</v>
      </c>
      <c r="B1" s="95"/>
      <c r="C1" s="96"/>
      <c r="D1" s="96"/>
      <c r="E1" s="96"/>
      <c r="F1" s="96"/>
      <c r="G1" s="96"/>
      <c r="H1" s="96"/>
      <c r="I1" s="96"/>
      <c r="J1" s="118"/>
      <c r="K1" s="97"/>
      <c r="L1" s="97"/>
      <c r="M1" s="97"/>
      <c r="N1" s="163"/>
      <c r="O1" s="163"/>
      <c r="P1" s="163"/>
      <c r="Q1" s="163"/>
      <c r="R1" s="163"/>
      <c r="S1" s="163"/>
      <c r="T1" s="163"/>
      <c r="U1" s="163"/>
      <c r="V1" s="163"/>
      <c r="W1" s="163"/>
    </row>
    <row r="2" spans="1:13" ht="15">
      <c r="A2" s="164" t="str">
        <f>HLOOKUP(INDICE!$F$2,Nombres!$C$3:$D$636,162,FALSE)</f>
        <v>(Expresados en divisa/euro)</v>
      </c>
      <c r="B2" s="164"/>
      <c r="C2" s="165"/>
      <c r="D2" s="165"/>
      <c r="E2" s="165"/>
      <c r="F2" s="165"/>
      <c r="G2" s="165"/>
      <c r="H2" s="165"/>
      <c r="I2" s="165"/>
      <c r="J2" s="118"/>
      <c r="K2" s="97"/>
      <c r="L2" s="97"/>
      <c r="M2" s="97"/>
    </row>
    <row r="3" spans="1:9" ht="19.5">
      <c r="A3" s="166"/>
      <c r="B3" s="166"/>
      <c r="C3" s="309" t="str">
        <f>HLOOKUP(INDICE!$F$2,Nombres!$C$3:$D$636,163,FALSE)</f>
        <v>Cambios finales (*)</v>
      </c>
      <c r="D3" s="309"/>
      <c r="E3" s="309"/>
      <c r="F3" s="167"/>
      <c r="G3" s="168"/>
      <c r="H3" s="309" t="str">
        <f>HLOOKUP(INDICE!$F$2,Nombres!$C$3:$D$636,164,FALSE)</f>
        <v>Cambios medios (**)</v>
      </c>
      <c r="I3" s="309"/>
    </row>
    <row r="4" spans="1:9" ht="15.75">
      <c r="A4" s="100"/>
      <c r="B4" s="100"/>
      <c r="C4" s="76"/>
      <c r="D4" s="169" t="str">
        <f>HLOOKUP(INDICE!$F$2,Nombres!$C$3:$D$636,165,FALSE)</f>
        <v>∆% sobre</v>
      </c>
      <c r="E4" s="169" t="str">
        <f>HLOOKUP(INDICE!$F$2,Nombres!$C$3:$D$636,165,FALSE)</f>
        <v>∆% sobre</v>
      </c>
      <c r="F4" s="167"/>
      <c r="G4" s="168"/>
      <c r="H4" s="170"/>
      <c r="I4" s="169" t="str">
        <f>HLOOKUP(INDICE!$F$2,Nombres!$C$3:$D$636,165,FALSE)</f>
        <v>∆% sobre</v>
      </c>
    </row>
    <row r="5" spans="1:9" ht="15.75">
      <c r="A5" s="100"/>
      <c r="B5" s="100"/>
      <c r="C5" s="171">
        <v>44469</v>
      </c>
      <c r="D5" s="171">
        <f>DATE(YEAR(C5),MONTH(C5)-12,DAY(C5))</f>
        <v>44104</v>
      </c>
      <c r="E5" s="171">
        <v>44196</v>
      </c>
      <c r="F5" s="172"/>
      <c r="G5" s="173"/>
      <c r="H5" s="171">
        <f>+C5</f>
        <v>44469</v>
      </c>
      <c r="I5" s="174">
        <f>+D5</f>
        <v>44104</v>
      </c>
    </row>
    <row r="6" spans="1:9" ht="15">
      <c r="A6" s="59" t="str">
        <f>HLOOKUP(INDICE!$F$2,Nombres!$C$3:$D$636,152,FALSE)</f>
        <v>Peso mexicano</v>
      </c>
      <c r="B6" s="59"/>
      <c r="C6" s="175">
        <v>23.74389999979414</v>
      </c>
      <c r="D6" s="176">
        <v>0.10280114051175793</v>
      </c>
      <c r="E6" s="176">
        <v>0.028306217614543216</v>
      </c>
      <c r="F6" s="177"/>
      <c r="G6" s="58"/>
      <c r="H6" s="175">
        <v>24.076212999932576</v>
      </c>
      <c r="I6" s="176">
        <v>0.019159823844644874</v>
      </c>
    </row>
    <row r="7" spans="1:9" ht="15">
      <c r="A7" s="59" t="str">
        <f>HLOOKUP(INDICE!$F$2,Nombres!$C$3:$D$636,153,FALSE)</f>
        <v>Dólar estadounidense</v>
      </c>
      <c r="B7" s="59"/>
      <c r="C7" s="175">
        <v>1.1579000000004995</v>
      </c>
      <c r="D7" s="176">
        <v>0.011140858450381819</v>
      </c>
      <c r="E7" s="176">
        <v>0.05976336471087951</v>
      </c>
      <c r="F7" s="145"/>
      <c r="G7" s="58"/>
      <c r="H7" s="175">
        <v>1.1961079999999598</v>
      </c>
      <c r="I7" s="176">
        <v>-0.059750457316857575</v>
      </c>
    </row>
    <row r="8" spans="1:9" ht="15">
      <c r="A8" s="59" t="str">
        <f>HLOOKUP(INDICE!$F$2,Nombres!$C$3:$D$636,154,FALSE)</f>
        <v>Peso argentino</v>
      </c>
      <c r="B8" s="280" t="s">
        <v>425</v>
      </c>
      <c r="C8" s="281">
        <v>114.29051999962277</v>
      </c>
      <c r="D8" s="176">
        <v>-0.22027267003616335</v>
      </c>
      <c r="E8" s="176">
        <v>-0.09656261077947215</v>
      </c>
      <c r="F8" s="145"/>
      <c r="G8" s="58"/>
      <c r="H8" s="276" t="s">
        <v>418</v>
      </c>
      <c r="I8" s="276" t="s">
        <v>418</v>
      </c>
    </row>
    <row r="9" spans="1:9" ht="15">
      <c r="A9" s="59" t="str">
        <f>HLOOKUP(INDICE!$F$2,Nombres!$C$3:$D$636,155,FALSE)</f>
        <v>Peso chileno</v>
      </c>
      <c r="B9" s="59"/>
      <c r="C9" s="175">
        <v>930.476860681836</v>
      </c>
      <c r="D9" s="176">
        <v>-0.012930029224071826</v>
      </c>
      <c r="E9" s="176">
        <v>-0.06240898442153742</v>
      </c>
      <c r="F9" s="145"/>
      <c r="G9" s="58"/>
      <c r="H9" s="175">
        <v>881.9849832672278</v>
      </c>
      <c r="I9" s="176">
        <v>0.021861605511114046</v>
      </c>
    </row>
    <row r="10" spans="1:9" ht="15">
      <c r="A10" s="59" t="str">
        <f>HLOOKUP(INDICE!$F$2,Nombres!$C$3:$D$636,156,FALSE)</f>
        <v>Peso colombiano</v>
      </c>
      <c r="B10" s="59"/>
      <c r="C10" s="175">
        <v>4440.175975007919</v>
      </c>
      <c r="D10" s="176">
        <v>0.02281147774649317</v>
      </c>
      <c r="E10" s="176">
        <v>-0.05138427346184227</v>
      </c>
      <c r="F10" s="145"/>
      <c r="G10" s="58"/>
      <c r="H10" s="175">
        <v>4424.444226093206</v>
      </c>
      <c r="I10" s="176">
        <v>-0.058262129409425656</v>
      </c>
    </row>
    <row r="11" spans="1:9" ht="15">
      <c r="A11" s="59" t="str">
        <f>HLOOKUP(INDICE!$F$2,Nombres!$C$3:$D$636,157,FALSE)</f>
        <v>Sol peruano</v>
      </c>
      <c r="B11" s="59"/>
      <c r="C11" s="175">
        <v>4.782359000003604</v>
      </c>
      <c r="D11" s="176">
        <v>-0.1189546832450522</v>
      </c>
      <c r="E11" s="176">
        <v>-0.07012208828515942</v>
      </c>
      <c r="F11" s="145"/>
      <c r="G11" s="58"/>
      <c r="H11" s="175">
        <v>4.582568999997461</v>
      </c>
      <c r="I11" s="176">
        <v>-0.1509400076663976</v>
      </c>
    </row>
    <row r="12" spans="1:9" ht="15">
      <c r="A12" s="59" t="str">
        <f>HLOOKUP(INDICE!$F$2,Nombres!$C$3:$D$636,158,FALSE)</f>
        <v>Lira turca</v>
      </c>
      <c r="B12" s="59"/>
      <c r="C12" s="175">
        <v>10.298100000034058</v>
      </c>
      <c r="D12" s="176">
        <v>-0.11643895476540689</v>
      </c>
      <c r="E12" s="176">
        <v>-0.11506977015555597</v>
      </c>
      <c r="F12" s="145"/>
      <c r="G12" s="58"/>
      <c r="H12" s="175">
        <v>9.709775999956122</v>
      </c>
      <c r="I12" s="176">
        <v>-0.21752211378891118</v>
      </c>
    </row>
    <row r="13" spans="1:9" ht="15">
      <c r="A13" s="99"/>
      <c r="B13" s="99"/>
      <c r="D13" s="178"/>
      <c r="E13" s="178"/>
      <c r="F13" s="178"/>
      <c r="G13" s="178"/>
      <c r="H13" s="99"/>
      <c r="I13" s="99"/>
    </row>
    <row r="14" spans="1:9" ht="15">
      <c r="A14" s="99"/>
      <c r="B14" s="99"/>
      <c r="C14" s="179"/>
      <c r="D14" s="178"/>
      <c r="E14" s="178"/>
      <c r="F14" s="178"/>
      <c r="G14" s="178"/>
      <c r="H14" s="99"/>
      <c r="I14" s="99"/>
    </row>
    <row r="15" spans="1:9" ht="15">
      <c r="A15" s="117" t="str">
        <f>HLOOKUP(INDICE!$F$2,Nombres!$C$3:$D$636,159,FALSE)</f>
        <v>(*) Utilizados en el cálculo de euros constantes de los datos de balance y actividad</v>
      </c>
      <c r="B15" s="117"/>
      <c r="C15" s="129"/>
      <c r="D15" s="129"/>
      <c r="E15" s="129"/>
      <c r="F15" s="178"/>
      <c r="G15" s="178"/>
      <c r="H15" s="99"/>
      <c r="I15" s="99"/>
    </row>
    <row r="16" spans="1:9" ht="15">
      <c r="A16" s="117" t="str">
        <f>HLOOKUP(INDICE!$F$2,Nombres!$C$3:$D$636,160,FALSE)</f>
        <v>(**) Utilizados en el cálculo de euros constantes de los datos de resultados</v>
      </c>
      <c r="B16" s="117"/>
      <c r="C16" s="129"/>
      <c r="D16" s="129"/>
      <c r="E16" s="129"/>
      <c r="F16" s="178"/>
      <c r="G16" s="178"/>
      <c r="H16" s="99"/>
      <c r="I16" s="99"/>
    </row>
    <row r="17" ht="15">
      <c r="A17" s="117" t="str">
        <f>HLOOKUP(INDICE!$F$2,Nombres!$C$3:$D$636,256,FALSE)</f>
        <v>(1) En aplicación de la NIC 29 "Información en economías hiperinflacionarias", la conversión de la cuenta de resultados de Argentina se hace empleando el tipo de cambio final.</v>
      </c>
    </row>
    <row r="20" ht="15">
      <c r="D20" s="178"/>
    </row>
    <row r="25" spans="3:5" ht="15">
      <c r="C25" s="302"/>
      <c r="D25" s="302"/>
      <c r="E25" s="302"/>
    </row>
    <row r="27" ht="15">
      <c r="E27" s="302"/>
    </row>
    <row r="1000" ht="15">
      <c r="A1000" t="s">
        <v>396</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J25" sqref="J25"/>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2020-2021</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3"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7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5"/>
      <c r="D37" s="305"/>
      <c r="E37" s="305"/>
      <c r="F37" s="305"/>
      <c r="G37" s="305"/>
      <c r="H37" s="305"/>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8"/>
    </row>
    <row r="1003" ht="23.25" customHeight="1">
      <c r="A1003" s="1" t="s">
        <v>396</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8" width="11.421875" style="0" customWidth="1"/>
    <col min="9" max="9" width="11.421875" style="0" hidden="1" customWidth="1"/>
    <col min="10" max="10" width="11.421875" style="0" customWidth="1"/>
    <col min="11" max="12" width="14.7109375" style="0" bestFit="1" customWidth="1"/>
  </cols>
  <sheetData>
    <row r="1" spans="1:9" ht="18">
      <c r="A1" s="95" t="str">
        <f>HLOOKUP(INDICE!$F$2,Nombres!$C$3:$D$636,88,FALSE)</f>
        <v>Activos ponderados por riesgo. Desglose por áreas de negocio y principales países</v>
      </c>
      <c r="B1" s="156"/>
      <c r="C1" s="156"/>
      <c r="D1" s="157"/>
      <c r="E1" s="157"/>
      <c r="F1" s="157"/>
      <c r="G1" s="157"/>
      <c r="H1" s="157"/>
      <c r="I1" s="157"/>
    </row>
    <row r="2" spans="1:9" ht="15">
      <c r="A2" s="164" t="str">
        <f>HLOOKUP(INDICE!$F$2,Nombres!$C$3:$D$636,32,FALSE)</f>
        <v>(Millones de euros)</v>
      </c>
      <c r="B2" s="58"/>
      <c r="C2" s="58"/>
      <c r="D2" s="196"/>
      <c r="E2" s="196"/>
      <c r="F2" s="196"/>
      <c r="G2" s="196"/>
      <c r="H2" s="196"/>
      <c r="I2" s="196"/>
    </row>
    <row r="3" spans="1:9" ht="15">
      <c r="A3" s="197"/>
      <c r="B3" s="58"/>
      <c r="C3" s="58"/>
      <c r="D3" s="160"/>
      <c r="E3" s="160"/>
      <c r="F3" s="160"/>
      <c r="G3" s="160"/>
      <c r="H3" s="160"/>
      <c r="I3" s="160"/>
    </row>
    <row r="4" spans="1:9" ht="15.75" customHeight="1">
      <c r="A4" s="198"/>
      <c r="B4" s="310" t="str">
        <f>HLOOKUP(INDICE!$F$2,Nombres!$C$3:$D$636,222,FALSE)</f>
        <v>CRD IV fully loaded</v>
      </c>
      <c r="C4" s="310"/>
      <c r="D4" s="310"/>
      <c r="E4" s="310"/>
      <c r="F4" s="310"/>
      <c r="G4" s="310"/>
      <c r="H4" s="310"/>
      <c r="I4" s="310"/>
    </row>
    <row r="5" spans="1:11" ht="15.75">
      <c r="A5" s="198"/>
      <c r="B5" s="199">
        <f>+España!B30</f>
        <v>43921</v>
      </c>
      <c r="C5" s="199">
        <f>+España!C30</f>
        <v>44012</v>
      </c>
      <c r="D5" s="199">
        <f>+España!D30</f>
        <v>44104</v>
      </c>
      <c r="E5" s="199">
        <f>+España!E30</f>
        <v>44196</v>
      </c>
      <c r="F5" s="199">
        <f>+España!F30</f>
        <v>44286</v>
      </c>
      <c r="G5" s="199">
        <f>+España!G30</f>
        <v>44377</v>
      </c>
      <c r="H5" s="199">
        <f>+España!H30</f>
        <v>44469</v>
      </c>
      <c r="I5" s="199">
        <f>+España!I30</f>
        <v>44561</v>
      </c>
      <c r="K5" s="200"/>
    </row>
    <row r="6" spans="1:12" ht="15">
      <c r="A6" s="104" t="str">
        <f>HLOOKUP(INDICE!$F$2,Nombres!$C$3:$D$636,3,FALSE)</f>
        <v>Grupo BBVA</v>
      </c>
      <c r="B6" s="201">
        <v>368839</v>
      </c>
      <c r="C6" s="201">
        <v>362388</v>
      </c>
      <c r="D6" s="201">
        <v>344215</v>
      </c>
      <c r="E6" s="201">
        <v>352622</v>
      </c>
      <c r="F6" s="201">
        <v>354433</v>
      </c>
      <c r="G6" s="201">
        <v>305543.34494778</v>
      </c>
      <c r="H6" s="201">
        <v>302547.5279350712</v>
      </c>
      <c r="I6" s="201">
        <v>0</v>
      </c>
      <c r="K6" s="202"/>
      <c r="L6" s="203"/>
    </row>
    <row r="7" spans="1:12" ht="15">
      <c r="A7" s="59" t="str">
        <f>HLOOKUP(INDICE!$F$2,Nombres!$C$3:$D$636,7,FALSE)</f>
        <v>España</v>
      </c>
      <c r="B7" s="44">
        <v>110929.24808814001</v>
      </c>
      <c r="C7" s="44">
        <v>109624.87456919</v>
      </c>
      <c r="D7" s="44">
        <v>106859.04001274999</v>
      </c>
      <c r="E7" s="44">
        <v>104387.87228553</v>
      </c>
      <c r="F7" s="44">
        <v>107872.02321967999</v>
      </c>
      <c r="G7" s="44">
        <v>112030.32493748</v>
      </c>
      <c r="H7" s="44">
        <v>108920.67490551999</v>
      </c>
      <c r="I7" s="44">
        <v>0</v>
      </c>
      <c r="K7" s="202"/>
      <c r="L7" s="203"/>
    </row>
    <row r="8" spans="1:12" ht="15">
      <c r="A8" s="59" t="str">
        <f>HLOOKUP(INDICE!$F$2,Nombres!$C$3:$D$636,11,FALSE)</f>
        <v>México</v>
      </c>
      <c r="B8" s="44">
        <v>53539.94933836</v>
      </c>
      <c r="C8" s="44">
        <v>54965.7587876</v>
      </c>
      <c r="D8" s="44">
        <v>53464.0767211</v>
      </c>
      <c r="E8" s="44">
        <v>60825.49644080999</v>
      </c>
      <c r="F8" s="44">
        <v>61980.77996204999</v>
      </c>
      <c r="G8" s="44">
        <v>62395.633376269994</v>
      </c>
      <c r="H8" s="44">
        <v>61162.08038416</v>
      </c>
      <c r="I8" s="44">
        <v>0</v>
      </c>
      <c r="K8" s="202"/>
      <c r="L8" s="203"/>
    </row>
    <row r="9" spans="1:12" ht="15">
      <c r="A9" s="59" t="str">
        <f>HLOOKUP(INDICE!$F$2,Nombres!$C$3:$D$636,12,FALSE)</f>
        <v>Turquía </v>
      </c>
      <c r="B9" s="44">
        <v>59163.223</v>
      </c>
      <c r="C9" s="44">
        <v>57189.86</v>
      </c>
      <c r="D9" s="44">
        <v>50130.676999999996</v>
      </c>
      <c r="E9" s="44">
        <v>53020.526015300005</v>
      </c>
      <c r="F9" s="44">
        <v>53251.74</v>
      </c>
      <c r="G9" s="44">
        <v>53554.30000000001</v>
      </c>
      <c r="H9" s="44">
        <v>55233.178</v>
      </c>
      <c r="I9" s="44">
        <v>0</v>
      </c>
      <c r="K9" s="202"/>
      <c r="L9" s="203"/>
    </row>
    <row r="10" spans="1:12" ht="15">
      <c r="A10" s="59" t="str">
        <f>HLOOKUP(INDICE!$F$2,Nombres!$C$3:$D$636,13,FALSE)</f>
        <v>América del Sur </v>
      </c>
      <c r="B10" s="44">
        <f aca="true" t="shared" si="0" ref="B10:I10">+B11+B12+B13+B14+B15</f>
        <v>44876.2198411</v>
      </c>
      <c r="C10" s="44">
        <f t="shared" si="0"/>
        <v>44015.18471731</v>
      </c>
      <c r="D10" s="44">
        <f t="shared" si="0"/>
        <v>40087.468540019996</v>
      </c>
      <c r="E10" s="44">
        <f t="shared" si="0"/>
        <v>39804.424999409996</v>
      </c>
      <c r="F10" s="44">
        <f t="shared" si="0"/>
        <v>38947.77803282</v>
      </c>
      <c r="G10" s="44">
        <f t="shared" si="0"/>
        <v>39113.19486358</v>
      </c>
      <c r="H10" s="44">
        <f t="shared" si="0"/>
        <v>40849.179088799996</v>
      </c>
      <c r="I10" s="44">
        <f t="shared" si="0"/>
        <v>0</v>
      </c>
      <c r="K10" s="202"/>
      <c r="L10" s="203"/>
    </row>
    <row r="11" spans="1:12" ht="15">
      <c r="A11" s="204" t="str">
        <f>HLOOKUP(INDICE!$F$2,Nombres!$C$3:$D$636,14,FALSE)</f>
        <v>Argentina</v>
      </c>
      <c r="B11" s="44">
        <v>6910.432117140001</v>
      </c>
      <c r="C11" s="44">
        <v>6353.540634369999</v>
      </c>
      <c r="D11" s="44">
        <v>5987.350096560001</v>
      </c>
      <c r="E11" s="44">
        <v>5684.74992963</v>
      </c>
      <c r="F11" s="44">
        <v>5727.42467177</v>
      </c>
      <c r="G11" s="44">
        <v>5548.0146043</v>
      </c>
      <c r="H11" s="44">
        <v>6180.379991059999</v>
      </c>
      <c r="I11" s="44">
        <v>0</v>
      </c>
      <c r="K11" s="202"/>
      <c r="L11" s="203"/>
    </row>
    <row r="12" spans="1:12" ht="15">
      <c r="A12" s="204" t="str">
        <f>HLOOKUP(INDICE!$F$2,Nombres!$C$3:$D$636,15,FALSE)</f>
        <v>Chile</v>
      </c>
      <c r="B12" s="44">
        <v>1748.7650000000003</v>
      </c>
      <c r="C12" s="44">
        <v>1736.961</v>
      </c>
      <c r="D12" s="44">
        <v>2140.844</v>
      </c>
      <c r="E12" s="44">
        <v>1575.173</v>
      </c>
      <c r="F12" s="44">
        <v>1577.494</v>
      </c>
      <c r="G12" s="44">
        <v>1700.4819999999995</v>
      </c>
      <c r="H12" s="44">
        <v>1602.6979999999999</v>
      </c>
      <c r="I12" s="44">
        <v>0</v>
      </c>
      <c r="K12" s="202"/>
      <c r="L12" s="203"/>
    </row>
    <row r="13" spans="1:12" ht="15">
      <c r="A13" s="204" t="str">
        <f>HLOOKUP(INDICE!$F$2,Nombres!$C$3:$D$636,16,FALSE)</f>
        <v>Colombia</v>
      </c>
      <c r="B13" s="44">
        <v>13100.239411009998</v>
      </c>
      <c r="C13" s="44">
        <v>13499.122104820002</v>
      </c>
      <c r="D13" s="44">
        <v>12079.88084906</v>
      </c>
      <c r="E13" s="44">
        <v>13095.646906889999</v>
      </c>
      <c r="F13" s="44">
        <v>12609.25952864</v>
      </c>
      <c r="G13" s="44">
        <v>12951.161905739998</v>
      </c>
      <c r="H13" s="44">
        <v>13386.546954829999</v>
      </c>
      <c r="I13" s="44">
        <v>0</v>
      </c>
      <c r="K13" s="202"/>
      <c r="L13" s="203"/>
    </row>
    <row r="14" spans="1:12" ht="15">
      <c r="A14" s="204" t="str">
        <f>HLOOKUP(INDICE!$F$2,Nombres!$C$3:$D$636,17,FALSE)</f>
        <v>Perú</v>
      </c>
      <c r="B14" s="44">
        <v>19278.294312949998</v>
      </c>
      <c r="C14" s="44">
        <v>18734.891978120002</v>
      </c>
      <c r="D14" s="44">
        <v>16439.1045944</v>
      </c>
      <c r="E14" s="44">
        <v>15844.840162789998</v>
      </c>
      <c r="F14" s="44">
        <v>16675.773832410003</v>
      </c>
      <c r="G14" s="44">
        <v>16469.43935354</v>
      </c>
      <c r="H14" s="44">
        <v>17304.79914291</v>
      </c>
      <c r="I14" s="44">
        <v>0</v>
      </c>
      <c r="K14" s="202"/>
      <c r="L14" s="203"/>
    </row>
    <row r="15" spans="1:12" ht="15">
      <c r="A15" s="204" t="str">
        <f>HLOOKUP(INDICE!$F$2,Nombres!$C$3:$D$636,89,FALSE)</f>
        <v>Resto de América del Sur</v>
      </c>
      <c r="B15" s="44">
        <v>3838.489</v>
      </c>
      <c r="C15" s="44">
        <v>3690.669</v>
      </c>
      <c r="D15" s="44">
        <v>3440.2890000000007</v>
      </c>
      <c r="E15" s="44">
        <v>3604.0150001</v>
      </c>
      <c r="F15" s="44">
        <v>2357.826</v>
      </c>
      <c r="G15" s="44">
        <v>2444.0969999999998</v>
      </c>
      <c r="H15" s="44">
        <v>2374.755</v>
      </c>
      <c r="I15" s="44">
        <v>0</v>
      </c>
      <c r="K15" s="202"/>
      <c r="L15" s="203"/>
    </row>
    <row r="16" spans="1:12" ht="15">
      <c r="A16" s="296" t="str">
        <f>HLOOKUP(INDICE!$F$2,Nombres!$C$3:$D$636,263,FALSE)</f>
        <v>Resto de Negocios</v>
      </c>
      <c r="B16" s="44">
        <v>25598.11478826</v>
      </c>
      <c r="C16" s="44">
        <v>27968.764307649995</v>
      </c>
      <c r="D16" s="44">
        <v>25515.741743520004</v>
      </c>
      <c r="E16" s="44">
        <v>24331.2185127</v>
      </c>
      <c r="F16" s="44">
        <v>28436.27412497</v>
      </c>
      <c r="G16" s="44">
        <v>28487.13164086</v>
      </c>
      <c r="H16" s="44">
        <v>27193.101636890002</v>
      </c>
      <c r="I16" s="44">
        <v>0</v>
      </c>
      <c r="K16" s="202"/>
      <c r="L16" s="203"/>
    </row>
    <row r="17" spans="1:12" ht="15">
      <c r="A17" s="59" t="str">
        <f>HLOOKUP(INDICE!$F$2,Nombres!$C$3:$D$636,272,FALSE)</f>
        <v>Centro Corporativo (1)</v>
      </c>
      <c r="B17" s="44">
        <f>+B6-B7-B8-B9-B11-B12-B13-B14-B15-B16</f>
        <v>74732.24494413998</v>
      </c>
      <c r="C17" s="44">
        <f aca="true" t="shared" si="1" ref="C17:I17">+C6-C7-C8-C9-C11-C12-C13-C14-C15-C16</f>
        <v>68623.55761825001</v>
      </c>
      <c r="D17" s="44">
        <f t="shared" si="1"/>
        <v>68157.99598261001</v>
      </c>
      <c r="E17" s="44">
        <f t="shared" si="1"/>
        <v>70252.46174624999</v>
      </c>
      <c r="F17" s="44">
        <f t="shared" si="1"/>
        <v>63944.40466047998</v>
      </c>
      <c r="G17" s="44">
        <f t="shared" si="1"/>
        <v>9962.760129590013</v>
      </c>
      <c r="H17" s="44">
        <f t="shared" si="1"/>
        <v>9189.313919701235</v>
      </c>
      <c r="I17" s="44">
        <f t="shared" si="1"/>
        <v>0</v>
      </c>
      <c r="K17" s="202"/>
      <c r="L17" s="203"/>
    </row>
    <row r="18" spans="1:12" ht="15">
      <c r="A18" s="59"/>
      <c r="B18" s="44"/>
      <c r="C18" s="44"/>
      <c r="D18" s="44"/>
      <c r="E18" s="44"/>
      <c r="F18" s="44"/>
      <c r="G18" s="44"/>
      <c r="H18" s="44"/>
      <c r="I18" s="44"/>
      <c r="K18" s="202"/>
      <c r="L18" s="203"/>
    </row>
    <row r="19" spans="1:12" ht="15">
      <c r="A19" s="59"/>
      <c r="B19" s="44"/>
      <c r="C19" s="44"/>
      <c r="D19" s="44"/>
      <c r="E19" s="44"/>
      <c r="F19" s="44"/>
      <c r="G19" s="44"/>
      <c r="H19" s="44"/>
      <c r="I19" s="44"/>
      <c r="K19" s="202"/>
      <c r="L19" s="203"/>
    </row>
    <row r="20" spans="1:12" ht="15">
      <c r="A20" s="59" t="str">
        <f>HLOOKUP(INDICE!$F$2,Nombres!$C$3:$D$636,273,FALSE)</f>
        <v>(1) Incluye los APRs del negocio de EEUU vendido</v>
      </c>
      <c r="B20" s="44"/>
      <c r="C20" s="44"/>
      <c r="D20" s="44"/>
      <c r="E20" s="44"/>
      <c r="F20" s="44"/>
      <c r="G20" s="44"/>
      <c r="H20" s="44"/>
      <c r="I20" s="44"/>
      <c r="K20" s="202"/>
      <c r="L20" s="203"/>
    </row>
    <row r="21" spans="1:12" ht="15">
      <c r="A21" s="59"/>
      <c r="K21" s="202"/>
      <c r="L21" s="203"/>
    </row>
    <row r="22" spans="1:12" ht="15">
      <c r="A22" s="291"/>
      <c r="B22" s="44"/>
      <c r="C22" s="44"/>
      <c r="D22" s="44"/>
      <c r="E22" s="44"/>
      <c r="F22" s="44"/>
      <c r="G22" s="44"/>
      <c r="H22" s="44"/>
      <c r="I22" s="56"/>
      <c r="K22" s="202"/>
      <c r="L22" s="203"/>
    </row>
    <row r="23" spans="1:12" ht="15">
      <c r="A23" s="291"/>
      <c r="B23" s="297">
        <v>0</v>
      </c>
      <c r="C23" s="297">
        <v>0</v>
      </c>
      <c r="D23" s="297">
        <v>0</v>
      </c>
      <c r="E23" s="297">
        <v>0</v>
      </c>
      <c r="F23" s="297">
        <v>0</v>
      </c>
      <c r="G23" s="297">
        <v>0</v>
      </c>
      <c r="H23" s="297">
        <v>0</v>
      </c>
      <c r="I23" s="297">
        <v>0</v>
      </c>
      <c r="K23" s="202"/>
      <c r="L23" s="203"/>
    </row>
    <row r="24" spans="1:9" ht="15">
      <c r="A24" s="59"/>
      <c r="B24" s="44"/>
      <c r="C24" s="44"/>
      <c r="D24" s="44"/>
      <c r="E24" s="44"/>
      <c r="F24" s="44"/>
      <c r="G24" s="44"/>
      <c r="H24" s="44"/>
      <c r="I24" s="44"/>
    </row>
    <row r="25" spans="1:6" ht="15">
      <c r="A25" s="160"/>
      <c r="B25" s="160"/>
      <c r="C25" s="160"/>
      <c r="D25" s="160"/>
      <c r="E25" s="160"/>
      <c r="F25" s="160"/>
    </row>
    <row r="26" spans="1:6" ht="15">
      <c r="A26" s="259"/>
      <c r="B26" s="205"/>
      <c r="C26" s="205"/>
      <c r="D26" s="205"/>
      <c r="E26" s="205"/>
      <c r="F26" s="205"/>
    </row>
    <row r="27" spans="2:6" ht="15">
      <c r="B27" s="108"/>
      <c r="F27" s="31"/>
    </row>
    <row r="1005" ht="15">
      <c r="A1005" t="s">
        <v>396</v>
      </c>
    </row>
  </sheetData>
  <sheetProtection/>
  <mergeCells count="1">
    <mergeCell ref="B4:I4"/>
  </mergeCells>
  <conditionalFormatting sqref="B23:I23">
    <cfRule type="cellIs" priority="1" dxfId="114" operator="notBetween">
      <formula>0.25</formula>
      <formula>-0.25</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81" customWidth="1"/>
    <col min="2" max="8" width="10.7109375" style="181" customWidth="1"/>
    <col min="9" max="9" width="10.7109375" style="181" hidden="1" customWidth="1"/>
    <col min="10" max="10" width="11.57421875" style="181" customWidth="1"/>
    <col min="11" max="255" width="11.421875" style="181" customWidth="1"/>
  </cols>
  <sheetData>
    <row r="1" spans="1:9" ht="19.5">
      <c r="A1" s="95" t="str">
        <f>HLOOKUP(INDICE!$F$2,Nombres!$C$3:$D$636,171,FALSE)</f>
        <v>Diferenciales de la clientela (*)</v>
      </c>
      <c r="B1" s="180"/>
      <c r="C1" s="180"/>
      <c r="D1" s="180"/>
      <c r="E1" s="180"/>
      <c r="F1" s="180"/>
      <c r="G1" s="258"/>
      <c r="H1" s="258"/>
      <c r="I1" s="258"/>
    </row>
    <row r="2" spans="1:9" ht="19.5">
      <c r="A2" s="182" t="str">
        <f>HLOOKUP(INDICE!$F$2,Nombres!$C$3:$D$636,172,FALSE)</f>
        <v>(Porcentaje)</v>
      </c>
      <c r="B2" s="183"/>
      <c r="C2" s="183"/>
      <c r="D2" s="183"/>
      <c r="E2" s="183"/>
      <c r="F2" s="183"/>
      <c r="G2" s="184"/>
      <c r="H2" s="184"/>
      <c r="I2" s="184"/>
    </row>
    <row r="3" spans="1:9" ht="15.75">
      <c r="A3" s="184"/>
      <c r="B3" s="311">
        <f>+España!B6</f>
        <v>2020</v>
      </c>
      <c r="C3" s="311"/>
      <c r="D3" s="311"/>
      <c r="E3" s="311"/>
      <c r="F3" s="311">
        <f>+España!F6</f>
        <v>2021</v>
      </c>
      <c r="G3" s="311"/>
      <c r="H3" s="311"/>
      <c r="I3" s="311"/>
    </row>
    <row r="4" spans="1:9" ht="15.75">
      <c r="A4" s="145"/>
      <c r="B4" s="185" t="str">
        <f>HLOOKUP(INDICE!$F$2,Nombres!$C$3:$D$636,167,FALSE)</f>
        <v>1er Trim.</v>
      </c>
      <c r="C4" s="185" t="str">
        <f>HLOOKUP(INDICE!$F$2,Nombres!$C$3:$D$636,168,FALSE)</f>
        <v>2º Trim.</v>
      </c>
      <c r="D4" s="185" t="str">
        <f>HLOOKUP(INDICE!$F$2,Nombres!$C$3:$D$636,169,FALSE)</f>
        <v>3er Trim.</v>
      </c>
      <c r="E4" s="185" t="str">
        <f>HLOOKUP(INDICE!$F$2,Nombres!$C$3:$D$636,170,FALSE)</f>
        <v>4º Trim.</v>
      </c>
      <c r="F4" s="185" t="str">
        <f>HLOOKUP(INDICE!$F$2,Nombres!$C$3:$D$636,167,FALSE)</f>
        <v>1er Trim.</v>
      </c>
      <c r="G4" s="185" t="str">
        <f>HLOOKUP(INDICE!$F$2,Nombres!$C$3:$D$636,168,FALSE)</f>
        <v>2º Trim.</v>
      </c>
      <c r="H4" s="185" t="str">
        <f>HLOOKUP(INDICE!$F$2,Nombres!$C$3:$D$636,169,FALSE)</f>
        <v>3er Trim.</v>
      </c>
      <c r="I4" s="185" t="str">
        <f>HLOOKUP(INDICE!$F$2,Nombres!$C$3:$D$636,170,FALSE)</f>
        <v>4º Trim.</v>
      </c>
    </row>
    <row r="5" spans="1:9" ht="15">
      <c r="A5" s="145"/>
      <c r="B5" s="102"/>
      <c r="C5" s="102"/>
      <c r="D5" s="102"/>
      <c r="E5" s="102"/>
      <c r="F5" s="102"/>
      <c r="G5" s="184"/>
      <c r="H5" s="184"/>
      <c r="I5" s="184"/>
    </row>
    <row r="6" spans="1:30" ht="15">
      <c r="A6" s="186" t="str">
        <f>HLOOKUP(INDICE!$F$2,Nombres!$C$3:$D$636,173,FALSE)</f>
        <v>Rentabilidad de los prestamos</v>
      </c>
      <c r="B6" s="187">
        <v>0.0198168567422495</v>
      </c>
      <c r="C6" s="187">
        <v>0.019288938292984264</v>
      </c>
      <c r="D6" s="187">
        <v>0.018946625820569267</v>
      </c>
      <c r="E6" s="187">
        <v>0.01831873848420169</v>
      </c>
      <c r="F6" s="187">
        <v>0.01767174073727823</v>
      </c>
      <c r="G6" s="187">
        <v>0.017491607684414313</v>
      </c>
      <c r="H6" s="187">
        <v>0.017416715373765327</v>
      </c>
      <c r="I6" s="187">
        <v>0</v>
      </c>
      <c r="J6" s="301"/>
      <c r="K6" s="287"/>
      <c r="L6" s="287"/>
      <c r="M6" s="287"/>
      <c r="O6" s="188"/>
      <c r="P6" s="188"/>
      <c r="Q6" s="188"/>
      <c r="R6" s="188"/>
      <c r="W6" s="188"/>
      <c r="X6" s="188"/>
      <c r="Y6" s="188"/>
      <c r="Z6" s="188"/>
      <c r="AA6" s="188"/>
      <c r="AB6" s="188"/>
      <c r="AC6" s="188"/>
      <c r="AD6" s="188"/>
    </row>
    <row r="7" spans="1:30" ht="15">
      <c r="A7" s="186" t="str">
        <f>HLOOKUP(INDICE!$F$2,Nombres!$C$3:$D$636,174,FALSE)</f>
        <v>Coste de los depositos</v>
      </c>
      <c r="B7" s="187">
        <v>-0.00028402603307544824</v>
      </c>
      <c r="C7" s="187">
        <v>-0.00010085432128469275</v>
      </c>
      <c r="D7" s="187">
        <v>-6.466098165346204E-05</v>
      </c>
      <c r="E7" s="187">
        <v>-7.0464398659124E-05</v>
      </c>
      <c r="F7" s="187">
        <v>9.47026434626069E-06</v>
      </c>
      <c r="G7" s="187">
        <v>6.313180380963709E-05</v>
      </c>
      <c r="H7" s="187">
        <v>5.955099791106753E-05</v>
      </c>
      <c r="I7" s="187">
        <v>0</v>
      </c>
      <c r="J7" s="301"/>
      <c r="K7" s="287"/>
      <c r="L7" s="287"/>
      <c r="M7" s="287"/>
      <c r="O7" s="188"/>
      <c r="P7" s="188"/>
      <c r="Q7" s="188"/>
      <c r="R7" s="188"/>
      <c r="W7" s="188"/>
      <c r="X7" s="188"/>
      <c r="Y7" s="188"/>
      <c r="Z7" s="188"/>
      <c r="AA7" s="188"/>
      <c r="AB7" s="188"/>
      <c r="AC7" s="188"/>
      <c r="AD7" s="188"/>
    </row>
    <row r="8" spans="1:30" ht="15">
      <c r="A8" s="189" t="str">
        <f>HLOOKUP(INDICE!$F$2,Nombres!$C$3:$D$636,175,FALSE)</f>
        <v>Actividad bancaria en España</v>
      </c>
      <c r="B8" s="190">
        <v>0.01953283070917405</v>
      </c>
      <c r="C8" s="190">
        <v>0.01918808397169957</v>
      </c>
      <c r="D8" s="190">
        <v>0.018881964838915806</v>
      </c>
      <c r="E8" s="190">
        <v>0.018248274085542568</v>
      </c>
      <c r="F8" s="190">
        <v>0.01768121100162449</v>
      </c>
      <c r="G8" s="190">
        <v>0.01755473948822395</v>
      </c>
      <c r="H8" s="190">
        <v>0.017476266371676395</v>
      </c>
      <c r="I8" s="190">
        <v>0</v>
      </c>
      <c r="J8" s="301"/>
      <c r="K8" s="287"/>
      <c r="L8" s="287"/>
      <c r="M8" s="287"/>
      <c r="O8" s="188"/>
      <c r="P8" s="188"/>
      <c r="Q8" s="188"/>
      <c r="R8" s="188"/>
      <c r="W8" s="188"/>
      <c r="X8" s="188"/>
      <c r="Y8" s="188"/>
      <c r="Z8" s="188"/>
      <c r="AA8" s="188"/>
      <c r="AB8" s="188"/>
      <c r="AC8" s="188"/>
      <c r="AD8" s="188"/>
    </row>
    <row r="9" spans="1:30" ht="15">
      <c r="A9" s="145"/>
      <c r="B9" s="191"/>
      <c r="C9" s="191"/>
      <c r="D9" s="191"/>
      <c r="E9" s="191"/>
      <c r="F9" s="191"/>
      <c r="G9" s="191"/>
      <c r="H9" s="191"/>
      <c r="I9" s="191"/>
      <c r="O9" s="188"/>
      <c r="P9" s="188"/>
      <c r="Q9" s="188"/>
      <c r="R9" s="188"/>
      <c r="W9" s="188"/>
      <c r="X9" s="188"/>
      <c r="Y9" s="188"/>
      <c r="Z9" s="188"/>
      <c r="AA9" s="188"/>
      <c r="AB9" s="188"/>
      <c r="AC9" s="188"/>
      <c r="AD9" s="188"/>
    </row>
    <row r="10" spans="1:30" ht="15">
      <c r="A10" s="186" t="str">
        <f>HLOOKUP(INDICE!$F$2,Nombres!$C$3:$D$636,173,FALSE)</f>
        <v>Rentabilidad de los prestamos</v>
      </c>
      <c r="B10" s="187">
        <v>0.1385644675147111</v>
      </c>
      <c r="C10" s="187">
        <v>0.12100770872281284</v>
      </c>
      <c r="D10" s="187">
        <v>0.12818879887129644</v>
      </c>
      <c r="E10" s="187">
        <v>0.12418285702021734</v>
      </c>
      <c r="F10" s="187">
        <v>0.12202723800358595</v>
      </c>
      <c r="G10" s="187">
        <v>0.12105006870837849</v>
      </c>
      <c r="H10" s="187">
        <v>0.12313056053581566</v>
      </c>
      <c r="I10" s="187">
        <v>0</v>
      </c>
      <c r="J10" s="301"/>
      <c r="K10" s="287"/>
      <c r="L10" s="287"/>
      <c r="M10" s="287"/>
      <c r="O10" s="188"/>
      <c r="P10" s="188"/>
      <c r="Q10" s="188"/>
      <c r="R10" s="188"/>
      <c r="W10" s="188"/>
      <c r="X10" s="188"/>
      <c r="Y10" s="188"/>
      <c r="Z10" s="188"/>
      <c r="AA10" s="188"/>
      <c r="AB10" s="188"/>
      <c r="AC10" s="188"/>
      <c r="AD10" s="188"/>
    </row>
    <row r="11" spans="1:30" ht="15">
      <c r="A11" s="186" t="str">
        <f>HLOOKUP(INDICE!$F$2,Nombres!$C$3:$D$636,174,FALSE)</f>
        <v>Coste de los depositos</v>
      </c>
      <c r="B11" s="187">
        <v>-0.02466663223802347</v>
      </c>
      <c r="C11" s="187">
        <v>-0.02213570138477802</v>
      </c>
      <c r="D11" s="187">
        <v>-0.016530572823665653</v>
      </c>
      <c r="E11" s="187">
        <v>-0.013399429631589682</v>
      </c>
      <c r="F11" s="187">
        <v>-0.01206963717892306</v>
      </c>
      <c r="G11" s="187">
        <v>-0.011008080465674417</v>
      </c>
      <c r="H11" s="187">
        <v>-0.011480515447492708</v>
      </c>
      <c r="I11" s="187">
        <v>0</v>
      </c>
      <c r="J11" s="301"/>
      <c r="K11" s="287"/>
      <c r="L11" s="287"/>
      <c r="M11" s="287"/>
      <c r="O11" s="188"/>
      <c r="P11" s="188"/>
      <c r="Q11" s="188"/>
      <c r="R11" s="188"/>
      <c r="W11" s="188"/>
      <c r="X11" s="188"/>
      <c r="Y11" s="188"/>
      <c r="Z11" s="188"/>
      <c r="AA11" s="188"/>
      <c r="AB11" s="188"/>
      <c r="AC11" s="188"/>
      <c r="AD11" s="188"/>
    </row>
    <row r="12" spans="1:30" ht="15">
      <c r="A12" s="189" t="str">
        <f>HLOOKUP(INDICE!$F$2,Nombres!$C$3:$D$636,177,FALSE)</f>
        <v>México pesos mexicanos</v>
      </c>
      <c r="B12" s="190">
        <v>0.11389783527668763</v>
      </c>
      <c r="C12" s="190">
        <v>0.09887200733803482</v>
      </c>
      <c r="D12" s="190">
        <v>0.11165822604763079</v>
      </c>
      <c r="E12" s="190">
        <v>0.11078342738862765</v>
      </c>
      <c r="F12" s="190">
        <v>0.10995760082466288</v>
      </c>
      <c r="G12" s="190">
        <v>0.11004198824270407</v>
      </c>
      <c r="H12" s="190">
        <v>0.11165004508832295</v>
      </c>
      <c r="I12" s="190">
        <v>0</v>
      </c>
      <c r="J12" s="301"/>
      <c r="K12" s="287"/>
      <c r="L12" s="287"/>
      <c r="M12" s="287"/>
      <c r="O12" s="188"/>
      <c r="P12" s="188"/>
      <c r="Q12" s="188"/>
      <c r="R12" s="188"/>
      <c r="W12" s="188"/>
      <c r="X12" s="188"/>
      <c r="Y12" s="188"/>
      <c r="Z12" s="188"/>
      <c r="AA12" s="188"/>
      <c r="AB12" s="188"/>
      <c r="AC12" s="188"/>
      <c r="AD12" s="188"/>
    </row>
    <row r="13" spans="1:30" ht="1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5">
      <c r="A14" s="186" t="str">
        <f>HLOOKUP(INDICE!$F$2,Nombres!$C$3:$D$636,173,FALSE)</f>
        <v>Rentabilidad de los prestamos</v>
      </c>
      <c r="B14" s="191">
        <v>0.0403037147078215</v>
      </c>
      <c r="C14" s="191">
        <v>0.0347989576703468</v>
      </c>
      <c r="D14" s="191">
        <v>0.030442610713643677</v>
      </c>
      <c r="E14" s="191">
        <v>0.02898689721501311</v>
      </c>
      <c r="F14" s="191">
        <v>0.030174382296457917</v>
      </c>
      <c r="G14" s="191">
        <v>0.029770912407578592</v>
      </c>
      <c r="H14" s="191">
        <v>0.02950139897040329</v>
      </c>
      <c r="I14" s="191">
        <v>0</v>
      </c>
      <c r="K14" s="287"/>
      <c r="L14" s="287"/>
      <c r="M14" s="287"/>
      <c r="O14" s="188"/>
      <c r="P14" s="188"/>
      <c r="Q14" s="188"/>
      <c r="R14" s="188"/>
      <c r="W14" s="188"/>
      <c r="X14" s="188"/>
      <c r="Y14" s="188"/>
      <c r="Z14" s="188"/>
      <c r="AA14" s="188"/>
      <c r="AB14" s="188"/>
      <c r="AC14" s="188"/>
      <c r="AD14" s="188"/>
    </row>
    <row r="15" spans="1:30" ht="15">
      <c r="A15" s="186" t="str">
        <f>HLOOKUP(INDICE!$F$2,Nombres!$C$3:$D$636,174,FALSE)</f>
        <v>Coste de los depositos</v>
      </c>
      <c r="B15" s="191">
        <v>-0.0022562904884840798</v>
      </c>
      <c r="C15" s="191">
        <v>-0.0014076015592446483</v>
      </c>
      <c r="D15" s="191">
        <v>-0.0006171507298293056</v>
      </c>
      <c r="E15" s="191">
        <v>-0.000506234892570365</v>
      </c>
      <c r="F15" s="191">
        <v>-0.0002822828636173589</v>
      </c>
      <c r="G15" s="191">
        <v>-0.000212496075746828</v>
      </c>
      <c r="H15" s="191">
        <v>-0.00018936801327365524</v>
      </c>
      <c r="I15" s="191">
        <v>0</v>
      </c>
      <c r="K15" s="287"/>
      <c r="L15" s="287"/>
      <c r="M15" s="287"/>
      <c r="O15" s="188"/>
      <c r="P15" s="188"/>
      <c r="Q15" s="188"/>
      <c r="R15" s="188"/>
      <c r="W15" s="188"/>
      <c r="X15" s="188"/>
      <c r="Y15" s="188"/>
      <c r="Z15" s="188"/>
      <c r="AA15" s="188"/>
      <c r="AB15" s="188"/>
      <c r="AC15" s="188"/>
      <c r="AD15" s="188"/>
    </row>
    <row r="16" spans="1:30" ht="15">
      <c r="A16" s="189" t="str">
        <f>HLOOKUP(INDICE!$F$2,Nombres!$C$3:$D$636,178,FALSE)</f>
        <v>México moneda extranjera</v>
      </c>
      <c r="B16" s="192">
        <v>0.03804742421933742</v>
      </c>
      <c r="C16" s="192">
        <v>0.03339135611110215</v>
      </c>
      <c r="D16" s="192">
        <v>0.029825459983814372</v>
      </c>
      <c r="E16" s="192">
        <v>0.028480662322442743</v>
      </c>
      <c r="F16" s="192">
        <v>0.029892099432840557</v>
      </c>
      <c r="G16" s="192">
        <v>0.029558416331831764</v>
      </c>
      <c r="H16" s="192">
        <v>0.029312030957129635</v>
      </c>
      <c r="I16" s="192">
        <v>0</v>
      </c>
      <c r="K16" s="287"/>
      <c r="L16" s="287"/>
      <c r="M16" s="287"/>
      <c r="O16" s="188"/>
      <c r="P16" s="188"/>
      <c r="Q16" s="188"/>
      <c r="R16" s="188"/>
      <c r="W16" s="188"/>
      <c r="X16" s="188"/>
      <c r="Y16" s="188"/>
      <c r="Z16" s="188"/>
      <c r="AA16" s="188"/>
      <c r="AB16" s="188"/>
      <c r="AC16" s="188"/>
      <c r="AD16" s="188"/>
    </row>
    <row r="17" spans="1:30" ht="1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5">
      <c r="A18" s="186" t="str">
        <f>HLOOKUP(INDICE!$F$2,Nombres!$C$3:$D$636,173,FALSE)</f>
        <v>Rentabilidad de los prestamos</v>
      </c>
      <c r="B18" s="187">
        <v>0.14579727625245514</v>
      </c>
      <c r="C18" s="187">
        <v>0.13223221716743155</v>
      </c>
      <c r="D18" s="187">
        <v>0.12169318670817225</v>
      </c>
      <c r="E18" s="187">
        <v>0.12880281693033194</v>
      </c>
      <c r="F18" s="187">
        <v>0.14296907634056272</v>
      </c>
      <c r="G18" s="187">
        <v>0.1556028031922443</v>
      </c>
      <c r="H18" s="187">
        <v>0.1626449959832971</v>
      </c>
      <c r="I18" s="187">
        <v>0</v>
      </c>
      <c r="J18" s="301"/>
      <c r="O18" s="188"/>
      <c r="P18" s="188"/>
      <c r="Q18" s="188"/>
      <c r="R18" s="188"/>
      <c r="W18" s="188"/>
      <c r="X18" s="188"/>
      <c r="Y18" s="188"/>
      <c r="Z18" s="188"/>
      <c r="AA18" s="188"/>
      <c r="AB18" s="188"/>
      <c r="AC18" s="188"/>
      <c r="AD18" s="188"/>
    </row>
    <row r="19" spans="1:30" ht="15">
      <c r="A19" s="186" t="str">
        <f>HLOOKUP(INDICE!$F$2,Nombres!$C$3:$D$636,174,FALSE)</f>
        <v>Coste de los depositos</v>
      </c>
      <c r="B19" s="187">
        <v>-0.07122935045239195</v>
      </c>
      <c r="C19" s="187">
        <v>-0.05925141394336347</v>
      </c>
      <c r="D19" s="187">
        <v>-0.06119945613812865</v>
      </c>
      <c r="E19" s="187">
        <v>-0.08979932642488939</v>
      </c>
      <c r="F19" s="187">
        <v>-0.11751316698854768</v>
      </c>
      <c r="G19" s="187">
        <v>-0.12680247724077123</v>
      </c>
      <c r="H19" s="187">
        <v>-0.12832951194832729</v>
      </c>
      <c r="I19" s="187">
        <v>0</v>
      </c>
      <c r="J19" s="301"/>
      <c r="O19" s="188"/>
      <c r="P19" s="188"/>
      <c r="Q19" s="188"/>
      <c r="R19" s="188"/>
      <c r="W19" s="188"/>
      <c r="X19" s="188"/>
      <c r="Y19" s="188"/>
      <c r="Z19" s="188"/>
      <c r="AA19" s="188"/>
      <c r="AB19" s="188"/>
      <c r="AC19" s="188"/>
      <c r="AD19" s="188"/>
    </row>
    <row r="20" spans="1:30" ht="15">
      <c r="A20" s="189" t="str">
        <f>HLOOKUP(INDICE!$F$2,Nombres!$C$3:$D$636,179,FALSE)</f>
        <v>Turquía liras turcas</v>
      </c>
      <c r="B20" s="190">
        <v>0.07456792580006319</v>
      </c>
      <c r="C20" s="190">
        <v>0.07298080322406808</v>
      </c>
      <c r="D20" s="190">
        <v>0.060493730570043605</v>
      </c>
      <c r="E20" s="190">
        <v>0.03900349050544255</v>
      </c>
      <c r="F20" s="190">
        <v>0.02545590935201504</v>
      </c>
      <c r="G20" s="190">
        <v>0.028800325951473055</v>
      </c>
      <c r="H20" s="190">
        <v>0.03431548403496981</v>
      </c>
      <c r="I20" s="190">
        <v>0</v>
      </c>
      <c r="J20" s="301"/>
      <c r="O20" s="188"/>
      <c r="P20" s="188"/>
      <c r="Q20" s="188"/>
      <c r="R20" s="188"/>
      <c r="W20" s="188"/>
      <c r="X20" s="188"/>
      <c r="Y20" s="188"/>
      <c r="Z20" s="188"/>
      <c r="AA20" s="188"/>
      <c r="AB20" s="188"/>
      <c r="AC20" s="188"/>
      <c r="AD20" s="188"/>
    </row>
    <row r="21" spans="1:30" ht="15">
      <c r="A21" s="189"/>
      <c r="B21" s="190"/>
      <c r="C21" s="190"/>
      <c r="D21" s="190"/>
      <c r="E21" s="190"/>
      <c r="F21" s="190"/>
      <c r="G21" s="190"/>
      <c r="H21" s="190"/>
      <c r="I21" s="190"/>
      <c r="J21" s="301"/>
      <c r="O21" s="188"/>
      <c r="P21" s="188"/>
      <c r="Q21" s="188"/>
      <c r="R21" s="188"/>
      <c r="W21" s="188"/>
      <c r="X21" s="188"/>
      <c r="Y21" s="188"/>
      <c r="Z21" s="188"/>
      <c r="AA21" s="188"/>
      <c r="AB21" s="188"/>
      <c r="AC21" s="188"/>
      <c r="AD21" s="188"/>
    </row>
    <row r="22" spans="1:30" ht="15">
      <c r="A22" s="186" t="str">
        <f>HLOOKUP(INDICE!$F$2,Nombres!$C$3:$D$636,173,FALSE)</f>
        <v>Rentabilidad de los prestamos</v>
      </c>
      <c r="B22" s="193">
        <v>0.062180682384926876</v>
      </c>
      <c r="C22" s="193">
        <v>0.053749685757730765</v>
      </c>
      <c r="D22" s="193">
        <v>0.05037076981933646</v>
      </c>
      <c r="E22" s="193">
        <v>0.050664115430607455</v>
      </c>
      <c r="F22" s="193">
        <v>0.05017027201428375</v>
      </c>
      <c r="G22" s="193">
        <v>0.05039928855800079</v>
      </c>
      <c r="H22" s="193">
        <v>0.048929059926155205</v>
      </c>
      <c r="I22" s="193">
        <v>0</v>
      </c>
      <c r="J22" s="301"/>
      <c r="K22" s="287"/>
      <c r="L22" s="287"/>
      <c r="M22" s="287"/>
      <c r="O22" s="188"/>
      <c r="P22" s="188"/>
      <c r="Q22" s="188"/>
      <c r="R22" s="188"/>
      <c r="W22" s="188"/>
      <c r="X22" s="188"/>
      <c r="Y22" s="188"/>
      <c r="Z22" s="188"/>
      <c r="AA22" s="188"/>
      <c r="AB22" s="188"/>
      <c r="AC22" s="188"/>
      <c r="AD22" s="188"/>
    </row>
    <row r="23" spans="1:30" ht="15">
      <c r="A23" s="186" t="str">
        <f>HLOOKUP(INDICE!$F$2,Nombres!$C$3:$D$636,174,FALSE)</f>
        <v>Coste de los depositos</v>
      </c>
      <c r="B23" s="193">
        <v>-0.009191274794191162</v>
      </c>
      <c r="C23" s="193">
        <v>-0.004309127182139025</v>
      </c>
      <c r="D23" s="193">
        <v>-0.002010039753048756</v>
      </c>
      <c r="E23" s="193">
        <v>-0.003559089841399381</v>
      </c>
      <c r="F23" s="193">
        <v>-0.003909204429493572</v>
      </c>
      <c r="G23" s="193">
        <v>-0.0034245561499075816</v>
      </c>
      <c r="H23" s="193">
        <v>-0.0023701396601340163</v>
      </c>
      <c r="I23" s="193">
        <v>0</v>
      </c>
      <c r="J23" s="301"/>
      <c r="K23" s="287"/>
      <c r="L23" s="287"/>
      <c r="M23" s="287"/>
      <c r="O23" s="188"/>
      <c r="P23" s="188"/>
      <c r="Q23" s="188"/>
      <c r="R23" s="188"/>
      <c r="W23" s="188"/>
      <c r="X23" s="188"/>
      <c r="Y23" s="188"/>
      <c r="Z23" s="188"/>
      <c r="AA23" s="188"/>
      <c r="AB23" s="188"/>
      <c r="AC23" s="188"/>
      <c r="AD23" s="188"/>
    </row>
    <row r="24" spans="1:30" ht="15">
      <c r="A24" s="189" t="str">
        <f>HLOOKUP(INDICE!$F$2,Nombres!$C$3:$D$636,180,FALSE)</f>
        <v>Turquía moneda extranjera</v>
      </c>
      <c r="B24" s="190">
        <v>0.05298940759073571</v>
      </c>
      <c r="C24" s="190">
        <v>0.04944055857559174</v>
      </c>
      <c r="D24" s="190">
        <v>0.04836073006628771</v>
      </c>
      <c r="E24" s="190">
        <v>0.04710502558920807</v>
      </c>
      <c r="F24" s="190">
        <v>0.04626106758479018</v>
      </c>
      <c r="G24" s="190">
        <v>0.04697473240809321</v>
      </c>
      <c r="H24" s="190">
        <v>0.04655892026602119</v>
      </c>
      <c r="I24" s="190">
        <v>0</v>
      </c>
      <c r="J24" s="301"/>
      <c r="K24" s="287"/>
      <c r="L24" s="287"/>
      <c r="M24" s="287"/>
      <c r="O24" s="188"/>
      <c r="P24" s="188"/>
      <c r="Q24" s="188"/>
      <c r="R24" s="188"/>
      <c r="W24" s="188"/>
      <c r="X24" s="188"/>
      <c r="Y24" s="188"/>
      <c r="Z24" s="188"/>
      <c r="AA24" s="188"/>
      <c r="AB24" s="188"/>
      <c r="AC24" s="188"/>
      <c r="AD24" s="188"/>
    </row>
    <row r="25" spans="1:30" ht="15">
      <c r="A25" s="145"/>
      <c r="B25" s="191"/>
      <c r="C25" s="191"/>
      <c r="D25" s="191"/>
      <c r="E25" s="191"/>
      <c r="F25" s="191"/>
      <c r="G25" s="191"/>
      <c r="H25" s="191"/>
      <c r="I25" s="191"/>
      <c r="K25" s="287"/>
      <c r="L25" s="287"/>
      <c r="M25" s="287"/>
      <c r="O25" s="188"/>
      <c r="P25" s="188"/>
      <c r="Q25" s="188"/>
      <c r="R25" s="188"/>
      <c r="W25" s="188"/>
      <c r="X25" s="188"/>
      <c r="Y25" s="188"/>
      <c r="Z25" s="188"/>
      <c r="AA25" s="188"/>
      <c r="AB25" s="188"/>
      <c r="AC25" s="188"/>
      <c r="AD25" s="188"/>
    </row>
    <row r="26" spans="1:30" ht="15">
      <c r="A26" s="186" t="str">
        <f>HLOOKUP(INDICE!$F$2,Nombres!$C$3:$D$636,173,FALSE)</f>
        <v>Rentabilidad de los prestamos</v>
      </c>
      <c r="B26" s="187">
        <v>0.31991610287004885</v>
      </c>
      <c r="C26" s="187">
        <v>0.25734070691470634</v>
      </c>
      <c r="D26" s="187">
        <v>0.24785641646487547</v>
      </c>
      <c r="E26" s="187">
        <v>0.2521277866911026</v>
      </c>
      <c r="F26" s="187">
        <v>0.27287944816889914</v>
      </c>
      <c r="G26" s="187">
        <v>0.25451890752698725</v>
      </c>
      <c r="H26" s="187">
        <v>0.2646468795186635</v>
      </c>
      <c r="I26" s="187">
        <v>0</v>
      </c>
      <c r="J26" s="301"/>
      <c r="K26" s="287"/>
      <c r="L26" s="287"/>
      <c r="M26" s="287"/>
      <c r="O26" s="188"/>
      <c r="P26" s="188"/>
      <c r="Q26" s="188"/>
      <c r="R26" s="188"/>
      <c r="W26" s="188"/>
      <c r="X26" s="188"/>
      <c r="Y26" s="188"/>
      <c r="Z26" s="188"/>
      <c r="AA26" s="188"/>
      <c r="AB26" s="188"/>
      <c r="AC26" s="188"/>
      <c r="AD26" s="188"/>
    </row>
    <row r="27" spans="1:30" ht="15">
      <c r="A27" s="186" t="str">
        <f>HLOOKUP(INDICE!$F$2,Nombres!$C$3:$D$636,174,FALSE)</f>
        <v>Coste de los depositos</v>
      </c>
      <c r="B27" s="187">
        <v>-0.09195033518363706</v>
      </c>
      <c r="C27" s="187">
        <v>-0.06410693852930854</v>
      </c>
      <c r="D27" s="187">
        <v>-0.08711671547285336</v>
      </c>
      <c r="E27" s="187">
        <v>-0.10793193966215896</v>
      </c>
      <c r="F27" s="187">
        <v>-0.11808404827847262</v>
      </c>
      <c r="G27" s="187">
        <v>-0.13245229274081424</v>
      </c>
      <c r="H27" s="187">
        <v>-0.1372979585825155</v>
      </c>
      <c r="I27" s="187">
        <v>0</v>
      </c>
      <c r="J27" s="301"/>
      <c r="K27" s="287"/>
      <c r="L27" s="287"/>
      <c r="M27" s="287"/>
      <c r="O27" s="188"/>
      <c r="P27" s="188"/>
      <c r="Q27" s="188"/>
      <c r="R27" s="188"/>
      <c r="W27" s="188"/>
      <c r="X27" s="188"/>
      <c r="Y27" s="188"/>
      <c r="Z27" s="188"/>
      <c r="AA27" s="188"/>
      <c r="AB27" s="188"/>
      <c r="AC27" s="188"/>
      <c r="AD27" s="188"/>
    </row>
    <row r="28" spans="1:30" ht="15">
      <c r="A28" s="189" t="str">
        <f>HLOOKUP(INDICE!$F$2,Nombres!$C$3:$D$636,181,FALSE)</f>
        <v>Argentina</v>
      </c>
      <c r="B28" s="194">
        <v>0.2279657676864118</v>
      </c>
      <c r="C28" s="194">
        <v>0.1932337683853978</v>
      </c>
      <c r="D28" s="194">
        <v>0.16073970099202212</v>
      </c>
      <c r="E28" s="194">
        <v>0.1441958470289436</v>
      </c>
      <c r="F28" s="194">
        <v>0.1547953998904265</v>
      </c>
      <c r="G28" s="194">
        <v>0.122066614786173</v>
      </c>
      <c r="H28" s="194">
        <v>0.127348920936148</v>
      </c>
      <c r="I28" s="194">
        <v>0</v>
      </c>
      <c r="J28" s="301"/>
      <c r="K28" s="287"/>
      <c r="L28" s="287"/>
      <c r="M28" s="287"/>
      <c r="O28" s="188"/>
      <c r="P28" s="188"/>
      <c r="Q28" s="188"/>
      <c r="R28" s="188"/>
      <c r="W28" s="188"/>
      <c r="X28" s="188"/>
      <c r="Y28" s="188"/>
      <c r="Z28" s="188"/>
      <c r="AA28" s="188"/>
      <c r="AB28" s="188"/>
      <c r="AC28" s="188"/>
      <c r="AD28" s="188"/>
    </row>
    <row r="29" spans="1:30" ht="1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5">
      <c r="A30" s="186" t="str">
        <f>HLOOKUP(INDICE!$F$2,Nombres!$C$3:$D$636,173,FALSE)</f>
        <v>Rentabilidad de los prestamos</v>
      </c>
      <c r="B30" s="187">
        <v>0.10420609702542187</v>
      </c>
      <c r="C30" s="187">
        <v>0.10144140828029898</v>
      </c>
      <c r="D30" s="187">
        <v>0.09777337072839347</v>
      </c>
      <c r="E30" s="187">
        <v>0.0943072153953358</v>
      </c>
      <c r="F30" s="187">
        <v>0.0907840059161003</v>
      </c>
      <c r="G30" s="187">
        <v>0.08721585256993951</v>
      </c>
      <c r="H30" s="187">
        <v>0.0862644469234545</v>
      </c>
      <c r="I30" s="187">
        <v>0</v>
      </c>
      <c r="J30" s="301"/>
      <c r="K30" s="287"/>
      <c r="L30" s="287"/>
      <c r="M30" s="287"/>
      <c r="O30" s="188"/>
      <c r="P30" s="188"/>
      <c r="Q30" s="188"/>
      <c r="R30" s="188"/>
      <c r="W30" s="188"/>
      <c r="X30" s="188"/>
      <c r="Y30" s="188"/>
      <c r="Z30" s="188"/>
      <c r="AA30" s="188"/>
      <c r="AB30" s="188"/>
      <c r="AC30" s="188"/>
      <c r="AD30" s="188"/>
    </row>
    <row r="31" spans="1:30" ht="15">
      <c r="A31" s="186" t="str">
        <f>HLOOKUP(INDICE!$F$2,Nombres!$C$3:$D$636,174,FALSE)</f>
        <v>Coste de los depositos</v>
      </c>
      <c r="B31" s="187">
        <v>-0.04059609847919352</v>
      </c>
      <c r="C31" s="187">
        <v>-0.03728764569179078</v>
      </c>
      <c r="D31" s="187">
        <v>-0.031545343483443615</v>
      </c>
      <c r="E31" s="187">
        <v>-0.027672530713464275</v>
      </c>
      <c r="F31" s="187">
        <v>-0.025658619101376113</v>
      </c>
      <c r="G31" s="187">
        <v>-0.024167549353759893</v>
      </c>
      <c r="H31" s="187">
        <v>-0.024142178980391872</v>
      </c>
      <c r="I31" s="187">
        <v>0</v>
      </c>
      <c r="J31" s="301"/>
      <c r="K31" s="287"/>
      <c r="L31" s="287"/>
      <c r="M31" s="287"/>
      <c r="O31" s="188"/>
      <c r="P31" s="188"/>
      <c r="Q31" s="188"/>
      <c r="R31" s="188"/>
      <c r="W31" s="188"/>
      <c r="X31" s="188"/>
      <c r="Y31" s="188"/>
      <c r="Z31" s="188"/>
      <c r="AA31" s="188"/>
      <c r="AB31" s="188"/>
      <c r="AC31" s="188"/>
      <c r="AD31" s="188"/>
    </row>
    <row r="32" spans="1:30" ht="15">
      <c r="A32" s="189" t="str">
        <f>HLOOKUP(INDICE!$F$2,Nombres!$C$3:$D$636,182,FALSE)</f>
        <v>Colombia</v>
      </c>
      <c r="B32" s="190">
        <v>0.06360999854622834</v>
      </c>
      <c r="C32" s="190">
        <v>0.06415376258850819</v>
      </c>
      <c r="D32" s="190">
        <v>0.06622802724494986</v>
      </c>
      <c r="E32" s="190">
        <v>0.06663468468187153</v>
      </c>
      <c r="F32" s="190">
        <v>0.06512538681472418</v>
      </c>
      <c r="G32" s="190">
        <v>0.06304830321617962</v>
      </c>
      <c r="H32" s="190">
        <v>0.06212226794306263</v>
      </c>
      <c r="I32" s="190">
        <v>0</v>
      </c>
      <c r="J32" s="301"/>
      <c r="K32" s="287"/>
      <c r="L32" s="287"/>
      <c r="M32" s="287"/>
      <c r="O32" s="188"/>
      <c r="P32" s="188"/>
      <c r="Q32" s="188"/>
      <c r="R32" s="188"/>
      <c r="W32" s="188"/>
      <c r="X32" s="188"/>
      <c r="Y32" s="188"/>
      <c r="Z32" s="188"/>
      <c r="AA32" s="188"/>
      <c r="AB32" s="188"/>
      <c r="AC32" s="188"/>
      <c r="AD32" s="188"/>
    </row>
    <row r="33" spans="1:30" ht="1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5">
      <c r="A34" s="186" t="str">
        <f>HLOOKUP(INDICE!$F$2,Nombres!$C$3:$D$636,173,FALSE)</f>
        <v>Rentabilidad de los prestamos</v>
      </c>
      <c r="B34" s="187">
        <v>0.07365269738258541</v>
      </c>
      <c r="C34" s="187">
        <v>0.06573472646968637</v>
      </c>
      <c r="D34" s="187">
        <v>0.058814429453178683</v>
      </c>
      <c r="E34" s="187">
        <v>0.05513116733588462</v>
      </c>
      <c r="F34" s="187">
        <v>0.05374959984534193</v>
      </c>
      <c r="G34" s="187">
        <v>0.05165578485154034</v>
      </c>
      <c r="H34" s="187">
        <v>0.054590015457192394</v>
      </c>
      <c r="I34" s="187">
        <v>0</v>
      </c>
      <c r="J34" s="301"/>
      <c r="K34" s="287"/>
      <c r="L34" s="287"/>
      <c r="M34" s="287"/>
      <c r="O34" s="188"/>
      <c r="P34" s="188"/>
      <c r="Q34" s="188"/>
      <c r="R34" s="188"/>
      <c r="W34" s="188"/>
      <c r="X34" s="188"/>
      <c r="Y34" s="188"/>
      <c r="Z34" s="188"/>
      <c r="AA34" s="188"/>
      <c r="AB34" s="188"/>
      <c r="AC34" s="188"/>
      <c r="AD34" s="188"/>
    </row>
    <row r="35" spans="1:30" ht="15">
      <c r="A35" s="186" t="str">
        <f>HLOOKUP(INDICE!$F$2,Nombres!$C$3:$D$636,174,FALSE)</f>
        <v>Coste de los depositos</v>
      </c>
      <c r="B35" s="187">
        <v>-0.011615505287869537</v>
      </c>
      <c r="C35" s="187">
        <v>-0.00958689719151348</v>
      </c>
      <c r="D35" s="187">
        <v>-0.005668703360217166</v>
      </c>
      <c r="E35" s="187">
        <v>-0.004261266120165212</v>
      </c>
      <c r="F35" s="187">
        <v>-0.0032830542140836853</v>
      </c>
      <c r="G35" s="187">
        <v>-0.002548286310517534</v>
      </c>
      <c r="H35" s="187">
        <v>-0.0023624690386010727</v>
      </c>
      <c r="I35" s="187">
        <v>0</v>
      </c>
      <c r="J35" s="301"/>
      <c r="K35" s="287"/>
      <c r="L35" s="287"/>
      <c r="M35" s="287"/>
      <c r="O35" s="188"/>
      <c r="P35" s="188"/>
      <c r="Q35" s="188"/>
      <c r="R35" s="188"/>
      <c r="W35" s="188"/>
      <c r="X35" s="188"/>
      <c r="Y35" s="188"/>
      <c r="Z35" s="188"/>
      <c r="AA35" s="188"/>
      <c r="AB35" s="188"/>
      <c r="AC35" s="188"/>
      <c r="AD35" s="188"/>
    </row>
    <row r="36" spans="1:30" ht="15">
      <c r="A36" s="189" t="str">
        <f>HLOOKUP(INDICE!$F$2,Nombres!$C$3:$D$636,183,FALSE)</f>
        <v>Perú</v>
      </c>
      <c r="B36" s="190">
        <v>0.06203719209471587</v>
      </c>
      <c r="C36" s="190">
        <v>0.056147829278172884</v>
      </c>
      <c r="D36" s="190">
        <v>0.05314572609296152</v>
      </c>
      <c r="E36" s="190">
        <v>0.05086990121571941</v>
      </c>
      <c r="F36" s="190">
        <v>0.05046654563125824</v>
      </c>
      <c r="G36" s="190">
        <v>0.04910749854102281</v>
      </c>
      <c r="H36" s="190">
        <v>0.05222754641859132</v>
      </c>
      <c r="I36" s="190">
        <v>0</v>
      </c>
      <c r="J36" s="301"/>
      <c r="K36" s="287"/>
      <c r="L36" s="287"/>
      <c r="M36" s="287"/>
      <c r="O36" s="188"/>
      <c r="P36" s="188"/>
      <c r="Q36" s="188"/>
      <c r="R36" s="188"/>
      <c r="W36" s="188"/>
      <c r="X36" s="188"/>
      <c r="Y36" s="188"/>
      <c r="Z36" s="188"/>
      <c r="AA36" s="188"/>
      <c r="AB36" s="188"/>
      <c r="AC36" s="188"/>
      <c r="AD36" s="188"/>
    </row>
    <row r="37" spans="1:30" ht="1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5">
      <c r="A38" s="195" t="str">
        <f>HLOOKUP(INDICE!$F$2,Nombres!$C$3:$D$636,184,FALSE)</f>
        <v>(*) Diferencia entre el rendimiento de los préstamos y el coste de los depósitos de los clientes.</v>
      </c>
      <c r="B38" s="184"/>
      <c r="C38" s="184"/>
      <c r="D38" s="184"/>
      <c r="E38" s="184"/>
      <c r="F38" s="312"/>
      <c r="G38" s="312"/>
      <c r="H38" s="184"/>
      <c r="I38" s="184"/>
      <c r="K38" s="287"/>
      <c r="L38" s="287"/>
      <c r="M38" s="287"/>
      <c r="O38" s="188"/>
      <c r="P38" s="188"/>
      <c r="Q38" s="188"/>
      <c r="R38" s="188"/>
      <c r="W38" s="188"/>
      <c r="X38" s="188"/>
      <c r="Y38" s="188"/>
      <c r="Z38" s="188"/>
      <c r="AA38" s="188"/>
      <c r="AB38" s="188"/>
      <c r="AC38" s="188"/>
      <c r="AD38" s="188"/>
    </row>
    <row r="39" spans="1:30" ht="15">
      <c r="A39" s="195"/>
      <c r="B39" s="184"/>
      <c r="C39" s="184"/>
      <c r="D39" s="184"/>
      <c r="E39" s="184"/>
      <c r="F39" s="184"/>
      <c r="G39" s="284"/>
      <c r="H39" s="184"/>
      <c r="I39" s="184"/>
      <c r="K39" s="287"/>
      <c r="L39" s="287"/>
      <c r="M39" s="287"/>
      <c r="O39" s="188"/>
      <c r="P39" s="188"/>
      <c r="Q39" s="188"/>
      <c r="R39" s="188"/>
      <c r="W39" s="188"/>
      <c r="X39" s="188"/>
      <c r="Y39" s="188"/>
      <c r="Z39" s="188"/>
      <c r="AA39" s="188"/>
      <c r="AB39" s="188"/>
      <c r="AC39" s="188"/>
      <c r="AD39" s="188"/>
    </row>
    <row r="40" spans="1:30" ht="15">
      <c r="A40" s="195"/>
      <c r="K40" s="287"/>
      <c r="L40" s="287"/>
      <c r="M40" s="287"/>
      <c r="O40" s="188"/>
      <c r="P40" s="188"/>
      <c r="Q40" s="188"/>
      <c r="R40" s="188"/>
      <c r="W40" s="188"/>
      <c r="X40" s="188"/>
      <c r="Y40" s="188"/>
      <c r="Z40" s="188"/>
      <c r="AA40" s="188"/>
      <c r="AB40" s="188"/>
      <c r="AC40" s="188"/>
      <c r="AD40" s="188"/>
    </row>
    <row r="41" spans="15:18" ht="15">
      <c r="O41" s="188"/>
      <c r="P41" s="188"/>
      <c r="Q41" s="188"/>
      <c r="R41" s="188"/>
    </row>
    <row r="996" ht="15">
      <c r="A996" t="s">
        <v>396</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8" width="11.421875" style="209" customWidth="1"/>
    <col min="9" max="9" width="11.421875" style="209" hidden="1" customWidth="1"/>
    <col min="10" max="10" width="4.7109375" style="208" customWidth="1"/>
    <col min="11" max="11" width="11.421875" style="209" customWidth="1"/>
    <col min="12" max="12" width="11.7109375" style="209" bestFit="1" customWidth="1"/>
    <col min="13" max="16384" width="11.421875" style="209" customWidth="1"/>
  </cols>
  <sheetData>
    <row r="1" spans="1:12" ht="18">
      <c r="A1" s="206" t="str">
        <f>HLOOKUP(INDICE!$F$2,Nombres!$C$3:$D$636,113,FALSE)</f>
        <v>Desglose del crédito no dudoso en gestión</v>
      </c>
      <c r="B1" s="207"/>
      <c r="C1" s="207"/>
      <c r="D1" s="207"/>
      <c r="E1" s="207"/>
      <c r="F1" s="207"/>
      <c r="G1" s="207"/>
      <c r="H1" s="207"/>
      <c r="I1" s="207"/>
      <c r="L1" s="210"/>
    </row>
    <row r="2" spans="1:12" ht="15.75">
      <c r="A2" s="211" t="str">
        <f>HLOOKUP(INDICE!$F$2,Nombres!$C$3:$D$636,73,FALSE)</f>
        <v>(Millones de euros constantes)</v>
      </c>
      <c r="B2" s="210"/>
      <c r="C2" s="210"/>
      <c r="D2" s="210"/>
      <c r="E2" s="210"/>
      <c r="F2" s="210"/>
      <c r="L2" s="210"/>
    </row>
    <row r="3" spans="1:12" ht="15.75">
      <c r="A3" s="212"/>
      <c r="B3" s="210"/>
      <c r="C3" s="210"/>
      <c r="D3" s="210"/>
      <c r="E3" s="210"/>
      <c r="F3" s="210"/>
      <c r="L3" s="210"/>
    </row>
    <row r="4" spans="1:9" ht="15.75" customHeight="1">
      <c r="A4" s="213"/>
      <c r="B4" s="313" t="str">
        <f>HLOOKUP(INDICE!$F$2,Nombres!$C$3:$D$636,7,FALSE)</f>
        <v>España</v>
      </c>
      <c r="C4" s="313"/>
      <c r="D4" s="313"/>
      <c r="E4" s="313"/>
      <c r="F4" s="313"/>
      <c r="G4" s="313"/>
      <c r="H4" s="313"/>
      <c r="I4" s="313"/>
    </row>
    <row r="5" spans="1:12" ht="15.7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c r="L5" s="121"/>
    </row>
    <row r="6" spans="1:14" ht="15">
      <c r="A6" s="215" t="str">
        <f>HLOOKUP(INDICE!$F$2,Nombres!$C$3:$D$636,209,FALSE)</f>
        <v>Hipotecario</v>
      </c>
      <c r="B6" s="216">
        <v>71518.73296000001</v>
      </c>
      <c r="C6" s="216">
        <v>70700.413705</v>
      </c>
      <c r="D6" s="216">
        <v>70123.828433</v>
      </c>
      <c r="E6" s="216">
        <v>69966.69398400001</v>
      </c>
      <c r="F6" s="216">
        <v>69627.90255</v>
      </c>
      <c r="G6" s="216">
        <v>69670.178127</v>
      </c>
      <c r="H6" s="216">
        <v>69522.5832</v>
      </c>
      <c r="I6" s="216">
        <v>0</v>
      </c>
      <c r="L6" s="216"/>
      <c r="N6" s="271"/>
    </row>
    <row r="7" spans="1:14" ht="15">
      <c r="A7" s="215" t="str">
        <f>HLOOKUP(INDICE!$F$2,Nombres!$C$3:$D$636,210,FALSE)</f>
        <v>Consumo  y tarjetas de Credito</v>
      </c>
      <c r="B7" s="216">
        <v>13534.321819000003</v>
      </c>
      <c r="C7" s="216">
        <v>13340.822999</v>
      </c>
      <c r="D7" s="216">
        <v>13586.875076999999</v>
      </c>
      <c r="E7" s="216">
        <v>13906.873101000001</v>
      </c>
      <c r="F7" s="216">
        <v>13943.287111</v>
      </c>
      <c r="G7" s="216">
        <v>14549.699296</v>
      </c>
      <c r="H7" s="216">
        <v>14789.349513000001</v>
      </c>
      <c r="I7" s="216">
        <v>0</v>
      </c>
      <c r="J7" s="303"/>
      <c r="L7" s="216"/>
      <c r="N7" s="271"/>
    </row>
    <row r="8" spans="1:14" ht="15">
      <c r="A8" s="215" t="str">
        <f>HLOOKUP(INDICE!$F$2,Nombres!$C$3:$D$636,211,FALSE)</f>
        <v>Negocios retail</v>
      </c>
      <c r="B8" s="216">
        <v>13758.71167</v>
      </c>
      <c r="C8" s="216">
        <v>14850.759939</v>
      </c>
      <c r="D8" s="216">
        <v>15037.313578</v>
      </c>
      <c r="E8" s="216">
        <v>15347.878110999998</v>
      </c>
      <c r="F8" s="216">
        <v>15357.717637</v>
      </c>
      <c r="G8" s="216">
        <v>15370.643759999999</v>
      </c>
      <c r="H8" s="216">
        <v>15362.27056</v>
      </c>
      <c r="I8" s="216">
        <v>0</v>
      </c>
      <c r="J8" s="303"/>
      <c r="L8" s="216"/>
      <c r="N8" s="271"/>
    </row>
    <row r="9" spans="1:14" ht="15">
      <c r="A9" s="215" t="str">
        <f>HLOOKUP(INDICE!$F$2,Nombres!$C$3:$D$636,212,FALSE)</f>
        <v>Empresas medianas</v>
      </c>
      <c r="B9" s="216">
        <v>17087.961375</v>
      </c>
      <c r="C9" s="216">
        <v>18043.224456</v>
      </c>
      <c r="D9" s="216">
        <v>17806.629531</v>
      </c>
      <c r="E9" s="216">
        <v>18191.853354999996</v>
      </c>
      <c r="F9" s="216">
        <v>18358.452911</v>
      </c>
      <c r="G9" s="216">
        <v>18984.634033</v>
      </c>
      <c r="H9" s="216">
        <v>19328.344112</v>
      </c>
      <c r="I9" s="216">
        <v>0</v>
      </c>
      <c r="J9" s="303"/>
      <c r="L9" s="216"/>
      <c r="N9" s="271"/>
    </row>
    <row r="10" spans="1:14" ht="15">
      <c r="A10" s="215" t="str">
        <f>HLOOKUP(INDICE!$F$2,Nombres!$C$3:$D$636,213,FALSE)</f>
        <v>Corporativa + CIB</v>
      </c>
      <c r="B10" s="216">
        <v>24784.800433</v>
      </c>
      <c r="C10" s="216">
        <v>25217.900889</v>
      </c>
      <c r="D10" s="216">
        <v>24353.853535</v>
      </c>
      <c r="E10" s="216">
        <v>23846.199391000002</v>
      </c>
      <c r="F10" s="216">
        <v>23286.409966</v>
      </c>
      <c r="G10" s="216">
        <v>22899.869162</v>
      </c>
      <c r="H10" s="216">
        <v>22789.49358037</v>
      </c>
      <c r="I10" s="216">
        <v>0</v>
      </c>
      <c r="L10" s="216"/>
      <c r="N10" s="271"/>
    </row>
    <row r="11" spans="1:14" ht="15">
      <c r="A11" s="215" t="str">
        <f>HLOOKUP(INDICE!$F$2,Nombres!$C$3:$D$636,214,FALSE)</f>
        <v>Sector público</v>
      </c>
      <c r="B11" s="216">
        <v>15193.973657</v>
      </c>
      <c r="C11" s="216">
        <v>16255.107344999999</v>
      </c>
      <c r="D11" s="216">
        <v>13834.594334000001</v>
      </c>
      <c r="E11" s="216">
        <v>13835.933625000001</v>
      </c>
      <c r="F11" s="216">
        <v>13792.066191999998</v>
      </c>
      <c r="G11" s="216">
        <v>15820.083642999998</v>
      </c>
      <c r="H11" s="216">
        <v>13945.046287</v>
      </c>
      <c r="I11" s="216">
        <v>0</v>
      </c>
      <c r="L11" s="216"/>
      <c r="N11" s="271"/>
    </row>
    <row r="12" spans="1:14" ht="15.75" customHeight="1">
      <c r="A12" s="215" t="str">
        <f>HLOOKUP(INDICE!$F$2,Nombres!$C$3:$D$636,215,FALSE)</f>
        <v>Otros</v>
      </c>
      <c r="B12" s="216">
        <v>9907.910757619979</v>
      </c>
      <c r="C12" s="216">
        <v>10120.075049569983</v>
      </c>
      <c r="D12" s="216">
        <v>9314.751923999998</v>
      </c>
      <c r="E12" s="216">
        <v>10415.683194000008</v>
      </c>
      <c r="F12" s="216">
        <v>9135.391748999993</v>
      </c>
      <c r="G12" s="216">
        <v>9969.974399999996</v>
      </c>
      <c r="H12" s="216">
        <v>10155.386183999994</v>
      </c>
      <c r="I12" s="216">
        <v>0</v>
      </c>
      <c r="L12" s="216"/>
      <c r="N12" s="271"/>
    </row>
    <row r="13" spans="1:14" ht="15">
      <c r="A13" s="217" t="str">
        <f>HLOOKUP(INDICE!$F$2,Nombres!$C$3:$D$636,112,FALSE)</f>
        <v>Crédito no dudoso en gestión (*)</v>
      </c>
      <c r="B13" s="218">
        <v>165786.41267162</v>
      </c>
      <c r="C13" s="218">
        <v>168528.30438256997</v>
      </c>
      <c r="D13" s="218">
        <v>164057.846412</v>
      </c>
      <c r="E13" s="218">
        <v>165511.11476100003</v>
      </c>
      <c r="F13" s="218">
        <v>163501.22811599998</v>
      </c>
      <c r="G13" s="218">
        <v>167265.082421</v>
      </c>
      <c r="H13" s="218">
        <v>165892.47343637</v>
      </c>
      <c r="I13" s="218">
        <v>0</v>
      </c>
      <c r="L13" s="217"/>
      <c r="N13" s="271"/>
    </row>
    <row r="14" spans="1:14" ht="15.7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71"/>
    </row>
    <row r="15" spans="1:14" ht="15">
      <c r="A15" s="304"/>
      <c r="B15" s="216"/>
      <c r="C15" s="216"/>
      <c r="D15" s="216"/>
      <c r="E15" s="216"/>
      <c r="F15" s="216"/>
      <c r="G15" s="216"/>
      <c r="H15" s="216"/>
      <c r="I15" s="216"/>
      <c r="L15" s="216"/>
      <c r="N15" s="271"/>
    </row>
    <row r="16" spans="1:12" ht="15.75">
      <c r="A16" s="210"/>
      <c r="B16" s="221"/>
      <c r="C16" s="221"/>
      <c r="D16" s="221"/>
      <c r="E16" s="221"/>
      <c r="F16" s="221"/>
      <c r="L16" s="221"/>
    </row>
    <row r="17" spans="1:9" ht="15.75">
      <c r="A17" s="213"/>
      <c r="B17" s="313" t="str">
        <f>HLOOKUP(INDICE!$F$2,Nombres!$C$3:$D$636,204,FALSE)</f>
        <v>Mexico (***)</v>
      </c>
      <c r="C17" s="313"/>
      <c r="D17" s="313"/>
      <c r="E17" s="313"/>
      <c r="F17" s="313"/>
      <c r="G17" s="313"/>
      <c r="H17" s="313"/>
      <c r="I17" s="313"/>
    </row>
    <row r="18" spans="1:12" ht="15.75">
      <c r="A18" s="214"/>
      <c r="B18" s="121">
        <f>+B$5</f>
        <v>43921</v>
      </c>
      <c r="C18" s="121">
        <f aca="true" t="shared" si="1" ref="C18:I18">+C$5</f>
        <v>44012</v>
      </c>
      <c r="D18" s="121">
        <f t="shared" si="1"/>
        <v>44104</v>
      </c>
      <c r="E18" s="121">
        <f t="shared" si="1"/>
        <v>44196</v>
      </c>
      <c r="F18" s="121">
        <f t="shared" si="1"/>
        <v>44286</v>
      </c>
      <c r="G18" s="121">
        <f t="shared" si="1"/>
        <v>44377</v>
      </c>
      <c r="H18" s="121">
        <f t="shared" si="1"/>
        <v>44469</v>
      </c>
      <c r="I18" s="121">
        <f t="shared" si="1"/>
        <v>44561</v>
      </c>
      <c r="L18" s="53"/>
    </row>
    <row r="19" spans="1:14" ht="15">
      <c r="A19" s="215" t="str">
        <f>HLOOKUP(INDICE!$F$2,Nombres!$C$3:$D$636,105,FALSE)</f>
        <v>Hipotecario</v>
      </c>
      <c r="B19" s="216">
        <v>9865.276971589024</v>
      </c>
      <c r="C19" s="216">
        <v>10193.821136335775</v>
      </c>
      <c r="D19" s="216">
        <v>10287.412161304823</v>
      </c>
      <c r="E19" s="216">
        <v>10459.06527571292</v>
      </c>
      <c r="F19" s="216">
        <v>10631.39173778735</v>
      </c>
      <c r="G19" s="216">
        <v>10864.236759511443</v>
      </c>
      <c r="H19" s="216">
        <v>11137.991546471862</v>
      </c>
      <c r="I19" s="216">
        <v>0</v>
      </c>
      <c r="L19" s="216"/>
      <c r="N19" s="271"/>
    </row>
    <row r="20" spans="1:14" ht="15">
      <c r="A20" s="215" t="str">
        <f>HLOOKUP(INDICE!$F$2,Nombres!$C$3:$D$636,106,FALSE)</f>
        <v>Consumo</v>
      </c>
      <c r="B20" s="216">
        <v>8047.415296960903</v>
      </c>
      <c r="C20" s="216">
        <v>7857.455159331874</v>
      </c>
      <c r="D20" s="216">
        <v>7789.688773242399</v>
      </c>
      <c r="E20" s="216">
        <v>7483.690547888089</v>
      </c>
      <c r="F20" s="216">
        <v>7509.095183365829</v>
      </c>
      <c r="G20" s="216">
        <v>7597.2140150198675</v>
      </c>
      <c r="H20" s="216">
        <v>7765.322266908978</v>
      </c>
      <c r="I20" s="216">
        <v>0</v>
      </c>
      <c r="L20" s="216"/>
      <c r="N20" s="271"/>
    </row>
    <row r="21" spans="1:14" ht="15.75" customHeight="1">
      <c r="A21" s="215" t="str">
        <f>HLOOKUP(INDICE!$F$2,Nombres!$C$3:$D$636,107,FALSE)</f>
        <v>Tarjetas de Crédito</v>
      </c>
      <c r="B21" s="216">
        <v>4443.454620171502</v>
      </c>
      <c r="C21" s="216">
        <v>4294.330190654029</v>
      </c>
      <c r="D21" s="216">
        <v>4347.055792096077</v>
      </c>
      <c r="E21" s="216">
        <v>4396.918787562279</v>
      </c>
      <c r="F21" s="216">
        <v>4272.1657366978425</v>
      </c>
      <c r="G21" s="216">
        <v>4479.1529864815775</v>
      </c>
      <c r="H21" s="216">
        <v>4650.671809190144</v>
      </c>
      <c r="I21" s="216">
        <v>0</v>
      </c>
      <c r="L21" s="216"/>
      <c r="N21" s="271"/>
    </row>
    <row r="22" spans="1:14" ht="15">
      <c r="A22" s="215" t="str">
        <f>HLOOKUP(INDICE!$F$2,Nombres!$C$3:$D$636,110,FALSE)</f>
        <v>Pymes</v>
      </c>
      <c r="B22" s="216">
        <v>3070.1571433869735</v>
      </c>
      <c r="C22" s="216">
        <v>3077.6763447474355</v>
      </c>
      <c r="D22" s="216">
        <v>3026.393967668766</v>
      </c>
      <c r="E22" s="216">
        <v>2899.4815510510066</v>
      </c>
      <c r="F22" s="216">
        <v>2990.3621783020653</v>
      </c>
      <c r="G22" s="216">
        <v>3153.001398667915</v>
      </c>
      <c r="H22" s="216">
        <v>3296.210260806894</v>
      </c>
      <c r="I22" s="216">
        <v>0</v>
      </c>
      <c r="L22" s="216"/>
      <c r="N22" s="271"/>
    </row>
    <row r="23" spans="1:14" ht="15">
      <c r="A23" s="215" t="str">
        <f>HLOOKUP(INDICE!$F$2,Nombres!$C$3:$D$636,216,FALSE)</f>
        <v>Resto Minorista</v>
      </c>
      <c r="B23" s="216">
        <v>93.07910697063079</v>
      </c>
      <c r="C23" s="216">
        <v>80.79808528379687</v>
      </c>
      <c r="D23" s="216">
        <v>80.82877042398407</v>
      </c>
      <c r="E23" s="216">
        <v>80.35748128993131</v>
      </c>
      <c r="F23" s="216">
        <v>72.44984595032764</v>
      </c>
      <c r="G23" s="216">
        <v>72.41836805958711</v>
      </c>
      <c r="H23" s="216">
        <v>72.38230744991127</v>
      </c>
      <c r="I23" s="216">
        <v>0</v>
      </c>
      <c r="L23" s="216"/>
      <c r="N23" s="271"/>
    </row>
    <row r="24" spans="1:14" ht="15">
      <c r="A24" s="215" t="str">
        <f>HLOOKUP(INDICE!$F$2,Nombres!$C$3:$D$636,217,FALSE)</f>
        <v>Resto Empresas</v>
      </c>
      <c r="B24" s="216">
        <v>26064.19347144276</v>
      </c>
      <c r="C24" s="216">
        <v>24878.303099272678</v>
      </c>
      <c r="D24" s="216">
        <v>23272.732150575066</v>
      </c>
      <c r="E24" s="216">
        <v>21353.14754526426</v>
      </c>
      <c r="F24" s="216">
        <v>21845.192882873045</v>
      </c>
      <c r="G24" s="216">
        <v>21407.431119370714</v>
      </c>
      <c r="H24" s="216">
        <v>21238.7894463453</v>
      </c>
      <c r="I24" s="216">
        <v>0</v>
      </c>
      <c r="L24" s="216"/>
      <c r="N24" s="271"/>
    </row>
    <row r="25" spans="1:14" ht="15">
      <c r="A25" s="215" t="str">
        <f>HLOOKUP(INDICE!$F$2,Nombres!$C$3:$D$636,108,FALSE)</f>
        <v>Sector público</v>
      </c>
      <c r="B25" s="216">
        <v>4050.5079101581687</v>
      </c>
      <c r="C25" s="216">
        <v>3998.892739409652</v>
      </c>
      <c r="D25" s="216">
        <v>4156.2525906136225</v>
      </c>
      <c r="E25" s="216">
        <v>4598.612696313579</v>
      </c>
      <c r="F25" s="216">
        <v>4705.088338358265</v>
      </c>
      <c r="G25" s="216">
        <v>4769.078642206451</v>
      </c>
      <c r="H25" s="216">
        <v>4862.570824278854</v>
      </c>
      <c r="I25" s="216">
        <v>0</v>
      </c>
      <c r="L25" s="216"/>
      <c r="N25" s="271"/>
    </row>
    <row r="26" spans="1:14" ht="15">
      <c r="A26" s="217" t="str">
        <f>HLOOKUP(INDICE!$F$2,Nombres!$C$3:$D$636,112,FALSE)</f>
        <v>Crédito no dudoso en gestión (*)</v>
      </c>
      <c r="B26" s="218">
        <v>55634.08452067996</v>
      </c>
      <c r="C26" s="218">
        <v>54381.276755035244</v>
      </c>
      <c r="D26" s="218">
        <v>52960.364205924736</v>
      </c>
      <c r="E26" s="218">
        <v>51271.27388508206</v>
      </c>
      <c r="F26" s="218">
        <v>52025.74590333472</v>
      </c>
      <c r="G26" s="218">
        <v>52342.533289317566</v>
      </c>
      <c r="H26" s="218">
        <v>53023.93846145195</v>
      </c>
      <c r="I26" s="218">
        <v>0</v>
      </c>
      <c r="J26" s="298"/>
      <c r="L26" s="222"/>
      <c r="N26" s="271"/>
    </row>
    <row r="27" spans="1:14" ht="15.75">
      <c r="A27" s="226" t="str">
        <f>HLOOKUP(INDICE!$F$2,Nombres!$C$3:$D$636,205,FALSE)</f>
        <v>Criterio Local Contable(***)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71"/>
    </row>
    <row r="28" spans="1:14" ht="15">
      <c r="A28" s="304"/>
      <c r="B28" s="216"/>
      <c r="C28" s="216"/>
      <c r="D28" s="216"/>
      <c r="E28" s="216"/>
      <c r="F28" s="216"/>
      <c r="G28" s="216"/>
      <c r="H28" s="216"/>
      <c r="I28" s="216"/>
      <c r="L28" s="216"/>
      <c r="N28" s="271"/>
    </row>
    <row r="29" spans="2:12" ht="15.75">
      <c r="B29" s="221"/>
      <c r="C29" s="221"/>
      <c r="D29" s="221"/>
      <c r="E29" s="221"/>
      <c r="F29" s="221"/>
      <c r="L29" s="224"/>
    </row>
    <row r="30" spans="1:12" ht="15.75" customHeight="1">
      <c r="A30" s="213"/>
      <c r="B30" s="313" t="str">
        <f>HLOOKUP(INDICE!$F$2,Nombres!$C$3:$D$636,12,FALSE)</f>
        <v>Turquía </v>
      </c>
      <c r="C30" s="313"/>
      <c r="D30" s="313"/>
      <c r="E30" s="313"/>
      <c r="F30" s="313"/>
      <c r="G30" s="313"/>
      <c r="H30" s="313"/>
      <c r="I30" s="313"/>
      <c r="L30" s="225"/>
    </row>
    <row r="31" spans="1:12" ht="15.75">
      <c r="A31" s="214"/>
      <c r="B31" s="121">
        <f>+B$5</f>
        <v>43921</v>
      </c>
      <c r="C31" s="121">
        <f aca="true" t="shared" si="3" ref="C31:I31">+C$5</f>
        <v>44012</v>
      </c>
      <c r="D31" s="121">
        <f t="shared" si="3"/>
        <v>44104</v>
      </c>
      <c r="E31" s="121">
        <f t="shared" si="3"/>
        <v>44196</v>
      </c>
      <c r="F31" s="121">
        <f t="shared" si="3"/>
        <v>44286</v>
      </c>
      <c r="G31" s="121">
        <f t="shared" si="3"/>
        <v>44377</v>
      </c>
      <c r="H31" s="121">
        <f t="shared" si="3"/>
        <v>44469</v>
      </c>
      <c r="I31" s="121">
        <f t="shared" si="3"/>
        <v>44561</v>
      </c>
      <c r="L31" s="53"/>
    </row>
    <row r="32" spans="1:14" ht="15">
      <c r="A32" s="215" t="str">
        <f>HLOOKUP(INDICE!$F$2,Nombres!$C$3:$D$636,105,FALSE)</f>
        <v>Hipotecario</v>
      </c>
      <c r="B32" s="216">
        <v>1990.207256808069</v>
      </c>
      <c r="C32" s="216">
        <v>1982.4243552262833</v>
      </c>
      <c r="D32" s="216">
        <v>2057.7167114433596</v>
      </c>
      <c r="E32" s="216">
        <v>2078.7442178117617</v>
      </c>
      <c r="F32" s="216">
        <v>2183.5758224673355</v>
      </c>
      <c r="G32" s="216">
        <v>2245.2967671737792</v>
      </c>
      <c r="H32" s="216">
        <v>2390.1213596099997</v>
      </c>
      <c r="I32" s="216">
        <v>0</v>
      </c>
      <c r="L32" s="216"/>
      <c r="N32" s="271"/>
    </row>
    <row r="33" spans="1:14" ht="15">
      <c r="A33" s="215" t="str">
        <f>HLOOKUP(INDICE!$F$2,Nombres!$C$3:$D$636,106,FALSE)</f>
        <v>Consumo</v>
      </c>
      <c r="B33" s="216">
        <v>4091.5702754813055</v>
      </c>
      <c r="C33" s="216">
        <v>4395.57865512901</v>
      </c>
      <c r="D33" s="216">
        <v>4760.640069617882</v>
      </c>
      <c r="E33" s="216">
        <v>4978.272170408888</v>
      </c>
      <c r="F33" s="216">
        <v>5501.347331451792</v>
      </c>
      <c r="G33" s="216">
        <v>5967.56632724752</v>
      </c>
      <c r="H33" s="216">
        <v>6518.499615559999</v>
      </c>
      <c r="I33" s="216">
        <v>0</v>
      </c>
      <c r="L33" s="216"/>
      <c r="N33" s="271"/>
    </row>
    <row r="34" spans="1:14" ht="15">
      <c r="A34" s="215" t="str">
        <f>HLOOKUP(INDICE!$F$2,Nombres!$C$3:$D$636,107,FALSE)</f>
        <v>Tarjetas de Crédito</v>
      </c>
      <c r="B34" s="216">
        <v>2339.0941212954062</v>
      </c>
      <c r="C34" s="216">
        <v>2393.8987596263814</v>
      </c>
      <c r="D34" s="216">
        <v>2737.9144670166547</v>
      </c>
      <c r="E34" s="216">
        <v>2883.8637288308646</v>
      </c>
      <c r="F34" s="216">
        <v>3099.926498571495</v>
      </c>
      <c r="G34" s="216">
        <v>3276.1310049378</v>
      </c>
      <c r="H34" s="216">
        <v>3693.171</v>
      </c>
      <c r="I34" s="216">
        <v>0</v>
      </c>
      <c r="L34" s="216"/>
      <c r="N34" s="271"/>
    </row>
    <row r="35" spans="1:14" ht="15">
      <c r="A35" s="215" t="str">
        <f>HLOOKUP(INDICE!$F$2,Nombres!$C$3:$D$636,108,FALSE)</f>
        <v>Sector público</v>
      </c>
      <c r="B35" s="216">
        <v>67.31646103625658</v>
      </c>
      <c r="C35" s="216">
        <v>143.75291962541652</v>
      </c>
      <c r="D35" s="216">
        <v>154.58253910797302</v>
      </c>
      <c r="E35" s="216">
        <v>157.17776770405078</v>
      </c>
      <c r="F35" s="216">
        <v>155.0960953959423</v>
      </c>
      <c r="G35" s="216">
        <v>154.4567050230276</v>
      </c>
      <c r="H35" s="216">
        <v>137.49300000000002</v>
      </c>
      <c r="I35" s="216">
        <v>0</v>
      </c>
      <c r="L35" s="216"/>
      <c r="N35" s="271"/>
    </row>
    <row r="36" spans="1:14" ht="15">
      <c r="A36" s="215" t="str">
        <f>HLOOKUP(INDICE!$F$2,Nombres!$C$3:$D$636,109,FALSE)</f>
        <v>Sociedades financieras y sociedades no financieras</v>
      </c>
      <c r="B36" s="216">
        <v>18658.12613597653</v>
      </c>
      <c r="C36" s="216">
        <v>20867.290868859487</v>
      </c>
      <c r="D36" s="216">
        <v>21724.95215149278</v>
      </c>
      <c r="E36" s="216">
        <v>21766.602315576896</v>
      </c>
      <c r="F36" s="216">
        <v>22531.85260383541</v>
      </c>
      <c r="G36" s="216">
        <v>23593.71519849677</v>
      </c>
      <c r="H36" s="216">
        <v>24720.056</v>
      </c>
      <c r="I36" s="216">
        <v>0</v>
      </c>
      <c r="L36" s="216"/>
      <c r="N36" s="271"/>
    </row>
    <row r="37" spans="1:14" ht="15">
      <c r="A37" s="215" t="str">
        <f>HLOOKUP(INDICE!$F$2,Nombres!$C$3:$D$636,111,FALSE)</f>
        <v>Otros</v>
      </c>
      <c r="B37" s="216">
        <v>475.42854098180686</v>
      </c>
      <c r="C37" s="216">
        <v>427.1110969110682</v>
      </c>
      <c r="D37" s="216">
        <v>536.0413323208752</v>
      </c>
      <c r="E37" s="216">
        <v>557.5870070333327</v>
      </c>
      <c r="F37" s="216">
        <v>643.6227137493186</v>
      </c>
      <c r="G37" s="216">
        <v>673.5178053431481</v>
      </c>
      <c r="H37" s="216">
        <v>713.7740248299997</v>
      </c>
      <c r="I37" s="216">
        <v>0</v>
      </c>
      <c r="L37" s="216"/>
      <c r="N37" s="271"/>
    </row>
    <row r="38" spans="1:14" ht="15">
      <c r="A38" s="217" t="str">
        <f>HLOOKUP(INDICE!$F$2,Nombres!$C$3:$D$636,112,FALSE)</f>
        <v>Crédito no dudoso en gestión (*)</v>
      </c>
      <c r="B38" s="218">
        <v>27621.74279157937</v>
      </c>
      <c r="C38" s="218">
        <v>30210.056655377648</v>
      </c>
      <c r="D38" s="218">
        <v>31971.847270999522</v>
      </c>
      <c r="E38" s="218">
        <v>32422.247207365792</v>
      </c>
      <c r="F38" s="218">
        <v>34115.4210654713</v>
      </c>
      <c r="G38" s="218">
        <v>35910.68380822205</v>
      </c>
      <c r="H38" s="218">
        <v>38173.115</v>
      </c>
      <c r="I38" s="218">
        <v>0</v>
      </c>
      <c r="L38" s="216"/>
      <c r="N38" s="271"/>
    </row>
    <row r="39" spans="1:14" ht="15.75" customHeight="1">
      <c r="A39" s="217"/>
      <c r="B39" s="218"/>
      <c r="C39" s="218"/>
      <c r="D39" s="218"/>
      <c r="E39" s="218"/>
      <c r="F39" s="218"/>
      <c r="G39" s="218"/>
      <c r="H39" s="218"/>
      <c r="I39" s="218"/>
      <c r="L39" s="222"/>
      <c r="N39" s="271"/>
    </row>
    <row r="40" spans="1:12" ht="15.75" customHeight="1">
      <c r="A40" s="217"/>
      <c r="B40" s="218"/>
      <c r="C40" s="218"/>
      <c r="D40" s="218"/>
      <c r="E40" s="218"/>
      <c r="F40" s="218"/>
      <c r="G40" s="218"/>
      <c r="H40" s="218"/>
      <c r="I40" s="218"/>
      <c r="L40" s="223"/>
    </row>
    <row r="41" spans="1:12" ht="15">
      <c r="A41" s="217"/>
      <c r="B41" s="218"/>
      <c r="C41" s="218"/>
      <c r="D41" s="218"/>
      <c r="E41" s="218"/>
      <c r="F41" s="218"/>
      <c r="G41" s="218"/>
      <c r="H41" s="218"/>
      <c r="I41" s="218"/>
      <c r="L41" s="216"/>
    </row>
    <row r="42" spans="1:12" ht="15.75" customHeight="1">
      <c r="A42" s="213"/>
      <c r="B42" s="313" t="str">
        <f>HLOOKUP(INDICE!$F$2,Nombres!$C$3:$D$636,296,FALSE)</f>
        <v>Turquia solo Banco</v>
      </c>
      <c r="C42" s="313"/>
      <c r="D42" s="313"/>
      <c r="E42" s="313"/>
      <c r="F42" s="313"/>
      <c r="G42" s="313"/>
      <c r="H42" s="313"/>
      <c r="I42" s="313"/>
      <c r="L42" s="221"/>
    </row>
    <row r="43" spans="1:13" ht="15.75">
      <c r="A43" s="214"/>
      <c r="B43" s="121">
        <f>+B$5</f>
        <v>43921</v>
      </c>
      <c r="C43" s="121">
        <f aca="true" t="shared" si="4" ref="C43:I43">+C$5</f>
        <v>44012</v>
      </c>
      <c r="D43" s="121">
        <f t="shared" si="4"/>
        <v>44104</v>
      </c>
      <c r="E43" s="121">
        <f t="shared" si="4"/>
        <v>44196</v>
      </c>
      <c r="F43" s="121">
        <f t="shared" si="4"/>
        <v>44286</v>
      </c>
      <c r="G43" s="121">
        <f t="shared" si="4"/>
        <v>44377</v>
      </c>
      <c r="H43" s="121">
        <f t="shared" si="4"/>
        <v>44469</v>
      </c>
      <c r="I43" s="121">
        <f t="shared" si="4"/>
        <v>44561</v>
      </c>
      <c r="L43" s="227"/>
      <c r="M43" s="227"/>
    </row>
    <row r="44" spans="1:13" ht="15.75">
      <c r="A44" s="215" t="str">
        <f>HLOOKUP(INDICE!$F$2,Nombres!$C$3:$D$636,285,FALSE)</f>
        <v>Préstamos Hogares TL</v>
      </c>
      <c r="B44" s="216">
        <v>8657.581770984263</v>
      </c>
      <c r="C44" s="216">
        <v>8984.183497574213</v>
      </c>
      <c r="D44" s="216">
        <v>9714.86237167948</v>
      </c>
      <c r="E44" s="216">
        <v>10218.66529112409</v>
      </c>
      <c r="F44" s="216">
        <v>11134.303927661125</v>
      </c>
      <c r="G44" s="216">
        <v>11918.04149217273</v>
      </c>
      <c r="H44" s="216">
        <v>13134.465870696244</v>
      </c>
      <c r="I44" s="216">
        <v>0</v>
      </c>
      <c r="L44" s="53"/>
      <c r="M44" s="227"/>
    </row>
    <row r="45" spans="1:14" ht="15">
      <c r="A45" s="215" t="str">
        <f>HLOOKUP(INDICE!$F$2,Nombres!$C$3:$D$636,286,FALSE)</f>
        <v>Préstamos Empresas TL</v>
      </c>
      <c r="B45" s="216">
        <v>6939.118520493097</v>
      </c>
      <c r="C45" s="216">
        <v>9183.112768937925</v>
      </c>
      <c r="D45" s="216">
        <v>9053.86130371234</v>
      </c>
      <c r="E45" s="216">
        <v>9680.544745090821</v>
      </c>
      <c r="F45" s="216">
        <v>9942.22658401549</v>
      </c>
      <c r="G45" s="216">
        <v>10561.70078772104</v>
      </c>
      <c r="H45" s="216">
        <v>11209.159217371169</v>
      </c>
      <c r="I45" s="216">
        <v>0</v>
      </c>
      <c r="L45" s="216"/>
      <c r="M45" s="227"/>
      <c r="N45" s="271"/>
    </row>
    <row r="46" spans="1:14" ht="15">
      <c r="A46" s="217" t="str">
        <f>HLOOKUP(INDICE!$F$2,Nombres!$C$3:$D$636,287,FALSE)</f>
        <v>Total Préstamos TL</v>
      </c>
      <c r="B46" s="218">
        <v>15596.70029147736</v>
      </c>
      <c r="C46" s="218">
        <v>18167.296266512138</v>
      </c>
      <c r="D46" s="218">
        <v>18768.72367539182</v>
      </c>
      <c r="E46" s="218">
        <v>19899.210036214914</v>
      </c>
      <c r="F46" s="218">
        <v>21076.530511676618</v>
      </c>
      <c r="G46" s="218">
        <v>22479.742279893773</v>
      </c>
      <c r="H46" s="218">
        <v>24343.625088067412</v>
      </c>
      <c r="I46" s="218">
        <v>0</v>
      </c>
      <c r="L46" s="216"/>
      <c r="M46" s="227"/>
      <c r="N46" s="271"/>
    </row>
    <row r="47" spans="1:14" ht="15">
      <c r="A47" s="217" t="str">
        <f>HLOOKUP(INDICE!$F$2,Nombres!$C$3:$D$636,288,FALSE)</f>
        <v>Total Préstamos FC</v>
      </c>
      <c r="B47" s="218">
        <v>11626.586941205276</v>
      </c>
      <c r="C47" s="218">
        <v>11419.89950925577</v>
      </c>
      <c r="D47" s="218">
        <v>11113.7740371149</v>
      </c>
      <c r="E47" s="218">
        <v>10763.366990295928</v>
      </c>
      <c r="F47" s="218">
        <v>10168.801533054215</v>
      </c>
      <c r="G47" s="218">
        <v>10126.075027527335</v>
      </c>
      <c r="H47" s="218">
        <v>9878.585282477989</v>
      </c>
      <c r="I47" s="218">
        <v>0</v>
      </c>
      <c r="L47" s="216"/>
      <c r="M47" s="227"/>
      <c r="N47" s="271"/>
    </row>
    <row r="48" spans="1:14" ht="15.75">
      <c r="A48" s="226" t="str">
        <f>HLOOKUP(INDICE!$F$2,Nombres!$C$3:$D$636,295,FALSE)</f>
        <v>(TL Lira Turca FC Moneda Extranjera)</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6"/>
      <c r="M48" s="227"/>
      <c r="N48" s="271"/>
    </row>
    <row r="49" spans="1:14" ht="15.75">
      <c r="A49" s="210"/>
      <c r="B49" s="220"/>
      <c r="C49" s="220"/>
      <c r="D49" s="220"/>
      <c r="E49" s="220"/>
      <c r="F49" s="220"/>
      <c r="G49" s="220"/>
      <c r="H49" s="220"/>
      <c r="I49" s="220"/>
      <c r="L49" s="215"/>
      <c r="M49" s="227"/>
      <c r="N49" s="271"/>
    </row>
    <row r="50" spans="1:14" ht="15.75">
      <c r="A50" s="210"/>
      <c r="B50" s="220"/>
      <c r="C50" s="220"/>
      <c r="D50" s="220"/>
      <c r="E50" s="220"/>
      <c r="F50" s="220"/>
      <c r="G50" s="220"/>
      <c r="H50" s="220"/>
      <c r="I50" s="220"/>
      <c r="L50" s="215"/>
      <c r="M50" s="227"/>
      <c r="N50" s="271"/>
    </row>
    <row r="51" spans="1:14" ht="15.75" customHeight="1">
      <c r="A51" s="213"/>
      <c r="B51" s="313" t="str">
        <f>HLOOKUP(INDICE!$F$2,Nombres!$C$3:$D$636,283,FALSE)</f>
        <v>América del Sur (***)</v>
      </c>
      <c r="C51" s="313"/>
      <c r="D51" s="313"/>
      <c r="E51" s="313"/>
      <c r="F51" s="313"/>
      <c r="G51" s="313"/>
      <c r="H51" s="313"/>
      <c r="I51" s="313"/>
      <c r="L51" s="215"/>
      <c r="M51" s="227"/>
      <c r="N51" s="271"/>
    </row>
    <row r="52" spans="1:14" ht="15.75">
      <c r="A52" s="214"/>
      <c r="B52" s="121">
        <f>+B$5</f>
        <v>43921</v>
      </c>
      <c r="C52" s="121">
        <f aca="true" t="shared" si="6" ref="C52:I52">+C$5</f>
        <v>44012</v>
      </c>
      <c r="D52" s="121">
        <f t="shared" si="6"/>
        <v>44104</v>
      </c>
      <c r="E52" s="121">
        <f t="shared" si="6"/>
        <v>44196</v>
      </c>
      <c r="F52" s="121">
        <f t="shared" si="6"/>
        <v>44286</v>
      </c>
      <c r="G52" s="121">
        <f t="shared" si="6"/>
        <v>44377</v>
      </c>
      <c r="H52" s="121">
        <f t="shared" si="6"/>
        <v>44469</v>
      </c>
      <c r="I52" s="121">
        <f t="shared" si="6"/>
        <v>44561</v>
      </c>
      <c r="L52" s="217"/>
      <c r="M52" s="227"/>
      <c r="N52" s="271"/>
    </row>
    <row r="53" spans="1:13" ht="15.75">
      <c r="A53" s="215" t="s">
        <v>7</v>
      </c>
      <c r="B53" s="216">
        <v>1942.1997001744742</v>
      </c>
      <c r="C53" s="216">
        <v>2187.919799972183</v>
      </c>
      <c r="D53" s="216">
        <v>2257.577402111098</v>
      </c>
      <c r="E53" s="216">
        <v>2540.327687162914</v>
      </c>
      <c r="F53" s="216">
        <v>2588.377488974587</v>
      </c>
      <c r="G53" s="216">
        <v>2761.9997811221438</v>
      </c>
      <c r="H53" s="216">
        <v>2968.75207403</v>
      </c>
      <c r="I53" s="216">
        <v>0</v>
      </c>
      <c r="L53" s="220"/>
      <c r="M53" s="227"/>
    </row>
    <row r="54" spans="1:12" ht="15.75">
      <c r="A54" s="215" t="s">
        <v>8</v>
      </c>
      <c r="B54" s="216">
        <v>1550.1480861040802</v>
      </c>
      <c r="C54" s="216">
        <v>1395.2716561974025</v>
      </c>
      <c r="D54" s="216">
        <v>1419.053246926247</v>
      </c>
      <c r="E54" s="216">
        <v>1397.0453040794855</v>
      </c>
      <c r="F54" s="216">
        <v>1382.2347672611195</v>
      </c>
      <c r="G54" s="216">
        <v>1388.968449954917</v>
      </c>
      <c r="H54" s="216">
        <v>1402.783</v>
      </c>
      <c r="I54" s="216">
        <v>0</v>
      </c>
      <c r="L54" s="220"/>
    </row>
    <row r="55" spans="1:9" ht="15.75" customHeight="1">
      <c r="A55" s="215" t="s">
        <v>9</v>
      </c>
      <c r="B55" s="216">
        <v>11126.926966140281</v>
      </c>
      <c r="C55" s="216">
        <v>11266.677267513207</v>
      </c>
      <c r="D55" s="216">
        <v>11155.64220091162</v>
      </c>
      <c r="E55" s="216">
        <v>11082.113774936008</v>
      </c>
      <c r="F55" s="216">
        <v>11215.23426049305</v>
      </c>
      <c r="G55" s="216">
        <v>11462.008321279814</v>
      </c>
      <c r="H55" s="216">
        <v>11789.72830183</v>
      </c>
      <c r="I55" s="216">
        <v>0</v>
      </c>
    </row>
    <row r="56" spans="1:9" ht="15">
      <c r="A56" s="215" t="s">
        <v>10</v>
      </c>
      <c r="B56" s="216">
        <v>12138.003134408447</v>
      </c>
      <c r="C56" s="216">
        <v>13218.67987010711</v>
      </c>
      <c r="D56" s="216">
        <v>14043.495553943963</v>
      </c>
      <c r="E56" s="216">
        <v>14047.077874433617</v>
      </c>
      <c r="F56" s="216">
        <v>14108.399523136015</v>
      </c>
      <c r="G56" s="216">
        <v>14852.526344595473</v>
      </c>
      <c r="H56" s="216">
        <v>14617.071188920001</v>
      </c>
      <c r="I56" s="216">
        <v>0</v>
      </c>
    </row>
    <row r="57" spans="1:14" ht="15">
      <c r="A57" s="215" t="s">
        <v>11</v>
      </c>
      <c r="B57" s="216">
        <v>1628.6716051789765</v>
      </c>
      <c r="C57" s="216">
        <v>1620.525900049621</v>
      </c>
      <c r="D57" s="216">
        <v>1589.2288718173195</v>
      </c>
      <c r="E57" s="216">
        <v>1703.8634521003091</v>
      </c>
      <c r="F57" s="216">
        <v>1762.5467184592537</v>
      </c>
      <c r="G57" s="216">
        <v>1762.7915106111516</v>
      </c>
      <c r="H57" s="216">
        <v>1763.54326568</v>
      </c>
      <c r="I57" s="216">
        <v>0</v>
      </c>
      <c r="L57" s="216"/>
      <c r="N57" s="271"/>
    </row>
    <row r="58" spans="1:14" ht="15">
      <c r="A58" s="217" t="str">
        <f>HLOOKUP(INDICE!$F$2,Nombres!$C$3:$D$636,112,FALSE)</f>
        <v>Crédito no dudoso en gestión (*)</v>
      </c>
      <c r="B58" s="218">
        <v>28385.94949200626</v>
      </c>
      <c r="C58" s="218">
        <v>29689.07449383952</v>
      </c>
      <c r="D58" s="218">
        <v>30464.997275710248</v>
      </c>
      <c r="E58" s="218">
        <v>30770.428092712336</v>
      </c>
      <c r="F58" s="218">
        <v>31056.792758324027</v>
      </c>
      <c r="G58" s="218">
        <v>32228.294407563502</v>
      </c>
      <c r="H58" s="218">
        <v>32541.877830460005</v>
      </c>
      <c r="I58" s="218">
        <v>0</v>
      </c>
      <c r="L58" s="216"/>
      <c r="N58" s="271"/>
    </row>
    <row r="59" spans="1:14" ht="15.7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16"/>
      <c r="N59" s="271"/>
    </row>
    <row r="60" spans="1:14" ht="15" customHeight="1">
      <c r="A60" s="210"/>
      <c r="B60" s="210"/>
      <c r="C60" s="210"/>
      <c r="D60" s="210"/>
      <c r="E60" s="210"/>
      <c r="F60" s="210"/>
      <c r="L60" s="216"/>
      <c r="N60" s="271"/>
    </row>
    <row r="61" spans="1:14" ht="15" customHeight="1">
      <c r="A61" s="228" t="str">
        <f>HLOOKUP(INDICE!$F$2,Nombres!$C$3:$D$636,71,FALSE)</f>
        <v>(*) No incluye las adquisiciones temporales de activos.</v>
      </c>
      <c r="B61" s="210"/>
      <c r="C61" s="210"/>
      <c r="D61" s="210"/>
      <c r="E61" s="210"/>
      <c r="F61" s="210"/>
      <c r="L61" s="216"/>
      <c r="N61" s="271"/>
    </row>
    <row r="62" spans="1:14" ht="15" customHeight="1">
      <c r="A62" s="228" t="str">
        <f>HLOOKUP(INDICE!$F$2,Nombres!$C$3:$D$636,299,FALSE)</f>
        <v> (***) No incluye Paraguay</v>
      </c>
      <c r="B62" s="210"/>
      <c r="C62" s="210"/>
      <c r="D62" s="210"/>
      <c r="E62" s="210"/>
      <c r="F62" s="210"/>
      <c r="L62" s="217"/>
      <c r="N62" s="271"/>
    </row>
    <row r="63" spans="1:12" ht="15.75">
      <c r="A63" s="210"/>
      <c r="B63" s="210"/>
      <c r="C63" s="210"/>
      <c r="D63" s="210"/>
      <c r="E63" s="210"/>
      <c r="F63" s="210"/>
      <c r="L63" s="220"/>
    </row>
    <row r="64" spans="1:12" ht="15.75">
      <c r="A64" s="210"/>
      <c r="B64" s="210"/>
      <c r="C64" s="210"/>
      <c r="D64" s="210"/>
      <c r="E64" s="210"/>
      <c r="F64" s="210"/>
      <c r="L64" s="210"/>
    </row>
    <row r="65" spans="1:12" ht="15.75">
      <c r="A65" s="210"/>
      <c r="B65" s="210"/>
      <c r="C65" s="210"/>
      <c r="D65" s="210"/>
      <c r="E65" s="210"/>
      <c r="F65" s="210"/>
      <c r="L65" s="210"/>
    </row>
    <row r="66" spans="1:12" ht="15.75">
      <c r="A66" s="210"/>
      <c r="B66" s="210"/>
      <c r="C66" s="210"/>
      <c r="D66" s="210"/>
      <c r="E66" s="210"/>
      <c r="F66" s="210"/>
      <c r="L66" s="210"/>
    </row>
    <row r="67" spans="1:12" ht="15.75">
      <c r="A67" s="210"/>
      <c r="B67" s="210"/>
      <c r="C67" s="210"/>
      <c r="D67" s="210"/>
      <c r="E67" s="210"/>
      <c r="F67" s="210"/>
      <c r="L67" s="210"/>
    </row>
    <row r="68" spans="1:12" ht="15.75">
      <c r="A68" s="210"/>
      <c r="B68" s="210"/>
      <c r="C68" s="210"/>
      <c r="D68" s="210"/>
      <c r="E68" s="210"/>
      <c r="F68" s="210"/>
      <c r="L68" s="210"/>
    </row>
    <row r="69" spans="1:12" ht="15.75">
      <c r="A69" s="210"/>
      <c r="B69" s="210"/>
      <c r="C69" s="210"/>
      <c r="D69" s="210"/>
      <c r="E69" s="210"/>
      <c r="F69" s="210"/>
      <c r="L69" s="210"/>
    </row>
    <row r="70" spans="1:12" ht="15.75">
      <c r="A70" s="210"/>
      <c r="B70" s="210"/>
      <c r="C70" s="210"/>
      <c r="D70" s="210"/>
      <c r="E70" s="210"/>
      <c r="F70" s="210"/>
      <c r="L70" s="210"/>
    </row>
    <row r="71" ht="15.75">
      <c r="L71" s="210"/>
    </row>
    <row r="72" ht="15.75">
      <c r="L72" s="210"/>
    </row>
    <row r="73" ht="15.75">
      <c r="L73" s="210"/>
    </row>
    <row r="74" ht="15.75">
      <c r="L74" s="210"/>
    </row>
    <row r="996" ht="15">
      <c r="A996" s="209" t="s">
        <v>396</v>
      </c>
    </row>
  </sheetData>
  <sheetProtection/>
  <mergeCells count="5">
    <mergeCell ref="B4:I4"/>
    <mergeCell ref="B17:I17"/>
    <mergeCell ref="B30:I30"/>
    <mergeCell ref="B42:I42"/>
    <mergeCell ref="B51:I51"/>
  </mergeCells>
  <conditionalFormatting sqref="B14:I14">
    <cfRule type="cellIs" priority="6" dxfId="114" operator="notBetween">
      <formula>0.5</formula>
      <formula>-0.5</formula>
    </cfRule>
  </conditionalFormatting>
  <conditionalFormatting sqref="B27:I27">
    <cfRule type="cellIs" priority="5" dxfId="114" operator="notBetween">
      <formula>0.5</formula>
      <formula>-0.5</formula>
    </cfRule>
  </conditionalFormatting>
  <conditionalFormatting sqref="C27:I27">
    <cfRule type="cellIs" priority="4" dxfId="114" operator="notBetween">
      <formula>0.5</formula>
      <formula>-0.5</formula>
    </cfRule>
  </conditionalFormatting>
  <conditionalFormatting sqref="B48">
    <cfRule type="cellIs" priority="3" dxfId="114" operator="notBetween">
      <formula>0.5</formula>
      <formula>-0.5</formula>
    </cfRule>
  </conditionalFormatting>
  <conditionalFormatting sqref="C48:I48">
    <cfRule type="cellIs" priority="2" dxfId="114" operator="notBetween">
      <formula>0.5</formula>
      <formula>-0.5</formula>
    </cfRule>
  </conditionalFormatting>
  <conditionalFormatting sqref="B59:I59">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9" customWidth="1"/>
    <col min="2" max="2" width="12.28125" style="209" customWidth="1"/>
    <col min="3" max="8" width="11.421875" style="209" customWidth="1"/>
    <col min="9" max="9" width="11.421875" style="209" hidden="1" customWidth="1"/>
    <col min="10" max="11" width="5.7109375" style="209" customWidth="1"/>
    <col min="12" max="12" width="19.57421875" style="209" customWidth="1"/>
    <col min="13" max="16384" width="11.421875" style="209" customWidth="1"/>
  </cols>
  <sheetData>
    <row r="1" spans="1:9" ht="18">
      <c r="A1" s="206" t="str">
        <f>HLOOKUP(INDICE!$F$2,Nombres!$C$3:$D$636,120,FALSE)</f>
        <v>Desglose de los recursos de clientes en gestión</v>
      </c>
      <c r="B1" s="207"/>
      <c r="C1" s="207"/>
      <c r="D1" s="207"/>
      <c r="E1" s="207"/>
      <c r="F1" s="207"/>
      <c r="G1" s="207"/>
      <c r="H1" s="207"/>
      <c r="I1" s="207"/>
    </row>
    <row r="2" spans="1:6" ht="15.75">
      <c r="A2" s="211" t="str">
        <f>HLOOKUP(INDICE!$F$2,Nombres!$C$3:$D$636,73,FALSE)</f>
        <v>(Millones de euros constantes)</v>
      </c>
      <c r="B2" s="210"/>
      <c r="C2" s="210"/>
      <c r="D2" s="210"/>
      <c r="E2" s="210"/>
      <c r="F2" s="210"/>
    </row>
    <row r="3" spans="1:12" ht="15.75" customHeight="1">
      <c r="A3" s="213"/>
      <c r="B3" s="313" t="str">
        <f>HLOOKUP(INDICE!$F$2,Nombres!$C$3:$D$636,7,FALSE)</f>
        <v>España</v>
      </c>
      <c r="C3" s="313"/>
      <c r="D3" s="313"/>
      <c r="E3" s="313"/>
      <c r="F3" s="313"/>
      <c r="G3" s="313"/>
      <c r="H3" s="313"/>
      <c r="I3" s="313"/>
      <c r="L3" s="229"/>
    </row>
    <row r="4" spans="1:9" ht="15.75">
      <c r="A4" s="214"/>
      <c r="B4" s="121">
        <f>+España!B30</f>
        <v>43921</v>
      </c>
      <c r="C4" s="121">
        <f>+España!C30</f>
        <v>44012</v>
      </c>
      <c r="D4" s="121">
        <f>+España!D30</f>
        <v>44104</v>
      </c>
      <c r="E4" s="121">
        <f>+España!E30</f>
        <v>44196</v>
      </c>
      <c r="F4" s="121">
        <f>+España!F30</f>
        <v>44286</v>
      </c>
      <c r="G4" s="121">
        <f>+España!G30</f>
        <v>44377</v>
      </c>
      <c r="H4" s="121">
        <f>+España!H30</f>
        <v>44469</v>
      </c>
      <c r="I4" s="121">
        <f>+España!I30</f>
        <v>44561</v>
      </c>
    </row>
    <row r="5" spans="1:12" ht="15">
      <c r="A5" s="215" t="str">
        <f>HLOOKUP(INDICE!$F$2,Nombres!$C$3:$D$636,114,FALSE)</f>
        <v>Depósitos a la vista + Disponibles con preaviso</v>
      </c>
      <c r="B5" s="216">
        <v>158491.67497999998</v>
      </c>
      <c r="C5" s="216">
        <v>165079.441489</v>
      </c>
      <c r="D5" s="216">
        <v>165967.154141</v>
      </c>
      <c r="E5" s="216">
        <v>174789.43881499997</v>
      </c>
      <c r="F5" s="216">
        <v>168710.114432</v>
      </c>
      <c r="G5" s="216">
        <v>176043.216854</v>
      </c>
      <c r="H5" s="216">
        <v>178825.393642</v>
      </c>
      <c r="I5" s="216">
        <v>0</v>
      </c>
      <c r="L5" s="215"/>
    </row>
    <row r="6" spans="1:12" ht="15">
      <c r="A6" s="215" t="str">
        <f>HLOOKUP(INDICE!$F$2,Nombres!$C$3:$D$636,115,FALSE)</f>
        <v>Depósitos a plazo</v>
      </c>
      <c r="B6" s="216">
        <v>27835.713708</v>
      </c>
      <c r="C6" s="216">
        <v>30596.272779</v>
      </c>
      <c r="D6" s="216">
        <v>29715.085445</v>
      </c>
      <c r="E6" s="216">
        <v>31019.070096000003</v>
      </c>
      <c r="F6" s="216">
        <v>27294.733647999998</v>
      </c>
      <c r="G6" s="216">
        <v>23537.501437</v>
      </c>
      <c r="H6" s="216">
        <v>20774.126148</v>
      </c>
      <c r="I6" s="216">
        <v>0</v>
      </c>
      <c r="L6" s="215"/>
    </row>
    <row r="7" spans="1:12" ht="15">
      <c r="A7" s="215" t="str">
        <f>HLOOKUP(INDICE!$F$2,Nombres!$C$3:$D$636,116,FALSE)</f>
        <v>Recursos fuera de balance (*)</v>
      </c>
      <c r="B7" s="216">
        <v>58528.213089720004</v>
      </c>
      <c r="C7" s="216">
        <v>60973.8758073</v>
      </c>
      <c r="D7" s="216">
        <v>60890.98777746001</v>
      </c>
      <c r="E7" s="216">
        <v>62706.994929960005</v>
      </c>
      <c r="F7" s="216">
        <v>64452.27035476999</v>
      </c>
      <c r="G7" s="216">
        <v>66399.43729546001</v>
      </c>
      <c r="H7" s="216">
        <v>67118.70451618002</v>
      </c>
      <c r="I7" s="216">
        <v>0</v>
      </c>
      <c r="L7" s="215"/>
    </row>
    <row r="8" spans="1:12" ht="15">
      <c r="A8" s="217" t="str">
        <f>HLOOKUP(INDICE!$F$2,Nombres!$C$3:$D$636,208,FALSE)</f>
        <v> Recursos de clientes en gestión (**)</v>
      </c>
      <c r="B8" s="217">
        <v>244855.60177772003</v>
      </c>
      <c r="C8" s="217">
        <v>256649.59007530002</v>
      </c>
      <c r="D8" s="217">
        <v>256573.22736346</v>
      </c>
      <c r="E8" s="217">
        <v>268515.50384096</v>
      </c>
      <c r="F8" s="217">
        <v>260457.11843477</v>
      </c>
      <c r="G8" s="260">
        <v>265980.15558646</v>
      </c>
      <c r="H8" s="260">
        <v>266718.22430618</v>
      </c>
      <c r="I8" s="260">
        <v>0</v>
      </c>
      <c r="L8" s="217"/>
    </row>
    <row r="9" spans="1:12" ht="15.75">
      <c r="A9" s="215" t="str">
        <f>HLOOKUP(INDICE!$F$2,Nombres!$C$3:$D$636,118,FALSE)</f>
        <v>Vista+Plazo</v>
      </c>
      <c r="B9" s="221">
        <f>+B5+B6</f>
        <v>186327.38868799998</v>
      </c>
      <c r="C9" s="221">
        <f aca="true" t="shared" si="0" ref="C9:I9">+C5+C6</f>
        <v>195675.71426799998</v>
      </c>
      <c r="D9" s="221">
        <f t="shared" si="0"/>
        <v>195682.239586</v>
      </c>
      <c r="E9" s="221">
        <f t="shared" si="0"/>
        <v>205808.50891099998</v>
      </c>
      <c r="F9" s="221">
        <f t="shared" si="0"/>
        <v>196004.84808</v>
      </c>
      <c r="G9" s="261">
        <f t="shared" si="0"/>
        <v>199580.718291</v>
      </c>
      <c r="H9" s="261">
        <f t="shared" si="0"/>
        <v>199599.51979000002</v>
      </c>
      <c r="I9" s="261">
        <f t="shared" si="0"/>
        <v>0</v>
      </c>
      <c r="L9" s="210"/>
    </row>
    <row r="10" spans="1:9" ht="15.7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5.75">
      <c r="A11" s="210"/>
      <c r="B11" s="230"/>
      <c r="C11" s="221"/>
      <c r="D11" s="221"/>
      <c r="E11" s="221"/>
      <c r="F11" s="221"/>
      <c r="G11" s="221"/>
      <c r="H11" s="221"/>
      <c r="I11" s="221"/>
    </row>
    <row r="12" spans="1:12" ht="15.75" customHeight="1">
      <c r="A12" s="213"/>
      <c r="B12" s="313" t="str">
        <f>HLOOKUP(INDICE!$F$2,Nombres!$C$3:$D$636,204,FALSE)</f>
        <v>Mexico (***)</v>
      </c>
      <c r="C12" s="313"/>
      <c r="D12" s="313"/>
      <c r="E12" s="313"/>
      <c r="F12" s="313"/>
      <c r="G12" s="313"/>
      <c r="H12" s="313"/>
      <c r="I12" s="313"/>
      <c r="L12" s="229"/>
    </row>
    <row r="13" spans="1:9" ht="15.75">
      <c r="A13" s="214"/>
      <c r="B13" s="121">
        <f>+B$4</f>
        <v>43921</v>
      </c>
      <c r="C13" s="121">
        <f aca="true" t="shared" si="2" ref="C13:I13">+C$4</f>
        <v>44012</v>
      </c>
      <c r="D13" s="121">
        <f t="shared" si="2"/>
        <v>44104</v>
      </c>
      <c r="E13" s="121">
        <f t="shared" si="2"/>
        <v>44196</v>
      </c>
      <c r="F13" s="121">
        <f t="shared" si="2"/>
        <v>44286</v>
      </c>
      <c r="G13" s="121">
        <f t="shared" si="2"/>
        <v>44377</v>
      </c>
      <c r="H13" s="121">
        <f t="shared" si="2"/>
        <v>44469</v>
      </c>
      <c r="I13" s="121">
        <f t="shared" si="2"/>
        <v>44561</v>
      </c>
    </row>
    <row r="14" spans="1:12" ht="15">
      <c r="A14" s="215" t="str">
        <f>HLOOKUP(INDICE!$F$2,Nombres!$C$3:$D$636,114,FALSE)</f>
        <v>Depósitos a la vista + Disponibles con preaviso</v>
      </c>
      <c r="B14" s="216">
        <v>42475.43110306356</v>
      </c>
      <c r="C14" s="216">
        <v>42684.66180788468</v>
      </c>
      <c r="D14" s="216">
        <v>44000.78198127178</v>
      </c>
      <c r="E14" s="216">
        <v>45430.86211898292</v>
      </c>
      <c r="F14" s="216">
        <v>46827.26534228672</v>
      </c>
      <c r="G14" s="216">
        <v>47528.32502034248</v>
      </c>
      <c r="H14" s="216">
        <v>48330.46862831893</v>
      </c>
      <c r="I14" s="216">
        <v>0</v>
      </c>
      <c r="J14" s="216"/>
      <c r="L14" s="215"/>
    </row>
    <row r="15" spans="1:12" ht="15">
      <c r="A15" s="215" t="str">
        <f>HLOOKUP(INDICE!$F$2,Nombres!$C$3:$D$636,115,FALSE)</f>
        <v>Depósitos a plazo</v>
      </c>
      <c r="B15" s="216">
        <v>10691.320251697314</v>
      </c>
      <c r="C15" s="216">
        <v>10751.810082798242</v>
      </c>
      <c r="D15" s="216">
        <v>10909.64859604062</v>
      </c>
      <c r="E15" s="216">
        <v>9725.710085967085</v>
      </c>
      <c r="F15" s="216">
        <v>9955.319772709623</v>
      </c>
      <c r="G15" s="216">
        <v>9357.879835497646</v>
      </c>
      <c r="H15" s="216">
        <v>9520.295456407472</v>
      </c>
      <c r="I15" s="216">
        <v>0</v>
      </c>
      <c r="J15" s="216"/>
      <c r="L15" s="215"/>
    </row>
    <row r="16" spans="1:12" ht="15">
      <c r="A16" s="215" t="str">
        <f>HLOOKUP(INDICE!$F$2,Nombres!$C$3:$D$636,116,FALSE)</f>
        <v>Recursos fuera de balance (*)</v>
      </c>
      <c r="B16" s="216">
        <v>22782.69227793606</v>
      </c>
      <c r="C16" s="216">
        <v>23305.192973421883</v>
      </c>
      <c r="D16" s="216">
        <v>23587.77050345017</v>
      </c>
      <c r="E16" s="216">
        <v>22874.829431288534</v>
      </c>
      <c r="F16" s="216">
        <v>23849.22355597098</v>
      </c>
      <c r="G16" s="216">
        <v>24268.936752158028</v>
      </c>
      <c r="H16" s="216">
        <v>24628.12516321644</v>
      </c>
      <c r="I16" s="216">
        <v>0</v>
      </c>
      <c r="J16" s="216"/>
      <c r="L16" s="215"/>
    </row>
    <row r="17" spans="1:12" ht="15">
      <c r="A17" s="217" t="str">
        <f>HLOOKUP(INDICE!$F$2,Nombres!$C$3:$D$636,208,FALSE)</f>
        <v> Recursos de clientes en gestión (**)</v>
      </c>
      <c r="B17" s="217">
        <v>75949.44363269693</v>
      </c>
      <c r="C17" s="217">
        <v>76741.66486410481</v>
      </c>
      <c r="D17" s="217">
        <v>78498.20108076258</v>
      </c>
      <c r="E17" s="217">
        <v>78031.40163623854</v>
      </c>
      <c r="F17" s="217">
        <v>80631.80867096734</v>
      </c>
      <c r="G17" s="217">
        <v>81155.14160799816</v>
      </c>
      <c r="H17" s="217">
        <v>82478.88924794285</v>
      </c>
      <c r="I17" s="217">
        <v>0</v>
      </c>
      <c r="J17" s="216"/>
      <c r="L17" s="217"/>
    </row>
    <row r="18" spans="1:12" ht="15.75">
      <c r="A18" s="215" t="str">
        <f>HLOOKUP(INDICE!$F$2,Nombres!$C$3:$D$636,118,FALSE)</f>
        <v>Vista+Plazo</v>
      </c>
      <c r="B18" s="221">
        <f>+B14+B15</f>
        <v>53166.75135476087</v>
      </c>
      <c r="C18" s="221">
        <f aca="true" t="shared" si="3" ref="C18:I18">+C14+C15</f>
        <v>53436.47189068292</v>
      </c>
      <c r="D18" s="221">
        <f t="shared" si="3"/>
        <v>54910.4305773124</v>
      </c>
      <c r="E18" s="221">
        <f t="shared" si="3"/>
        <v>55156.572204950004</v>
      </c>
      <c r="F18" s="221">
        <f t="shared" si="3"/>
        <v>56782.58511499634</v>
      </c>
      <c r="G18" s="261">
        <f t="shared" si="3"/>
        <v>56886.20485584013</v>
      </c>
      <c r="H18" s="261">
        <f t="shared" si="3"/>
        <v>57850.7640847264</v>
      </c>
      <c r="I18" s="261">
        <f t="shared" si="3"/>
        <v>0</v>
      </c>
      <c r="J18" s="217"/>
      <c r="L18" s="231"/>
    </row>
    <row r="19" spans="1:9" ht="15.75">
      <c r="A19" s="226" t="str">
        <f>HLOOKUP(INDICE!$F$2,Nombres!$C$3:$D$636,205,FALSE)</f>
        <v>Criterio Local Contable(***)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6" ht="15.75">
      <c r="A20" s="210"/>
      <c r="B20" s="221"/>
      <c r="C20" s="221"/>
      <c r="D20" s="221"/>
      <c r="E20" s="221"/>
      <c r="F20" s="221"/>
    </row>
    <row r="21" spans="1:12" ht="15.75" customHeight="1">
      <c r="A21" s="213"/>
      <c r="B21" s="313" t="str">
        <f>HLOOKUP(INDICE!$F$2,Nombres!$C$3:$D$636,12,FALSE)</f>
        <v>Turquía </v>
      </c>
      <c r="C21" s="313"/>
      <c r="D21" s="313"/>
      <c r="E21" s="313"/>
      <c r="F21" s="313"/>
      <c r="G21" s="313"/>
      <c r="H21" s="313"/>
      <c r="I21" s="313"/>
      <c r="L21" s="229"/>
    </row>
    <row r="22" spans="1:9" ht="15.75">
      <c r="A22" s="214"/>
      <c r="B22" s="121">
        <f>+B$4</f>
        <v>43921</v>
      </c>
      <c r="C22" s="121">
        <f aca="true" t="shared" si="5" ref="C22:I22">+C$4</f>
        <v>44012</v>
      </c>
      <c r="D22" s="121">
        <f t="shared" si="5"/>
        <v>44104</v>
      </c>
      <c r="E22" s="121">
        <f t="shared" si="5"/>
        <v>44196</v>
      </c>
      <c r="F22" s="121">
        <f t="shared" si="5"/>
        <v>44286</v>
      </c>
      <c r="G22" s="121">
        <f t="shared" si="5"/>
        <v>44377</v>
      </c>
      <c r="H22" s="121">
        <f t="shared" si="5"/>
        <v>44469</v>
      </c>
      <c r="I22" s="121">
        <f t="shared" si="5"/>
        <v>44561</v>
      </c>
    </row>
    <row r="23" spans="1:12" ht="15">
      <c r="A23" s="215" t="str">
        <f>HLOOKUP(INDICE!$F$2,Nombres!$C$3:$D$636,114,FALSE)</f>
        <v>Depósitos a la vista + Disponibles con preaviso</v>
      </c>
      <c r="B23" s="216">
        <v>12082.397154499044</v>
      </c>
      <c r="C23" s="216">
        <v>14654.598512603246</v>
      </c>
      <c r="D23" s="216">
        <v>17257.761164257467</v>
      </c>
      <c r="E23" s="216">
        <v>17765.28497463789</v>
      </c>
      <c r="F23" s="216">
        <v>17988.207307624387</v>
      </c>
      <c r="G23" s="216">
        <v>20175.372657838998</v>
      </c>
      <c r="H23" s="216">
        <v>20973.039999999997</v>
      </c>
      <c r="I23" s="216">
        <v>0</v>
      </c>
      <c r="L23" s="215"/>
    </row>
    <row r="24" spans="1:12" ht="15">
      <c r="A24" s="215" t="str">
        <f>HLOOKUP(INDICE!$F$2,Nombres!$C$3:$D$636,115,FALSE)</f>
        <v>Depósitos a plazo</v>
      </c>
      <c r="B24" s="216">
        <v>16643.30186916766</v>
      </c>
      <c r="C24" s="216">
        <v>15108.25400259486</v>
      </c>
      <c r="D24" s="216">
        <v>16428.33943850858</v>
      </c>
      <c r="E24" s="216">
        <v>17052.775435706564</v>
      </c>
      <c r="F24" s="216">
        <v>17978.98290700681</v>
      </c>
      <c r="G24" s="216">
        <v>19769.601341674483</v>
      </c>
      <c r="H24" s="216">
        <v>20306.523000000005</v>
      </c>
      <c r="I24" s="216">
        <v>0</v>
      </c>
      <c r="L24" s="215"/>
    </row>
    <row r="25" spans="1:12" ht="15">
      <c r="A25" s="215" t="str">
        <f>HLOOKUP(INDICE!$F$2,Nombres!$C$3:$D$636,116,FALSE)</f>
        <v>Recursos fuera de balance (*)</v>
      </c>
      <c r="B25" s="216">
        <v>2703.040926869867</v>
      </c>
      <c r="C25" s="216">
        <v>3139.3796234917054</v>
      </c>
      <c r="D25" s="216">
        <v>3031.507665371387</v>
      </c>
      <c r="E25" s="216">
        <v>3030.559497962408</v>
      </c>
      <c r="F25" s="216">
        <v>3462.6839853887604</v>
      </c>
      <c r="G25" s="216">
        <v>3944.1060928656507</v>
      </c>
      <c r="H25" s="216">
        <v>4564.867</v>
      </c>
      <c r="I25" s="216">
        <v>0</v>
      </c>
      <c r="L25" s="215"/>
    </row>
    <row r="26" spans="1:12" ht="15">
      <c r="A26" s="217" t="str">
        <f>HLOOKUP(INDICE!$F$2,Nombres!$C$3:$D$636,208,FALSE)</f>
        <v> Recursos de clientes en gestión (**)</v>
      </c>
      <c r="B26" s="217">
        <v>31428.739950536572</v>
      </c>
      <c r="C26" s="217">
        <v>32902.23213868982</v>
      </c>
      <c r="D26" s="217">
        <v>36717.60826813744</v>
      </c>
      <c r="E26" s="217">
        <v>37848.61990830687</v>
      </c>
      <c r="F26" s="217">
        <v>39429.87420001996</v>
      </c>
      <c r="G26" s="260">
        <v>43889.08009237914</v>
      </c>
      <c r="H26" s="260">
        <v>45844.42999999999</v>
      </c>
      <c r="I26" s="260">
        <v>0</v>
      </c>
      <c r="L26" s="215"/>
    </row>
    <row r="27" spans="1:12" ht="15.75">
      <c r="A27" s="215" t="str">
        <f>HLOOKUP(INDICE!$F$2,Nombres!$C$3:$D$636,118,FALSE)</f>
        <v>Vista+Plazo</v>
      </c>
      <c r="B27" s="221">
        <f>+B23+B24</f>
        <v>28725.699023666704</v>
      </c>
      <c r="C27" s="221">
        <f aca="true" t="shared" si="6" ref="C27:I27">+C23+C24</f>
        <v>29762.85251519811</v>
      </c>
      <c r="D27" s="221">
        <f t="shared" si="6"/>
        <v>33686.10060276605</v>
      </c>
      <c r="E27" s="221">
        <f t="shared" si="6"/>
        <v>34818.06041034445</v>
      </c>
      <c r="F27" s="221">
        <f>+F23+F24</f>
        <v>35967.1902146312</v>
      </c>
      <c r="G27" s="261">
        <f t="shared" si="6"/>
        <v>39944.97399951348</v>
      </c>
      <c r="H27" s="261">
        <f t="shared" si="6"/>
        <v>41279.563</v>
      </c>
      <c r="I27" s="261">
        <f t="shared" si="6"/>
        <v>0</v>
      </c>
      <c r="L27" s="217"/>
    </row>
    <row r="28" spans="1:9" ht="15.7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12" ht="15">
      <c r="A29" s="217"/>
      <c r="B29" s="217"/>
      <c r="C29" s="217"/>
      <c r="D29" s="217"/>
      <c r="E29" s="217"/>
      <c r="F29" s="217"/>
      <c r="G29" s="217"/>
      <c r="H29" s="217"/>
      <c r="I29" s="217"/>
      <c r="L29" s="229"/>
    </row>
    <row r="30" spans="1:12" ht="15.75" customHeight="1">
      <c r="A30" s="213"/>
      <c r="B30" s="313" t="str">
        <f>HLOOKUP(INDICE!$F$2,Nombres!$C$3:$D$636,296,FALSE)</f>
        <v>Turquia solo Banco</v>
      </c>
      <c r="C30" s="313"/>
      <c r="D30" s="313"/>
      <c r="E30" s="313"/>
      <c r="F30" s="313"/>
      <c r="G30" s="313"/>
      <c r="H30" s="313"/>
      <c r="I30" s="313"/>
      <c r="L30" s="229"/>
    </row>
    <row r="31" spans="1:9" ht="15.75">
      <c r="A31" s="214"/>
      <c r="B31" s="121">
        <f>+B$4</f>
        <v>43921</v>
      </c>
      <c r="C31" s="121">
        <f aca="true" t="shared" si="8" ref="C31:I31">+C$4</f>
        <v>44012</v>
      </c>
      <c r="D31" s="121">
        <f t="shared" si="8"/>
        <v>44104</v>
      </c>
      <c r="E31" s="121">
        <f t="shared" si="8"/>
        <v>44196</v>
      </c>
      <c r="F31" s="121">
        <f t="shared" si="8"/>
        <v>44286</v>
      </c>
      <c r="G31" s="121">
        <f t="shared" si="8"/>
        <v>44377</v>
      </c>
      <c r="H31" s="121">
        <f t="shared" si="8"/>
        <v>44469</v>
      </c>
      <c r="I31" s="121">
        <f t="shared" si="8"/>
        <v>44561</v>
      </c>
    </row>
    <row r="32" spans="1:12" ht="15">
      <c r="A32" s="215" t="str">
        <f>HLOOKUP(INDICE!$F$2,Nombres!$C$3:$D$636,289,FALSE)</f>
        <v>Depósitos Vista TL</v>
      </c>
      <c r="B32" s="216">
        <v>3197.025677515267</v>
      </c>
      <c r="C32" s="216">
        <v>4305.741265754843</v>
      </c>
      <c r="D32" s="216">
        <v>3911.475988785319</v>
      </c>
      <c r="E32" s="216">
        <v>3487.070412866453</v>
      </c>
      <c r="F32" s="216">
        <v>3839.0159619327874</v>
      </c>
      <c r="G32" s="216">
        <v>4282.662047716571</v>
      </c>
      <c r="H32" s="216">
        <v>4528.883506304074</v>
      </c>
      <c r="I32" s="216">
        <v>0</v>
      </c>
      <c r="L32" s="215"/>
    </row>
    <row r="33" spans="1:12" ht="15">
      <c r="A33" s="215" t="str">
        <f>HLOOKUP(INDICE!$F$2,Nombres!$C$3:$D$636,290,FALSE)</f>
        <v>Depósitos Plazo TL</v>
      </c>
      <c r="B33" s="216">
        <v>8287.514816247656</v>
      </c>
      <c r="C33" s="216">
        <v>8114.790490753632</v>
      </c>
      <c r="D33" s="216">
        <v>8641.60275724357</v>
      </c>
      <c r="E33" s="216">
        <v>10342.804926090248</v>
      </c>
      <c r="F33" s="216">
        <v>10153.12584001515</v>
      </c>
      <c r="G33" s="216">
        <v>11685.039532098153</v>
      </c>
      <c r="H33" s="216">
        <v>12023.409492920055</v>
      </c>
      <c r="I33" s="216">
        <v>0</v>
      </c>
      <c r="L33" s="215"/>
    </row>
    <row r="34" spans="1:12" ht="15">
      <c r="A34" s="217" t="str">
        <f>HLOOKUP(INDICE!$F$2,Nombres!$C$3:$D$636,291,FALSE)</f>
        <v>Total Depósitos TL</v>
      </c>
      <c r="B34" s="217">
        <v>11484.540493762925</v>
      </c>
      <c r="C34" s="217">
        <v>12420.531756508475</v>
      </c>
      <c r="D34" s="217">
        <v>12553.078746028888</v>
      </c>
      <c r="E34" s="217">
        <v>13829.875338956703</v>
      </c>
      <c r="F34" s="217">
        <v>13992.141801947935</v>
      </c>
      <c r="G34" s="217">
        <v>15967.701579814722</v>
      </c>
      <c r="H34" s="217">
        <v>16552.29299922413</v>
      </c>
      <c r="I34" s="217">
        <v>0</v>
      </c>
      <c r="L34" s="215"/>
    </row>
    <row r="35" spans="1:12" ht="15">
      <c r="A35" s="215" t="str">
        <f>HLOOKUP(INDICE!$F$2,Nombres!$C$3:$D$636,292,FALSE)</f>
        <v>Depósitos Vista FC</v>
      </c>
      <c r="B35" s="216">
        <v>7254.710499256825</v>
      </c>
      <c r="C35" s="216">
        <v>9390.732305007874</v>
      </c>
      <c r="D35" s="216">
        <v>11124.222566636141</v>
      </c>
      <c r="E35" s="216">
        <v>11758.112364457516</v>
      </c>
      <c r="F35" s="216">
        <v>10820.329354647656</v>
      </c>
      <c r="G35" s="216">
        <v>11166.222542629255</v>
      </c>
      <c r="H35" s="216">
        <v>11946.307889996526</v>
      </c>
      <c r="I35" s="216">
        <v>0</v>
      </c>
      <c r="L35" s="217"/>
    </row>
    <row r="36" spans="1:9" ht="15">
      <c r="A36" s="215" t="str">
        <f>HLOOKUP(INDICE!$F$2,Nombres!$C$3:$D$636,293,FALSE)</f>
        <v>Depósitos Plazo FC</v>
      </c>
      <c r="B36" s="216">
        <v>11956.173388155987</v>
      </c>
      <c r="C36" s="216">
        <v>9003.924767518787</v>
      </c>
      <c r="D36" s="216">
        <v>8879.263448008764</v>
      </c>
      <c r="E36" s="216">
        <v>9040.485225412345</v>
      </c>
      <c r="F36" s="216">
        <v>8637.707368956575</v>
      </c>
      <c r="G36" s="216">
        <v>8915.624422136281</v>
      </c>
      <c r="H36" s="216">
        <v>8445.5519264966</v>
      </c>
      <c r="I36" s="216">
        <v>0</v>
      </c>
    </row>
    <row r="37" spans="1:9" ht="15">
      <c r="A37" s="217" t="str">
        <f>HLOOKUP(INDICE!$F$2,Nombres!$C$3:$D$636,294,FALSE)</f>
        <v>Total Depósitos FC</v>
      </c>
      <c r="B37" s="217">
        <v>19210.883887412812</v>
      </c>
      <c r="C37" s="217">
        <v>18394.65707252666</v>
      </c>
      <c r="D37" s="217">
        <v>20003.486014644906</v>
      </c>
      <c r="E37" s="217">
        <v>20798.59758986986</v>
      </c>
      <c r="F37" s="217">
        <v>19458.036723604233</v>
      </c>
      <c r="G37" s="217">
        <v>20081.84696476554</v>
      </c>
      <c r="H37" s="217">
        <v>20391.859816493128</v>
      </c>
      <c r="I37" s="217">
        <v>0</v>
      </c>
    </row>
    <row r="38" spans="1:9" ht="15">
      <c r="A38" s="226" t="str">
        <f>HLOOKUP(INDICE!$F$2,Nombres!$C$3:$D$636,295,FALSE)</f>
        <v>(TL Lira Turca FC Moneda Extranjera)</v>
      </c>
      <c r="B38" s="217"/>
      <c r="C38" s="217"/>
      <c r="D38" s="217"/>
      <c r="E38" s="217"/>
      <c r="F38" s="217"/>
      <c r="G38" s="217"/>
      <c r="H38" s="217"/>
      <c r="I38" s="217"/>
    </row>
    <row r="39" spans="1:12" ht="15.75" customHeight="1">
      <c r="A39" s="217"/>
      <c r="B39" s="217"/>
      <c r="C39" s="217"/>
      <c r="D39" s="217"/>
      <c r="E39" s="217"/>
      <c r="F39" s="217"/>
      <c r="G39" s="217"/>
      <c r="H39" s="217"/>
      <c r="I39" s="217"/>
      <c r="L39" s="229"/>
    </row>
    <row r="40" spans="1:9" ht="15.75" customHeight="1">
      <c r="A40" s="213"/>
      <c r="B40" s="313" t="str">
        <f>HLOOKUP(INDICE!$F$2,Nombres!$C$3:$D$636,283,FALSE)</f>
        <v>América del Sur (***)</v>
      </c>
      <c r="C40" s="313"/>
      <c r="D40" s="313"/>
      <c r="E40" s="313"/>
      <c r="F40" s="313"/>
      <c r="G40" s="313"/>
      <c r="H40" s="313"/>
      <c r="I40" s="313"/>
    </row>
    <row r="41" spans="1:12" ht="15.75">
      <c r="A41" s="214"/>
      <c r="B41" s="121">
        <f>+B$4</f>
        <v>43921</v>
      </c>
      <c r="C41" s="121">
        <f aca="true" t="shared" si="9" ref="C41:I41">+C$4</f>
        <v>44012</v>
      </c>
      <c r="D41" s="121">
        <f t="shared" si="9"/>
        <v>44104</v>
      </c>
      <c r="E41" s="121">
        <f t="shared" si="9"/>
        <v>44196</v>
      </c>
      <c r="F41" s="121">
        <f t="shared" si="9"/>
        <v>44286</v>
      </c>
      <c r="G41" s="121">
        <f t="shared" si="9"/>
        <v>44377</v>
      </c>
      <c r="H41" s="121">
        <f t="shared" si="9"/>
        <v>44469</v>
      </c>
      <c r="I41" s="121">
        <f t="shared" si="9"/>
        <v>44561</v>
      </c>
      <c r="L41" s="215"/>
    </row>
    <row r="42" spans="1:12" ht="15">
      <c r="A42" s="215" t="s">
        <v>7</v>
      </c>
      <c r="B42" s="216">
        <v>3451.1429834367846</v>
      </c>
      <c r="C42" s="216">
        <v>4266.500526959694</v>
      </c>
      <c r="D42" s="216">
        <v>4368.548136795689</v>
      </c>
      <c r="E42" s="216">
        <v>5051.63338732932</v>
      </c>
      <c r="F42" s="216">
        <v>5691.649964844248</v>
      </c>
      <c r="G42" s="216">
        <v>6662.947882658875</v>
      </c>
      <c r="H42" s="216">
        <v>7188.95758888</v>
      </c>
      <c r="I42" s="216">
        <v>0</v>
      </c>
      <c r="L42" s="215"/>
    </row>
    <row r="43" spans="1:12" ht="15">
      <c r="A43" s="215" t="s">
        <v>8</v>
      </c>
      <c r="B43" s="216">
        <v>4.064662515182761</v>
      </c>
      <c r="C43" s="216">
        <v>3.490694248085711</v>
      </c>
      <c r="D43" s="216">
        <v>4.518806326212199</v>
      </c>
      <c r="E43" s="216">
        <v>4.644825891175704</v>
      </c>
      <c r="F43" s="216">
        <v>4.880218700693267</v>
      </c>
      <c r="G43" s="216">
        <v>6.7483411850290524</v>
      </c>
      <c r="H43" s="216">
        <v>6.382999999999999</v>
      </c>
      <c r="I43" s="216">
        <v>0</v>
      </c>
      <c r="L43" s="215"/>
    </row>
    <row r="44" spans="1:12" ht="15">
      <c r="A44" s="215" t="s">
        <v>9</v>
      </c>
      <c r="B44" s="216">
        <v>12742.029216338053</v>
      </c>
      <c r="C44" s="216">
        <v>13956.564127958336</v>
      </c>
      <c r="D44" s="216">
        <v>13146.14109047053</v>
      </c>
      <c r="E44" s="216">
        <v>12992.190468455461</v>
      </c>
      <c r="F44" s="216">
        <v>12710.390472061672</v>
      </c>
      <c r="G44" s="216">
        <v>13210.2986860404</v>
      </c>
      <c r="H44" s="216">
        <v>13219.335429869998</v>
      </c>
      <c r="I44" s="216">
        <v>0</v>
      </c>
      <c r="L44" s="215"/>
    </row>
    <row r="45" spans="1:12" ht="15">
      <c r="A45" s="215" t="s">
        <v>10</v>
      </c>
      <c r="B45" s="216">
        <v>13044.900156973688</v>
      </c>
      <c r="C45" s="216">
        <v>15098.16656602511</v>
      </c>
      <c r="D45" s="216">
        <v>15597.575114099847</v>
      </c>
      <c r="E45" s="216">
        <v>16733.899451762096</v>
      </c>
      <c r="F45" s="216">
        <v>16160.433932513888</v>
      </c>
      <c r="G45" s="216">
        <v>15589.708063329777</v>
      </c>
      <c r="H45" s="216">
        <v>15791.376769849998</v>
      </c>
      <c r="I45" s="216">
        <v>0</v>
      </c>
      <c r="L45" s="215"/>
    </row>
    <row r="46" spans="1:12" ht="15">
      <c r="A46" s="215" t="s">
        <v>11</v>
      </c>
      <c r="B46" s="216">
        <f aca="true" t="shared" si="10" ref="B46:I46">+B47-B45-B44-B43-B42</f>
        <v>11880.074223668567</v>
      </c>
      <c r="C46" s="216">
        <f t="shared" si="10"/>
        <v>12087.222269804344</v>
      </c>
      <c r="D46" s="216">
        <f t="shared" si="10"/>
        <v>12441.880202921748</v>
      </c>
      <c r="E46" s="216">
        <f t="shared" si="10"/>
        <v>12691.11584285197</v>
      </c>
      <c r="F46" s="216">
        <f t="shared" si="10"/>
        <v>13199.444240052435</v>
      </c>
      <c r="G46" s="216">
        <f t="shared" si="10"/>
        <v>13580.422096837607</v>
      </c>
      <c r="H46" s="216">
        <f t="shared" si="10"/>
        <v>13664.664930509989</v>
      </c>
      <c r="I46" s="216">
        <f t="shared" si="10"/>
        <v>0</v>
      </c>
      <c r="L46" s="217"/>
    </row>
    <row r="47" spans="1:9" ht="15">
      <c r="A47" s="217" t="str">
        <f>HLOOKUP(INDICE!$F$2,Nombres!$C$3:$D$636,208,FALSE)</f>
        <v> Recursos de clientes en gestión (**)</v>
      </c>
      <c r="B47" s="217">
        <v>41122.21124293227</v>
      </c>
      <c r="C47" s="217">
        <v>45411.94418499557</v>
      </c>
      <c r="D47" s="217">
        <v>45558.66335061403</v>
      </c>
      <c r="E47" s="217">
        <v>47473.48397629002</v>
      </c>
      <c r="F47" s="217">
        <v>47766.798828172934</v>
      </c>
      <c r="G47" s="217">
        <v>49050.12507005169</v>
      </c>
      <c r="H47" s="217">
        <v>49870.71771910999</v>
      </c>
      <c r="I47" s="217">
        <v>0</v>
      </c>
    </row>
    <row r="48" spans="1:9" ht="15.7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5">
      <c r="A51" s="228" t="str">
        <f>HLOOKUP(INDICE!$F$2,Nombres!$C$3:$D$636,206,FALSE)</f>
        <v>Incluye fondos de inversión, fondos de pensiones y otros recursos fuera de balance.(*)</v>
      </c>
    </row>
    <row r="52" ht="15">
      <c r="A52" s="228" t="str">
        <f>HLOOKUP(INDICE!$F$2,Nombres!$C$3:$D$636,207,FALSE)</f>
        <v>No incluye las cesiones temporales de activos.  (**)</v>
      </c>
    </row>
    <row r="53" ht="15">
      <c r="A53" s="228" t="str">
        <f>HLOOKUP(INDICE!$F$2,Nombres!$C$3:$D$636,284,FALSE)</f>
        <v>No incluye Paraguay (***)</v>
      </c>
    </row>
    <row r="1001" ht="15">
      <c r="A1001" s="209" t="s">
        <v>396</v>
      </c>
    </row>
  </sheetData>
  <sheetProtection/>
  <mergeCells count="5">
    <mergeCell ref="B3:I3"/>
    <mergeCell ref="B12:I12"/>
    <mergeCell ref="B21:I21"/>
    <mergeCell ref="B30:I30"/>
    <mergeCell ref="B40:I40"/>
  </mergeCells>
  <conditionalFormatting sqref="B10:I10">
    <cfRule type="cellIs" priority="4" dxfId="114" operator="notBetween">
      <formula>0.5</formula>
      <formula>-0.5</formula>
    </cfRule>
  </conditionalFormatting>
  <conditionalFormatting sqref="B19:I19">
    <cfRule type="cellIs" priority="3" dxfId="114" operator="notBetween">
      <formula>0.5</formula>
      <formula>-0.5</formula>
    </cfRule>
  </conditionalFormatting>
  <conditionalFormatting sqref="B28:I28">
    <cfRule type="cellIs" priority="2" dxfId="114" operator="notBetween">
      <formula>0.5</formula>
      <formula>-0.5</formula>
    </cfRule>
  </conditionalFormatting>
  <conditionalFormatting sqref="B48:I4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9" max="9" width="0" style="0" hidden="1" customWidth="1"/>
  </cols>
  <sheetData>
    <row r="1" spans="1:9" ht="18">
      <c r="A1" s="262" t="str">
        <f>HLOOKUP(INDICE!$F$2,Nombres!$C$3:$D$636,242,FALSE)</f>
        <v>Carteras Coap</v>
      </c>
      <c r="B1" s="207"/>
      <c r="C1" s="207"/>
      <c r="D1" s="207"/>
      <c r="E1" s="207"/>
      <c r="F1" s="207"/>
      <c r="G1" s="207"/>
      <c r="H1" s="207"/>
      <c r="I1" s="207"/>
    </row>
    <row r="2" spans="1:9" ht="15.75">
      <c r="A2" s="84" t="str">
        <f>HLOOKUP(INDICE!$F$2,Nombres!$C$3:$D$636,32,FALSE)</f>
        <v>(Millones de euros)</v>
      </c>
      <c r="B2" s="210"/>
      <c r="C2" s="210"/>
      <c r="D2" s="210"/>
      <c r="E2" s="210"/>
      <c r="F2" s="210"/>
      <c r="G2" s="209"/>
      <c r="H2" s="209"/>
      <c r="I2" s="209"/>
    </row>
    <row r="3" spans="1:9" ht="15.75">
      <c r="A3" s="212"/>
      <c r="B3" s="210"/>
      <c r="C3" s="210"/>
      <c r="D3" s="210"/>
      <c r="E3" s="210"/>
      <c r="F3" s="210"/>
      <c r="G3" s="209"/>
      <c r="H3" s="209"/>
      <c r="I3" s="209"/>
    </row>
    <row r="4" spans="1:9" ht="15.75" customHeight="1">
      <c r="A4" s="213"/>
      <c r="B4" s="314" t="str">
        <f>HLOOKUP(INDICE!$F$2,Nombres!$C$3:$D$636,239,FALSE)</f>
        <v>Total Cartera COAP</v>
      </c>
      <c r="C4" s="313"/>
      <c r="D4" s="313"/>
      <c r="E4" s="313"/>
      <c r="F4" s="313"/>
      <c r="G4" s="313"/>
      <c r="H4" s="313"/>
      <c r="I4" s="313"/>
    </row>
    <row r="5" spans="1:9" ht="15.7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row>
    <row r="6" spans="1:9" ht="15">
      <c r="A6" s="263" t="str">
        <f>HLOOKUP(INDICE!$F$2,Nombres!$C$3:$D$636,230,FALSE)</f>
        <v>Grupo BBVA</v>
      </c>
      <c r="B6" s="218">
        <v>41837.7</v>
      </c>
      <c r="C6" s="218">
        <v>42814.8</v>
      </c>
      <c r="D6" s="218">
        <v>44180.899999999994</v>
      </c>
      <c r="E6" s="218">
        <v>44639</v>
      </c>
      <c r="F6" s="218">
        <v>47683</v>
      </c>
      <c r="G6" s="218">
        <v>48674</v>
      </c>
      <c r="H6" s="218">
        <v>47667</v>
      </c>
      <c r="I6" s="218">
        <v>0</v>
      </c>
    </row>
    <row r="7" spans="1:9" ht="15">
      <c r="A7" s="264" t="str">
        <f>HLOOKUP(INDICE!$F$2,Nombres!$C$3:$D$636,231,FALSE)</f>
        <v>Balance Euro</v>
      </c>
      <c r="B7" s="216">
        <v>24184</v>
      </c>
      <c r="C7" s="216">
        <v>23957</v>
      </c>
      <c r="D7" s="216">
        <v>25212</v>
      </c>
      <c r="E7" s="216">
        <v>24686</v>
      </c>
      <c r="F7" s="216">
        <v>26943</v>
      </c>
      <c r="G7" s="216">
        <v>28156</v>
      </c>
      <c r="H7" s="216">
        <v>26923</v>
      </c>
      <c r="I7" s="216">
        <v>0</v>
      </c>
    </row>
    <row r="8" spans="1:9" ht="15">
      <c r="A8" s="265" t="str">
        <f>HLOOKUP(INDICE!$F$2,Nombres!$C$3:$D$636,232,FALSE)</f>
        <v>España</v>
      </c>
      <c r="B8" s="216">
        <v>15376</v>
      </c>
      <c r="C8" s="216">
        <v>15111</v>
      </c>
      <c r="D8" s="216">
        <v>15035</v>
      </c>
      <c r="E8" s="216">
        <v>14755</v>
      </c>
      <c r="F8" s="216">
        <v>14739</v>
      </c>
      <c r="G8" s="216">
        <v>14642</v>
      </c>
      <c r="H8" s="216">
        <v>14628</v>
      </c>
      <c r="I8" s="216">
        <v>0</v>
      </c>
    </row>
    <row r="9" spans="1:9" ht="15">
      <c r="A9" s="265" t="str">
        <f>HLOOKUP(INDICE!$F$2,Nombres!$C$3:$D$636,233,FALSE)</f>
        <v>Italia</v>
      </c>
      <c r="B9" s="216">
        <v>4803</v>
      </c>
      <c r="C9" s="216">
        <v>4797</v>
      </c>
      <c r="D9" s="216">
        <v>5852</v>
      </c>
      <c r="E9" s="216">
        <v>5842</v>
      </c>
      <c r="F9" s="216">
        <v>7054</v>
      </c>
      <c r="G9" s="216">
        <v>8704</v>
      </c>
      <c r="H9" s="216">
        <v>8691</v>
      </c>
      <c r="I9" s="216">
        <v>0</v>
      </c>
    </row>
    <row r="10" spans="1:9" ht="15">
      <c r="A10" s="266" t="str">
        <f>HLOOKUP(INDICE!$F$2,Nombres!$C$3:$D$636,234,FALSE)</f>
        <v>Resto</v>
      </c>
      <c r="B10" s="267">
        <v>4005</v>
      </c>
      <c r="C10" s="267">
        <v>4049</v>
      </c>
      <c r="D10" s="267">
        <v>4325</v>
      </c>
      <c r="E10" s="267">
        <v>4089</v>
      </c>
      <c r="F10" s="267">
        <v>5150</v>
      </c>
      <c r="G10" s="267">
        <v>4810</v>
      </c>
      <c r="H10" s="267">
        <v>3604</v>
      </c>
      <c r="I10" s="267">
        <v>0</v>
      </c>
    </row>
    <row r="11" spans="1:9" ht="15">
      <c r="A11" s="264" t="str">
        <f>HLOOKUP(INDICE!$F$2,Nombres!$C$3:$D$636,236,FALSE)</f>
        <v>Turquia</v>
      </c>
      <c r="B11" s="216">
        <v>7853</v>
      </c>
      <c r="C11" s="216">
        <v>7883</v>
      </c>
      <c r="D11" s="216">
        <v>7119</v>
      </c>
      <c r="E11" s="216">
        <v>7167</v>
      </c>
      <c r="F11" s="216">
        <v>6718</v>
      </c>
      <c r="G11" s="216">
        <v>6602</v>
      </c>
      <c r="H11" s="216">
        <v>6982</v>
      </c>
      <c r="I11" s="216">
        <v>0</v>
      </c>
    </row>
    <row r="12" spans="1:9" ht="15">
      <c r="A12" s="264" t="str">
        <f>HLOOKUP(INDICE!$F$2,Nombres!$C$3:$D$636,237,FALSE)</f>
        <v>Mexico</v>
      </c>
      <c r="B12" s="216">
        <v>6575.7</v>
      </c>
      <c r="C12" s="216">
        <v>7140.8</v>
      </c>
      <c r="D12" s="216">
        <v>7945.9</v>
      </c>
      <c r="E12" s="216">
        <v>8988</v>
      </c>
      <c r="F12" s="216">
        <v>10038</v>
      </c>
      <c r="G12" s="216">
        <v>9848</v>
      </c>
      <c r="H12" s="216">
        <v>9767</v>
      </c>
      <c r="I12" s="216">
        <v>0</v>
      </c>
    </row>
    <row r="13" spans="1:9" ht="15">
      <c r="A13" s="264" t="str">
        <f>HLOOKUP(INDICE!$F$2,Nombres!$C$3:$D$636,238,FALSE)</f>
        <v>Amércia del Sur</v>
      </c>
      <c r="B13" s="216">
        <v>3225</v>
      </c>
      <c r="C13" s="216">
        <v>3834</v>
      </c>
      <c r="D13" s="216">
        <v>3904</v>
      </c>
      <c r="E13" s="216">
        <v>3797</v>
      </c>
      <c r="F13" s="216">
        <v>3984</v>
      </c>
      <c r="G13" s="216">
        <v>4068</v>
      </c>
      <c r="H13" s="216">
        <v>3995</v>
      </c>
      <c r="I13" s="216">
        <v>0</v>
      </c>
    </row>
    <row r="14" spans="1:9" ht="15">
      <c r="A14" s="304"/>
      <c r="B14" s="268">
        <f aca="true" t="shared" si="0" ref="B14:G14">+B6-B8-B9-B10-B11-B12-B13</f>
        <v>0</v>
      </c>
      <c r="C14" s="268">
        <f t="shared" si="0"/>
        <v>0</v>
      </c>
      <c r="D14" s="268">
        <f t="shared" si="0"/>
        <v>-5.4569682106375694E-12</v>
      </c>
      <c r="E14" s="268">
        <f t="shared" si="0"/>
        <v>1</v>
      </c>
      <c r="F14" s="268">
        <f t="shared" si="0"/>
        <v>0</v>
      </c>
      <c r="G14" s="268">
        <f t="shared" si="0"/>
        <v>0</v>
      </c>
      <c r="H14" s="268">
        <f>+H6-H8-H9-H10-H11-H12-H13</f>
        <v>0</v>
      </c>
      <c r="I14" s="268" t="e">
        <f>+I6-I8-I9-I10-#REF!-I11-I12-I13</f>
        <v>#REF!</v>
      </c>
    </row>
    <row r="15" spans="1:9" ht="15">
      <c r="A15" s="304"/>
      <c r="B15" s="268"/>
      <c r="C15" s="268"/>
      <c r="D15" s="268"/>
      <c r="E15" s="268"/>
      <c r="F15" s="268"/>
      <c r="G15" s="268"/>
      <c r="H15" s="268"/>
      <c r="I15" s="268"/>
    </row>
    <row r="16" spans="1:9" ht="15">
      <c r="A16" s="304"/>
      <c r="B16" s="268"/>
      <c r="C16" s="268"/>
      <c r="D16" s="268"/>
      <c r="E16" s="268"/>
      <c r="F16" s="268"/>
      <c r="G16" s="268"/>
      <c r="H16" s="268"/>
      <c r="I16" s="268"/>
    </row>
    <row r="17" spans="1:9" ht="15.75" customHeight="1">
      <c r="A17" s="213"/>
      <c r="B17" s="314" t="str">
        <f>HLOOKUP(INDICE!$F$2,Nombres!$C$3:$D$636,240,FALSE)</f>
        <v>Cartera COAP a Coste Amortizado</v>
      </c>
      <c r="C17" s="313"/>
      <c r="D17" s="313"/>
      <c r="E17" s="313"/>
      <c r="F17" s="313"/>
      <c r="G17" s="313"/>
      <c r="H17" s="313"/>
      <c r="I17" s="313"/>
    </row>
    <row r="18" spans="1:9" ht="15.75" customHeight="1">
      <c r="A18" s="214"/>
      <c r="B18" s="121">
        <f aca="true" t="shared" si="1" ref="B18:I18">+B$5</f>
        <v>43921</v>
      </c>
      <c r="C18" s="121">
        <f t="shared" si="1"/>
        <v>44012</v>
      </c>
      <c r="D18" s="121">
        <f t="shared" si="1"/>
        <v>44104</v>
      </c>
      <c r="E18" s="121">
        <f t="shared" si="1"/>
        <v>44196</v>
      </c>
      <c r="F18" s="121">
        <f t="shared" si="1"/>
        <v>44286</v>
      </c>
      <c r="G18" s="121">
        <f t="shared" si="1"/>
        <v>44377</v>
      </c>
      <c r="H18" s="121">
        <f t="shared" si="1"/>
        <v>44469</v>
      </c>
      <c r="I18" s="121">
        <f t="shared" si="1"/>
        <v>44561</v>
      </c>
    </row>
    <row r="19" spans="1:9" ht="15">
      <c r="A19" s="263" t="str">
        <f>HLOOKUP(INDICE!$F$2,Nombres!$C$3:$D$636,230,FALSE)</f>
        <v>Grupo BBVA</v>
      </c>
      <c r="B19" s="218">
        <v>21002.7</v>
      </c>
      <c r="C19" s="218">
        <v>21704.8</v>
      </c>
      <c r="D19" s="218">
        <v>21189.219999999998</v>
      </c>
      <c r="E19" s="218">
        <v>21274</v>
      </c>
      <c r="F19" s="218">
        <v>21224</v>
      </c>
      <c r="G19" s="218">
        <v>20435</v>
      </c>
      <c r="H19" s="218">
        <v>20458</v>
      </c>
      <c r="I19" s="218">
        <v>0</v>
      </c>
    </row>
    <row r="20" spans="1:9" ht="15">
      <c r="A20" s="264" t="str">
        <f>HLOOKUP(INDICE!$F$2,Nombres!$C$3:$D$636,231,FALSE)</f>
        <v>Balance Euro</v>
      </c>
      <c r="B20" s="216">
        <v>15456</v>
      </c>
      <c r="C20" s="216">
        <v>15175</v>
      </c>
      <c r="D20" s="216">
        <v>15063</v>
      </c>
      <c r="E20" s="216">
        <v>15011</v>
      </c>
      <c r="F20" s="216">
        <v>14990</v>
      </c>
      <c r="G20" s="216">
        <v>14956</v>
      </c>
      <c r="H20" s="216">
        <v>14937</v>
      </c>
      <c r="I20" s="216">
        <v>0</v>
      </c>
    </row>
    <row r="21" spans="1:9" ht="15">
      <c r="A21" s="265" t="str">
        <f>HLOOKUP(INDICE!$F$2,Nombres!$C$3:$D$636,232,FALSE)</f>
        <v>España</v>
      </c>
      <c r="B21" s="216">
        <v>11607</v>
      </c>
      <c r="C21" s="216">
        <v>11345</v>
      </c>
      <c r="D21" s="216">
        <v>11270</v>
      </c>
      <c r="E21" s="216">
        <v>11236</v>
      </c>
      <c r="F21" s="216">
        <v>11223</v>
      </c>
      <c r="G21" s="216">
        <v>11199</v>
      </c>
      <c r="H21" s="216">
        <v>11187</v>
      </c>
      <c r="I21" s="216">
        <v>0</v>
      </c>
    </row>
    <row r="22" spans="1:9" ht="15">
      <c r="A22" s="265" t="str">
        <f>HLOOKUP(INDICE!$F$2,Nombres!$C$3:$D$636,233,FALSE)</f>
        <v>Italia</v>
      </c>
      <c r="B22" s="216">
        <v>3710</v>
      </c>
      <c r="C22" s="216">
        <v>3705</v>
      </c>
      <c r="D22" s="216">
        <v>3697</v>
      </c>
      <c r="E22" s="216">
        <v>3686</v>
      </c>
      <c r="F22" s="216">
        <v>3681</v>
      </c>
      <c r="G22" s="216">
        <v>3676</v>
      </c>
      <c r="H22" s="216">
        <v>3671</v>
      </c>
      <c r="I22" s="216">
        <v>0</v>
      </c>
    </row>
    <row r="23" spans="1:9" ht="15">
      <c r="A23" s="266" t="str">
        <f>HLOOKUP(INDICE!$F$2,Nombres!$C$3:$D$636,234,FALSE)</f>
        <v>Resto</v>
      </c>
      <c r="B23" s="216">
        <v>139</v>
      </c>
      <c r="C23" s="216">
        <v>125</v>
      </c>
      <c r="D23" s="216">
        <v>96</v>
      </c>
      <c r="E23" s="216">
        <v>89</v>
      </c>
      <c r="F23" s="216">
        <v>86</v>
      </c>
      <c r="G23" s="216">
        <v>81</v>
      </c>
      <c r="H23" s="216">
        <v>79</v>
      </c>
      <c r="I23" s="216">
        <v>0</v>
      </c>
    </row>
    <row r="24" spans="1:9" ht="15">
      <c r="A24" s="264" t="str">
        <f>HLOOKUP(INDICE!$F$2,Nombres!$C$3:$D$636,236,FALSE)</f>
        <v>Turquia</v>
      </c>
      <c r="B24" s="216">
        <v>4485</v>
      </c>
      <c r="C24" s="216">
        <v>4192</v>
      </c>
      <c r="D24" s="216">
        <v>3786</v>
      </c>
      <c r="E24" s="216">
        <v>3790</v>
      </c>
      <c r="F24" s="216">
        <v>3639</v>
      </c>
      <c r="G24" s="216">
        <v>3326</v>
      </c>
      <c r="H24" s="216">
        <v>3363</v>
      </c>
      <c r="I24" s="216">
        <v>0</v>
      </c>
    </row>
    <row r="25" spans="1:9" ht="15">
      <c r="A25" s="264" t="str">
        <f>HLOOKUP(INDICE!$F$2,Nombres!$C$3:$D$636,237,FALSE)</f>
        <v>Mexico</v>
      </c>
      <c r="B25" s="216">
        <v>1004.7</v>
      </c>
      <c r="C25" s="216">
        <v>2280.8</v>
      </c>
      <c r="D25" s="216">
        <v>2260.1</v>
      </c>
      <c r="E25" s="216">
        <v>2424</v>
      </c>
      <c r="F25" s="216">
        <v>2461</v>
      </c>
      <c r="G25" s="216">
        <v>2001</v>
      </c>
      <c r="H25" s="216">
        <v>1987</v>
      </c>
      <c r="I25" s="216">
        <v>0</v>
      </c>
    </row>
    <row r="26" spans="1:9" ht="15">
      <c r="A26" s="264" t="str">
        <f>HLOOKUP(INDICE!$F$2,Nombres!$C$3:$D$636,238,FALSE)</f>
        <v>Amércia del Sur</v>
      </c>
      <c r="B26" s="216">
        <v>57</v>
      </c>
      <c r="C26" s="216">
        <v>57</v>
      </c>
      <c r="D26" s="216">
        <v>80.12</v>
      </c>
      <c r="E26" s="216">
        <v>49</v>
      </c>
      <c r="F26" s="216">
        <v>134</v>
      </c>
      <c r="G26" s="216">
        <v>152</v>
      </c>
      <c r="H26" s="216">
        <v>171</v>
      </c>
      <c r="I26" s="216">
        <v>0</v>
      </c>
    </row>
    <row r="27" spans="1:9" ht="15">
      <c r="A27" s="304"/>
      <c r="B27" s="268">
        <f aca="true" t="shared" si="2" ref="B27:G27">+B19-B21-B22-B23-B24-B25-B26</f>
        <v>6.821210263296962E-13</v>
      </c>
      <c r="C27" s="268">
        <f t="shared" si="2"/>
        <v>-9.094947017729282E-13</v>
      </c>
      <c r="D27" s="268">
        <f t="shared" si="2"/>
        <v>-2.3874235921539366E-12</v>
      </c>
      <c r="E27" s="268">
        <f t="shared" si="2"/>
        <v>0</v>
      </c>
      <c r="F27" s="268">
        <f t="shared" si="2"/>
        <v>0</v>
      </c>
      <c r="G27" s="268">
        <f t="shared" si="2"/>
        <v>0</v>
      </c>
      <c r="H27" s="268">
        <f>+H19-H21-H22-H23-H24-H25-H26</f>
        <v>0</v>
      </c>
      <c r="I27" s="268" t="e">
        <f>+I19-I21-I22-I23-#REF!-I24-I25-I26</f>
        <v>#REF!</v>
      </c>
    </row>
    <row r="28" spans="1:9" ht="15.75">
      <c r="A28" s="304"/>
      <c r="B28" s="209"/>
      <c r="C28" s="209"/>
      <c r="D28" s="209"/>
      <c r="E28" s="209"/>
      <c r="F28" s="221"/>
      <c r="G28" s="221"/>
      <c r="H28" s="221"/>
      <c r="I28" s="221"/>
    </row>
    <row r="29" spans="1:9" ht="15.75">
      <c r="A29" s="210"/>
      <c r="B29" s="221"/>
      <c r="C29" s="221"/>
      <c r="D29" s="221"/>
      <c r="E29" s="221"/>
      <c r="F29" s="221"/>
      <c r="G29" s="209"/>
      <c r="H29" s="209"/>
      <c r="I29" s="209"/>
    </row>
    <row r="30" spans="1:9" ht="15.75" customHeight="1">
      <c r="A30" s="213"/>
      <c r="B30" s="314" t="str">
        <f>HLOOKUP(INDICE!$F$2,Nombres!$C$3:$D$636,241,FALSE)</f>
        <v>Cartera COAP a Valor Razonable</v>
      </c>
      <c r="C30" s="313"/>
      <c r="D30" s="313"/>
      <c r="E30" s="313"/>
      <c r="F30" s="313"/>
      <c r="G30" s="313"/>
      <c r="H30" s="313"/>
      <c r="I30" s="313"/>
    </row>
    <row r="31" spans="1:9" ht="15.75">
      <c r="A31" s="214"/>
      <c r="B31" s="121">
        <f aca="true" t="shared" si="3" ref="B31:I31">+B$5</f>
        <v>43921</v>
      </c>
      <c r="C31" s="121">
        <f t="shared" si="3"/>
        <v>44012</v>
      </c>
      <c r="D31" s="121">
        <f t="shared" si="3"/>
        <v>44104</v>
      </c>
      <c r="E31" s="121">
        <f t="shared" si="3"/>
        <v>44196</v>
      </c>
      <c r="F31" s="121">
        <f t="shared" si="3"/>
        <v>44286</v>
      </c>
      <c r="G31" s="121">
        <f t="shared" si="3"/>
        <v>44377</v>
      </c>
      <c r="H31" s="121">
        <f t="shared" si="3"/>
        <v>44469</v>
      </c>
      <c r="I31" s="121">
        <f t="shared" si="3"/>
        <v>44561</v>
      </c>
    </row>
    <row r="32" spans="1:9" ht="15.75" customHeight="1">
      <c r="A32" s="263" t="str">
        <f>HLOOKUP(INDICE!$F$2,Nombres!$C$3:$D$636,230,FALSE)</f>
        <v>Grupo BBVA</v>
      </c>
      <c r="B32" s="218">
        <v>20835</v>
      </c>
      <c r="C32" s="218">
        <v>21110</v>
      </c>
      <c r="D32" s="218">
        <v>22991.68</v>
      </c>
      <c r="E32" s="218">
        <v>23365</v>
      </c>
      <c r="F32" s="218">
        <v>26459</v>
      </c>
      <c r="G32" s="218">
        <v>28239</v>
      </c>
      <c r="H32" s="218">
        <v>27209</v>
      </c>
      <c r="I32" s="218">
        <v>0</v>
      </c>
    </row>
    <row r="33" spans="1:9" ht="15">
      <c r="A33" s="215" t="str">
        <f>HLOOKUP(INDICE!$F$2,Nombres!$C$3:$D$636,231,FALSE)</f>
        <v>Balance Euro</v>
      </c>
      <c r="B33" s="216">
        <v>8728</v>
      </c>
      <c r="C33" s="216">
        <v>8782</v>
      </c>
      <c r="D33" s="216">
        <v>10149</v>
      </c>
      <c r="E33" s="216">
        <v>9675</v>
      </c>
      <c r="F33" s="216">
        <v>11953</v>
      </c>
      <c r="G33" s="216">
        <v>13200</v>
      </c>
      <c r="H33" s="216">
        <v>11986</v>
      </c>
      <c r="I33" s="216">
        <v>0</v>
      </c>
    </row>
    <row r="34" spans="1:9" ht="15">
      <c r="A34" s="266" t="str">
        <f>HLOOKUP(INDICE!$F$2,Nombres!$C$3:$D$636,232,FALSE)</f>
        <v>España</v>
      </c>
      <c r="B34" s="216">
        <v>3769</v>
      </c>
      <c r="C34" s="216">
        <v>3766</v>
      </c>
      <c r="D34" s="216">
        <v>3765</v>
      </c>
      <c r="E34" s="216">
        <v>3519</v>
      </c>
      <c r="F34" s="216">
        <v>3516</v>
      </c>
      <c r="G34" s="216">
        <v>3443</v>
      </c>
      <c r="H34" s="216">
        <v>3441</v>
      </c>
      <c r="I34" s="216">
        <v>0</v>
      </c>
    </row>
    <row r="35" spans="1:9" ht="15">
      <c r="A35" s="266" t="str">
        <f>HLOOKUP(INDICE!$F$2,Nombres!$C$3:$D$636,233,FALSE)</f>
        <v>Italia</v>
      </c>
      <c r="B35" s="216">
        <v>1093</v>
      </c>
      <c r="C35" s="216">
        <v>1092</v>
      </c>
      <c r="D35" s="216">
        <v>2155</v>
      </c>
      <c r="E35" s="216">
        <v>2156</v>
      </c>
      <c r="F35" s="216">
        <v>3373</v>
      </c>
      <c r="G35" s="216">
        <v>5028</v>
      </c>
      <c r="H35" s="216">
        <v>5020</v>
      </c>
      <c r="I35" s="216">
        <v>0</v>
      </c>
    </row>
    <row r="36" spans="1:9" ht="15">
      <c r="A36" s="266" t="str">
        <f>HLOOKUP(INDICE!$F$2,Nombres!$C$3:$D$636,234,FALSE)</f>
        <v>Resto</v>
      </c>
      <c r="B36" s="216">
        <v>3866</v>
      </c>
      <c r="C36" s="216">
        <v>3924</v>
      </c>
      <c r="D36" s="216">
        <v>4229</v>
      </c>
      <c r="E36" s="216">
        <v>4000</v>
      </c>
      <c r="F36" s="216">
        <v>5064</v>
      </c>
      <c r="G36" s="216">
        <v>4729</v>
      </c>
      <c r="H36" s="216">
        <v>3525</v>
      </c>
      <c r="I36" s="216">
        <v>0</v>
      </c>
    </row>
    <row r="37" spans="1:9" ht="15">
      <c r="A37" s="215" t="str">
        <f>HLOOKUP(INDICE!$F$2,Nombres!$C$3:$D$636,236,FALSE)</f>
        <v>Turquia</v>
      </c>
      <c r="B37" s="216">
        <v>3368</v>
      </c>
      <c r="C37" s="216">
        <v>3691</v>
      </c>
      <c r="D37" s="216">
        <v>3333</v>
      </c>
      <c r="E37" s="216">
        <v>3377</v>
      </c>
      <c r="F37" s="216">
        <v>3079</v>
      </c>
      <c r="G37" s="216">
        <v>3276</v>
      </c>
      <c r="H37" s="216">
        <v>3619</v>
      </c>
      <c r="I37" s="216">
        <v>0</v>
      </c>
    </row>
    <row r="38" spans="1:9" ht="15">
      <c r="A38" s="215" t="str">
        <f>HLOOKUP(INDICE!$F$2,Nombres!$C$3:$D$636,237,FALSE)</f>
        <v>Mexico</v>
      </c>
      <c r="B38" s="216">
        <v>5571</v>
      </c>
      <c r="C38" s="216">
        <v>4860</v>
      </c>
      <c r="D38" s="216">
        <v>5685.8</v>
      </c>
      <c r="E38" s="216">
        <v>6565</v>
      </c>
      <c r="F38" s="216">
        <v>7577</v>
      </c>
      <c r="G38" s="216">
        <v>7847</v>
      </c>
      <c r="H38" s="216">
        <v>7780</v>
      </c>
      <c r="I38" s="216">
        <v>0</v>
      </c>
    </row>
    <row r="39" spans="1:9" ht="15">
      <c r="A39" s="215" t="str">
        <f>HLOOKUP(INDICE!$F$2,Nombres!$C$3:$D$636,238,FALSE)</f>
        <v>Amércia del Sur</v>
      </c>
      <c r="B39" s="216">
        <v>3168</v>
      </c>
      <c r="C39" s="216">
        <v>3777</v>
      </c>
      <c r="D39" s="216">
        <v>3823.88</v>
      </c>
      <c r="E39" s="216">
        <v>3748</v>
      </c>
      <c r="F39" s="216">
        <v>3850</v>
      </c>
      <c r="G39" s="216">
        <v>3916</v>
      </c>
      <c r="H39" s="216">
        <v>3824</v>
      </c>
      <c r="I39" s="216">
        <v>0</v>
      </c>
    </row>
    <row r="40" spans="2:9" ht="15">
      <c r="B40" s="268">
        <f aca="true" t="shared" si="4" ref="B40:G40">+B32-B34-B35-B36-B37-B38-B39</f>
        <v>0</v>
      </c>
      <c r="C40" s="268">
        <f t="shared" si="4"/>
        <v>0</v>
      </c>
      <c r="D40" s="268">
        <f t="shared" si="4"/>
        <v>0</v>
      </c>
      <c r="E40" s="268">
        <f t="shared" si="4"/>
        <v>0</v>
      </c>
      <c r="F40" s="268">
        <f t="shared" si="4"/>
        <v>0</v>
      </c>
      <c r="G40" s="268">
        <f t="shared" si="4"/>
        <v>0</v>
      </c>
      <c r="H40" s="268">
        <f>+H32-H34-H35-H36-H37-H38-H39</f>
        <v>0</v>
      </c>
      <c r="I40" s="268" t="e">
        <f>+I32-I34-I35-I36-#REF!-I37-I38-I39</f>
        <v>#REF!</v>
      </c>
    </row>
    <row r="997" ht="15">
      <c r="A997" s="209" t="s">
        <v>396</v>
      </c>
    </row>
  </sheetData>
  <sheetProtection/>
  <mergeCells count="3">
    <mergeCell ref="B4:I4"/>
    <mergeCell ref="B17:I17"/>
    <mergeCell ref="B30:I30"/>
  </mergeCells>
  <conditionalFormatting sqref="B14:I16">
    <cfRule type="cellIs" priority="3" dxfId="114" operator="notBetween">
      <formula>1</formula>
      <formula>-1</formula>
    </cfRule>
  </conditionalFormatting>
  <conditionalFormatting sqref="B27:I27">
    <cfRule type="cellIs" priority="2" dxfId="114" operator="notBetween">
      <formula>1</formula>
      <formula>-1</formula>
    </cfRule>
  </conditionalFormatting>
  <conditionalFormatting sqref="B40:I40">
    <cfRule type="cellIs" priority="1" dxfId="114"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5"/>
  <sheetViews>
    <sheetView showGridLines="0" zoomScale="80" zoomScaleNormal="80" zoomScalePageLayoutView="0" workbookViewId="0" topLeftCell="A1">
      <selection activeCell="A48" sqref="A48"/>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9" width="11.57421875" style="31" hidden="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8">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4023.66399998</v>
      </c>
      <c r="C8" s="41">
        <v>3537.4339999099993</v>
      </c>
      <c r="D8" s="41">
        <v>3553.41700013</v>
      </c>
      <c r="E8" s="42">
        <v>3477.4859999200007</v>
      </c>
      <c r="F8" s="41">
        <v>3450.875000010001</v>
      </c>
      <c r="G8" s="50">
        <v>3504.29200002</v>
      </c>
      <c r="H8" s="50">
        <v>3752.5249999300004</v>
      </c>
      <c r="I8" s="50">
        <v>0</v>
      </c>
    </row>
    <row r="9" spans="1:9" ht="15">
      <c r="A9" s="43" t="str">
        <f>HLOOKUP(INDICE!$F$2,Nombres!$C$3:$D$636,34,FALSE)</f>
        <v>Comisiones netas</v>
      </c>
      <c r="B9" s="44">
        <v>1123.96199997</v>
      </c>
      <c r="C9" s="44">
        <v>934.0999999600001</v>
      </c>
      <c r="D9" s="44">
        <v>1022.9079999600001</v>
      </c>
      <c r="E9" s="45">
        <v>1041.66200013</v>
      </c>
      <c r="F9" s="44">
        <v>1132.9649999700002</v>
      </c>
      <c r="G9" s="44">
        <v>1181.8150001200001</v>
      </c>
      <c r="H9" s="44">
        <v>1203.1469999000003</v>
      </c>
      <c r="I9" s="44">
        <v>0</v>
      </c>
    </row>
    <row r="10" spans="1:9" ht="15">
      <c r="A10" s="43" t="str">
        <f>HLOOKUP(INDICE!$F$2,Nombres!$C$3:$D$636,35,FALSE)</f>
        <v>Resultados de operaciones financieras</v>
      </c>
      <c r="B10" s="44">
        <v>544.4839999500001</v>
      </c>
      <c r="C10" s="44">
        <v>469.67300002999997</v>
      </c>
      <c r="D10" s="44">
        <v>357.36699997000005</v>
      </c>
      <c r="E10" s="45">
        <v>174.97100007</v>
      </c>
      <c r="F10" s="44">
        <v>581.4600000199999</v>
      </c>
      <c r="G10" s="44">
        <v>502.65600000000006</v>
      </c>
      <c r="H10" s="44">
        <v>387.42199996</v>
      </c>
      <c r="I10" s="44">
        <v>0</v>
      </c>
    </row>
    <row r="11" spans="1:9" ht="15">
      <c r="A11" s="43" t="str">
        <f>HLOOKUP(INDICE!$F$2,Nombres!$C$3:$D$636,96,FALSE)</f>
        <v>Ingresos por dividendos</v>
      </c>
      <c r="B11" s="44">
        <v>4.770999999999939</v>
      </c>
      <c r="C11" s="44">
        <v>69.5230000000001</v>
      </c>
      <c r="D11" s="44">
        <v>4.285000009999948</v>
      </c>
      <c r="E11" s="45">
        <v>58.752999980000084</v>
      </c>
      <c r="F11" s="44">
        <v>5.848999999999975</v>
      </c>
      <c r="G11" s="44">
        <v>119.47300000000004</v>
      </c>
      <c r="H11" s="44">
        <v>4.162999999999932</v>
      </c>
      <c r="I11" s="44">
        <v>0</v>
      </c>
    </row>
    <row r="12" spans="1:9" ht="15">
      <c r="A12" s="43" t="str">
        <f>HLOOKUP(INDICE!$F$2,Nombres!$C$3:$D$636,97,FALSE)</f>
        <v>Part. gananc/pdas inversiones en dependientes, neg conjunt y asoc</v>
      </c>
      <c r="B12" s="44">
        <v>-7.762000000000002</v>
      </c>
      <c r="C12" s="44">
        <v>-9.286999999999997</v>
      </c>
      <c r="D12" s="44">
        <v>-9.142000000000001</v>
      </c>
      <c r="E12" s="45">
        <v>-12.913999999999998</v>
      </c>
      <c r="F12" s="44">
        <v>-5.805</v>
      </c>
      <c r="G12" s="44">
        <v>0.3799999999999988</v>
      </c>
      <c r="H12" s="44">
        <v>3.6560000000000024</v>
      </c>
      <c r="I12" s="44">
        <v>0</v>
      </c>
    </row>
    <row r="13" spans="1:9" ht="15">
      <c r="A13" s="43" t="str">
        <f>HLOOKUP(INDICE!$F$2,Nombres!$C$3:$D$636,98,FALSE)</f>
        <v>Otros productos/cargas de explotación</v>
      </c>
      <c r="B13" s="44">
        <v>88.77599998999997</v>
      </c>
      <c r="C13" s="44">
        <v>-139.8560000099998</v>
      </c>
      <c r="D13" s="44">
        <v>51.26300000999987</v>
      </c>
      <c r="E13" s="45">
        <v>-193.31599998999985</v>
      </c>
      <c r="F13" s="44">
        <v>-10.609000030000013</v>
      </c>
      <c r="G13" s="44">
        <v>-204.64499997999982</v>
      </c>
      <c r="H13" s="44">
        <v>-20.443999970000064</v>
      </c>
      <c r="I13" s="44">
        <v>0</v>
      </c>
    </row>
    <row r="14" spans="1:9" ht="15">
      <c r="A14" s="41" t="str">
        <f>HLOOKUP(INDICE!$F$2,Nombres!$C$3:$D$636,37,FALSE)</f>
        <v>Margen bruto</v>
      </c>
      <c r="B14" s="41">
        <f>+SUM(B8:B13)</f>
        <v>5777.89499989</v>
      </c>
      <c r="C14" s="41">
        <f aca="true" t="shared" si="0" ref="C14:I14">+SUM(C8:C13)</f>
        <v>4861.58699989</v>
      </c>
      <c r="D14" s="41">
        <f t="shared" si="0"/>
        <v>4980.09800008</v>
      </c>
      <c r="E14" s="42">
        <f t="shared" si="0"/>
        <v>4546.6420001100005</v>
      </c>
      <c r="F14" s="41">
        <f t="shared" si="0"/>
        <v>5154.734999970001</v>
      </c>
      <c r="G14" s="50">
        <f t="shared" si="0"/>
        <v>5103.971000160001</v>
      </c>
      <c r="H14" s="50">
        <f t="shared" si="0"/>
        <v>5330.46899982</v>
      </c>
      <c r="I14" s="50">
        <f t="shared" si="0"/>
        <v>0</v>
      </c>
    </row>
    <row r="15" spans="1:9" ht="15">
      <c r="A15" s="43" t="str">
        <f>HLOOKUP(INDICE!$F$2,Nombres!$C$3:$D$636,38,FALSE)</f>
        <v>Gastos de explotación</v>
      </c>
      <c r="B15" s="44">
        <v>-2477.44109985</v>
      </c>
      <c r="C15" s="44">
        <v>-2182.41990008</v>
      </c>
      <c r="D15" s="44">
        <v>-2163.2830000599997</v>
      </c>
      <c r="E15" s="45">
        <v>-2264.39689997</v>
      </c>
      <c r="F15" s="44">
        <v>-2304.31200013</v>
      </c>
      <c r="G15" s="44">
        <v>-2293.6229999</v>
      </c>
      <c r="H15" s="44">
        <v>-2377.7410001</v>
      </c>
      <c r="I15" s="44">
        <v>0</v>
      </c>
    </row>
    <row r="16" spans="1:9" ht="15">
      <c r="A16" s="43" t="str">
        <f>HLOOKUP(INDICE!$F$2,Nombres!$C$3:$D$636,39,FALSE)</f>
        <v>  Gastos de administración</v>
      </c>
      <c r="B16" s="44">
        <v>-2132.13509982</v>
      </c>
      <c r="C16" s="44">
        <v>-1866.4489001400002</v>
      </c>
      <c r="D16" s="44">
        <v>-1848.34400004</v>
      </c>
      <c r="E16" s="45">
        <v>-1952.3759000000005</v>
      </c>
      <c r="F16" s="44">
        <v>-1995.78500011</v>
      </c>
      <c r="G16" s="44">
        <v>-1987.04999992</v>
      </c>
      <c r="H16" s="44">
        <v>-2064.1050001099998</v>
      </c>
      <c r="I16" s="44">
        <v>0</v>
      </c>
    </row>
    <row r="17" spans="1:9" ht="15">
      <c r="A17" s="46" t="str">
        <f>HLOOKUP(INDICE!$F$2,Nombres!$C$3:$D$636,40,FALSE)</f>
        <v>  Gastos de personal</v>
      </c>
      <c r="B17" s="44">
        <v>-1272.29799997</v>
      </c>
      <c r="C17" s="44">
        <v>-1112.57700008</v>
      </c>
      <c r="D17" s="44">
        <v>-1123.66699991</v>
      </c>
      <c r="E17" s="45">
        <v>-1185.9880000900002</v>
      </c>
      <c r="F17" s="44">
        <v>-1184.22700001</v>
      </c>
      <c r="G17" s="44">
        <v>-1186.7529999800001</v>
      </c>
      <c r="H17" s="44">
        <v>-1276.1730000900002</v>
      </c>
      <c r="I17" s="44">
        <v>0</v>
      </c>
    </row>
    <row r="18" spans="1:9" ht="15">
      <c r="A18" s="46" t="str">
        <f>HLOOKUP(INDICE!$F$2,Nombres!$C$3:$D$636,41,FALSE)</f>
        <v>  Otros gastos de administración</v>
      </c>
      <c r="B18" s="44">
        <v>-859.83709985</v>
      </c>
      <c r="C18" s="44">
        <v>-753.87190006</v>
      </c>
      <c r="D18" s="44">
        <v>-724.67700013</v>
      </c>
      <c r="E18" s="45">
        <v>-766.38789991</v>
      </c>
      <c r="F18" s="44">
        <v>-811.5580001000001</v>
      </c>
      <c r="G18" s="44">
        <v>-800.2969999400002</v>
      </c>
      <c r="H18" s="44">
        <v>-787.93200002</v>
      </c>
      <c r="I18" s="44">
        <v>0</v>
      </c>
    </row>
    <row r="19" spans="1:9" ht="15">
      <c r="A19" s="43" t="str">
        <f>HLOOKUP(INDICE!$F$2,Nombres!$C$3:$D$636,42,FALSE)</f>
        <v>  Amortización</v>
      </c>
      <c r="B19" s="44">
        <v>-345.30600003</v>
      </c>
      <c r="C19" s="44">
        <v>-315.97099994</v>
      </c>
      <c r="D19" s="44">
        <v>-314.93900002000004</v>
      </c>
      <c r="E19" s="45">
        <v>-312.02099996999993</v>
      </c>
      <c r="F19" s="44">
        <v>-308.52700001999995</v>
      </c>
      <c r="G19" s="44">
        <v>-306.57299998</v>
      </c>
      <c r="H19" s="44">
        <v>-313.63599999</v>
      </c>
      <c r="I19" s="44">
        <v>0</v>
      </c>
    </row>
    <row r="20" spans="1:9" ht="15">
      <c r="A20" s="41" t="str">
        <f>HLOOKUP(INDICE!$F$2,Nombres!$C$3:$D$636,43,FALSE)</f>
        <v>Margen neto</v>
      </c>
      <c r="B20" s="41">
        <f>+B14+B15</f>
        <v>3300.45390004</v>
      </c>
      <c r="C20" s="41">
        <f aca="true" t="shared" si="1" ref="C20:I20">+C14+C15</f>
        <v>2679.16709981</v>
      </c>
      <c r="D20" s="41">
        <f t="shared" si="1"/>
        <v>2816.8150000200003</v>
      </c>
      <c r="E20" s="42">
        <f t="shared" si="1"/>
        <v>2282.2451001400004</v>
      </c>
      <c r="F20" s="41">
        <f t="shared" si="1"/>
        <v>2850.422999840001</v>
      </c>
      <c r="G20" s="50">
        <f t="shared" si="1"/>
        <v>2810.3480002600004</v>
      </c>
      <c r="H20" s="50">
        <f t="shared" si="1"/>
        <v>2952.7279997200003</v>
      </c>
      <c r="I20" s="50">
        <f t="shared" si="1"/>
        <v>0</v>
      </c>
    </row>
    <row r="21" spans="1:9" ht="15">
      <c r="A21" s="43" t="str">
        <f>HLOOKUP(INDICE!$F$2,Nombres!$C$3:$D$636,44,FALSE)</f>
        <v>Deterioro de activos financieros no valorados a valor razonable con cambios en resultados</v>
      </c>
      <c r="B21" s="44">
        <v>-2164.17799997</v>
      </c>
      <c r="C21" s="44">
        <v>-1407.8679999899998</v>
      </c>
      <c r="D21" s="44">
        <v>-706.22500006</v>
      </c>
      <c r="E21" s="45">
        <v>-900.73999997</v>
      </c>
      <c r="F21" s="44">
        <v>-923.25300006</v>
      </c>
      <c r="G21" s="44">
        <v>-656.48099991</v>
      </c>
      <c r="H21" s="44">
        <v>-622.39000001</v>
      </c>
      <c r="I21" s="44">
        <v>0</v>
      </c>
    </row>
    <row r="22" spans="1:9" ht="15">
      <c r="A22" s="43" t="str">
        <f>HLOOKUP(INDICE!$F$2,Nombres!$C$3:$D$636,247,FALSE)</f>
        <v>Provisiones o reversión de provisiones</v>
      </c>
      <c r="B22" s="44">
        <v>-299.725</v>
      </c>
      <c r="C22" s="44">
        <v>-218.57399998000002</v>
      </c>
      <c r="D22" s="44">
        <v>-88.47400000999995</v>
      </c>
      <c r="E22" s="45">
        <v>-139.46600001999997</v>
      </c>
      <c r="F22" s="44">
        <v>-151.16800002000002</v>
      </c>
      <c r="G22" s="44">
        <v>-22.92176699000005</v>
      </c>
      <c r="H22" s="44">
        <v>-50.1979999899999</v>
      </c>
      <c r="I22" s="44">
        <v>0</v>
      </c>
    </row>
    <row r="23" spans="1:9" ht="15">
      <c r="A23" s="43" t="str">
        <f>HLOOKUP(INDICE!$F$2,Nombres!$C$3:$D$636,248,FALSE)</f>
        <v>Otros resultados</v>
      </c>
      <c r="B23" s="44">
        <v>-29.3309999699999</v>
      </c>
      <c r="C23" s="44">
        <v>-102.57900004</v>
      </c>
      <c r="D23" s="44">
        <v>-127.07399997999998</v>
      </c>
      <c r="E23" s="45">
        <v>-81.79298658000026</v>
      </c>
      <c r="F23" s="44">
        <v>-17.18800000000001</v>
      </c>
      <c r="G23" s="44">
        <v>-6.9800929799999905</v>
      </c>
      <c r="H23" s="44">
        <v>19.031999990000003</v>
      </c>
      <c r="I23" s="44">
        <v>0</v>
      </c>
    </row>
    <row r="24" spans="1:9" ht="15">
      <c r="A24" s="41" t="str">
        <f>HLOOKUP(INDICE!$F$2,Nombres!$C$3:$D$636,46,FALSE)</f>
        <v>Resultado antes de impuestos</v>
      </c>
      <c r="B24" s="50">
        <f aca="true" t="shared" si="2" ref="B24:I24">+B20+B21+B22+B23</f>
        <v>807.2199000999999</v>
      </c>
      <c r="C24" s="50">
        <f t="shared" si="2"/>
        <v>950.1460998</v>
      </c>
      <c r="D24" s="50">
        <f t="shared" si="2"/>
        <v>1895.0419999700005</v>
      </c>
      <c r="E24" s="42">
        <f t="shared" si="2"/>
        <v>1160.2461135700003</v>
      </c>
      <c r="F24" s="50">
        <f t="shared" si="2"/>
        <v>1758.813999760001</v>
      </c>
      <c r="G24" s="50">
        <f t="shared" si="2"/>
        <v>2123.9651403800003</v>
      </c>
      <c r="H24" s="50">
        <f t="shared" si="2"/>
        <v>2299.17199971</v>
      </c>
      <c r="I24" s="50">
        <f t="shared" si="2"/>
        <v>0</v>
      </c>
    </row>
    <row r="25" spans="1:9" ht="15">
      <c r="A25" s="43" t="str">
        <f>HLOOKUP(INDICE!$F$2,Nombres!$C$3:$D$636,47,FALSE)</f>
        <v>Impuesto sobre beneficios</v>
      </c>
      <c r="B25" s="44">
        <v>-204.10500000999997</v>
      </c>
      <c r="C25" s="44">
        <v>-272.5159999799999</v>
      </c>
      <c r="D25" s="44">
        <v>-514.60399996</v>
      </c>
      <c r="E25" s="45">
        <v>-336.79950410000015</v>
      </c>
      <c r="F25" s="44">
        <v>-489.26299997999996</v>
      </c>
      <c r="G25" s="44">
        <v>-590.926342</v>
      </c>
      <c r="H25" s="44">
        <v>-639.7290000800001</v>
      </c>
      <c r="I25" s="44">
        <v>0</v>
      </c>
    </row>
    <row r="26" spans="1:9" ht="15">
      <c r="A26" s="41" t="str">
        <f>HLOOKUP(INDICE!$F$2,Nombres!$C$3:$D$636,48,FALSE)</f>
        <v>Resultado del ejercicio</v>
      </c>
      <c r="B26" s="50">
        <f aca="true" t="shared" si="3" ref="B26:I26">+B24+B25</f>
        <v>603.11490009</v>
      </c>
      <c r="C26" s="50">
        <f t="shared" si="3"/>
        <v>677.6300998200002</v>
      </c>
      <c r="D26" s="50">
        <f t="shared" si="3"/>
        <v>1380.4380000100005</v>
      </c>
      <c r="E26" s="42">
        <f t="shared" si="3"/>
        <v>823.4466094700001</v>
      </c>
      <c r="F26" s="50">
        <f t="shared" si="3"/>
        <v>1269.5509997800011</v>
      </c>
      <c r="G26" s="50">
        <f t="shared" si="3"/>
        <v>1533.0387983800003</v>
      </c>
      <c r="H26" s="50">
        <f t="shared" si="3"/>
        <v>1659.4429996299998</v>
      </c>
      <c r="I26" s="50">
        <f t="shared" si="3"/>
        <v>0</v>
      </c>
    </row>
    <row r="27" spans="1:16" ht="15">
      <c r="A27" s="43" t="str">
        <f>HLOOKUP(INDICE!$F$2,Nombres!$C$3:$D$636,49,FALSE)</f>
        <v>Minoritarios</v>
      </c>
      <c r="B27" s="44">
        <v>-171.79500001</v>
      </c>
      <c r="C27" s="44">
        <v>-161.60999998</v>
      </c>
      <c r="D27" s="44">
        <v>-312.23800001</v>
      </c>
      <c r="E27" s="45">
        <v>-109.99300000999999</v>
      </c>
      <c r="F27" s="44">
        <v>-236.81900001</v>
      </c>
      <c r="G27" s="44">
        <v>-238.87099999000003</v>
      </c>
      <c r="H27" s="44">
        <v>-259.04199997</v>
      </c>
      <c r="I27" s="44">
        <v>0</v>
      </c>
      <c r="M27" s="285"/>
      <c r="N27" s="285"/>
      <c r="O27" s="285"/>
      <c r="P27" s="285"/>
    </row>
    <row r="28" spans="1:9" ht="15">
      <c r="A28" s="47" t="str">
        <f>HLOOKUP(INDICE!$F$2,Nombres!$C$3:$D$636,305,FALSE)</f>
        <v>Resultado atribuido excluyendo impactos no recurrentes</v>
      </c>
      <c r="B28" s="47">
        <f>+B26+B27</f>
        <v>431.31990008</v>
      </c>
      <c r="C28" s="47">
        <f aca="true" t="shared" si="4" ref="C28:I28">+C26+C27</f>
        <v>516.0200998400002</v>
      </c>
      <c r="D28" s="47">
        <f t="shared" si="4"/>
        <v>1068.2000000000005</v>
      </c>
      <c r="E28" s="47">
        <f t="shared" si="4"/>
        <v>713.4536094600002</v>
      </c>
      <c r="F28" s="47">
        <f t="shared" si="4"/>
        <v>1032.731999770001</v>
      </c>
      <c r="G28" s="47">
        <f t="shared" si="4"/>
        <v>1294.1677983900004</v>
      </c>
      <c r="H28" s="47">
        <f t="shared" si="4"/>
        <v>1400.4009996599998</v>
      </c>
      <c r="I28" s="47">
        <f t="shared" si="4"/>
        <v>0</v>
      </c>
    </row>
    <row r="29" spans="1:9" ht="15">
      <c r="A29" s="41" t="str">
        <f>HLOOKUP(INDICE!$F$2,Nombres!$C$3:$D$636,311,FALSE)</f>
        <v>Operaciones Corporativas e Interrumpidas</v>
      </c>
      <c r="B29" s="201">
        <f aca="true" t="shared" si="5" ref="B29:I29">+B30+B31+B32</f>
        <v>-2223.7850000000003</v>
      </c>
      <c r="C29" s="201">
        <f t="shared" si="5"/>
        <v>119.91999999999999</v>
      </c>
      <c r="D29" s="201">
        <f t="shared" si="5"/>
        <v>73.239</v>
      </c>
      <c r="E29" s="300">
        <f t="shared" si="5"/>
        <v>606.3115058600004</v>
      </c>
      <c r="F29" s="201">
        <f t="shared" si="5"/>
        <v>177.04100000000003</v>
      </c>
      <c r="G29" s="201">
        <f t="shared" si="5"/>
        <v>-593.0077980200002</v>
      </c>
      <c r="H29" s="201">
        <f t="shared" si="5"/>
        <v>0</v>
      </c>
      <c r="I29" s="201">
        <f t="shared" si="5"/>
        <v>0</v>
      </c>
    </row>
    <row r="30" spans="1:9" ht="15">
      <c r="A30" s="43" t="str">
        <f>HLOOKUP(INDICE!$F$2,Nombres!$C$3:$D$636,306,FALSE)</f>
        <v>Resultado después de impuestos de operaciones interrumpidas (1)</v>
      </c>
      <c r="B30" s="44">
        <v>-2223.7850000000003</v>
      </c>
      <c r="C30" s="44">
        <v>119.91999999999999</v>
      </c>
      <c r="D30" s="44">
        <v>73.239</v>
      </c>
      <c r="E30" s="45">
        <v>301.8430058600003</v>
      </c>
      <c r="F30" s="44">
        <v>177.04100000000003</v>
      </c>
      <c r="G30" s="44">
        <v>102.65999999999976</v>
      </c>
      <c r="H30" s="44">
        <v>0</v>
      </c>
      <c r="I30" s="44">
        <v>0</v>
      </c>
    </row>
    <row r="31" spans="1:9" ht="15">
      <c r="A31" s="43" t="str">
        <f>HLOOKUP(INDICE!$F$2,Nombres!$C$3:$D$636,307,FALSE)</f>
        <v>Operaciones Corporativas (2)</v>
      </c>
      <c r="B31" s="44">
        <v>0</v>
      </c>
      <c r="C31" s="44">
        <v>0</v>
      </c>
      <c r="D31" s="44">
        <v>0</v>
      </c>
      <c r="E31" s="45">
        <v>304.4685</v>
      </c>
      <c r="F31" s="44">
        <v>0</v>
      </c>
      <c r="G31" s="44">
        <v>0</v>
      </c>
      <c r="H31" s="44">
        <v>0</v>
      </c>
      <c r="I31" s="44">
        <v>0</v>
      </c>
    </row>
    <row r="32" spans="1:9" ht="15">
      <c r="A32" s="43" t="str">
        <f>HLOOKUP(INDICE!$F$2,Nombres!$C$3:$D$636,308,FALSE)</f>
        <v>Costes netos asociados al proceso de reestructuración</v>
      </c>
      <c r="B32" s="44">
        <v>0</v>
      </c>
      <c r="C32" s="44">
        <v>0</v>
      </c>
      <c r="D32" s="44">
        <v>0</v>
      </c>
      <c r="E32" s="45">
        <v>0</v>
      </c>
      <c r="F32" s="44">
        <v>0</v>
      </c>
      <c r="G32" s="44">
        <v>-695.66779802</v>
      </c>
      <c r="H32" s="44">
        <v>0</v>
      </c>
      <c r="I32" s="44">
        <v>0</v>
      </c>
    </row>
    <row r="33" spans="1:9" ht="17.25" customHeight="1">
      <c r="A33" s="47" t="str">
        <f>HLOOKUP(INDICE!$F$2,Nombres!$C$3:$D$636,50,FALSE)</f>
        <v>Resultado atribuido</v>
      </c>
      <c r="B33" s="47">
        <f aca="true" t="shared" si="6" ref="B33:I33">+B28+B30+B31+B32</f>
        <v>-1792.4650999200003</v>
      </c>
      <c r="C33" s="47">
        <f t="shared" si="6"/>
        <v>635.9400998400001</v>
      </c>
      <c r="D33" s="47">
        <f t="shared" si="6"/>
        <v>1141.4390000000005</v>
      </c>
      <c r="E33" s="47">
        <f t="shared" si="6"/>
        <v>1319.7651153200004</v>
      </c>
      <c r="F33" s="47">
        <f t="shared" si="6"/>
        <v>1209.772999770001</v>
      </c>
      <c r="G33" s="47">
        <f t="shared" si="6"/>
        <v>701.1600003700003</v>
      </c>
      <c r="H33" s="47">
        <f t="shared" si="6"/>
        <v>1400.4009996599998</v>
      </c>
      <c r="I33" s="47">
        <f t="shared" si="6"/>
        <v>0</v>
      </c>
    </row>
    <row r="34" spans="2:9" ht="12.75" customHeight="1">
      <c r="B34" s="48">
        <v>0</v>
      </c>
      <c r="C34" s="48">
        <v>0</v>
      </c>
      <c r="D34" s="48">
        <v>0</v>
      </c>
      <c r="E34" s="48">
        <v>0</v>
      </c>
      <c r="F34" s="48">
        <v>0</v>
      </c>
      <c r="G34" s="48">
        <v>0</v>
      </c>
      <c r="H34" s="48">
        <v>0</v>
      </c>
      <c r="I34" s="48">
        <v>0</v>
      </c>
    </row>
    <row r="35" spans="1:9" ht="36" customHeight="1">
      <c r="A35" s="43"/>
      <c r="B35" s="48">
        <v>5.684341886080801E-13</v>
      </c>
      <c r="C35" s="48">
        <v>0</v>
      </c>
      <c r="D35" s="48">
        <v>0</v>
      </c>
      <c r="E35" s="48">
        <v>0</v>
      </c>
      <c r="F35" s="48">
        <v>0</v>
      </c>
      <c r="G35" s="48">
        <v>0</v>
      </c>
      <c r="H35" s="48">
        <v>0</v>
      </c>
      <c r="I35" s="48">
        <v>0</v>
      </c>
    </row>
    <row r="36" spans="1:9" ht="15" customHeight="1">
      <c r="A36" s="305" t="str">
        <f>HLOOKUP(INDICE!$F$2,Nombres!$C$3:$D$636,309,FALSE)</f>
        <v>(1) Incluye EEUU como operación interrumpida y el deterioro del fondo de comercio de Estados Unidos registrado en el primer trimestre de 2020 por importe de 2084 millones de euros</v>
      </c>
      <c r="B36" s="305"/>
      <c r="C36" s="305"/>
      <c r="D36" s="305"/>
      <c r="E36" s="305"/>
      <c r="F36" s="305"/>
      <c r="G36" s="305"/>
      <c r="H36" s="305"/>
      <c r="I36" s="305"/>
    </row>
    <row r="37" spans="1:9" ht="14.25" customHeight="1">
      <c r="A37"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7" s="305"/>
      <c r="C37" s="305"/>
      <c r="D37" s="305"/>
      <c r="E37" s="305"/>
      <c r="F37" s="305"/>
      <c r="G37" s="305"/>
      <c r="H37" s="305"/>
      <c r="I37" s="305"/>
    </row>
    <row r="38" spans="1:9" ht="15">
      <c r="A38" s="305"/>
      <c r="B38" s="305"/>
      <c r="C38" s="305"/>
      <c r="D38" s="305"/>
      <c r="E38" s="305"/>
      <c r="F38" s="305"/>
      <c r="G38" s="305"/>
      <c r="H38" s="305"/>
      <c r="I38" s="305"/>
    </row>
    <row r="39" spans="1:9" ht="15">
      <c r="A39" s="43"/>
      <c r="B39" s="49"/>
      <c r="C39" s="49"/>
      <c r="D39" s="49"/>
      <c r="E39" s="49"/>
      <c r="F39" s="295"/>
      <c r="G39" s="49"/>
      <c r="H39" s="49"/>
      <c r="I39" s="49"/>
    </row>
    <row r="40" spans="2:9" ht="15">
      <c r="B40" s="273"/>
      <c r="C40" s="273"/>
      <c r="D40" s="273"/>
      <c r="E40" s="273"/>
      <c r="F40" s="273"/>
      <c r="G40" s="273"/>
      <c r="H40" s="273"/>
      <c r="I40" s="273"/>
    </row>
    <row r="42" spans="1:9" ht="18">
      <c r="A42" s="33" t="str">
        <f>HLOOKUP(INDICE!$F$2,Nombres!$C$3:$D$636,31,FALSE)</f>
        <v>Cuenta de resultados  </v>
      </c>
      <c r="B42" s="34"/>
      <c r="C42" s="34"/>
      <c r="D42" s="34"/>
      <c r="E42" s="34"/>
      <c r="F42" s="34"/>
      <c r="G42" s="34"/>
      <c r="H42" s="34"/>
      <c r="I42" s="34"/>
    </row>
    <row r="43" spans="1:9" ht="15">
      <c r="A43" s="35" t="str">
        <f>HLOOKUP(INDICE!$F$2,Nombres!$C$3:$D$636,73,FALSE)</f>
        <v>(Millones de euros constantes)</v>
      </c>
      <c r="B43" s="30"/>
      <c r="C43" s="36"/>
      <c r="D43" s="36"/>
      <c r="E43" s="36"/>
      <c r="F43" s="30"/>
      <c r="G43" s="30"/>
      <c r="H43" s="30"/>
      <c r="I43" s="30"/>
    </row>
    <row r="44" spans="1:9" ht="15">
      <c r="A44" s="37"/>
      <c r="B44" s="30"/>
      <c r="C44" s="36"/>
      <c r="D44" s="36"/>
      <c r="E44" s="36"/>
      <c r="F44" s="30"/>
      <c r="G44" s="30"/>
      <c r="H44" s="30"/>
      <c r="I44" s="30"/>
    </row>
    <row r="45" spans="1:9" ht="15.75">
      <c r="A45" s="38"/>
      <c r="B45" s="306">
        <f>+España!B6</f>
        <v>2020</v>
      </c>
      <c r="C45" s="306"/>
      <c r="D45" s="306"/>
      <c r="E45" s="307"/>
      <c r="F45" s="308">
        <f>+España!F6</f>
        <v>2021</v>
      </c>
      <c r="G45" s="306"/>
      <c r="H45" s="306"/>
      <c r="I45" s="306"/>
    </row>
    <row r="46" spans="1:9" ht="15.75">
      <c r="A46" s="38"/>
      <c r="B46" s="39" t="str">
        <f>+España!B7</f>
        <v>1er Trim.</v>
      </c>
      <c r="C46" s="39" t="str">
        <f>+España!C7</f>
        <v>2º Trim.</v>
      </c>
      <c r="D46" s="39" t="str">
        <f>+España!D7</f>
        <v>3er Trim.</v>
      </c>
      <c r="E46" s="40" t="str">
        <f>+España!E7</f>
        <v>4º Trim.</v>
      </c>
      <c r="F46" s="39" t="str">
        <f>+España!F7</f>
        <v>1er Trim.</v>
      </c>
      <c r="G46" s="39" t="str">
        <f>+España!G7</f>
        <v>2º Trim.</v>
      </c>
      <c r="H46" s="39" t="str">
        <f>+España!H7</f>
        <v>3er Trim.</v>
      </c>
      <c r="I46" s="39" t="str">
        <f>+España!I7</f>
        <v>4º Trim.</v>
      </c>
    </row>
    <row r="47" spans="1:9" ht="15">
      <c r="A47" s="41" t="str">
        <f>HLOOKUP(INDICE!$F$2,Nombres!$C$3:$D$636,33,FALSE)</f>
        <v>Margen de intereses</v>
      </c>
      <c r="B47" s="41">
        <v>3484.1520184524425</v>
      </c>
      <c r="C47" s="41">
        <v>3401.998948666038</v>
      </c>
      <c r="D47" s="41">
        <v>3564.574276264903</v>
      </c>
      <c r="E47" s="42">
        <v>3560.1644372699625</v>
      </c>
      <c r="F47" s="41">
        <v>3408.781559142684</v>
      </c>
      <c r="G47" s="50">
        <v>3541.117433186613</v>
      </c>
      <c r="H47" s="50">
        <v>3757.793007630703</v>
      </c>
      <c r="I47" s="50">
        <v>0</v>
      </c>
    </row>
    <row r="48" spans="1:9" ht="15">
      <c r="A48" s="43" t="str">
        <f>HLOOKUP(INDICE!$F$2,Nombres!$C$3:$D$636,34,FALSE)</f>
        <v>Comisiones netas</v>
      </c>
      <c r="B48" s="44">
        <v>1022.0744995435657</v>
      </c>
      <c r="C48" s="44">
        <v>912.238288375717</v>
      </c>
      <c r="D48" s="44">
        <v>1017.5766747119508</v>
      </c>
      <c r="E48" s="45">
        <v>1053.2872464878171</v>
      </c>
      <c r="F48" s="44">
        <v>1121.567278380152</v>
      </c>
      <c r="G48" s="44">
        <v>1191.552272135903</v>
      </c>
      <c r="H48" s="44">
        <v>1204.8074494739453</v>
      </c>
      <c r="I48" s="44">
        <v>0</v>
      </c>
    </row>
    <row r="49" spans="1:9" ht="15">
      <c r="A49" s="43" t="str">
        <f>HLOOKUP(INDICE!$F$2,Nombres!$C$3:$D$636,35,FALSE)</f>
        <v>Resultados de operaciones financieras</v>
      </c>
      <c r="B49" s="44">
        <v>496.0964076949581</v>
      </c>
      <c r="C49" s="44">
        <v>448.0631424896121</v>
      </c>
      <c r="D49" s="44">
        <v>349.96387391427777</v>
      </c>
      <c r="E49" s="45">
        <v>183.22945928613035</v>
      </c>
      <c r="F49" s="44">
        <v>569.827980765769</v>
      </c>
      <c r="G49" s="44">
        <v>511.2463519350608</v>
      </c>
      <c r="H49" s="44">
        <v>390.4636672791702</v>
      </c>
      <c r="I49" s="44">
        <v>0</v>
      </c>
    </row>
    <row r="50" spans="1:9" ht="15">
      <c r="A50" s="43" t="str">
        <f>HLOOKUP(INDICE!$F$2,Nombres!$C$3:$D$636,96,FALSE)</f>
        <v>Ingresos por dividendos</v>
      </c>
      <c r="B50" s="44">
        <v>4.441424078804011</v>
      </c>
      <c r="C50" s="44">
        <v>68.230641550904</v>
      </c>
      <c r="D50" s="44">
        <v>4.803338887214306</v>
      </c>
      <c r="E50" s="45">
        <v>59.128045486296934</v>
      </c>
      <c r="F50" s="44">
        <v>5.76966977455665</v>
      </c>
      <c r="G50" s="44">
        <v>119.51532522731316</v>
      </c>
      <c r="H50" s="44">
        <v>4.200004998130134</v>
      </c>
      <c r="I50" s="44">
        <v>0</v>
      </c>
    </row>
    <row r="51" spans="1:9" ht="15">
      <c r="A51" s="43" t="str">
        <f>HLOOKUP(INDICE!$F$2,Nombres!$C$3:$D$636,97,FALSE)</f>
        <v>Part. gananc/pdas inversiones en dependientes, neg conjunt y asoc</v>
      </c>
      <c r="B51" s="44">
        <v>-7.946320372289213</v>
      </c>
      <c r="C51" s="44">
        <v>-9.086820789853272</v>
      </c>
      <c r="D51" s="44">
        <v>-9.021621076204834</v>
      </c>
      <c r="E51" s="45">
        <v>-13.014155515762509</v>
      </c>
      <c r="F51" s="44">
        <v>-5.852154553057419</v>
      </c>
      <c r="G51" s="44">
        <v>0.3875388924255907</v>
      </c>
      <c r="H51" s="44">
        <v>3.6956156606318307</v>
      </c>
      <c r="I51" s="44">
        <v>0</v>
      </c>
    </row>
    <row r="52" spans="1:9" ht="15">
      <c r="A52" s="43" t="str">
        <f>HLOOKUP(INDICE!$F$2,Nombres!$C$3:$D$636,98,FALSE)</f>
        <v>Otros productos/cargas de explotación</v>
      </c>
      <c r="B52" s="44">
        <v>85.99796412575498</v>
      </c>
      <c r="C52" s="44">
        <v>-129.78266638590173</v>
      </c>
      <c r="D52" s="44">
        <v>51.22964870570116</v>
      </c>
      <c r="E52" s="45">
        <v>-194.6762525719031</v>
      </c>
      <c r="F52" s="44">
        <v>-9.591786653119104</v>
      </c>
      <c r="G52" s="44">
        <v>-204.93104509471306</v>
      </c>
      <c r="H52" s="44">
        <v>-21.175168232167632</v>
      </c>
      <c r="I52" s="44">
        <v>0</v>
      </c>
    </row>
    <row r="53" spans="1:9" ht="15">
      <c r="A53" s="41" t="str">
        <f>HLOOKUP(INDICE!$F$2,Nombres!$C$3:$D$636,37,FALSE)</f>
        <v>Margen bruto</v>
      </c>
      <c r="B53" s="41">
        <f>+SUM(B47:B52)</f>
        <v>5084.815993523237</v>
      </c>
      <c r="C53" s="41">
        <f aca="true" t="shared" si="7" ref="C53:I53">+SUM(C47:C52)</f>
        <v>4691.6615339065165</v>
      </c>
      <c r="D53" s="41">
        <f t="shared" si="7"/>
        <v>4979.126191407842</v>
      </c>
      <c r="E53" s="42">
        <f t="shared" si="7"/>
        <v>4648.118780442542</v>
      </c>
      <c r="F53" s="41">
        <f t="shared" si="7"/>
        <v>5090.502546856985</v>
      </c>
      <c r="G53" s="50">
        <f t="shared" si="7"/>
        <v>5158.887876282602</v>
      </c>
      <c r="H53" s="50">
        <f t="shared" si="7"/>
        <v>5339.7845768104135</v>
      </c>
      <c r="I53" s="50">
        <f t="shared" si="7"/>
        <v>0</v>
      </c>
    </row>
    <row r="54" spans="1:9" ht="15">
      <c r="A54" s="43" t="str">
        <f>HLOOKUP(INDICE!$F$2,Nombres!$C$3:$D$636,38,FALSE)</f>
        <v>Gastos de explotación</v>
      </c>
      <c r="B54" s="44">
        <v>-2245.610287596154</v>
      </c>
      <c r="C54" s="44">
        <v>-2128.2354850654738</v>
      </c>
      <c r="D54" s="44">
        <v>-2173.909680134415</v>
      </c>
      <c r="E54" s="45">
        <v>-2295.3870416717773</v>
      </c>
      <c r="F54" s="44">
        <v>-2282.6383052849133</v>
      </c>
      <c r="G54" s="44">
        <v>-2312.9858225590247</v>
      </c>
      <c r="H54" s="44">
        <v>-2380.051872286062</v>
      </c>
      <c r="I54" s="44">
        <v>0</v>
      </c>
    </row>
    <row r="55" spans="1:9" ht="15">
      <c r="A55" s="43" t="str">
        <f>HLOOKUP(INDICE!$F$2,Nombres!$C$3:$D$636,39,FALSE)</f>
        <v>  Gastos de administración</v>
      </c>
      <c r="B55" s="44">
        <v>-1929.1445735712182</v>
      </c>
      <c r="C55" s="44">
        <v>-1818.0146467490413</v>
      </c>
      <c r="D55" s="44">
        <v>-1858.0425616112116</v>
      </c>
      <c r="E55" s="45">
        <v>-1980.9069150405649</v>
      </c>
      <c r="F55" s="44">
        <v>-1976.3862763853085</v>
      </c>
      <c r="G55" s="44">
        <v>-2004.442630646774</v>
      </c>
      <c r="H55" s="44">
        <v>-2066.1110931079174</v>
      </c>
      <c r="I55" s="44">
        <v>0</v>
      </c>
    </row>
    <row r="56" spans="1:9" ht="15">
      <c r="A56" s="46" t="str">
        <f>HLOOKUP(INDICE!$F$2,Nombres!$C$3:$D$636,40,FALSE)</f>
        <v>  Gastos de personal</v>
      </c>
      <c r="B56" s="44">
        <v>-1154.4865618846634</v>
      </c>
      <c r="C56" s="44">
        <v>-1077.1831125833291</v>
      </c>
      <c r="D56" s="44">
        <v>-1123.930386565563</v>
      </c>
      <c r="E56" s="45">
        <v>-1203.367771394558</v>
      </c>
      <c r="F56" s="44">
        <v>-1171.757648425549</v>
      </c>
      <c r="G56" s="44">
        <v>-1196.8645726089578</v>
      </c>
      <c r="H56" s="44">
        <v>-1278.5307790454929</v>
      </c>
      <c r="I56" s="44">
        <v>0</v>
      </c>
    </row>
    <row r="57" spans="1:9" ht="15">
      <c r="A57" s="46" t="str">
        <f>HLOOKUP(INDICE!$F$2,Nombres!$C$3:$D$636,41,FALSE)</f>
        <v>  Otros gastos de administración</v>
      </c>
      <c r="B57" s="44">
        <v>-774.6580116865551</v>
      </c>
      <c r="C57" s="44">
        <v>-740.8315341657121</v>
      </c>
      <c r="D57" s="44">
        <v>-734.1121750456482</v>
      </c>
      <c r="E57" s="45">
        <v>-777.5391436460066</v>
      </c>
      <c r="F57" s="44">
        <v>-804.6286279597598</v>
      </c>
      <c r="G57" s="44">
        <v>-807.5780580378159</v>
      </c>
      <c r="H57" s="44">
        <v>-787.5803140624246</v>
      </c>
      <c r="I57" s="44">
        <v>0</v>
      </c>
    </row>
    <row r="58" spans="1:9" ht="15">
      <c r="A58" s="43" t="str">
        <f>HLOOKUP(INDICE!$F$2,Nombres!$C$3:$D$636,42,FALSE)</f>
        <v>  Amortización</v>
      </c>
      <c r="B58" s="44">
        <v>-316.46571402493595</v>
      </c>
      <c r="C58" s="44">
        <v>-310.22083831643295</v>
      </c>
      <c r="D58" s="44">
        <v>-315.8671185232037</v>
      </c>
      <c r="E58" s="45">
        <v>-314.4801266312128</v>
      </c>
      <c r="F58" s="44">
        <v>-306.2520288996046</v>
      </c>
      <c r="G58" s="44">
        <v>-308.54319191225073</v>
      </c>
      <c r="H58" s="44">
        <v>-313.9407791781447</v>
      </c>
      <c r="I58" s="44">
        <v>0</v>
      </c>
    </row>
    <row r="59" spans="1:9" ht="15">
      <c r="A59" s="41" t="str">
        <f>HLOOKUP(INDICE!$F$2,Nombres!$C$3:$D$636,43,FALSE)</f>
        <v>Margen neto</v>
      </c>
      <c r="B59" s="41">
        <f>+B53+B54</f>
        <v>2839.205705927083</v>
      </c>
      <c r="C59" s="41">
        <f aca="true" t="shared" si="8" ref="C59:I59">+C53+C54</f>
        <v>2563.4260488410428</v>
      </c>
      <c r="D59" s="41">
        <f t="shared" si="8"/>
        <v>2805.2165112734274</v>
      </c>
      <c r="E59" s="42">
        <f t="shared" si="8"/>
        <v>2352.7317387707644</v>
      </c>
      <c r="F59" s="41">
        <f t="shared" si="8"/>
        <v>2807.8642415720715</v>
      </c>
      <c r="G59" s="50">
        <f t="shared" si="8"/>
        <v>2845.902053723577</v>
      </c>
      <c r="H59" s="50">
        <f t="shared" si="8"/>
        <v>2959.7327045243514</v>
      </c>
      <c r="I59" s="50">
        <f t="shared" si="8"/>
        <v>0</v>
      </c>
    </row>
    <row r="60" spans="1:9" ht="15">
      <c r="A60" s="43" t="str">
        <f>HLOOKUP(INDICE!$F$2,Nombres!$C$3:$D$636,44,FALSE)</f>
        <v>Deterioro de activos financieros no valorados a valor razonable con cambios en resultados</v>
      </c>
      <c r="B60" s="44">
        <v>-1918.0191941355151</v>
      </c>
      <c r="C60" s="44">
        <v>-1391.498661220348</v>
      </c>
      <c r="D60" s="44">
        <v>-786.3750354414282</v>
      </c>
      <c r="E60" s="45">
        <v>-903.534354191885</v>
      </c>
      <c r="F60" s="44">
        <v>-915.8876565758876</v>
      </c>
      <c r="G60" s="44">
        <v>-662.9819177774108</v>
      </c>
      <c r="H60" s="44">
        <v>-623.2544256267017</v>
      </c>
      <c r="I60" s="44">
        <v>0</v>
      </c>
    </row>
    <row r="61" spans="1:9" ht="15">
      <c r="A61" s="43" t="str">
        <f>HLOOKUP(INDICE!$F$2,Nombres!$C$3:$D$636,247,FALSE)</f>
        <v>Provisiones o reversión de provisiones</v>
      </c>
      <c r="B61" s="44">
        <v>-287.99769590823246</v>
      </c>
      <c r="C61" s="44">
        <v>-210.82098130032978</v>
      </c>
      <c r="D61" s="44">
        <v>-85.99699181371072</v>
      </c>
      <c r="E61" s="45">
        <v>-132.6005075255926</v>
      </c>
      <c r="F61" s="44">
        <v>-152.8151566245858</v>
      </c>
      <c r="G61" s="44">
        <v>-21.572104702730513</v>
      </c>
      <c r="H61" s="44">
        <v>-49.900505672683565</v>
      </c>
      <c r="I61" s="44">
        <v>0</v>
      </c>
    </row>
    <row r="62" spans="1:9" ht="15">
      <c r="A62" s="43" t="str">
        <f>HLOOKUP(INDICE!$F$2,Nombres!$C$3:$D$636,248,FALSE)</f>
        <v>Otros resultados</v>
      </c>
      <c r="B62" s="44">
        <v>-29.440103956173953</v>
      </c>
      <c r="C62" s="44">
        <v>-98.27771622136368</v>
      </c>
      <c r="D62" s="44">
        <v>-128.9321701172372</v>
      </c>
      <c r="E62" s="45">
        <v>-83.3388111498944</v>
      </c>
      <c r="F62" s="44">
        <v>-17.823503401977764</v>
      </c>
      <c r="G62" s="44">
        <v>-6.353202221934463</v>
      </c>
      <c r="H62" s="44">
        <v>19.040612633912225</v>
      </c>
      <c r="I62" s="44">
        <v>0</v>
      </c>
    </row>
    <row r="63" spans="1:9" ht="15">
      <c r="A63" s="41" t="str">
        <f>HLOOKUP(INDICE!$F$2,Nombres!$C$3:$D$636,46,FALSE)</f>
        <v>Resultado antes de impuestos</v>
      </c>
      <c r="B63" s="50">
        <f aca="true" t="shared" si="9" ref="B63:I63">+B59+B60+B61+B62</f>
        <v>603.7487119271613</v>
      </c>
      <c r="C63" s="50">
        <f t="shared" si="9"/>
        <v>862.8286900990014</v>
      </c>
      <c r="D63" s="50">
        <f t="shared" si="9"/>
        <v>1803.9123139010512</v>
      </c>
      <c r="E63" s="42">
        <f t="shared" si="9"/>
        <v>1233.2580659033924</v>
      </c>
      <c r="F63" s="50">
        <f t="shared" si="9"/>
        <v>1721.3379249696202</v>
      </c>
      <c r="G63" s="50">
        <f t="shared" si="9"/>
        <v>2154.994829021501</v>
      </c>
      <c r="H63" s="50">
        <f t="shared" si="9"/>
        <v>2305.6183858588784</v>
      </c>
      <c r="I63" s="50">
        <f t="shared" si="9"/>
        <v>0</v>
      </c>
    </row>
    <row r="64" spans="1:9" ht="15">
      <c r="A64" s="43" t="str">
        <f>HLOOKUP(INDICE!$F$2,Nombres!$C$3:$D$636,47,FALSE)</f>
        <v>Impuesto sobre beneficios</v>
      </c>
      <c r="B64" s="44">
        <v>-153.46264903189768</v>
      </c>
      <c r="C64" s="44">
        <v>-249.3072638282921</v>
      </c>
      <c r="D64" s="44">
        <v>-495.0751897139721</v>
      </c>
      <c r="E64" s="45">
        <v>-350.9968702101095</v>
      </c>
      <c r="F64" s="44">
        <v>-481.87074996326</v>
      </c>
      <c r="G64" s="44">
        <v>-598.2027771872116</v>
      </c>
      <c r="H64" s="44">
        <v>-639.8448149095283</v>
      </c>
      <c r="I64" s="44">
        <v>0</v>
      </c>
    </row>
    <row r="65" spans="1:9" ht="15">
      <c r="A65" s="41" t="str">
        <f>HLOOKUP(INDICE!$F$2,Nombres!$C$3:$D$636,48,FALSE)</f>
        <v>Resultado del ejercicio</v>
      </c>
      <c r="B65" s="50">
        <f aca="true" t="shared" si="10" ref="B65:I65">+B63+B64</f>
        <v>450.28606289526357</v>
      </c>
      <c r="C65" s="50">
        <f t="shared" si="10"/>
        <v>613.5214262707093</v>
      </c>
      <c r="D65" s="50">
        <f t="shared" si="10"/>
        <v>1308.837124187079</v>
      </c>
      <c r="E65" s="42">
        <f t="shared" si="10"/>
        <v>882.261195693283</v>
      </c>
      <c r="F65" s="50">
        <f t="shared" si="10"/>
        <v>1239.4671750063603</v>
      </c>
      <c r="G65" s="50">
        <f t="shared" si="10"/>
        <v>1556.7920518342894</v>
      </c>
      <c r="H65" s="50">
        <f t="shared" si="10"/>
        <v>1665.77357094935</v>
      </c>
      <c r="I65" s="50">
        <f t="shared" si="10"/>
        <v>0</v>
      </c>
    </row>
    <row r="66" spans="1:9" ht="15">
      <c r="A66" s="43" t="str">
        <f>HLOOKUP(INDICE!$F$2,Nombres!$C$3:$D$636,49,FALSE)</f>
        <v>Minoritarios</v>
      </c>
      <c r="B66" s="44">
        <v>-117.37287612469855</v>
      </c>
      <c r="C66" s="44">
        <v>-122.09983504314222</v>
      </c>
      <c r="D66" s="44">
        <v>-263.3881408130138</v>
      </c>
      <c r="E66" s="45">
        <v>-128.43777924848422</v>
      </c>
      <c r="F66" s="44">
        <v>-218.13321017119432</v>
      </c>
      <c r="G66" s="44">
        <v>-248.42220500612564</v>
      </c>
      <c r="H66" s="44">
        <v>-268.17658479268005</v>
      </c>
      <c r="I66" s="44">
        <v>0</v>
      </c>
    </row>
    <row r="67" spans="1:9" ht="15">
      <c r="A67" s="47" t="str">
        <f>HLOOKUP(INDICE!$F$2,Nombres!$C$3:$D$636,305,FALSE)</f>
        <v>Resultado atribuido excluyendo impactos no recurrentes</v>
      </c>
      <c r="B67" s="47">
        <f>+B65+B66</f>
        <v>332.913186770565</v>
      </c>
      <c r="C67" s="47">
        <f aca="true" t="shared" si="11" ref="C67:I67">+C65+C66</f>
        <v>491.4215912275671</v>
      </c>
      <c r="D67" s="47">
        <f t="shared" si="11"/>
        <v>1045.4489833740654</v>
      </c>
      <c r="E67" s="47">
        <f t="shared" si="11"/>
        <v>753.8234164447988</v>
      </c>
      <c r="F67" s="47">
        <f t="shared" si="11"/>
        <v>1021.333964835166</v>
      </c>
      <c r="G67" s="47">
        <f t="shared" si="11"/>
        <v>1308.3698468281636</v>
      </c>
      <c r="H67" s="47">
        <f t="shared" si="11"/>
        <v>1397.59698615667</v>
      </c>
      <c r="I67" s="47">
        <f t="shared" si="11"/>
        <v>0</v>
      </c>
    </row>
    <row r="68" spans="1:9" ht="15">
      <c r="A68" s="41" t="str">
        <f>HLOOKUP(INDICE!$F$2,Nombres!$C$3:$D$636,311,FALSE)</f>
        <v>Operaciones Corporativas e Interrumpidas</v>
      </c>
      <c r="B68" s="201">
        <f>+B69+B70+B71</f>
        <v>-2212.876321733554</v>
      </c>
      <c r="C68" s="201">
        <f aca="true" t="shared" si="12" ref="C68:I68">+C69+C70+C71</f>
        <v>110.56498256684816</v>
      </c>
      <c r="D68" s="201">
        <f t="shared" si="12"/>
        <v>68.48683743607677</v>
      </c>
      <c r="E68" s="300">
        <f t="shared" si="12"/>
        <v>593.3660163807651</v>
      </c>
      <c r="F68" s="201">
        <f t="shared" si="12"/>
        <v>178.33478126400018</v>
      </c>
      <c r="G68" s="201">
        <f t="shared" si="12"/>
        <v>-592.4194778014376</v>
      </c>
      <c r="H68" s="201">
        <f t="shared" si="12"/>
        <v>-1.8821014825626845</v>
      </c>
      <c r="I68" s="201">
        <f t="shared" si="12"/>
        <v>0</v>
      </c>
    </row>
    <row r="69" spans="1:9" ht="14.25" customHeight="1">
      <c r="A69" s="43" t="str">
        <f>HLOOKUP(INDICE!$F$2,Nombres!$C$3:$D$636,306,FALSE)</f>
        <v>Resultado después de impuestos de operaciones interrumpidas (1)</v>
      </c>
      <c r="B69" s="44">
        <v>-2212.876321733554</v>
      </c>
      <c r="C69" s="44">
        <v>110.56498256684816</v>
      </c>
      <c r="D69" s="44">
        <v>68.48683743607677</v>
      </c>
      <c r="E69" s="45">
        <v>288.8975163807651</v>
      </c>
      <c r="F69" s="44">
        <v>178.33478126400018</v>
      </c>
      <c r="G69" s="44">
        <v>103.24832021856243</v>
      </c>
      <c r="H69" s="44">
        <v>-1.8821014825626845</v>
      </c>
      <c r="I69" s="44">
        <v>0</v>
      </c>
    </row>
    <row r="70" spans="1:9" ht="15" customHeight="1">
      <c r="A70" s="43" t="str">
        <f>HLOOKUP(INDICE!$F$2,Nombres!$C$3:$D$636,307,FALSE)</f>
        <v>Operaciones Corporativas (2)</v>
      </c>
      <c r="B70" s="44">
        <v>0</v>
      </c>
      <c r="C70" s="44">
        <v>0</v>
      </c>
      <c r="D70" s="44">
        <v>0</v>
      </c>
      <c r="E70" s="45">
        <v>304.4685</v>
      </c>
      <c r="F70" s="44">
        <v>0</v>
      </c>
      <c r="G70" s="44">
        <v>0</v>
      </c>
      <c r="H70" s="44">
        <v>0</v>
      </c>
      <c r="I70" s="44">
        <v>0</v>
      </c>
    </row>
    <row r="71" spans="1:9" ht="15">
      <c r="A71" s="43" t="str">
        <f>HLOOKUP(INDICE!$F$2,Nombres!$C$3:$D$636,308,FALSE)</f>
        <v>Costes netos asociados al proceso de reestructuración</v>
      </c>
      <c r="B71" s="44">
        <v>0</v>
      </c>
      <c r="C71" s="44">
        <v>0</v>
      </c>
      <c r="D71" s="44">
        <v>0</v>
      </c>
      <c r="E71" s="45">
        <v>0</v>
      </c>
      <c r="F71" s="44">
        <v>0</v>
      </c>
      <c r="G71" s="44">
        <v>-695.66779802</v>
      </c>
      <c r="H71" s="44">
        <v>0</v>
      </c>
      <c r="I71" s="44">
        <v>0</v>
      </c>
    </row>
    <row r="72" spans="1:9" ht="15">
      <c r="A72" s="47" t="str">
        <f>HLOOKUP(INDICE!$F$2,Nombres!$C$3:$D$636,50,FALSE)</f>
        <v>Resultado atribuido</v>
      </c>
      <c r="B72" s="47">
        <f>+B67+B69+B70+B71</f>
        <v>-1879.963134962989</v>
      </c>
      <c r="C72" s="47">
        <f aca="true" t="shared" si="13" ref="C72:I72">+C67+C69+C70+C71</f>
        <v>601.9865737944152</v>
      </c>
      <c r="D72" s="47">
        <f t="shared" si="13"/>
        <v>1113.935820810142</v>
      </c>
      <c r="E72" s="47">
        <f t="shared" si="13"/>
        <v>1347.189432825564</v>
      </c>
      <c r="F72" s="47">
        <f t="shared" si="13"/>
        <v>1199.6687460991661</v>
      </c>
      <c r="G72" s="47">
        <f t="shared" si="13"/>
        <v>715.9503690267261</v>
      </c>
      <c r="H72" s="47">
        <f t="shared" si="13"/>
        <v>1395.7148846741075</v>
      </c>
      <c r="I72" s="47">
        <f t="shared" si="13"/>
        <v>0</v>
      </c>
    </row>
    <row r="73" spans="1:9" ht="37.5" customHeight="1">
      <c r="A73" s="43"/>
      <c r="B73" s="48">
        <v>9.663381206337363E-13</v>
      </c>
      <c r="C73" s="48">
        <v>1.2505552149377763E-12</v>
      </c>
      <c r="D73" s="48">
        <v>0</v>
      </c>
      <c r="E73" s="48">
        <v>0</v>
      </c>
      <c r="F73" s="48">
        <v>-1.4779288903810084E-12</v>
      </c>
      <c r="G73" s="48">
        <v>0</v>
      </c>
      <c r="H73" s="48">
        <v>0</v>
      </c>
      <c r="I73" s="48">
        <v>0</v>
      </c>
    </row>
    <row r="74" spans="1:9" ht="15" customHeight="1">
      <c r="A74" s="294"/>
      <c r="B74" s="48">
        <v>0</v>
      </c>
      <c r="C74" s="48">
        <v>1.2505552149377763E-12</v>
      </c>
      <c r="D74" s="48">
        <v>0</v>
      </c>
      <c r="E74" s="48">
        <v>0</v>
      </c>
      <c r="F74" s="48">
        <v>0</v>
      </c>
      <c r="G74" s="48">
        <v>-1.0231815394945443E-12</v>
      </c>
      <c r="H74" s="48">
        <v>0</v>
      </c>
      <c r="I74" s="48">
        <v>0</v>
      </c>
    </row>
    <row r="75" spans="1:9" ht="14.25" customHeight="1">
      <c r="A75" s="305" t="str">
        <f>HLOOKUP(INDICE!$F$2,Nombres!$C$3:$D$636,309,FALSE)</f>
        <v>(1) Incluye EEUU como operación interrumpida y el deterioro del fondo de comercio de Estados Unidos registrado en el primer trimestre de 2020 por importe de 2084 millones de euros</v>
      </c>
      <c r="B75" s="305"/>
      <c r="C75" s="305"/>
      <c r="D75" s="305"/>
      <c r="E75" s="305"/>
      <c r="F75" s="305"/>
      <c r="G75" s="305"/>
      <c r="H75" s="305"/>
      <c r="I75" s="305"/>
    </row>
    <row r="76" spans="1:9" ht="14.25" customHeight="1">
      <c r="A76"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76" s="305"/>
      <c r="C76" s="305"/>
      <c r="D76" s="305"/>
      <c r="E76" s="305"/>
      <c r="F76" s="305"/>
      <c r="G76" s="305"/>
      <c r="H76" s="305"/>
      <c r="I76" s="305"/>
    </row>
    <row r="77" spans="1:9" ht="15">
      <c r="A77" s="43"/>
      <c r="B77" s="272"/>
      <c r="C77" s="272"/>
      <c r="D77" s="272"/>
      <c r="E77" s="272"/>
      <c r="F77" s="272"/>
      <c r="G77" s="272"/>
      <c r="H77" s="272"/>
      <c r="I77" s="272"/>
    </row>
    <row r="78" spans="1:9" ht="15">
      <c r="A78"/>
      <c r="B78" s="272"/>
      <c r="C78" s="272"/>
      <c r="D78" s="272"/>
      <c r="E78" s="272"/>
      <c r="F78" s="272"/>
      <c r="G78" s="272"/>
      <c r="H78" s="272"/>
      <c r="I78" s="272"/>
    </row>
    <row r="79" spans="2:9" ht="15">
      <c r="B79" s="272"/>
      <c r="C79" s="272"/>
      <c r="D79" s="272"/>
      <c r="E79" s="272"/>
      <c r="F79" s="272"/>
      <c r="G79" s="272"/>
      <c r="H79" s="272"/>
      <c r="I79" s="272"/>
    </row>
    <row r="91" ht="15">
      <c r="A91"/>
    </row>
    <row r="1005" ht="15">
      <c r="A1005" s="31" t="s">
        <v>396</v>
      </c>
    </row>
  </sheetData>
  <sheetProtection/>
  <mergeCells count="9">
    <mergeCell ref="B45:E45"/>
    <mergeCell ref="F45:I45"/>
    <mergeCell ref="A75:I75"/>
    <mergeCell ref="A76:I76"/>
    <mergeCell ref="B6:E6"/>
    <mergeCell ref="F6:I6"/>
    <mergeCell ref="A36:I36"/>
    <mergeCell ref="A37:I37"/>
    <mergeCell ref="A38:I38"/>
  </mergeCells>
  <conditionalFormatting sqref="B39:I39">
    <cfRule type="cellIs" priority="44" dxfId="14" operator="notBetween">
      <formula>0.4</formula>
      <formula>-0.4</formula>
    </cfRule>
  </conditionalFormatting>
  <conditionalFormatting sqref="B40:I40">
    <cfRule type="cellIs" priority="43" dxfId="14" operator="notBetween">
      <formula>0.4</formula>
      <formula>-0.4</formula>
    </cfRule>
  </conditionalFormatting>
  <conditionalFormatting sqref="E34">
    <cfRule type="cellIs" priority="35" dxfId="114" operator="notBetween">
      <formula>0.5</formula>
      <formula>-0.5</formula>
    </cfRule>
  </conditionalFormatting>
  <conditionalFormatting sqref="C34">
    <cfRule type="cellIs" priority="33" dxfId="114" operator="notBetween">
      <formula>0.5</formula>
      <formula>-0.5</formula>
    </cfRule>
  </conditionalFormatting>
  <conditionalFormatting sqref="H34">
    <cfRule type="cellIs" priority="38" dxfId="114" operator="notBetween">
      <formula>0.5</formula>
      <formula>-0.5</formula>
    </cfRule>
  </conditionalFormatting>
  <conditionalFormatting sqref="I34">
    <cfRule type="cellIs" priority="42" dxfId="114" operator="notBetween">
      <formula>0.5</formula>
      <formula>-0.5</formula>
    </cfRule>
  </conditionalFormatting>
  <conditionalFormatting sqref="B77:G77">
    <cfRule type="cellIs" priority="41" dxfId="14" operator="notBetween">
      <formula>0.4</formula>
      <formula>-0.4</formula>
    </cfRule>
  </conditionalFormatting>
  <conditionalFormatting sqref="G34">
    <cfRule type="cellIs" priority="37" dxfId="114" operator="notBetween">
      <formula>0.5</formula>
      <formula>-0.5</formula>
    </cfRule>
  </conditionalFormatting>
  <conditionalFormatting sqref="H77">
    <cfRule type="cellIs" priority="40" dxfId="14" operator="notBetween">
      <formula>0.4</formula>
      <formula>-0.4</formula>
    </cfRule>
  </conditionalFormatting>
  <conditionalFormatting sqref="I77">
    <cfRule type="cellIs" priority="39" dxfId="14" operator="notBetween">
      <formula>0.4</formula>
      <formula>-0.4</formula>
    </cfRule>
  </conditionalFormatting>
  <conditionalFormatting sqref="F34">
    <cfRule type="cellIs" priority="36" dxfId="114" operator="notBetween">
      <formula>0.5</formula>
      <formula>-0.5</formula>
    </cfRule>
  </conditionalFormatting>
  <conditionalFormatting sqref="D34">
    <cfRule type="cellIs" priority="34" dxfId="114" operator="notBetween">
      <formula>0.5</formula>
      <formula>-0.5</formula>
    </cfRule>
  </conditionalFormatting>
  <conditionalFormatting sqref="D35">
    <cfRule type="cellIs" priority="30" dxfId="114" operator="notBetween">
      <formula>0.5</formula>
      <formula>-0.5</formula>
    </cfRule>
  </conditionalFormatting>
  <conditionalFormatting sqref="B34:I34">
    <cfRule type="cellIs" priority="32" dxfId="114" operator="notBetween">
      <formula>0.5</formula>
      <formula>-0.5</formula>
    </cfRule>
  </conditionalFormatting>
  <conditionalFormatting sqref="C35">
    <cfRule type="cellIs" priority="31" dxfId="114" operator="notBetween">
      <formula>0.5</formula>
      <formula>-0.5</formula>
    </cfRule>
  </conditionalFormatting>
  <conditionalFormatting sqref="B35:I35">
    <cfRule type="cellIs" priority="29" dxfId="114" operator="notBetween">
      <formula>0.5</formula>
      <formula>-0.5</formula>
    </cfRule>
  </conditionalFormatting>
  <conditionalFormatting sqref="F34">
    <cfRule type="cellIs" priority="28" dxfId="114" operator="notBetween">
      <formula>0.5</formula>
      <formula>-0.5</formula>
    </cfRule>
  </conditionalFormatting>
  <conditionalFormatting sqref="G34">
    <cfRule type="cellIs" priority="27" dxfId="114" operator="notBetween">
      <formula>0.5</formula>
      <formula>-0.5</formula>
    </cfRule>
  </conditionalFormatting>
  <conditionalFormatting sqref="H34">
    <cfRule type="cellIs" priority="26" dxfId="114" operator="notBetween">
      <formula>0.5</formula>
      <formula>-0.5</formula>
    </cfRule>
  </conditionalFormatting>
  <conditionalFormatting sqref="I34">
    <cfRule type="cellIs" priority="25" dxfId="114" operator="notBetween">
      <formula>0.5</formula>
      <formula>-0.5</formula>
    </cfRule>
  </conditionalFormatting>
  <conditionalFormatting sqref="D34">
    <cfRule type="cellIs" priority="24" dxfId="114" operator="notBetween">
      <formula>0.5</formula>
      <formula>-0.5</formula>
    </cfRule>
  </conditionalFormatting>
  <conditionalFormatting sqref="C34">
    <cfRule type="cellIs" priority="23" dxfId="114" operator="notBetween">
      <formula>0.5</formula>
      <formula>-0.5</formula>
    </cfRule>
  </conditionalFormatting>
  <conditionalFormatting sqref="B34">
    <cfRule type="cellIs" priority="22" dxfId="114" operator="notBetween">
      <formula>0.5</formula>
      <formula>-0.5</formula>
    </cfRule>
  </conditionalFormatting>
  <conditionalFormatting sqref="F35:I35">
    <cfRule type="cellIs" priority="21" dxfId="114" operator="notBetween">
      <formula>0.5</formula>
      <formula>-0.5</formula>
    </cfRule>
  </conditionalFormatting>
  <conditionalFormatting sqref="B78:G78">
    <cfRule type="cellIs" priority="20" dxfId="14" operator="notBetween">
      <formula>0.4</formula>
      <formula>-0.4</formula>
    </cfRule>
  </conditionalFormatting>
  <conditionalFormatting sqref="H78">
    <cfRule type="cellIs" priority="19" dxfId="14" operator="notBetween">
      <formula>0.4</formula>
      <formula>-0.4</formula>
    </cfRule>
  </conditionalFormatting>
  <conditionalFormatting sqref="I78">
    <cfRule type="cellIs" priority="18" dxfId="14" operator="notBetween">
      <formula>0.4</formula>
      <formula>-0.4</formula>
    </cfRule>
  </conditionalFormatting>
  <conditionalFormatting sqref="E73">
    <cfRule type="cellIs" priority="13" dxfId="114" operator="notBetween">
      <formula>0.5</formula>
      <formula>-0.5</formula>
    </cfRule>
  </conditionalFormatting>
  <conditionalFormatting sqref="C73">
    <cfRule type="cellIs" priority="11" dxfId="114" operator="notBetween">
      <formula>0.5</formula>
      <formula>-0.5</formula>
    </cfRule>
  </conditionalFormatting>
  <conditionalFormatting sqref="H73">
    <cfRule type="cellIs" priority="16" dxfId="114" operator="notBetween">
      <formula>0.5</formula>
      <formula>-0.5</formula>
    </cfRule>
  </conditionalFormatting>
  <conditionalFormatting sqref="I73">
    <cfRule type="cellIs" priority="17" dxfId="114" operator="notBetween">
      <formula>0.5</formula>
      <formula>-0.5</formula>
    </cfRule>
  </conditionalFormatting>
  <conditionalFormatting sqref="G73">
    <cfRule type="cellIs" priority="15" dxfId="114" operator="notBetween">
      <formula>0.5</formula>
      <formula>-0.5</formula>
    </cfRule>
  </conditionalFormatting>
  <conditionalFormatting sqref="F73">
    <cfRule type="cellIs" priority="14" dxfId="114" operator="notBetween">
      <formula>0.5</formula>
      <formula>-0.5</formula>
    </cfRule>
  </conditionalFormatting>
  <conditionalFormatting sqref="D73">
    <cfRule type="cellIs" priority="12" dxfId="114" operator="notBetween">
      <formula>0.5</formula>
      <formula>-0.5</formula>
    </cfRule>
  </conditionalFormatting>
  <conditionalFormatting sqref="B73:I73">
    <cfRule type="cellIs" priority="10" dxfId="114" operator="notBetween">
      <formula>0.5</formula>
      <formula>-0.5</formula>
    </cfRule>
  </conditionalFormatting>
  <conditionalFormatting sqref="F73">
    <cfRule type="cellIs" priority="9" dxfId="114" operator="notBetween">
      <formula>0.5</formula>
      <formula>-0.5</formula>
    </cfRule>
  </conditionalFormatting>
  <conditionalFormatting sqref="G73">
    <cfRule type="cellIs" priority="8" dxfId="114" operator="notBetween">
      <formula>0.5</formula>
      <formula>-0.5</formula>
    </cfRule>
  </conditionalFormatting>
  <conditionalFormatting sqref="H73">
    <cfRule type="cellIs" priority="7" dxfId="114" operator="notBetween">
      <formula>0.5</formula>
      <formula>-0.5</formula>
    </cfRule>
  </conditionalFormatting>
  <conditionalFormatting sqref="I73">
    <cfRule type="cellIs" priority="6" dxfId="114" operator="notBetween">
      <formula>0.5</formula>
      <formula>-0.5</formula>
    </cfRule>
  </conditionalFormatting>
  <conditionalFormatting sqref="D73">
    <cfRule type="cellIs" priority="5" dxfId="114" operator="notBetween">
      <formula>0.5</formula>
      <formula>-0.5</formula>
    </cfRule>
  </conditionalFormatting>
  <conditionalFormatting sqref="C73">
    <cfRule type="cellIs" priority="4" dxfId="114" operator="notBetween">
      <formula>0.5</formula>
      <formula>-0.5</formula>
    </cfRule>
  </conditionalFormatting>
  <conditionalFormatting sqref="B73:I73">
    <cfRule type="cellIs" priority="3" dxfId="114" operator="notBetween">
      <formula>0.5</formula>
      <formula>-0.5</formula>
    </cfRule>
  </conditionalFormatting>
  <conditionalFormatting sqref="B74:I74">
    <cfRule type="cellIs" priority="2" dxfId="114" operator="notBetween">
      <formula>0.5</formula>
      <formula>-0.5</formula>
    </cfRule>
  </conditionalFormatting>
  <conditionalFormatting sqref="B74:I7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8" width="11.421875" style="31" customWidth="1"/>
    <col min="9" max="9" width="0" style="31" hidden="1" customWidth="1"/>
    <col min="10"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+España!B30</f>
        <v>43921</v>
      </c>
      <c r="C5" s="53">
        <f>+España!C30</f>
        <v>44012</v>
      </c>
      <c r="D5" s="53">
        <f>+España!D30</f>
        <v>44104</v>
      </c>
      <c r="E5" s="53">
        <f>+España!E30</f>
        <v>44196</v>
      </c>
      <c r="F5" s="53">
        <f>+España!F30</f>
        <v>44286</v>
      </c>
      <c r="G5" s="53">
        <f>+España!G30</f>
        <v>44377</v>
      </c>
      <c r="H5" s="53">
        <f>+España!H30</f>
        <v>44469</v>
      </c>
      <c r="I5" s="53">
        <f>+España!I30</f>
        <v>44561</v>
      </c>
    </row>
    <row r="6" spans="1:18" ht="15">
      <c r="A6" s="43" t="str">
        <f>HLOOKUP(INDICE!$F$2,Nombres!$C$3:$D$636,52,FALSE)</f>
        <v>Efectivo, saldos en efectivo en bancos centrales y otros depósitos a la vista</v>
      </c>
      <c r="B6" s="44">
        <v>44852.634</v>
      </c>
      <c r="C6" s="44">
        <v>55022.643</v>
      </c>
      <c r="D6" s="44">
        <v>59768.64599999999</v>
      </c>
      <c r="E6" s="44">
        <v>65519.834</v>
      </c>
      <c r="F6" s="44">
        <v>54949.79</v>
      </c>
      <c r="G6" s="44">
        <v>61686.822</v>
      </c>
      <c r="H6" s="44">
        <v>63232.27</v>
      </c>
      <c r="I6" s="44">
        <v>0</v>
      </c>
      <c r="J6" s="54"/>
      <c r="K6" s="54"/>
      <c r="O6" s="54"/>
      <c r="P6" s="54"/>
      <c r="Q6" s="54"/>
      <c r="R6" s="54"/>
    </row>
    <row r="7" spans="1:18" ht="15">
      <c r="A7" s="43" t="str">
        <f>HLOOKUP(INDICE!$F$2,Nombres!$C$3:$D$636,131,FALSE)</f>
        <v>Activos financieros mantenidos para negociar</v>
      </c>
      <c r="B7" s="44">
        <v>125269.15699999999</v>
      </c>
      <c r="C7" s="44">
        <v>117329.254</v>
      </c>
      <c r="D7" s="44">
        <v>105395.332</v>
      </c>
      <c r="E7" s="44">
        <v>108257.212</v>
      </c>
      <c r="F7" s="44">
        <v>101050.452</v>
      </c>
      <c r="G7" s="44">
        <v>105523.354</v>
      </c>
      <c r="H7" s="44">
        <v>109078.498</v>
      </c>
      <c r="I7" s="44">
        <v>0</v>
      </c>
      <c r="J7" s="54"/>
      <c r="K7" s="54"/>
      <c r="O7" s="54"/>
      <c r="P7" s="54"/>
      <c r="Q7" s="54"/>
      <c r="R7" s="54"/>
    </row>
    <row r="8" spans="1:18" ht="15">
      <c r="A8" s="43" t="str">
        <f>HLOOKUP(INDICE!$F$2,Nombres!$C$3:$D$636,132,FALSE)</f>
        <v>Activos financieros no destinados a negociación valorados obligatoriamente a valor razonable con cambios en resultados</v>
      </c>
      <c r="B8" s="44">
        <v>5078.670999999999</v>
      </c>
      <c r="C8" s="44">
        <v>4980.128000000001</v>
      </c>
      <c r="D8" s="44">
        <v>5122.607999999999</v>
      </c>
      <c r="E8" s="44">
        <v>5197.768</v>
      </c>
      <c r="F8" s="44">
        <v>5488.333</v>
      </c>
      <c r="G8" s="44">
        <v>5742.114</v>
      </c>
      <c r="H8" s="44">
        <v>5873.735</v>
      </c>
      <c r="I8" s="44">
        <v>0</v>
      </c>
      <c r="J8" s="54"/>
      <c r="K8" s="54"/>
      <c r="O8" s="54"/>
      <c r="P8" s="54"/>
      <c r="Q8" s="54"/>
      <c r="R8" s="54"/>
    </row>
    <row r="9" spans="1:18" ht="15">
      <c r="A9" s="43" t="str">
        <f>HLOOKUP(INDICE!$F$2,Nombres!$C$3:$D$636,133,FALSE)</f>
        <v>Activos financieros designados a valor razonable con cambios en resultados</v>
      </c>
      <c r="B9" s="44">
        <v>1174.787</v>
      </c>
      <c r="C9" s="44">
        <v>1097.759</v>
      </c>
      <c r="D9" s="44">
        <v>1117.3410000000001</v>
      </c>
      <c r="E9" s="44">
        <v>1116.604</v>
      </c>
      <c r="F9" s="44">
        <v>1110.309</v>
      </c>
      <c r="G9" s="44">
        <v>1106.563</v>
      </c>
      <c r="H9" s="44">
        <v>1136.922</v>
      </c>
      <c r="I9" s="44">
        <v>0</v>
      </c>
      <c r="J9" s="54"/>
      <c r="K9" s="54"/>
      <c r="O9" s="54"/>
      <c r="P9" s="54"/>
      <c r="Q9" s="54"/>
      <c r="R9" s="54"/>
    </row>
    <row r="10" spans="1:18" ht="15">
      <c r="A10" s="43" t="str">
        <f>HLOOKUP(INDICE!$F$2,Nombres!$C$3:$D$636,134,FALSE)</f>
        <v>Activos financieros designados a valor razonable con cambios en otro resultado global acumulado</v>
      </c>
      <c r="B10" s="44">
        <v>55038.233</v>
      </c>
      <c r="C10" s="44">
        <v>64574.515999999996</v>
      </c>
      <c r="D10" s="44">
        <v>66877.15699999999</v>
      </c>
      <c r="E10" s="44">
        <v>69440.268</v>
      </c>
      <c r="F10" s="44">
        <v>72771.319</v>
      </c>
      <c r="G10" s="44">
        <v>73185.632</v>
      </c>
      <c r="H10" s="44">
        <v>69962.881</v>
      </c>
      <c r="I10" s="44">
        <v>0</v>
      </c>
      <c r="J10" s="54"/>
      <c r="K10" s="54"/>
      <c r="O10" s="54"/>
      <c r="P10" s="54"/>
      <c r="Q10" s="54"/>
      <c r="R10" s="54"/>
    </row>
    <row r="11" spans="1:18" ht="15">
      <c r="A11" s="43" t="str">
        <f>HLOOKUP(INDICE!$F$2,Nombres!$C$3:$D$636,135,FALSE)</f>
        <v>Activos financieros a coste amortizado</v>
      </c>
      <c r="B11" s="44">
        <v>374495.626</v>
      </c>
      <c r="C11" s="44">
        <v>381967.287</v>
      </c>
      <c r="D11" s="44">
        <v>363708.14800000004</v>
      </c>
      <c r="E11" s="44">
        <v>367667.77999999997</v>
      </c>
      <c r="F11" s="44">
        <v>363753.935</v>
      </c>
      <c r="G11" s="44">
        <v>368025.67999999993</v>
      </c>
      <c r="H11" s="44">
        <v>370217.123</v>
      </c>
      <c r="I11" s="44">
        <v>0</v>
      </c>
      <c r="J11" s="54"/>
      <c r="K11" s="54"/>
      <c r="O11" s="54"/>
      <c r="P11" s="54"/>
      <c r="Q11" s="54"/>
      <c r="R11" s="54"/>
    </row>
    <row r="12" spans="1:18" ht="15">
      <c r="A12" s="55" t="str">
        <f>HLOOKUP(INDICE!$F$2,Nombres!$C$3:$D$636,136,FALSE)</f>
        <v>. Préstamos y anticipos en bancos centrales  y entidades de crédito</v>
      </c>
      <c r="B12" s="56">
        <v>18820.734</v>
      </c>
      <c r="C12" s="56">
        <v>19583.765000000003</v>
      </c>
      <c r="D12" s="56">
        <v>18759.134000000002</v>
      </c>
      <c r="E12" s="56">
        <v>20784.075</v>
      </c>
      <c r="F12" s="56">
        <v>16963.208</v>
      </c>
      <c r="G12" s="56">
        <v>16946.555</v>
      </c>
      <c r="H12" s="56">
        <v>18237.243</v>
      </c>
      <c r="I12" s="56">
        <v>0</v>
      </c>
      <c r="J12" s="54"/>
      <c r="K12" s="54"/>
      <c r="O12" s="54"/>
      <c r="P12" s="54"/>
      <c r="Q12" s="54"/>
      <c r="R12" s="54"/>
    </row>
    <row r="13" spans="1:18" ht="15">
      <c r="A13" s="55" t="str">
        <f>HLOOKUP(INDICE!$F$2,Nombres!$C$3:$D$636,137,FALSE)</f>
        <v>. Préstamos y anticipos a la clientela</v>
      </c>
      <c r="B13" s="56">
        <v>321542.534</v>
      </c>
      <c r="C13" s="56">
        <v>326818.425</v>
      </c>
      <c r="D13" s="56">
        <v>309766.44800000003</v>
      </c>
      <c r="E13" s="56">
        <v>311146.959</v>
      </c>
      <c r="F13" s="56">
        <v>310683.014</v>
      </c>
      <c r="G13" s="56">
        <v>315751.932</v>
      </c>
      <c r="H13" s="56">
        <v>316499.159</v>
      </c>
      <c r="I13" s="56">
        <v>0</v>
      </c>
      <c r="J13" s="54"/>
      <c r="K13" s="54"/>
      <c r="O13" s="54"/>
      <c r="P13" s="54"/>
      <c r="Q13" s="54"/>
      <c r="R13" s="54"/>
    </row>
    <row r="14" spans="1:18" ht="15">
      <c r="A14" s="55" t="str">
        <f>HLOOKUP(INDICE!$F$2,Nombres!$C$3:$D$636,138,FALSE)</f>
        <v>. Valores representativos de deuda</v>
      </c>
      <c r="B14" s="56">
        <v>34132.358</v>
      </c>
      <c r="C14" s="56">
        <v>35565.097</v>
      </c>
      <c r="D14" s="56">
        <v>35182.566</v>
      </c>
      <c r="E14" s="56">
        <v>35736.746</v>
      </c>
      <c r="F14" s="56">
        <v>36107.713</v>
      </c>
      <c r="G14" s="56">
        <v>35327.193</v>
      </c>
      <c r="H14" s="56">
        <v>35480.721</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1439.709</v>
      </c>
      <c r="C16" s="44">
        <v>1366.363</v>
      </c>
      <c r="D16" s="44">
        <v>1240.676</v>
      </c>
      <c r="E16" s="44">
        <v>1436.547</v>
      </c>
      <c r="F16" s="44">
        <v>1416.136</v>
      </c>
      <c r="G16" s="44">
        <v>1399.922</v>
      </c>
      <c r="H16" s="44">
        <v>880.324</v>
      </c>
      <c r="I16" s="44">
        <v>0</v>
      </c>
      <c r="J16" s="54"/>
      <c r="K16" s="54"/>
      <c r="O16" s="54"/>
      <c r="P16" s="54"/>
      <c r="Q16" s="54"/>
      <c r="R16" s="54"/>
    </row>
    <row r="17" spans="1:18" ht="15">
      <c r="A17" s="43" t="str">
        <f>HLOOKUP(INDICE!$F$2,Nombres!$C$3:$D$636,56,FALSE)</f>
        <v>Activos tangibles</v>
      </c>
      <c r="B17" s="44">
        <v>8424.149000000001</v>
      </c>
      <c r="C17" s="44">
        <v>8162.518</v>
      </c>
      <c r="D17" s="44">
        <v>7844.151</v>
      </c>
      <c r="E17" s="44">
        <v>7822.708</v>
      </c>
      <c r="F17" s="44">
        <v>7703.314</v>
      </c>
      <c r="G17" s="44">
        <v>7321.364</v>
      </c>
      <c r="H17" s="44">
        <v>7291.122</v>
      </c>
      <c r="I17" s="44">
        <v>0</v>
      </c>
      <c r="J17" s="54"/>
      <c r="K17" s="54"/>
      <c r="O17" s="54"/>
      <c r="P17" s="54"/>
      <c r="Q17" s="54"/>
      <c r="R17" s="54"/>
    </row>
    <row r="18" spans="1:18" ht="15">
      <c r="A18" s="43" t="str">
        <f>HLOOKUP(INDICE!$F$2,Nombres!$C$3:$D$636,141,FALSE)</f>
        <v>Activos Intangibles</v>
      </c>
      <c r="B18" s="44">
        <v>2517.857</v>
      </c>
      <c r="C18" s="44">
        <v>2487.336</v>
      </c>
      <c r="D18" s="44">
        <v>2326.124</v>
      </c>
      <c r="E18" s="44">
        <v>2344.518</v>
      </c>
      <c r="F18" s="44">
        <v>2297.155</v>
      </c>
      <c r="G18" s="44">
        <v>2303.017</v>
      </c>
      <c r="H18" s="44">
        <v>2270.716</v>
      </c>
      <c r="I18" s="44">
        <v>0</v>
      </c>
      <c r="J18" s="54"/>
      <c r="K18" s="54"/>
      <c r="O18" s="54"/>
      <c r="P18" s="54"/>
      <c r="Q18" s="54"/>
      <c r="R18" s="54"/>
    </row>
    <row r="19" spans="1:18" ht="15">
      <c r="A19" s="43" t="str">
        <f>HLOOKUP(INDICE!$F$2,Nombres!$C$3:$D$636,57,FALSE)</f>
        <v>Otros activos</v>
      </c>
      <c r="B19" s="44">
        <v>111796.15100000001</v>
      </c>
      <c r="C19" s="44">
        <v>115896.66300000003</v>
      </c>
      <c r="D19" s="44">
        <v>112494.408</v>
      </c>
      <c r="E19" s="44">
        <v>107372.624</v>
      </c>
      <c r="F19" s="44">
        <v>109164.539</v>
      </c>
      <c r="G19" s="44">
        <v>21874.225000000002</v>
      </c>
      <c r="H19" s="44">
        <v>21890.901</v>
      </c>
      <c r="I19" s="44">
        <v>0</v>
      </c>
      <c r="J19" s="54"/>
      <c r="K19" s="54"/>
      <c r="O19" s="54"/>
      <c r="P19" s="54"/>
      <c r="Q19" s="54"/>
      <c r="R19" s="54"/>
    </row>
    <row r="20" spans="1:18" ht="15">
      <c r="A20" s="47" t="str">
        <f>HLOOKUP(INDICE!$F$2,Nombres!$C$3:$D$636,58,FALSE)</f>
        <v>Total activo / pasivo</v>
      </c>
      <c r="B20" s="47">
        <f aca="true" t="shared" si="0" ref="B20:I20">+SUM(B6:B11,B16:B19)</f>
        <v>730086.9739999999</v>
      </c>
      <c r="C20" s="47">
        <f t="shared" si="0"/>
        <v>752884.4670000002</v>
      </c>
      <c r="D20" s="47">
        <f t="shared" si="0"/>
        <v>725894.591</v>
      </c>
      <c r="E20" s="47">
        <f t="shared" si="0"/>
        <v>736175.863</v>
      </c>
      <c r="F20" s="47">
        <f t="shared" si="0"/>
        <v>719705.2820000001</v>
      </c>
      <c r="G20" s="47">
        <f t="shared" si="0"/>
        <v>648168.6929999999</v>
      </c>
      <c r="H20" s="47">
        <f t="shared" si="0"/>
        <v>651834.492</v>
      </c>
      <c r="I20" s="47">
        <f t="shared" si="0"/>
        <v>0</v>
      </c>
      <c r="J20" s="54"/>
      <c r="K20" s="54"/>
      <c r="O20" s="54"/>
      <c r="P20" s="54"/>
      <c r="Q20" s="54"/>
      <c r="R20" s="54"/>
    </row>
    <row r="21" spans="1:18" ht="15">
      <c r="A21" s="43" t="str">
        <f>HLOOKUP(INDICE!$F$2,Nombres!$C$3:$D$636,59,FALSE)</f>
        <v>Pasivos financieros mantenidos para negociar y designados a valor razonable con cambios en resultados</v>
      </c>
      <c r="B21" s="58">
        <v>112711.995</v>
      </c>
      <c r="C21" s="58">
        <v>107553.829</v>
      </c>
      <c r="D21" s="58">
        <v>93789.774</v>
      </c>
      <c r="E21" s="58">
        <v>86488.361</v>
      </c>
      <c r="F21" s="58">
        <v>81253.025</v>
      </c>
      <c r="G21" s="58">
        <v>82861.847</v>
      </c>
      <c r="H21" s="58">
        <v>83359.114</v>
      </c>
      <c r="I21" s="58">
        <v>0</v>
      </c>
      <c r="O21" s="54"/>
      <c r="P21" s="54"/>
      <c r="Q21" s="54"/>
      <c r="R21" s="54"/>
    </row>
    <row r="22" spans="1:18" ht="15">
      <c r="A22" s="43" t="str">
        <f>HLOOKUP(INDICE!$F$2,Nombres!$C$3:$D$636,142,FALSE)</f>
        <v>Pasivos financieros designados a valor razonable con cambios en resultados</v>
      </c>
      <c r="B22" s="58">
        <v>8641.245</v>
      </c>
      <c r="C22" s="58">
        <v>9203.246</v>
      </c>
      <c r="D22" s="58">
        <v>9381.738</v>
      </c>
      <c r="E22" s="58">
        <v>10049.991</v>
      </c>
      <c r="F22" s="58">
        <v>9713.58</v>
      </c>
      <c r="G22" s="58">
        <v>9811.104</v>
      </c>
      <c r="H22" s="58">
        <v>9725.514</v>
      </c>
      <c r="I22" s="58">
        <v>0</v>
      </c>
      <c r="J22" s="59"/>
      <c r="K22" s="59"/>
      <c r="L22" s="59"/>
      <c r="M22" s="59"/>
      <c r="N22" s="59"/>
      <c r="O22" s="54"/>
      <c r="P22" s="54"/>
      <c r="Q22" s="54"/>
      <c r="R22" s="54"/>
    </row>
    <row r="23" spans="1:18" ht="15">
      <c r="A23" s="43" t="str">
        <f>HLOOKUP(INDICE!$F$2,Nombres!$C$3:$D$636,143,FALSE)</f>
        <v>Pasivos financieros a coste amortizado</v>
      </c>
      <c r="B23" s="58">
        <v>458852.044</v>
      </c>
      <c r="C23" s="58">
        <v>479905.163</v>
      </c>
      <c r="D23" s="58">
        <v>470763.902</v>
      </c>
      <c r="E23" s="58">
        <v>490605.732</v>
      </c>
      <c r="F23" s="58">
        <v>475812.855</v>
      </c>
      <c r="G23" s="58">
        <v>479617.829</v>
      </c>
      <c r="H23" s="58">
        <v>481662.365</v>
      </c>
      <c r="I23" s="58">
        <v>0</v>
      </c>
      <c r="J23" s="59"/>
      <c r="K23" s="59"/>
      <c r="L23" s="59"/>
      <c r="M23" s="59"/>
      <c r="N23" s="59"/>
      <c r="O23" s="54"/>
      <c r="P23" s="54"/>
      <c r="Q23" s="54"/>
      <c r="R23" s="54"/>
    </row>
    <row r="24" spans="1:18" ht="15">
      <c r="A24" s="55" t="str">
        <f>HLOOKUP(INDICE!$F$2,Nombres!$C$3:$D$636,60,FALSE)</f>
        <v>Depósitos de bancos centrales y entidades de crédito</v>
      </c>
      <c r="B24" s="58">
        <v>65566.03899999999</v>
      </c>
      <c r="C24" s="58">
        <v>73709.45100000002</v>
      </c>
      <c r="D24" s="58">
        <v>67834.44</v>
      </c>
      <c r="E24" s="58">
        <v>72806.322</v>
      </c>
      <c r="F24" s="58">
        <v>74123.35800000001</v>
      </c>
      <c r="G24" s="58">
        <v>71644.65699999999</v>
      </c>
      <c r="H24" s="58">
        <v>71507.343</v>
      </c>
      <c r="I24" s="58">
        <v>0</v>
      </c>
      <c r="O24" s="54"/>
      <c r="P24" s="54"/>
      <c r="Q24" s="54"/>
      <c r="R24" s="54"/>
    </row>
    <row r="25" spans="1:18" ht="15">
      <c r="A25" s="55" t="str">
        <f>HLOOKUP(INDICE!$F$2,Nombres!$C$3:$D$636,61,FALSE)</f>
        <v>Depósitos de la clientela</v>
      </c>
      <c r="B25" s="58">
        <v>318347.133</v>
      </c>
      <c r="C25" s="58">
        <v>331350.86</v>
      </c>
      <c r="D25" s="58">
        <v>326447.1</v>
      </c>
      <c r="E25" s="58">
        <v>342661.067</v>
      </c>
      <c r="F25" s="58">
        <v>331063.659</v>
      </c>
      <c r="G25" s="58">
        <v>338794.954</v>
      </c>
      <c r="H25" s="58">
        <v>340827.854</v>
      </c>
      <c r="I25" s="58">
        <v>0</v>
      </c>
      <c r="O25" s="54"/>
      <c r="P25" s="54"/>
      <c r="Q25" s="54"/>
      <c r="R25" s="54"/>
    </row>
    <row r="26" spans="1:18" ht="15">
      <c r="A26" s="55" t="str">
        <f>HLOOKUP(INDICE!$F$2,Nombres!$C$3:$D$636,62,FALSE)</f>
        <v>Valores representativos de deuda emitidos</v>
      </c>
      <c r="B26" s="58">
        <v>61588.140999999996</v>
      </c>
      <c r="C26" s="58">
        <v>61359.477999999996</v>
      </c>
      <c r="D26" s="58">
        <v>64092.18800000001</v>
      </c>
      <c r="E26" s="58">
        <v>61779.985</v>
      </c>
      <c r="F26" s="58">
        <v>57417.941</v>
      </c>
      <c r="G26" s="58">
        <v>55046.618</v>
      </c>
      <c r="H26" s="58">
        <v>55396.81</v>
      </c>
      <c r="I26" s="58">
        <v>0</v>
      </c>
      <c r="O26" s="54"/>
      <c r="P26" s="54"/>
      <c r="Q26" s="54"/>
      <c r="R26" s="54"/>
    </row>
    <row r="27" spans="1:18" ht="15">
      <c r="A27" s="55" t="str">
        <f>HLOOKUP(INDICE!$F$2,Nombres!$C$3:$D$636,144,FALSE)</f>
        <v>. Otros pasivos financieros</v>
      </c>
      <c r="B27" s="58">
        <v>13350.731</v>
      </c>
      <c r="C27" s="58">
        <v>13485.374</v>
      </c>
      <c r="D27" s="58">
        <v>12390.174</v>
      </c>
      <c r="E27" s="58">
        <v>13358.358</v>
      </c>
      <c r="F27" s="58">
        <v>13207.897</v>
      </c>
      <c r="G27" s="58">
        <v>14131.6</v>
      </c>
      <c r="H27" s="58">
        <v>13930.358</v>
      </c>
      <c r="I27" s="58">
        <v>0</v>
      </c>
      <c r="O27" s="54"/>
      <c r="P27" s="54"/>
      <c r="Q27" s="54"/>
      <c r="R27" s="54"/>
    </row>
    <row r="28" spans="1:18" ht="15">
      <c r="A28" s="43" t="str">
        <f>HLOOKUP(INDICE!$F$2,Nombres!$C$3:$D$636,145,FALSE)</f>
        <v>Pasivos amparados por contratos de seguros o reaseguro</v>
      </c>
      <c r="B28" s="58">
        <v>9593.095</v>
      </c>
      <c r="C28" s="58">
        <v>9462.217</v>
      </c>
      <c r="D28" s="58">
        <v>9504.696</v>
      </c>
      <c r="E28" s="58">
        <v>9951.33</v>
      </c>
      <c r="F28" s="58">
        <v>10325.477</v>
      </c>
      <c r="G28" s="58">
        <v>10535.323</v>
      </c>
      <c r="H28" s="58">
        <v>10564.065</v>
      </c>
      <c r="I28" s="58">
        <v>0</v>
      </c>
      <c r="O28" s="54"/>
      <c r="P28" s="54"/>
      <c r="Q28" s="54"/>
      <c r="R28" s="54"/>
    </row>
    <row r="29" spans="1:18" ht="15">
      <c r="A29" s="43" t="str">
        <f>HLOOKUP(INDICE!$F$2,Nombres!$C$3:$D$636,63,FALSE)</f>
        <v>Otros pasivos</v>
      </c>
      <c r="B29" s="58">
        <v>91114.35</v>
      </c>
      <c r="C29" s="58">
        <v>97205.195</v>
      </c>
      <c r="D29" s="58">
        <v>93932.95799999998</v>
      </c>
      <c r="E29" s="58">
        <v>89060.619</v>
      </c>
      <c r="F29" s="58">
        <v>91889.053</v>
      </c>
      <c r="G29" s="58">
        <v>15398.419999999998</v>
      </c>
      <c r="H29" s="58">
        <v>15956.514</v>
      </c>
      <c r="I29" s="58">
        <v>0</v>
      </c>
      <c r="O29" s="54"/>
      <c r="P29" s="54"/>
      <c r="Q29" s="54"/>
      <c r="R29" s="54"/>
    </row>
    <row r="30" spans="1:18" ht="15">
      <c r="A30" s="41" t="str">
        <f>HLOOKUP(INDICE!$F$2,Nombres!$C$3:$D$636,146,FALSE)</f>
        <v>Total pasivo</v>
      </c>
      <c r="B30" s="60">
        <f aca="true" t="shared" si="1" ref="B30:I30">+SUM(B21:B23,B28:B29)</f>
        <v>680912.7289999999</v>
      </c>
      <c r="C30" s="60">
        <f t="shared" si="1"/>
        <v>703329.6499999999</v>
      </c>
      <c r="D30" s="60">
        <f t="shared" si="1"/>
        <v>677373.068</v>
      </c>
      <c r="E30" s="60">
        <f t="shared" si="1"/>
        <v>686156.033</v>
      </c>
      <c r="F30" s="60">
        <f t="shared" si="1"/>
        <v>668993.9899999999</v>
      </c>
      <c r="G30" s="60">
        <f t="shared" si="1"/>
        <v>598224.523</v>
      </c>
      <c r="H30" s="60">
        <f t="shared" si="1"/>
        <v>601267.5719999999</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5988.998</v>
      </c>
      <c r="C32" s="58">
        <v>5835.816</v>
      </c>
      <c r="D32" s="58">
        <v>5404.432</v>
      </c>
      <c r="E32" s="58">
        <v>5471.443</v>
      </c>
      <c r="F32" s="58">
        <v>5395.961</v>
      </c>
      <c r="G32" s="58">
        <v>5428.254</v>
      </c>
      <c r="H32" s="58">
        <v>5628.132</v>
      </c>
      <c r="I32" s="58">
        <v>0</v>
      </c>
      <c r="O32" s="54"/>
      <c r="P32" s="54"/>
      <c r="Q32" s="54"/>
      <c r="R32" s="54"/>
    </row>
    <row r="33" spans="1:18" ht="15" customHeight="1" hidden="1">
      <c r="A33" s="43" t="str">
        <f>HLOOKUP(INDICE!$F$2,Nombres!$C$3:$D$636,148,FALSE)</f>
        <v>Otro resultado global acumulado</v>
      </c>
      <c r="B33" s="58">
        <v>-12804.735</v>
      </c>
      <c r="C33" s="58">
        <v>-12822.452</v>
      </c>
      <c r="D33" s="58">
        <v>-14552.254</v>
      </c>
      <c r="E33" s="58">
        <v>-14355.727</v>
      </c>
      <c r="F33" s="58">
        <v>-14718.02</v>
      </c>
      <c r="G33" s="58">
        <v>-15348.028</v>
      </c>
      <c r="H33" s="58">
        <v>-15683.671</v>
      </c>
      <c r="I33" s="58">
        <v>0</v>
      </c>
      <c r="O33" s="54"/>
      <c r="P33" s="54"/>
      <c r="Q33" s="54"/>
      <c r="R33" s="54"/>
    </row>
    <row r="34" spans="1:18" ht="15" customHeight="1" hidden="1">
      <c r="A34" s="43" t="str">
        <f>HLOOKUP(INDICE!$F$2,Nombres!$C$3:$D$636,149,FALSE)</f>
        <v>Fondos propios</v>
      </c>
      <c r="B34" s="58">
        <v>55989.982</v>
      </c>
      <c r="C34" s="58">
        <v>56541.453</v>
      </c>
      <c r="D34" s="58">
        <v>57669.345</v>
      </c>
      <c r="E34" s="58">
        <v>58904.114</v>
      </c>
      <c r="F34" s="58">
        <v>60033.351</v>
      </c>
      <c r="G34" s="58">
        <v>59863.941</v>
      </c>
      <c r="H34" s="58">
        <v>60622.46</v>
      </c>
      <c r="I34" s="58">
        <v>0</v>
      </c>
      <c r="O34" s="54"/>
      <c r="P34" s="54"/>
      <c r="Q34" s="54"/>
      <c r="R34" s="54"/>
    </row>
    <row r="35" spans="1:18" ht="15">
      <c r="A35" s="41" t="str">
        <f>HLOOKUP(INDICE!$F$2,Nombres!$C$3:$D$636,150,FALSE)</f>
        <v>Patrimonio neto</v>
      </c>
      <c r="B35" s="60">
        <f aca="true" t="shared" si="2" ref="B35:I35">+B32+B33+B34</f>
        <v>49174.245</v>
      </c>
      <c r="C35" s="60">
        <f t="shared" si="2"/>
        <v>49554.817</v>
      </c>
      <c r="D35" s="60">
        <f t="shared" si="2"/>
        <v>48521.523</v>
      </c>
      <c r="E35" s="60">
        <f t="shared" si="2"/>
        <v>50019.83</v>
      </c>
      <c r="F35" s="60">
        <f t="shared" si="2"/>
        <v>50711.292</v>
      </c>
      <c r="G35" s="60">
        <f t="shared" si="2"/>
        <v>49944.167</v>
      </c>
      <c r="H35" s="60">
        <f t="shared" si="2"/>
        <v>50566.921</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730086.9739999999</v>
      </c>
      <c r="C37" s="47">
        <f aca="true" t="shared" si="3" ref="C37:I37">+C20</f>
        <v>752884.4670000002</v>
      </c>
      <c r="D37" s="47">
        <f t="shared" si="3"/>
        <v>725894.591</v>
      </c>
      <c r="E37" s="47">
        <f t="shared" si="3"/>
        <v>736175.863</v>
      </c>
      <c r="F37" s="47">
        <f t="shared" si="3"/>
        <v>719705.2820000001</v>
      </c>
      <c r="G37" s="47">
        <f t="shared" si="3"/>
        <v>648168.6929999999</v>
      </c>
      <c r="H37" s="47">
        <f t="shared" si="3"/>
        <v>651834.492</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5" t="str">
        <f>HLOOKUP(INDICE!$F$2,Nombres!$C$3:$D$636,297,FALSE)</f>
        <v>Nota general : Cifras considerando la clasificación de las sociedades incluidas en el acuerdo de venta suscrito con PNC y Paraguay como Activos y Pasivos No corrientes en Venta.</v>
      </c>
      <c r="B40" s="305"/>
      <c r="C40" s="305"/>
      <c r="D40" s="305"/>
      <c r="E40" s="305"/>
      <c r="F40" s="305"/>
      <c r="G40" s="305"/>
      <c r="H40" s="305"/>
      <c r="I40" s="305"/>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89">
        <v>-0.0010000501060858369</v>
      </c>
      <c r="C43" s="289">
        <v>-9.976793080568314E-08</v>
      </c>
      <c r="D43" s="289">
        <v>-9.89530235528946E-09</v>
      </c>
      <c r="E43" s="289">
        <v>-7.008202373981476E-08</v>
      </c>
      <c r="F43" s="289">
        <v>4.98257577419281E-08</v>
      </c>
      <c r="G43" s="289">
        <v>4.959292709827423E-08</v>
      </c>
      <c r="H43" s="289">
        <v>-1.00000761449337E-07</v>
      </c>
      <c r="I43" s="289">
        <v>0</v>
      </c>
    </row>
    <row r="44" ht="15">
      <c r="B44" s="54"/>
    </row>
    <row r="46" ht="15">
      <c r="B46" s="54"/>
    </row>
    <row r="1000" ht="15">
      <c r="A1000" s="31" t="s">
        <v>396</v>
      </c>
    </row>
  </sheetData>
  <sheetProtection/>
  <mergeCells count="1">
    <mergeCell ref="A40:I40"/>
  </mergeCells>
  <conditionalFormatting sqref="F39:I39">
    <cfRule type="cellIs" priority="11" dxfId="114" operator="notBetween">
      <formula>0.5</formula>
      <formula>-0.5</formula>
    </cfRule>
  </conditionalFormatting>
  <conditionalFormatting sqref="I38">
    <cfRule type="cellIs" priority="10" dxfId="60" operator="notBetween">
      <formula>0.001</formula>
      <formula>-0.001</formula>
    </cfRule>
  </conditionalFormatting>
  <conditionalFormatting sqref="H38">
    <cfRule type="cellIs" priority="9" dxfId="60" operator="notBetween">
      <formula>0.001</formula>
      <formula>-0.001</formula>
    </cfRule>
  </conditionalFormatting>
  <conditionalFormatting sqref="G38">
    <cfRule type="cellIs" priority="8" dxfId="60" operator="notBetween">
      <formula>0.001</formula>
      <formula>-0.001</formula>
    </cfRule>
  </conditionalFormatting>
  <conditionalFormatting sqref="F38">
    <cfRule type="cellIs" priority="7" dxfId="60" operator="notBetween">
      <formula>0.001</formula>
      <formula>-0.001</formula>
    </cfRule>
  </conditionalFormatting>
  <conditionalFormatting sqref="B39:E39">
    <cfRule type="cellIs" priority="6" dxfId="114" operator="notBetween">
      <formula>0.5</formula>
      <formula>-0.5</formula>
    </cfRule>
  </conditionalFormatting>
  <conditionalFormatting sqref="E38">
    <cfRule type="cellIs" priority="5" dxfId="60" operator="notBetween">
      <formula>0.001</formula>
      <formula>-0.001</formula>
    </cfRule>
  </conditionalFormatting>
  <conditionalFormatting sqref="D38">
    <cfRule type="cellIs" priority="4" dxfId="60" operator="notBetween">
      <formula>0.001</formula>
      <formula>-0.001</formula>
    </cfRule>
  </conditionalFormatting>
  <conditionalFormatting sqref="C38">
    <cfRule type="cellIs" priority="3" dxfId="60" operator="notBetween">
      <formula>0.001</formula>
      <formula>-0.001</formula>
    </cfRule>
  </conditionalFormatting>
  <conditionalFormatting sqref="B38">
    <cfRule type="cellIs" priority="2" dxfId="60" operator="notBetween">
      <formula>0.001</formula>
      <formula>-0.001</formula>
    </cfRule>
  </conditionalFormatting>
  <conditionalFormatting sqref="B43:I43">
    <cfRule type="cellIs" priority="1" dxfId="114"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v>2020</v>
      </c>
      <c r="C6" s="306"/>
      <c r="D6" s="306"/>
      <c r="E6" s="307"/>
      <c r="F6" s="306">
        <v>2021</v>
      </c>
      <c r="G6" s="306"/>
      <c r="H6" s="306"/>
      <c r="I6" s="306"/>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877.8096668000001</v>
      </c>
      <c r="C8" s="41">
        <v>923.44822285</v>
      </c>
      <c r="D8" s="41">
        <v>884.9603164399999</v>
      </c>
      <c r="E8" s="42">
        <v>880.15234159</v>
      </c>
      <c r="F8" s="50">
        <v>866.61565699</v>
      </c>
      <c r="G8" s="50">
        <v>895.63399697</v>
      </c>
      <c r="H8" s="50">
        <v>872.7102779599999</v>
      </c>
      <c r="I8" s="50">
        <v>0</v>
      </c>
    </row>
    <row r="9" spans="1:9" ht="15">
      <c r="A9" s="43" t="str">
        <f>HLOOKUP(INDICE!$F$2,Nombres!$C$3:$D$636,34,FALSE)</f>
        <v>Comisiones netas</v>
      </c>
      <c r="B9" s="44">
        <v>468.96759342999997</v>
      </c>
      <c r="C9" s="44">
        <v>439.29343689000007</v>
      </c>
      <c r="D9" s="44">
        <v>440.73397405000003</v>
      </c>
      <c r="E9" s="45">
        <v>452.7029224899999</v>
      </c>
      <c r="F9" s="44">
        <v>507.05175289</v>
      </c>
      <c r="G9" s="44">
        <v>550.9236839000001</v>
      </c>
      <c r="H9" s="44">
        <v>533.84848963</v>
      </c>
      <c r="I9" s="44">
        <v>0</v>
      </c>
    </row>
    <row r="10" spans="1:9" ht="15">
      <c r="A10" s="43" t="str">
        <f>HLOOKUP(INDICE!$F$2,Nombres!$C$3:$D$636,35,FALSE)</f>
        <v>Resultados de operaciones financieras</v>
      </c>
      <c r="B10" s="44">
        <v>60.64055025000001</v>
      </c>
      <c r="C10" s="44">
        <v>104.47637606999999</v>
      </c>
      <c r="D10" s="44">
        <v>51.46485344999999</v>
      </c>
      <c r="E10" s="45">
        <v>-42.81551508999997</v>
      </c>
      <c r="F10" s="44">
        <v>201.26180053</v>
      </c>
      <c r="G10" s="44">
        <v>81.60390075999999</v>
      </c>
      <c r="H10" s="44">
        <v>21.917504330000014</v>
      </c>
      <c r="I10" s="44">
        <v>0</v>
      </c>
    </row>
    <row r="11" spans="1:9" ht="15">
      <c r="A11" s="43" t="str">
        <f>HLOOKUP(INDICE!$F$2,Nombres!$C$3:$D$636,36,FALSE)</f>
        <v>Otros ingresos y cargas de explotación</v>
      </c>
      <c r="B11" s="44">
        <v>103.48548299</v>
      </c>
      <c r="C11" s="44">
        <v>-69.52901882999987</v>
      </c>
      <c r="D11" s="44">
        <v>107.36149530999987</v>
      </c>
      <c r="E11" s="45">
        <v>-115.96233868999991</v>
      </c>
      <c r="F11" s="44">
        <v>70.82128579</v>
      </c>
      <c r="G11" s="44">
        <v>-117.29963506999995</v>
      </c>
      <c r="H11" s="44">
        <v>65.01331009999991</v>
      </c>
      <c r="I11" s="44">
        <v>0</v>
      </c>
    </row>
    <row r="12" spans="1:9" ht="15">
      <c r="A12" s="41" t="str">
        <f>HLOOKUP(INDICE!$F$2,Nombres!$C$3:$D$636,37,FALSE)</f>
        <v>Margen bruto</v>
      </c>
      <c r="B12" s="41">
        <f>+SUM(B8:B11)</f>
        <v>1510.90329347</v>
      </c>
      <c r="C12" s="41">
        <f aca="true" t="shared" si="0" ref="C12:I12">+SUM(C8:C11)</f>
        <v>1397.6890169800004</v>
      </c>
      <c r="D12" s="41">
        <f t="shared" si="0"/>
        <v>1484.5206392499997</v>
      </c>
      <c r="E12" s="42">
        <f t="shared" si="0"/>
        <v>1174.0774102999999</v>
      </c>
      <c r="F12" s="50">
        <f t="shared" si="0"/>
        <v>1645.7504962</v>
      </c>
      <c r="G12" s="50">
        <f t="shared" si="0"/>
        <v>1410.8619465600002</v>
      </c>
      <c r="H12" s="50">
        <f t="shared" si="0"/>
        <v>1493.4895820199997</v>
      </c>
      <c r="I12" s="50">
        <f t="shared" si="0"/>
        <v>0</v>
      </c>
    </row>
    <row r="13" spans="1:9" ht="15">
      <c r="A13" s="43" t="str">
        <f>HLOOKUP(INDICE!$F$2,Nombres!$C$3:$D$636,38,FALSE)</f>
        <v>Gastos de explotación</v>
      </c>
      <c r="B13" s="44">
        <v>-779.94065571</v>
      </c>
      <c r="C13" s="44">
        <v>-752.91281476</v>
      </c>
      <c r="D13" s="44">
        <v>-750.09928035</v>
      </c>
      <c r="E13" s="45">
        <v>-756.20599251</v>
      </c>
      <c r="F13" s="44">
        <v>-752.83664029</v>
      </c>
      <c r="G13" s="44">
        <v>-746.3096933500001</v>
      </c>
      <c r="H13" s="44">
        <v>-745.73900059</v>
      </c>
      <c r="I13" s="44">
        <v>0</v>
      </c>
    </row>
    <row r="14" spans="1:9" ht="15">
      <c r="A14" s="43" t="str">
        <f>HLOOKUP(INDICE!$F$2,Nombres!$C$3:$D$636,39,FALSE)</f>
        <v>  Gastos de administración</v>
      </c>
      <c r="B14" s="44">
        <v>-664.88033622</v>
      </c>
      <c r="C14" s="44">
        <v>-637.6084672700001</v>
      </c>
      <c r="D14" s="44">
        <v>-634.2195968599999</v>
      </c>
      <c r="E14" s="45">
        <v>-642.82477497</v>
      </c>
      <c r="F14" s="44">
        <v>-642.73646265</v>
      </c>
      <c r="G14" s="44">
        <v>-636.86936371</v>
      </c>
      <c r="H14" s="44">
        <v>-638.77957195</v>
      </c>
      <c r="I14" s="44">
        <v>0</v>
      </c>
    </row>
    <row r="15" spans="1:9" ht="15">
      <c r="A15" s="46" t="str">
        <f>HLOOKUP(INDICE!$F$2,Nombres!$C$3:$D$636,40,FALSE)</f>
        <v>  Gastos de personal</v>
      </c>
      <c r="B15" s="44">
        <v>-440.09057207000006</v>
      </c>
      <c r="C15" s="44">
        <v>-425.54149299999995</v>
      </c>
      <c r="D15" s="44">
        <v>-425.16207999999995</v>
      </c>
      <c r="E15" s="45">
        <v>-447.26262397000005</v>
      </c>
      <c r="F15" s="44">
        <v>-427.85188208</v>
      </c>
      <c r="G15" s="44">
        <v>-423.93957044999996</v>
      </c>
      <c r="H15" s="44">
        <v>-428.35016534000005</v>
      </c>
      <c r="I15" s="44">
        <v>0</v>
      </c>
    </row>
    <row r="16" spans="1:9" ht="15">
      <c r="A16" s="46" t="str">
        <f>HLOOKUP(INDICE!$F$2,Nombres!$C$3:$D$636,41,FALSE)</f>
        <v>  Otros gastos de administración</v>
      </c>
      <c r="B16" s="44">
        <v>-224.78976415</v>
      </c>
      <c r="C16" s="44">
        <v>-212.06697426999997</v>
      </c>
      <c r="D16" s="44">
        <v>-209.05751686</v>
      </c>
      <c r="E16" s="45">
        <v>-195.56215099999994</v>
      </c>
      <c r="F16" s="44">
        <v>-214.88458057000003</v>
      </c>
      <c r="G16" s="44">
        <v>-212.92979326</v>
      </c>
      <c r="H16" s="44">
        <v>-210.42940660999997</v>
      </c>
      <c r="I16" s="44">
        <v>0</v>
      </c>
    </row>
    <row r="17" spans="1:9" ht="15">
      <c r="A17" s="43" t="str">
        <f>HLOOKUP(INDICE!$F$2,Nombres!$C$3:$D$636,42,FALSE)</f>
        <v>  Amortización</v>
      </c>
      <c r="B17" s="44">
        <v>-115.06031949</v>
      </c>
      <c r="C17" s="44">
        <v>-115.30434749000003</v>
      </c>
      <c r="D17" s="44">
        <v>-115.87968349</v>
      </c>
      <c r="E17" s="45">
        <v>-113.38121753999998</v>
      </c>
      <c r="F17" s="44">
        <v>-110.10017764</v>
      </c>
      <c r="G17" s="44">
        <v>-109.44032964000002</v>
      </c>
      <c r="H17" s="44">
        <v>-106.95942864000001</v>
      </c>
      <c r="I17" s="44">
        <v>0</v>
      </c>
    </row>
    <row r="18" spans="1:9" ht="15">
      <c r="A18" s="41" t="str">
        <f>HLOOKUP(INDICE!$F$2,Nombres!$C$3:$D$636,43,FALSE)</f>
        <v>Margen neto</v>
      </c>
      <c r="B18" s="41">
        <f>+B12+B13</f>
        <v>730.9626377600001</v>
      </c>
      <c r="C18" s="41">
        <f aca="true" t="shared" si="1" ref="C18:I18">+C12+C13</f>
        <v>644.7762022200004</v>
      </c>
      <c r="D18" s="41">
        <f t="shared" si="1"/>
        <v>734.4213588999997</v>
      </c>
      <c r="E18" s="42">
        <f t="shared" si="1"/>
        <v>417.8714177899999</v>
      </c>
      <c r="F18" s="50">
        <f t="shared" si="1"/>
        <v>892.91385591</v>
      </c>
      <c r="G18" s="50">
        <f t="shared" si="1"/>
        <v>664.5522532100001</v>
      </c>
      <c r="H18" s="50">
        <f t="shared" si="1"/>
        <v>747.7505814299997</v>
      </c>
      <c r="I18" s="50">
        <f t="shared" si="1"/>
        <v>0</v>
      </c>
    </row>
    <row r="19" spans="1:9" ht="15">
      <c r="A19" s="43" t="str">
        <f>HLOOKUP(INDICE!$F$2,Nombres!$C$3:$D$636,44,FALSE)</f>
        <v>Deterioro de activos financieros no valorados a valor razonable con cambios en resultados</v>
      </c>
      <c r="B19" s="44">
        <v>-659.9339739100001</v>
      </c>
      <c r="C19" s="44">
        <v>-222.67384441999994</v>
      </c>
      <c r="D19" s="44">
        <v>-192.35347537</v>
      </c>
      <c r="E19" s="45">
        <v>-92.34482373000003</v>
      </c>
      <c r="F19" s="44">
        <v>-185.08454727999998</v>
      </c>
      <c r="G19" s="44">
        <v>-157.83344586</v>
      </c>
      <c r="H19" s="44">
        <v>-58.82236485999998</v>
      </c>
      <c r="I19" s="44">
        <v>0</v>
      </c>
    </row>
    <row r="20" spans="1:9" ht="15">
      <c r="A20" s="43" t="str">
        <f>HLOOKUP(INDICE!$F$2,Nombres!$C$3:$D$636,45,FALSE)</f>
        <v>Provisiones o reversión de provisiones y otros resultados</v>
      </c>
      <c r="B20" s="44">
        <v>-265.03520912</v>
      </c>
      <c r="C20" s="44">
        <v>-100.13329746999999</v>
      </c>
      <c r="D20" s="44">
        <v>-64.80930900000001</v>
      </c>
      <c r="E20" s="45">
        <v>-107.97342595000003</v>
      </c>
      <c r="F20" s="44">
        <v>-185.52941320999997</v>
      </c>
      <c r="G20" s="44">
        <v>-16.191243169999986</v>
      </c>
      <c r="H20" s="44">
        <v>-40.18388800000001</v>
      </c>
      <c r="I20" s="44">
        <v>0</v>
      </c>
    </row>
    <row r="21" spans="1:9" ht="15">
      <c r="A21" s="41" t="str">
        <f>HLOOKUP(INDICE!$F$2,Nombres!$C$3:$D$636,46,FALSE)</f>
        <v>Resultado antes de impuestos</v>
      </c>
      <c r="B21" s="41">
        <f>+B18+B19+B20</f>
        <v>-194.00654526999995</v>
      </c>
      <c r="C21" s="41">
        <f aca="true" t="shared" si="2" ref="C21:I21">+C18+C19+C20</f>
        <v>321.9690603300005</v>
      </c>
      <c r="D21" s="41">
        <f t="shared" si="2"/>
        <v>477.2585745299998</v>
      </c>
      <c r="E21" s="42">
        <f t="shared" si="2"/>
        <v>217.55316810999983</v>
      </c>
      <c r="F21" s="50">
        <f t="shared" si="2"/>
        <v>522.29989542</v>
      </c>
      <c r="G21" s="50">
        <f t="shared" si="2"/>
        <v>490.5275641800001</v>
      </c>
      <c r="H21" s="50">
        <f t="shared" si="2"/>
        <v>648.7443285699997</v>
      </c>
      <c r="I21" s="50">
        <f t="shared" si="2"/>
        <v>0</v>
      </c>
    </row>
    <row r="22" spans="1:9" ht="15">
      <c r="A22" s="43" t="str">
        <f>HLOOKUP(INDICE!$F$2,Nombres!$C$3:$D$636,47,FALSE)</f>
        <v>Impuesto sobre beneficios</v>
      </c>
      <c r="B22" s="44">
        <v>64.73109778000003</v>
      </c>
      <c r="C22" s="44">
        <v>-83.10083947999999</v>
      </c>
      <c r="D22" s="44">
        <v>-115.65019870000002</v>
      </c>
      <c r="E22" s="45">
        <v>-33.29094359999999</v>
      </c>
      <c r="F22" s="44">
        <v>-140.48859756000002</v>
      </c>
      <c r="G22" s="44">
        <v>-125.88443501</v>
      </c>
      <c r="H22" s="44">
        <v>-170.62944340999996</v>
      </c>
      <c r="I22" s="44">
        <v>0</v>
      </c>
    </row>
    <row r="23" spans="1:9" ht="15">
      <c r="A23" s="41" t="str">
        <f>HLOOKUP(INDICE!$F$2,Nombres!$C$3:$D$636,48,FALSE)</f>
        <v>Resultado del ejercicio</v>
      </c>
      <c r="B23" s="41">
        <f>+B21+B22</f>
        <v>-129.27544748999992</v>
      </c>
      <c r="C23" s="41">
        <f aca="true" t="shared" si="3" ref="C23:I23">+C21+C22</f>
        <v>238.8682208500005</v>
      </c>
      <c r="D23" s="41">
        <f t="shared" si="3"/>
        <v>361.6083758299998</v>
      </c>
      <c r="E23" s="42">
        <f t="shared" si="3"/>
        <v>184.26222450999984</v>
      </c>
      <c r="F23" s="50">
        <f t="shared" si="3"/>
        <v>381.81129785999997</v>
      </c>
      <c r="G23" s="50">
        <f t="shared" si="3"/>
        <v>364.6431291700001</v>
      </c>
      <c r="H23" s="50">
        <f t="shared" si="3"/>
        <v>478.1148851599997</v>
      </c>
      <c r="I23" s="50">
        <f t="shared" si="3"/>
        <v>0</v>
      </c>
    </row>
    <row r="24" spans="1:9" ht="15">
      <c r="A24" s="43" t="str">
        <f>HLOOKUP(INDICE!$F$2,Nombres!$C$3:$D$636,49,FALSE)</f>
        <v>Minoritarios</v>
      </c>
      <c r="B24" s="44">
        <v>-1.19072057</v>
      </c>
      <c r="C24" s="44">
        <v>-0.77747563</v>
      </c>
      <c r="D24" s="44">
        <v>-0.5121923700000001</v>
      </c>
      <c r="E24" s="45">
        <v>-0.99890466</v>
      </c>
      <c r="F24" s="44">
        <v>-0.6923230899999999</v>
      </c>
      <c r="G24" s="44">
        <v>-0.7216836099999999</v>
      </c>
      <c r="H24" s="44">
        <v>-0.4960173900000002</v>
      </c>
      <c r="I24" s="44">
        <v>0</v>
      </c>
    </row>
    <row r="25" spans="1:9" ht="15">
      <c r="A25" s="47" t="str">
        <f>HLOOKUP(INDICE!$F$2,Nombres!$C$3:$D$636,50,FALSE)</f>
        <v>Resultado atribuido</v>
      </c>
      <c r="B25" s="47">
        <f>+B23+B24</f>
        <v>-130.46616805999992</v>
      </c>
      <c r="C25" s="47">
        <f aca="true" t="shared" si="4" ref="C25:I25">+C23+C24</f>
        <v>238.0907452200005</v>
      </c>
      <c r="D25" s="47">
        <f t="shared" si="4"/>
        <v>361.0961834599998</v>
      </c>
      <c r="E25" s="47">
        <f t="shared" si="4"/>
        <v>183.26331984999985</v>
      </c>
      <c r="F25" s="51">
        <f t="shared" si="4"/>
        <v>381.11897476999997</v>
      </c>
      <c r="G25" s="51">
        <f t="shared" si="4"/>
        <v>363.9214455600001</v>
      </c>
      <c r="H25" s="51">
        <f t="shared" si="4"/>
        <v>477.61886776999967</v>
      </c>
      <c r="I25" s="51">
        <f t="shared" si="4"/>
        <v>0</v>
      </c>
    </row>
    <row r="26" spans="1:9" ht="15">
      <c r="A26" s="62"/>
      <c r="B26" s="63">
        <v>0</v>
      </c>
      <c r="C26" s="63">
        <v>3.979039320256561E-13</v>
      </c>
      <c r="D26" s="63">
        <v>0</v>
      </c>
      <c r="E26" s="63">
        <v>0</v>
      </c>
      <c r="F26" s="64">
        <v>0</v>
      </c>
      <c r="G26" s="64">
        <v>0</v>
      </c>
      <c r="H26" s="64">
        <v>0</v>
      </c>
      <c r="I26" s="64">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v>43921</v>
      </c>
      <c r="C30" s="53">
        <v>44012</v>
      </c>
      <c r="D30" s="53">
        <v>44104</v>
      </c>
      <c r="E30" s="53">
        <v>44196</v>
      </c>
      <c r="F30" s="53">
        <v>44286</v>
      </c>
      <c r="G30" s="53">
        <v>44377</v>
      </c>
      <c r="H30" s="53">
        <v>44469</v>
      </c>
      <c r="I30" s="53">
        <v>44561</v>
      </c>
    </row>
    <row r="31" spans="1:11" ht="15">
      <c r="A31" s="43" t="str">
        <f>HLOOKUP(INDICE!$F$2,Nombres!$C$3:$D$636,52,FALSE)</f>
        <v>Efectivo, saldos en efectivo en bancos centrales y otros depósitos a la vista</v>
      </c>
      <c r="B31" s="44">
        <v>20051.933555</v>
      </c>
      <c r="C31" s="44">
        <v>32197.690152999996</v>
      </c>
      <c r="D31" s="44">
        <v>35204.241601</v>
      </c>
      <c r="E31" s="45">
        <v>38356.060688</v>
      </c>
      <c r="F31" s="44">
        <v>26118.438338</v>
      </c>
      <c r="G31" s="44">
        <v>22583.023975</v>
      </c>
      <c r="H31" s="44">
        <v>23137.774677</v>
      </c>
      <c r="I31" s="44">
        <v>0</v>
      </c>
      <c r="K31" s="54"/>
    </row>
    <row r="32" spans="1:11" ht="15">
      <c r="A32" s="43" t="str">
        <f>HLOOKUP(INDICE!$F$2,Nombres!$C$3:$D$636,53,FALSE)</f>
        <v>Activos financieros a valor razonable</v>
      </c>
      <c r="B32" s="58">
        <v>154599.47485821001</v>
      </c>
      <c r="C32" s="58">
        <v>146203.74026055</v>
      </c>
      <c r="D32" s="58">
        <v>137383.86937515</v>
      </c>
      <c r="E32" s="65">
        <v>137968.88566853</v>
      </c>
      <c r="F32" s="44">
        <v>135928.98560393</v>
      </c>
      <c r="G32" s="44">
        <v>140122.07400026</v>
      </c>
      <c r="H32" s="44">
        <v>141521.89174837002</v>
      </c>
      <c r="I32" s="44">
        <v>0</v>
      </c>
      <c r="K32" s="54"/>
    </row>
    <row r="33" spans="1:11" ht="15">
      <c r="A33" s="43" t="str">
        <f>HLOOKUP(INDICE!$F$2,Nombres!$C$3:$D$636,54,FALSE)</f>
        <v>Activos financieros a coste amortizado</v>
      </c>
      <c r="B33" s="44">
        <v>198605.40127084</v>
      </c>
      <c r="C33" s="44">
        <v>203500.2349866</v>
      </c>
      <c r="D33" s="44">
        <v>195888.23964015</v>
      </c>
      <c r="E33" s="45">
        <v>198173.47336224996</v>
      </c>
      <c r="F33" s="44">
        <v>195620.58664919</v>
      </c>
      <c r="G33" s="44">
        <v>198928.27643369997</v>
      </c>
      <c r="H33" s="44">
        <v>197527.4989342</v>
      </c>
      <c r="I33" s="44">
        <v>0</v>
      </c>
      <c r="K33" s="54"/>
    </row>
    <row r="34" spans="1:11" ht="15">
      <c r="A34" s="43" t="str">
        <f>HLOOKUP(INDICE!$F$2,Nombres!$C$3:$D$636,55,FALSE)</f>
        <v>    de los que préstamos y anticipos a la clientela</v>
      </c>
      <c r="B34" s="44">
        <v>168341.93295984002</v>
      </c>
      <c r="C34" s="44">
        <v>172026.2070996</v>
      </c>
      <c r="D34" s="44">
        <v>166475.30912015</v>
      </c>
      <c r="E34" s="45">
        <v>167997.72822425002</v>
      </c>
      <c r="F34" s="44">
        <v>166092.53404819002</v>
      </c>
      <c r="G34" s="44">
        <v>169947.7449377</v>
      </c>
      <c r="H34" s="44">
        <v>168407.76562720002</v>
      </c>
      <c r="I34" s="44">
        <v>0</v>
      </c>
      <c r="K34" s="54"/>
    </row>
    <row r="35" spans="1:11" ht="15">
      <c r="A35" s="43" t="str">
        <f>HLOOKUP(INDICE!$F$2,Nombres!$C$3:$D$636,121,FALSE)</f>
        <v>Posiciones inter-áreas activo</v>
      </c>
      <c r="B35" s="44">
        <v>34578.665391549875</v>
      </c>
      <c r="C35" s="44">
        <v>31754.578453779977</v>
      </c>
      <c r="D35" s="44">
        <v>28237.7315211799</v>
      </c>
      <c r="E35" s="45">
        <v>26474.65149420011</v>
      </c>
      <c r="F35" s="44">
        <v>28484.757509959978</v>
      </c>
      <c r="G35" s="44">
        <v>28841.642335460056</v>
      </c>
      <c r="H35" s="44">
        <v>30098.450376819994</v>
      </c>
      <c r="I35" s="44">
        <v>0</v>
      </c>
      <c r="K35" s="54"/>
    </row>
    <row r="36" spans="1:11" ht="15">
      <c r="A36" s="43" t="str">
        <f>HLOOKUP(INDICE!$F$2,Nombres!$C$3:$D$636,56,FALSE)</f>
        <v>Activos tangibles</v>
      </c>
      <c r="B36" s="58">
        <v>3219.124845</v>
      </c>
      <c r="C36" s="58">
        <v>3149.0445779999995</v>
      </c>
      <c r="D36" s="58">
        <v>3055.447739</v>
      </c>
      <c r="E36" s="65">
        <v>2901.766363</v>
      </c>
      <c r="F36" s="44">
        <v>2825.418143</v>
      </c>
      <c r="G36" s="44">
        <v>2499.116668</v>
      </c>
      <c r="H36" s="44">
        <v>2458.447295</v>
      </c>
      <c r="I36" s="44">
        <v>0</v>
      </c>
      <c r="K36" s="54"/>
    </row>
    <row r="37" spans="1:11" ht="15">
      <c r="A37" s="43" t="str">
        <f>HLOOKUP(INDICE!$F$2,Nombres!$C$3:$D$636,57,FALSE)</f>
        <v>Otros activos</v>
      </c>
      <c r="B37" s="58">
        <f aca="true" t="shared" si="5" ref="B37:I37">+B38-B36-B33-B32-B31-B35</f>
        <v>7361.732705410075</v>
      </c>
      <c r="C37" s="58">
        <f t="shared" si="5"/>
        <v>7125.983596060025</v>
      </c>
      <c r="D37" s="58">
        <f t="shared" si="5"/>
        <v>7076.032322460043</v>
      </c>
      <c r="E37" s="65">
        <f t="shared" si="5"/>
        <v>6534.584474229952</v>
      </c>
      <c r="F37" s="44">
        <f t="shared" si="5"/>
        <v>5925.951341200045</v>
      </c>
      <c r="G37" s="44">
        <f t="shared" si="5"/>
        <v>6205.514388499971</v>
      </c>
      <c r="H37" s="44">
        <f t="shared" si="5"/>
        <v>6105.163002499998</v>
      </c>
      <c r="I37" s="44">
        <f t="shared" si="5"/>
        <v>0</v>
      </c>
      <c r="K37" s="54"/>
    </row>
    <row r="38" spans="1:11" ht="15">
      <c r="A38" s="47" t="str">
        <f>HLOOKUP(INDICE!$F$2,Nombres!$C$3:$D$636,58,FALSE)</f>
        <v>Total activo / pasivo</v>
      </c>
      <c r="B38" s="47">
        <v>418416.33262600994</v>
      </c>
      <c r="C38" s="47">
        <v>423931.27202798997</v>
      </c>
      <c r="D38" s="47">
        <v>406845.56219893997</v>
      </c>
      <c r="E38" s="47">
        <v>410409.42205021</v>
      </c>
      <c r="F38" s="51">
        <v>394904.13758528</v>
      </c>
      <c r="G38" s="51">
        <v>399179.64780092</v>
      </c>
      <c r="H38" s="51">
        <v>400849.22603389004</v>
      </c>
      <c r="I38" s="51">
        <v>0</v>
      </c>
      <c r="K38" s="54"/>
    </row>
    <row r="39" spans="1:11" ht="15">
      <c r="A39" s="43" t="str">
        <f>HLOOKUP(INDICE!$F$2,Nombres!$C$3:$D$636,59,FALSE)</f>
        <v>Pasivos financieros mantenidos para negociar y designados a valor razonable con cambios en resultados</v>
      </c>
      <c r="B39" s="58">
        <v>109020.14439500001</v>
      </c>
      <c r="C39" s="58">
        <v>96490.68054700001</v>
      </c>
      <c r="D39" s="58">
        <v>84175.98843299998</v>
      </c>
      <c r="E39" s="65">
        <v>73920.89025055002</v>
      </c>
      <c r="F39" s="44">
        <v>70950.039919</v>
      </c>
      <c r="G39" s="44">
        <v>71093.34319400002</v>
      </c>
      <c r="H39" s="44">
        <v>72654.914403</v>
      </c>
      <c r="I39" s="44">
        <v>0</v>
      </c>
      <c r="K39" s="54"/>
    </row>
    <row r="40" spans="1:11" ht="15">
      <c r="A40" s="43" t="str">
        <f>HLOOKUP(INDICE!$F$2,Nombres!$C$3:$D$636,60,FALSE)</f>
        <v>Depósitos de bancos centrales y entidades de crédito</v>
      </c>
      <c r="B40" s="58">
        <v>55279.53084162</v>
      </c>
      <c r="C40" s="58">
        <v>60532.569948000004</v>
      </c>
      <c r="D40" s="58">
        <v>54427.276649</v>
      </c>
      <c r="E40" s="65">
        <v>58783.359699</v>
      </c>
      <c r="F40" s="44">
        <v>59594.62790700001</v>
      </c>
      <c r="G40" s="44">
        <v>58397.536383</v>
      </c>
      <c r="H40" s="44">
        <v>58351.436717</v>
      </c>
      <c r="I40" s="44">
        <v>0</v>
      </c>
      <c r="K40" s="54"/>
    </row>
    <row r="41" spans="1:11" ht="15.75" customHeight="1">
      <c r="A41" s="43" t="str">
        <f>HLOOKUP(INDICE!$F$2,Nombres!$C$3:$D$636,61,FALSE)</f>
        <v>Depósitos de la clientela</v>
      </c>
      <c r="B41" s="58">
        <v>186327.389049</v>
      </c>
      <c r="C41" s="58">
        <v>195675.714629</v>
      </c>
      <c r="D41" s="58">
        <v>195682.23994699997</v>
      </c>
      <c r="E41" s="65">
        <v>206427.720641</v>
      </c>
      <c r="F41" s="44">
        <v>196589.82502999998</v>
      </c>
      <c r="G41" s="44">
        <v>200196.62135399994</v>
      </c>
      <c r="H41" s="44">
        <v>200221.75234999997</v>
      </c>
      <c r="I41" s="44">
        <v>0</v>
      </c>
      <c r="K41" s="54"/>
    </row>
    <row r="42" spans="1:11" ht="15">
      <c r="A42" s="43" t="str">
        <f>HLOOKUP(INDICE!$F$2,Nombres!$C$3:$D$636,62,FALSE)</f>
        <v>Valores representativos de deuda emitidos</v>
      </c>
      <c r="B42" s="44">
        <v>39244.85684196</v>
      </c>
      <c r="C42" s="44">
        <v>40773.41336239</v>
      </c>
      <c r="D42" s="44">
        <v>43011.47680101001</v>
      </c>
      <c r="E42" s="45">
        <v>41016.01248291999</v>
      </c>
      <c r="F42" s="44">
        <v>37855.60884842</v>
      </c>
      <c r="G42" s="44">
        <v>36939.51587602</v>
      </c>
      <c r="H42" s="44">
        <v>37605.047891530005</v>
      </c>
      <c r="I42" s="44">
        <v>0</v>
      </c>
      <c r="K42" s="54"/>
    </row>
    <row r="43" spans="1:11" ht="15">
      <c r="A43" s="43" t="str">
        <f>HLOOKUP(INDICE!$F$2,Nombres!$C$3:$D$636,122,FALSE)</f>
        <v>Posiciones inter-áreas pasivo</v>
      </c>
      <c r="B43" s="44">
        <v>0</v>
      </c>
      <c r="C43" s="44">
        <v>0</v>
      </c>
      <c r="D43" s="44">
        <v>0</v>
      </c>
      <c r="E43" s="45">
        <v>0</v>
      </c>
      <c r="F43" s="44">
        <v>0</v>
      </c>
      <c r="G43" s="44">
        <v>0</v>
      </c>
      <c r="H43" s="44">
        <v>0</v>
      </c>
      <c r="I43" s="44">
        <v>0</v>
      </c>
      <c r="K43" s="54"/>
    </row>
    <row r="44" spans="1:11" ht="15">
      <c r="A44" s="43" t="str">
        <f>HLOOKUP(INDICE!$F$2,Nombres!$C$3:$D$636,63,FALSE)</f>
        <v>Otros pasivos</v>
      </c>
      <c r="B44" s="44">
        <f>+B38-B39-B40-B41-B42-B45-B43</f>
        <v>14797.202950929945</v>
      </c>
      <c r="C44" s="44">
        <f aca="true" t="shared" si="6" ref="C44:I44">+C38-C39-C40-C41-C42-C45-C43</f>
        <v>17003.441695699927</v>
      </c>
      <c r="D44" s="44">
        <f t="shared" si="6"/>
        <v>16386.742863709995</v>
      </c>
      <c r="E44" s="45">
        <f t="shared" si="6"/>
        <v>16955.399050099997</v>
      </c>
      <c r="F44" s="44">
        <f t="shared" si="6"/>
        <v>17254.443639269997</v>
      </c>
      <c r="G44" s="44">
        <f t="shared" si="6"/>
        <v>19375.494734910077</v>
      </c>
      <c r="H44" s="44">
        <f t="shared" si="6"/>
        <v>18495.71732262006</v>
      </c>
      <c r="I44" s="44">
        <f t="shared" si="6"/>
        <v>0</v>
      </c>
      <c r="K44" s="54"/>
    </row>
    <row r="45" spans="1:11" ht="15">
      <c r="A45" s="43" t="str">
        <f>HLOOKUP(INDICE!$F$2,Nombres!$C$3:$D$636,282,FALSE)</f>
        <v>Dotación de capital regulatorio</v>
      </c>
      <c r="B45" s="44">
        <v>13747.2085475</v>
      </c>
      <c r="C45" s="44">
        <v>13455.451845900001</v>
      </c>
      <c r="D45" s="44">
        <v>13161.83750522</v>
      </c>
      <c r="E45" s="45">
        <v>13306.039926640002</v>
      </c>
      <c r="F45" s="44">
        <v>12659.592241590002</v>
      </c>
      <c r="G45" s="44">
        <v>13177.13625899</v>
      </c>
      <c r="H45" s="44">
        <v>13520.35734974</v>
      </c>
      <c r="I45" s="44">
        <v>0</v>
      </c>
      <c r="K45" s="54"/>
    </row>
    <row r="46" spans="1:9" ht="15">
      <c r="A46" s="62"/>
      <c r="B46" s="58"/>
      <c r="C46" s="58"/>
      <c r="D46" s="58"/>
      <c r="E46" s="58"/>
      <c r="F46" s="58"/>
      <c r="G46" s="58"/>
      <c r="H46" s="58"/>
      <c r="I46" s="58"/>
    </row>
    <row r="47" spans="1:9" ht="15">
      <c r="A47" s="43"/>
      <c r="B47" s="58"/>
      <c r="C47" s="58"/>
      <c r="D47" s="58"/>
      <c r="E47" s="58"/>
      <c r="F47" s="58"/>
      <c r="G47" s="58"/>
      <c r="H47" s="58"/>
      <c r="I47" s="58"/>
    </row>
    <row r="48" spans="1:9" ht="18">
      <c r="A48" s="66" t="str">
        <f>HLOOKUP(INDICE!$F$2,Nombres!$C$3:$D$636,65,FALSE)</f>
        <v>Indicadores relevantes y de gestión</v>
      </c>
      <c r="B48" s="67"/>
      <c r="C48" s="67"/>
      <c r="D48" s="67"/>
      <c r="E48" s="67"/>
      <c r="F48" s="67"/>
      <c r="G48" s="67"/>
      <c r="H48" s="67"/>
      <c r="I48" s="67"/>
    </row>
    <row r="49" spans="1:9" ht="15">
      <c r="A49" s="35" t="str">
        <f>HLOOKUP(INDICE!$F$2,Nombres!$C$3:$D$636,32,FALSE)</f>
        <v>(Millones de euros)</v>
      </c>
      <c r="B49" s="30"/>
      <c r="C49" s="30"/>
      <c r="D49" s="30"/>
      <c r="E49" s="30"/>
      <c r="F49" s="30"/>
      <c r="G49" s="58"/>
      <c r="H49" s="58"/>
      <c r="I49" s="58"/>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43" t="str">
        <f>HLOOKUP(INDICE!$F$2,Nombres!$C$3:$D$636,66,FALSE)</f>
        <v>Préstamos y anticipos a la clientela bruto (*)</v>
      </c>
      <c r="B51" s="44">
        <v>173752.79226962</v>
      </c>
      <c r="C51" s="44">
        <v>176580.61895756997</v>
      </c>
      <c r="D51" s="44">
        <v>171988.81991</v>
      </c>
      <c r="E51" s="45">
        <v>173403.71629300003</v>
      </c>
      <c r="F51" s="44">
        <v>171564.450283</v>
      </c>
      <c r="G51" s="44">
        <v>175091.016284</v>
      </c>
      <c r="H51" s="44">
        <v>173486.36603937</v>
      </c>
      <c r="I51" s="44">
        <v>0</v>
      </c>
    </row>
    <row r="52" spans="1:9" ht="15">
      <c r="A52" s="43" t="str">
        <f>HLOOKUP(INDICE!$F$2,Nombres!$C$3:$D$636,67,FALSE)</f>
        <v>Depósitos de clientes en gestión (**)</v>
      </c>
      <c r="B52" s="44">
        <v>186327.38868800004</v>
      </c>
      <c r="C52" s="44">
        <v>195675.71426799998</v>
      </c>
      <c r="D52" s="44">
        <v>195682.23958599998</v>
      </c>
      <c r="E52" s="45">
        <v>205808.50891099998</v>
      </c>
      <c r="F52" s="44">
        <v>196004.84808</v>
      </c>
      <c r="G52" s="44">
        <v>199580.71829100003</v>
      </c>
      <c r="H52" s="44">
        <v>199599.51979</v>
      </c>
      <c r="I52" s="44">
        <v>0</v>
      </c>
    </row>
    <row r="53" spans="1:9" ht="15">
      <c r="A53" s="43" t="str">
        <f>HLOOKUP(INDICE!$F$2,Nombres!$C$3:$D$636,68,FALSE)</f>
        <v>Fondos de inversión</v>
      </c>
      <c r="B53" s="44">
        <v>35963.94521486</v>
      </c>
      <c r="C53" s="44">
        <v>37635.00173682</v>
      </c>
      <c r="D53" s="44">
        <v>37421.75498915</v>
      </c>
      <c r="E53" s="45">
        <v>38434.09314594</v>
      </c>
      <c r="F53" s="44">
        <v>39871.25105099999</v>
      </c>
      <c r="G53" s="44">
        <v>41445.98254481</v>
      </c>
      <c r="H53" s="44">
        <v>42153.76981117001</v>
      </c>
      <c r="I53" s="44">
        <v>0</v>
      </c>
    </row>
    <row r="54" spans="1:9" ht="15">
      <c r="A54" s="43" t="str">
        <f>HLOOKUP(INDICE!$F$2,Nombres!$C$3:$D$636,69,FALSE)</f>
        <v>Fondos de pensiones</v>
      </c>
      <c r="B54" s="44">
        <v>22564.26787486</v>
      </c>
      <c r="C54" s="44">
        <v>23338.87407048</v>
      </c>
      <c r="D54" s="44">
        <v>23469.23278831</v>
      </c>
      <c r="E54" s="45">
        <v>24272.90178402</v>
      </c>
      <c r="F54" s="44">
        <v>24581.019303769997</v>
      </c>
      <c r="G54" s="44">
        <v>24953.45475065</v>
      </c>
      <c r="H54" s="44">
        <v>24964.93470501</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61" spans="2:9" ht="15">
      <c r="B61" s="54"/>
      <c r="C61" s="54"/>
      <c r="D61" s="54"/>
      <c r="E61" s="54"/>
      <c r="F61" s="54"/>
      <c r="G61" s="54"/>
      <c r="H61" s="54"/>
      <c r="I61" s="54"/>
    </row>
    <row r="1000" ht="15">
      <c r="A1000" s="31" t="s">
        <v>396</v>
      </c>
    </row>
  </sheetData>
  <sheetProtection/>
  <mergeCells count="2">
    <mergeCell ref="B6:E6"/>
    <mergeCell ref="F6:I6"/>
  </mergeCells>
  <conditionalFormatting sqref="B26:I26">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1545.28894412</v>
      </c>
      <c r="C8" s="41">
        <v>1171.92793003</v>
      </c>
      <c r="D8" s="41">
        <v>1318.7832245</v>
      </c>
      <c r="E8" s="42">
        <v>1378.6220557400002</v>
      </c>
      <c r="F8" s="50">
        <v>1366.2208904400002</v>
      </c>
      <c r="G8" s="50">
        <v>1404.86537968</v>
      </c>
      <c r="H8" s="50">
        <v>1508.9767515400004</v>
      </c>
      <c r="I8" s="50">
        <v>0</v>
      </c>
    </row>
    <row r="9" spans="1:9" ht="15">
      <c r="A9" s="43" t="str">
        <f>HLOOKUP(INDICE!$F$2,Nombres!$C$3:$D$636,34,FALSE)</f>
        <v>Comisiones netas</v>
      </c>
      <c r="B9" s="44">
        <v>295.60459267</v>
      </c>
      <c r="C9" s="44">
        <v>215.74048713000002</v>
      </c>
      <c r="D9" s="44">
        <v>251.72344403</v>
      </c>
      <c r="E9" s="45">
        <v>297.84946498000005</v>
      </c>
      <c r="F9" s="44">
        <v>281.56553275000005</v>
      </c>
      <c r="G9" s="44">
        <v>299.25527668000007</v>
      </c>
      <c r="H9" s="44">
        <v>317.0497586000001</v>
      </c>
      <c r="I9" s="44">
        <v>0</v>
      </c>
    </row>
    <row r="10" spans="1:9" ht="15">
      <c r="A10" s="43" t="str">
        <f>HLOOKUP(INDICE!$F$2,Nombres!$C$3:$D$636,35,FALSE)</f>
        <v>Resultados de operaciones financieras</v>
      </c>
      <c r="B10" s="44">
        <v>78.26088806000001</v>
      </c>
      <c r="C10" s="44">
        <v>153.29599518999999</v>
      </c>
      <c r="D10" s="44">
        <v>98.60487913</v>
      </c>
      <c r="E10" s="45">
        <v>92.64355686000002</v>
      </c>
      <c r="F10" s="44">
        <v>69.14014961999999</v>
      </c>
      <c r="G10" s="44">
        <v>95.77761064</v>
      </c>
      <c r="H10" s="44">
        <v>87.99758012</v>
      </c>
      <c r="I10" s="44">
        <v>0</v>
      </c>
    </row>
    <row r="11" spans="1:9" ht="15">
      <c r="A11" s="43" t="str">
        <f>HLOOKUP(INDICE!$F$2,Nombres!$C$3:$D$636,36,FALSE)</f>
        <v>Otros ingresos y cargas de explotación</v>
      </c>
      <c r="B11" s="44">
        <v>73.94899999</v>
      </c>
      <c r="C11" s="44">
        <v>18.98699999000008</v>
      </c>
      <c r="D11" s="44">
        <v>14.536000010000034</v>
      </c>
      <c r="E11" s="45">
        <v>18.778999999999964</v>
      </c>
      <c r="F11" s="44">
        <v>43.806999969999964</v>
      </c>
      <c r="G11" s="44">
        <v>43.580000020000156</v>
      </c>
      <c r="H11" s="44">
        <v>39.274000029999996</v>
      </c>
      <c r="I11" s="44">
        <v>0</v>
      </c>
    </row>
    <row r="12" spans="1:9" ht="15">
      <c r="A12" s="41" t="str">
        <f>HLOOKUP(INDICE!$F$2,Nombres!$C$3:$D$636,37,FALSE)</f>
        <v>Margen bruto</v>
      </c>
      <c r="B12" s="41">
        <f>+SUM(B8:B11)</f>
        <v>1993.10342484</v>
      </c>
      <c r="C12" s="41">
        <f aca="true" t="shared" si="0" ref="C12:I12">+SUM(C8:C11)</f>
        <v>1559.9514123400002</v>
      </c>
      <c r="D12" s="41">
        <f t="shared" si="0"/>
        <v>1683.6475476699998</v>
      </c>
      <c r="E12" s="42">
        <f t="shared" si="0"/>
        <v>1787.8940775800002</v>
      </c>
      <c r="F12" s="50">
        <f t="shared" si="0"/>
        <v>1760.7335727800003</v>
      </c>
      <c r="G12" s="50">
        <f t="shared" si="0"/>
        <v>1843.47826702</v>
      </c>
      <c r="H12" s="50">
        <f t="shared" si="0"/>
        <v>1953.2980902900006</v>
      </c>
      <c r="I12" s="50">
        <f t="shared" si="0"/>
        <v>0</v>
      </c>
    </row>
    <row r="13" spans="1:9" ht="15">
      <c r="A13" s="43" t="str">
        <f>HLOOKUP(INDICE!$F$2,Nombres!$C$3:$D$636,38,FALSE)</f>
        <v>Gastos de explotación</v>
      </c>
      <c r="B13" s="44">
        <v>-662.45626868</v>
      </c>
      <c r="C13" s="44">
        <v>-539.74462109</v>
      </c>
      <c r="D13" s="44">
        <v>-543.00960506</v>
      </c>
      <c r="E13" s="45">
        <v>-599.18878454</v>
      </c>
      <c r="F13" s="44">
        <v>-622.31016494</v>
      </c>
      <c r="G13" s="44">
        <v>-644.8943257799999</v>
      </c>
      <c r="H13" s="44">
        <v>-681.1818381399999</v>
      </c>
      <c r="I13" s="44">
        <v>0</v>
      </c>
    </row>
    <row r="14" spans="1:9" ht="15">
      <c r="A14" s="43" t="str">
        <f>HLOOKUP(INDICE!$F$2,Nombres!$C$3:$D$636,39,FALSE)</f>
        <v>  Gastos de administración</v>
      </c>
      <c r="B14" s="44">
        <v>-576.90420865</v>
      </c>
      <c r="C14" s="44">
        <v>-466.62441115999997</v>
      </c>
      <c r="D14" s="44">
        <v>-468.64338205</v>
      </c>
      <c r="E14" s="45">
        <v>-520.67002754</v>
      </c>
      <c r="F14" s="44">
        <v>-543.9133599200001</v>
      </c>
      <c r="G14" s="44">
        <v>-565.5937507900001</v>
      </c>
      <c r="H14" s="44">
        <v>-597.09366122</v>
      </c>
      <c r="I14" s="44">
        <v>0</v>
      </c>
    </row>
    <row r="15" spans="1:9" ht="15">
      <c r="A15" s="46" t="str">
        <f>HLOOKUP(INDICE!$F$2,Nombres!$C$3:$D$636,40,FALSE)</f>
        <v>  Gastos de personal</v>
      </c>
      <c r="B15" s="44">
        <v>-288.0072626</v>
      </c>
      <c r="C15" s="44">
        <v>-206.45298853000003</v>
      </c>
      <c r="D15" s="44">
        <v>-227.88140429999999</v>
      </c>
      <c r="E15" s="45">
        <v>-253.24898643000006</v>
      </c>
      <c r="F15" s="44">
        <v>-255.18485251</v>
      </c>
      <c r="G15" s="44">
        <v>-269.27963647</v>
      </c>
      <c r="H15" s="44">
        <v>-328.77337012</v>
      </c>
      <c r="I15" s="44">
        <v>0</v>
      </c>
    </row>
    <row r="16" spans="1:9" ht="15">
      <c r="A16" s="46" t="str">
        <f>HLOOKUP(INDICE!$F$2,Nombres!$C$3:$D$636,41,FALSE)</f>
        <v>  Otros gastos de administración</v>
      </c>
      <c r="B16" s="44">
        <v>-288.89694605</v>
      </c>
      <c r="C16" s="44">
        <v>-260.17142263</v>
      </c>
      <c r="D16" s="44">
        <v>-240.76197775000003</v>
      </c>
      <c r="E16" s="45">
        <v>-267.42104111</v>
      </c>
      <c r="F16" s="44">
        <v>-288.72850741</v>
      </c>
      <c r="G16" s="44">
        <v>-296.31411432</v>
      </c>
      <c r="H16" s="44">
        <v>-268.32029109999996</v>
      </c>
      <c r="I16" s="44">
        <v>0</v>
      </c>
    </row>
    <row r="17" spans="1:9" ht="15">
      <c r="A17" s="43" t="str">
        <f>HLOOKUP(INDICE!$F$2,Nombres!$C$3:$D$636,42,FALSE)</f>
        <v>  Amortización</v>
      </c>
      <c r="B17" s="44">
        <v>-85.55206003</v>
      </c>
      <c r="C17" s="44">
        <v>-73.12020993</v>
      </c>
      <c r="D17" s="44">
        <v>-74.36622301</v>
      </c>
      <c r="E17" s="45">
        <v>-78.518757</v>
      </c>
      <c r="F17" s="44">
        <v>-78.39680502</v>
      </c>
      <c r="G17" s="44">
        <v>-79.30057498999999</v>
      </c>
      <c r="H17" s="44">
        <v>-84.08817692</v>
      </c>
      <c r="I17" s="44">
        <v>0</v>
      </c>
    </row>
    <row r="18" spans="1:9" ht="15">
      <c r="A18" s="41" t="str">
        <f>HLOOKUP(INDICE!$F$2,Nombres!$C$3:$D$636,43,FALSE)</f>
        <v>Margen neto</v>
      </c>
      <c r="B18" s="41">
        <f>+B12+B13</f>
        <v>1330.64715616</v>
      </c>
      <c r="C18" s="41">
        <f aca="true" t="shared" si="1" ref="C18:I18">+C12+C13</f>
        <v>1020.2067912500002</v>
      </c>
      <c r="D18" s="41">
        <f t="shared" si="1"/>
        <v>1140.6379426099998</v>
      </c>
      <c r="E18" s="42">
        <f t="shared" si="1"/>
        <v>1188.70529304</v>
      </c>
      <c r="F18" s="50">
        <f t="shared" si="1"/>
        <v>1138.4234078400002</v>
      </c>
      <c r="G18" s="50">
        <f t="shared" si="1"/>
        <v>1198.58394124</v>
      </c>
      <c r="H18" s="50">
        <f t="shared" si="1"/>
        <v>1272.1162521500007</v>
      </c>
      <c r="I18" s="50">
        <f t="shared" si="1"/>
        <v>0</v>
      </c>
    </row>
    <row r="19" spans="1:9" ht="15">
      <c r="A19" s="43" t="str">
        <f>HLOOKUP(INDICE!$F$2,Nombres!$C$3:$D$636,44,FALSE)</f>
        <v>Deterioro de activos financieros no valorados a valor razonable con cambios en resultados</v>
      </c>
      <c r="B19" s="44">
        <v>-773.1019999700001</v>
      </c>
      <c r="C19" s="44">
        <v>-621.3509999999999</v>
      </c>
      <c r="D19" s="44">
        <v>-354.77100005000005</v>
      </c>
      <c r="E19" s="45">
        <v>-423.13399993999997</v>
      </c>
      <c r="F19" s="44">
        <v>-457.89600006</v>
      </c>
      <c r="G19" s="44">
        <v>-283.35099992</v>
      </c>
      <c r="H19" s="44">
        <v>-334.22599999000005</v>
      </c>
      <c r="I19" s="44">
        <v>0</v>
      </c>
    </row>
    <row r="20" spans="1:9" ht="15">
      <c r="A20" s="43" t="str">
        <f>HLOOKUP(INDICE!$F$2,Nombres!$C$3:$D$636,45,FALSE)</f>
        <v>Provisiones o reversión de provisiones y otros resultados</v>
      </c>
      <c r="B20" s="44">
        <v>-12.61499997</v>
      </c>
      <c r="C20" s="44">
        <v>-51.25200002</v>
      </c>
      <c r="D20" s="44">
        <v>15.984000009999997</v>
      </c>
      <c r="E20" s="45">
        <v>15.26099998000001</v>
      </c>
      <c r="F20" s="44">
        <v>1.8089999800000047</v>
      </c>
      <c r="G20" s="44">
        <v>7.059000009999996</v>
      </c>
      <c r="H20" s="44">
        <v>8.894000000000005</v>
      </c>
      <c r="I20" s="44">
        <v>0</v>
      </c>
    </row>
    <row r="21" spans="1:9" ht="15">
      <c r="A21" s="41" t="str">
        <f>HLOOKUP(INDICE!$F$2,Nombres!$C$3:$D$636,46,FALSE)</f>
        <v>Resultado antes de impuestos</v>
      </c>
      <c r="B21" s="41">
        <f>+B18+B19+B20</f>
        <v>544.9301562199998</v>
      </c>
      <c r="C21" s="41">
        <f aca="true" t="shared" si="2" ref="C21:I21">+C18+C19+C20</f>
        <v>347.6037912300003</v>
      </c>
      <c r="D21" s="41">
        <f t="shared" si="2"/>
        <v>801.8509425699997</v>
      </c>
      <c r="E21" s="42">
        <f t="shared" si="2"/>
        <v>780.8322930800001</v>
      </c>
      <c r="F21" s="50">
        <f t="shared" si="2"/>
        <v>682.3364077600002</v>
      </c>
      <c r="G21" s="50">
        <f t="shared" si="2"/>
        <v>922.29194133</v>
      </c>
      <c r="H21" s="50">
        <f t="shared" si="2"/>
        <v>946.7842521600007</v>
      </c>
      <c r="I21" s="50">
        <f t="shared" si="2"/>
        <v>0</v>
      </c>
    </row>
    <row r="22" spans="1:9" ht="15">
      <c r="A22" s="43" t="str">
        <f>HLOOKUP(INDICE!$F$2,Nombres!$C$3:$D$636,47,FALSE)</f>
        <v>Impuesto sobre beneficios</v>
      </c>
      <c r="B22" s="44">
        <v>-172.27255225000002</v>
      </c>
      <c r="C22" s="44">
        <v>-64.34253133999998</v>
      </c>
      <c r="D22" s="44">
        <v>-251.48274954999994</v>
      </c>
      <c r="E22" s="45">
        <v>-225.7838080100001</v>
      </c>
      <c r="F22" s="44">
        <v>-189.35086325</v>
      </c>
      <c r="G22" s="44">
        <v>-288.33996212999995</v>
      </c>
      <c r="H22" s="44">
        <v>-262.06356015999995</v>
      </c>
      <c r="I22" s="44">
        <v>0</v>
      </c>
    </row>
    <row r="23" spans="1:9" ht="15">
      <c r="A23" s="41" t="str">
        <f>HLOOKUP(INDICE!$F$2,Nombres!$C$3:$D$636,48,FALSE)</f>
        <v>Resultado del ejercicio</v>
      </c>
      <c r="B23" s="41">
        <f>+B21+B22</f>
        <v>372.65760396999985</v>
      </c>
      <c r="C23" s="41">
        <f aca="true" t="shared" si="3" ref="C23:I23">+C21+C22</f>
        <v>283.2612598900003</v>
      </c>
      <c r="D23" s="41">
        <f t="shared" si="3"/>
        <v>550.3681930199998</v>
      </c>
      <c r="E23" s="42">
        <f t="shared" si="3"/>
        <v>555.04848507</v>
      </c>
      <c r="F23" s="50">
        <f t="shared" si="3"/>
        <v>492.9855445100002</v>
      </c>
      <c r="G23" s="50">
        <f t="shared" si="3"/>
        <v>633.9519792000001</v>
      </c>
      <c r="H23" s="50">
        <f t="shared" si="3"/>
        <v>684.7206920000008</v>
      </c>
      <c r="I23" s="50">
        <f t="shared" si="3"/>
        <v>0</v>
      </c>
    </row>
    <row r="24" spans="1:9" ht="15">
      <c r="A24" s="43" t="str">
        <f>HLOOKUP(INDICE!$F$2,Nombres!$C$3:$D$636,49,FALSE)</f>
        <v>Minoritarios</v>
      </c>
      <c r="B24" s="44">
        <v>-0.06799999999999999</v>
      </c>
      <c r="C24" s="44">
        <v>-0.05400000000000001</v>
      </c>
      <c r="D24" s="44">
        <v>-0.11200000000000002</v>
      </c>
      <c r="E24" s="45">
        <v>-0.09899999999999999</v>
      </c>
      <c r="F24" s="44">
        <v>-0.085</v>
      </c>
      <c r="G24" s="44">
        <v>-0.121</v>
      </c>
      <c r="H24" s="44">
        <v>-0.123</v>
      </c>
      <c r="I24" s="44">
        <v>0</v>
      </c>
    </row>
    <row r="25" spans="1:9" ht="15">
      <c r="A25" s="47" t="str">
        <f>HLOOKUP(INDICE!$F$2,Nombres!$C$3:$D$636,50,FALSE)</f>
        <v>Resultado atribuido</v>
      </c>
      <c r="B25" s="47">
        <f>+B23+B24</f>
        <v>372.58960396999987</v>
      </c>
      <c r="C25" s="47">
        <f aca="true" t="shared" si="4" ref="C25:I25">+C23+C24</f>
        <v>283.20725989000033</v>
      </c>
      <c r="D25" s="47">
        <f t="shared" si="4"/>
        <v>550.2561930199998</v>
      </c>
      <c r="E25" s="47">
        <f t="shared" si="4"/>
        <v>554.9494850699999</v>
      </c>
      <c r="F25" s="51">
        <f t="shared" si="4"/>
        <v>492.9005445100002</v>
      </c>
      <c r="G25" s="51">
        <f t="shared" si="4"/>
        <v>633.8309792000001</v>
      </c>
      <c r="H25" s="51">
        <f t="shared" si="4"/>
        <v>684.5976920000007</v>
      </c>
      <c r="I25" s="51">
        <f t="shared" si="4"/>
        <v>0</v>
      </c>
    </row>
    <row r="26" spans="1:9" ht="15">
      <c r="A26" s="62"/>
      <c r="B26" s="63">
        <v>0</v>
      </c>
      <c r="C26" s="63">
        <v>0</v>
      </c>
      <c r="D26" s="63">
        <v>0</v>
      </c>
      <c r="E26" s="63">
        <v>0</v>
      </c>
      <c r="F26" s="63">
        <v>-4.547473508864641E-13</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5851.538999979999</v>
      </c>
      <c r="C31" s="44">
        <v>6565.50000001</v>
      </c>
      <c r="D31" s="44">
        <v>7990.55000001</v>
      </c>
      <c r="E31" s="45">
        <v>9161.194</v>
      </c>
      <c r="F31" s="44">
        <v>10641.473</v>
      </c>
      <c r="G31" s="44">
        <v>13097.19699999</v>
      </c>
      <c r="H31" s="44">
        <v>13776.94199999</v>
      </c>
      <c r="I31" s="44">
        <v>0</v>
      </c>
    </row>
    <row r="32" spans="1:9" ht="15">
      <c r="A32" s="43" t="str">
        <f>HLOOKUP(INDICE!$F$2,Nombres!$C$3:$D$636,53,FALSE)</f>
        <v>Activos financieros a valor razonable</v>
      </c>
      <c r="B32" s="58">
        <v>34750.406</v>
      </c>
      <c r="C32" s="58">
        <v>33941.22699999</v>
      </c>
      <c r="D32" s="58">
        <v>31937.569</v>
      </c>
      <c r="E32" s="65">
        <v>36360.08799999</v>
      </c>
      <c r="F32" s="44">
        <v>33914.79300004</v>
      </c>
      <c r="G32" s="44">
        <v>34697.427</v>
      </c>
      <c r="H32" s="44">
        <v>33472.055000019995</v>
      </c>
      <c r="I32" s="44">
        <v>0</v>
      </c>
    </row>
    <row r="33" spans="1:9" ht="15">
      <c r="A33" s="43" t="str">
        <f>HLOOKUP(INDICE!$F$2,Nombres!$C$3:$D$636,54,FALSE)</f>
        <v>Activos financieros a coste amortizado</v>
      </c>
      <c r="B33" s="44">
        <v>58838.916000020006</v>
      </c>
      <c r="C33" s="44">
        <v>58417.727000009996</v>
      </c>
      <c r="D33" s="44">
        <v>56834.839999970005</v>
      </c>
      <c r="E33" s="45">
        <v>59818.64699994001</v>
      </c>
      <c r="F33" s="44">
        <v>60857.970999929996</v>
      </c>
      <c r="G33" s="44">
        <v>61847.353999880004</v>
      </c>
      <c r="H33" s="44">
        <v>62195.73199996001</v>
      </c>
      <c r="I33" s="44">
        <v>0</v>
      </c>
    </row>
    <row r="34" spans="1:9" ht="15">
      <c r="A34" s="43" t="str">
        <f>HLOOKUP(INDICE!$F$2,Nombres!$C$3:$D$636,55,FALSE)</f>
        <v>    de los que préstamos y anticipos a la clientela</v>
      </c>
      <c r="B34" s="44">
        <v>50484.05000001</v>
      </c>
      <c r="C34" s="44">
        <v>49439.644999990014</v>
      </c>
      <c r="D34" s="44">
        <v>47788.48999997</v>
      </c>
      <c r="E34" s="45">
        <v>50002.42099997</v>
      </c>
      <c r="F34" s="44">
        <v>51524.61899994</v>
      </c>
      <c r="G34" s="44">
        <v>52873.54899988</v>
      </c>
      <c r="H34" s="44">
        <v>53014.01999998001</v>
      </c>
      <c r="I34" s="44">
        <v>0</v>
      </c>
    </row>
    <row r="35" spans="1:9" ht="15">
      <c r="A35" s="43"/>
      <c r="B35" s="44"/>
      <c r="C35" s="44"/>
      <c r="D35" s="44"/>
      <c r="E35" s="45"/>
      <c r="F35" s="44"/>
      <c r="G35" s="44"/>
      <c r="H35" s="44"/>
      <c r="I35" s="44"/>
    </row>
    <row r="36" spans="1:9" ht="15">
      <c r="A36" s="43" t="str">
        <f>HLOOKUP(INDICE!$F$2,Nombres!$C$3:$D$636,56,FALSE)</f>
        <v>Activos tangibles</v>
      </c>
      <c r="B36" s="44">
        <v>1597.9159999899998</v>
      </c>
      <c r="C36" s="44">
        <v>1582.5459999999998</v>
      </c>
      <c r="D36" s="44">
        <v>1537.93599998</v>
      </c>
      <c r="E36" s="45">
        <v>1647.24400001</v>
      </c>
      <c r="F36" s="44">
        <v>1643.95599999</v>
      </c>
      <c r="G36" s="44">
        <v>1661.2619999899998</v>
      </c>
      <c r="H36" s="44">
        <v>1643.6710000100002</v>
      </c>
      <c r="I36" s="44">
        <v>0</v>
      </c>
    </row>
    <row r="37" spans="1:9" ht="15">
      <c r="A37" s="43" t="str">
        <f>HLOOKUP(INDICE!$F$2,Nombres!$C$3:$D$636,57,FALSE)</f>
        <v>Otros activos</v>
      </c>
      <c r="B37" s="58">
        <f>+B38-B36-B33-B32-B31</f>
        <v>3168.9820001199805</v>
      </c>
      <c r="C37" s="58">
        <f aca="true" t="shared" si="5" ref="C37:I37">+C38-C36-C33-C32-C31</f>
        <v>3171.9056668200037</v>
      </c>
      <c r="D37" s="58">
        <f t="shared" si="5"/>
        <v>3126.052783909985</v>
      </c>
      <c r="E37" s="65">
        <f t="shared" si="5"/>
        <v>3249.284000010015</v>
      </c>
      <c r="F37" s="44">
        <f t="shared" si="5"/>
        <v>3354.11505898</v>
      </c>
      <c r="G37" s="44">
        <f t="shared" si="5"/>
        <v>3197.313482329995</v>
      </c>
      <c r="H37" s="44">
        <f t="shared" si="5"/>
        <v>2866.14309037999</v>
      </c>
      <c r="I37" s="44">
        <f t="shared" si="5"/>
        <v>0</v>
      </c>
    </row>
    <row r="38" spans="1:9" ht="15">
      <c r="A38" s="47" t="str">
        <f>HLOOKUP(INDICE!$F$2,Nombres!$C$3:$D$636,58,FALSE)</f>
        <v>Total activo / pasivo</v>
      </c>
      <c r="B38" s="47">
        <v>104207.75900010999</v>
      </c>
      <c r="C38" s="47">
        <v>103678.90566683</v>
      </c>
      <c r="D38" s="47">
        <v>101426.94778386998</v>
      </c>
      <c r="E38" s="71">
        <v>110236.45699995002</v>
      </c>
      <c r="F38" s="47">
        <v>110412.30805893999</v>
      </c>
      <c r="G38" s="51">
        <v>114500.55348219001</v>
      </c>
      <c r="H38" s="51">
        <v>113954.54309035999</v>
      </c>
      <c r="I38" s="51">
        <v>0</v>
      </c>
    </row>
    <row r="39" spans="1:9" ht="15">
      <c r="A39" s="43" t="str">
        <f>HLOOKUP(INDICE!$F$2,Nombres!$C$3:$D$636,59,FALSE)</f>
        <v>Pasivos financieros mantenidos para negociar y designados a valor razonable con cambios en resultados</v>
      </c>
      <c r="B39" s="58">
        <v>25597.628</v>
      </c>
      <c r="C39" s="58">
        <v>24494.13500001</v>
      </c>
      <c r="D39" s="58">
        <v>21571.643000009997</v>
      </c>
      <c r="E39" s="65">
        <v>23801.29199999</v>
      </c>
      <c r="F39" s="44">
        <v>21138.310999990004</v>
      </c>
      <c r="G39" s="44">
        <v>22387.819</v>
      </c>
      <c r="H39" s="44">
        <v>21232.270999999997</v>
      </c>
      <c r="I39" s="44">
        <v>0</v>
      </c>
    </row>
    <row r="40" spans="1:9" ht="15.75" customHeight="1">
      <c r="A40" s="43" t="str">
        <f>HLOOKUP(INDICE!$F$2,Nombres!$C$3:$D$636,60,FALSE)</f>
        <v>Depósitos de bancos centrales y entidades de crédito</v>
      </c>
      <c r="B40" s="58">
        <v>3269.7840000200003</v>
      </c>
      <c r="C40" s="58">
        <v>3096.1010000200004</v>
      </c>
      <c r="D40" s="58">
        <v>3462.97800001</v>
      </c>
      <c r="E40" s="65">
        <v>5125.24700001</v>
      </c>
      <c r="F40" s="44">
        <v>5023.4619999999995</v>
      </c>
      <c r="G40" s="44">
        <v>5348.85700002</v>
      </c>
      <c r="H40" s="44">
        <v>5509.040000020001</v>
      </c>
      <c r="I40" s="44">
        <v>0</v>
      </c>
    </row>
    <row r="41" spans="1:9" ht="15">
      <c r="A41" s="43" t="str">
        <f>HLOOKUP(INDICE!$F$2,Nombres!$C$3:$D$636,61,FALSE)</f>
        <v>Depósitos de la clientela</v>
      </c>
      <c r="B41" s="58">
        <v>49072.30400001</v>
      </c>
      <c r="C41" s="58">
        <v>50398.496000009996</v>
      </c>
      <c r="D41" s="58">
        <v>50769.70800001001</v>
      </c>
      <c r="E41" s="65">
        <v>54051.79900002</v>
      </c>
      <c r="F41" s="44">
        <v>56832.47199996999</v>
      </c>
      <c r="G41" s="44">
        <v>58727.88499997</v>
      </c>
      <c r="H41" s="44">
        <v>58440.05500003</v>
      </c>
      <c r="I41" s="44">
        <v>0</v>
      </c>
    </row>
    <row r="42" spans="1:9" ht="15">
      <c r="A42" s="43" t="str">
        <f>HLOOKUP(INDICE!$F$2,Nombres!$C$3:$D$636,62,FALSE)</f>
        <v>Valores representativos de deuda emitidos</v>
      </c>
      <c r="B42" s="44">
        <v>8759.41093415</v>
      </c>
      <c r="C42" s="44">
        <v>7868.527832860001</v>
      </c>
      <c r="D42" s="44">
        <v>7882.03794195</v>
      </c>
      <c r="E42" s="45">
        <v>7640.004248069999</v>
      </c>
      <c r="F42" s="44">
        <v>7575.2311366700005</v>
      </c>
      <c r="G42" s="44">
        <v>7896.9549924</v>
      </c>
      <c r="H42" s="44">
        <v>7810.507309169999</v>
      </c>
      <c r="I42" s="44">
        <v>0</v>
      </c>
    </row>
    <row r="43" spans="1:9" ht="15">
      <c r="A43" s="43"/>
      <c r="B43" s="44"/>
      <c r="C43" s="44"/>
      <c r="D43" s="44"/>
      <c r="E43" s="45"/>
      <c r="F43" s="44"/>
      <c r="G43" s="44"/>
      <c r="H43" s="44"/>
      <c r="I43" s="44"/>
    </row>
    <row r="44" spans="1:9" ht="15">
      <c r="A44" s="43" t="str">
        <f>HLOOKUP(INDICE!$F$2,Nombres!$C$3:$D$636,63,FALSE)</f>
        <v>Otros pasivos</v>
      </c>
      <c r="B44" s="58">
        <f>+B38-B39-B40-B41-B42-B45</f>
        <v>11059.102741229995</v>
      </c>
      <c r="C44" s="58">
        <f aca="true" t="shared" si="6" ref="C44:I44">+C38-C39-C40-C41-C42-C45</f>
        <v>11219.794094679997</v>
      </c>
      <c r="D44" s="58">
        <f t="shared" si="6"/>
        <v>11324.416410859978</v>
      </c>
      <c r="E44" s="65">
        <f t="shared" si="6"/>
        <v>12910.80143673002</v>
      </c>
      <c r="F44" s="44">
        <f t="shared" si="6"/>
        <v>12742.700459369997</v>
      </c>
      <c r="G44" s="44">
        <f t="shared" si="6"/>
        <v>12923.63742559</v>
      </c>
      <c r="H44" s="44">
        <f t="shared" si="6"/>
        <v>13623.665511779996</v>
      </c>
      <c r="I44" s="44">
        <f t="shared" si="6"/>
        <v>0</v>
      </c>
    </row>
    <row r="45" spans="1:9" ht="15">
      <c r="A45" s="43" t="str">
        <f>HLOOKUP(INDICE!$F$2,Nombres!$C$3:$D$636,282,FALSE)</f>
        <v>Dotación de capital regulatorio</v>
      </c>
      <c r="B45" s="44">
        <v>6449.5293247</v>
      </c>
      <c r="C45" s="44">
        <v>6601.85173925</v>
      </c>
      <c r="D45" s="44">
        <v>6416.164431030002</v>
      </c>
      <c r="E45" s="44">
        <v>6707.313315129999</v>
      </c>
      <c r="F45" s="44">
        <v>7100.131462939999</v>
      </c>
      <c r="G45" s="44">
        <v>7215.400064210002</v>
      </c>
      <c r="H45" s="44">
        <v>7339.004269360001</v>
      </c>
      <c r="I45" s="44">
        <v>0</v>
      </c>
    </row>
    <row r="46" spans="1:9" ht="15">
      <c r="A46" s="62"/>
      <c r="B46" s="58"/>
      <c r="C46" s="58"/>
      <c r="D46" s="58"/>
      <c r="E46" s="58"/>
      <c r="F46" s="77"/>
      <c r="G46" s="77"/>
      <c r="H46" s="77"/>
      <c r="I46" s="77"/>
    </row>
    <row r="47" spans="1:9" ht="15">
      <c r="A47" s="43"/>
      <c r="B47" s="58"/>
      <c r="C47" s="58"/>
      <c r="D47" s="58"/>
      <c r="E47" s="58"/>
      <c r="F47" s="77"/>
      <c r="G47" s="77"/>
      <c r="H47" s="77"/>
      <c r="I47" s="77"/>
    </row>
    <row r="48" spans="1:9" ht="18">
      <c r="A48" s="66" t="str">
        <f>HLOOKUP(INDICE!$F$2,Nombres!$C$3:$D$636,65,FALSE)</f>
        <v>Indicadores relevantes y de gestión</v>
      </c>
      <c r="B48" s="67"/>
      <c r="C48" s="67"/>
      <c r="D48" s="67"/>
      <c r="E48" s="67"/>
      <c r="F48" s="78"/>
      <c r="G48" s="78"/>
      <c r="H48" s="78"/>
      <c r="I48" s="78"/>
    </row>
    <row r="49" spans="1:9" ht="15">
      <c r="A49" s="35" t="str">
        <f>HLOOKUP(INDICE!$F$2,Nombres!$C$3:$D$636,32,FALSE)</f>
        <v>(Millones de euros)</v>
      </c>
      <c r="B49" s="30"/>
      <c r="C49" s="30"/>
      <c r="D49" s="30"/>
      <c r="E49" s="30"/>
      <c r="F49" s="79"/>
      <c r="G49" s="77"/>
      <c r="H49" s="77"/>
      <c r="I49" s="77"/>
    </row>
    <row r="50" spans="1:9" ht="15.7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 r="A51" s="43" t="str">
        <f>HLOOKUP(INDICE!$F$2,Nombres!$C$3:$D$636,66,FALSE)</f>
        <v>Préstamos y anticipos a la clientela bruto (*)</v>
      </c>
      <c r="B51" s="44">
        <v>52422.30330213001</v>
      </c>
      <c r="C51" s="44">
        <v>51411.49488526001</v>
      </c>
      <c r="D51" s="44">
        <v>49803.25699866</v>
      </c>
      <c r="E51" s="45">
        <v>52213.20047512001</v>
      </c>
      <c r="F51" s="44">
        <v>53660.75163941001</v>
      </c>
      <c r="G51" s="44">
        <v>54930.873690910004</v>
      </c>
      <c r="H51" s="44">
        <v>54922.70150473</v>
      </c>
      <c r="I51" s="44">
        <v>0</v>
      </c>
    </row>
    <row r="52" spans="1:9" ht="15">
      <c r="A52" s="43" t="str">
        <f>HLOOKUP(INDICE!$F$2,Nombres!$C$3:$D$636,67,FALSE)</f>
        <v>Depósitos de clientes en gestión (**)</v>
      </c>
      <c r="B52" s="44">
        <v>48936.727390880005</v>
      </c>
      <c r="C52" s="44">
        <v>50131.30069513001</v>
      </c>
      <c r="D52" s="44">
        <v>50432.03554927</v>
      </c>
      <c r="E52" s="45">
        <v>53774.65489324</v>
      </c>
      <c r="F52" s="44">
        <v>56488.99468851001</v>
      </c>
      <c r="G52" s="44">
        <v>57410.62207279001</v>
      </c>
      <c r="H52" s="44">
        <v>57893.08033935</v>
      </c>
      <c r="I52" s="44">
        <v>0</v>
      </c>
    </row>
    <row r="53" spans="1:9" ht="15">
      <c r="A53" s="43" t="str">
        <f>HLOOKUP(INDICE!$F$2,Nombres!$C$3:$D$636,68,FALSE)</f>
        <v>Fondos de inversión</v>
      </c>
      <c r="B53" s="44">
        <v>18539.349153289997</v>
      </c>
      <c r="C53" s="44">
        <v>19359.339192389998</v>
      </c>
      <c r="D53" s="44">
        <v>19592.429874099995</v>
      </c>
      <c r="E53" s="45">
        <v>20660.16778547</v>
      </c>
      <c r="F53" s="44">
        <v>21935.72547235</v>
      </c>
      <c r="G53" s="44">
        <v>22677.27264376</v>
      </c>
      <c r="H53" s="44">
        <v>22910.04352186</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2078.08252384</v>
      </c>
      <c r="C55" s="44">
        <v>1912.0187057399999</v>
      </c>
      <c r="D55" s="44">
        <v>1735.1617847599998</v>
      </c>
      <c r="E55" s="45">
        <v>1863.4363527599999</v>
      </c>
      <c r="F55" s="44">
        <v>1898.5095293499999</v>
      </c>
      <c r="G55" s="44">
        <v>2074.3120314</v>
      </c>
      <c r="H55" s="44">
        <v>2036.87402643</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1417.9219595844847</v>
      </c>
      <c r="C64" s="41">
        <v>1276.6242538599374</v>
      </c>
      <c r="D64" s="41">
        <v>1418.7829361326812</v>
      </c>
      <c r="E64" s="42">
        <v>1403.374011898456</v>
      </c>
      <c r="F64" s="50">
        <v>1391.8136993011803</v>
      </c>
      <c r="G64" s="50">
        <v>1407.7326963389205</v>
      </c>
      <c r="H64" s="50">
        <v>1480.5166260198994</v>
      </c>
      <c r="I64" s="50">
        <v>0</v>
      </c>
    </row>
    <row r="65" spans="1:9" ht="15">
      <c r="A65" s="43" t="str">
        <f>HLOOKUP(INDICE!$F$2,Nombres!$C$3:$D$636,34,FALSE)</f>
        <v>Comisiones netas</v>
      </c>
      <c r="B65" s="44">
        <v>271.2400453622031</v>
      </c>
      <c r="C65" s="44">
        <v>235.83870924384684</v>
      </c>
      <c r="D65" s="44">
        <v>270.610027721926</v>
      </c>
      <c r="E65" s="45">
        <v>303.2305239599399</v>
      </c>
      <c r="F65" s="44">
        <v>286.8399747615303</v>
      </c>
      <c r="G65" s="44">
        <v>299.9460885543938</v>
      </c>
      <c r="H65" s="44">
        <v>311.0845047140759</v>
      </c>
      <c r="I65" s="44">
        <v>0</v>
      </c>
    </row>
    <row r="66" spans="1:9" ht="15">
      <c r="A66" s="43" t="str">
        <f>HLOOKUP(INDICE!$F$2,Nombres!$C$3:$D$636,35,FALSE)</f>
        <v>Resultados de operaciones financieras</v>
      </c>
      <c r="B66" s="44">
        <v>71.81040942478907</v>
      </c>
      <c r="C66" s="44">
        <v>157.8145163196681</v>
      </c>
      <c r="D66" s="44">
        <v>106.86267784298111</v>
      </c>
      <c r="E66" s="45">
        <v>94.28879683948402</v>
      </c>
      <c r="F66" s="44">
        <v>70.43532132044749</v>
      </c>
      <c r="G66" s="44">
        <v>96.17620798893336</v>
      </c>
      <c r="H66" s="44">
        <v>86.30381107061913</v>
      </c>
      <c r="I66" s="44">
        <v>0</v>
      </c>
    </row>
    <row r="67" spans="1:9" ht="15">
      <c r="A67" s="43" t="str">
        <f>HLOOKUP(INDICE!$F$2,Nombres!$C$3:$D$636,36,FALSE)</f>
        <v>Otros ingresos y cargas de explotación</v>
      </c>
      <c r="B67" s="44">
        <v>67.85391908362179</v>
      </c>
      <c r="C67" s="44">
        <v>24.30668437101289</v>
      </c>
      <c r="D67" s="44">
        <v>17.37054112340554</v>
      </c>
      <c r="E67" s="45">
        <v>19.10004536004127</v>
      </c>
      <c r="F67" s="44">
        <v>44.62761703482388</v>
      </c>
      <c r="G67" s="44">
        <v>43.656881172881555</v>
      </c>
      <c r="H67" s="44">
        <v>38.37650181229473</v>
      </c>
      <c r="I67" s="44">
        <v>0</v>
      </c>
    </row>
    <row r="68" spans="1:9" ht="15">
      <c r="A68" s="41" t="str">
        <f>HLOOKUP(INDICE!$F$2,Nombres!$C$3:$D$636,37,FALSE)</f>
        <v>Margen bruto</v>
      </c>
      <c r="B68" s="41">
        <f>+SUM(B64:B67)</f>
        <v>1828.8263334550986</v>
      </c>
      <c r="C68" s="41">
        <f aca="true" t="shared" si="9" ref="C68:I68">+SUM(C64:C67)</f>
        <v>1694.5841637944652</v>
      </c>
      <c r="D68" s="41">
        <f t="shared" si="9"/>
        <v>1813.6261828209938</v>
      </c>
      <c r="E68" s="42">
        <f t="shared" si="9"/>
        <v>1819.9933780579215</v>
      </c>
      <c r="F68" s="50">
        <f t="shared" si="9"/>
        <v>1793.716612417982</v>
      </c>
      <c r="G68" s="50">
        <f t="shared" si="9"/>
        <v>1847.5118740551293</v>
      </c>
      <c r="H68" s="50">
        <f t="shared" si="9"/>
        <v>1916.281443616889</v>
      </c>
      <c r="I68" s="50">
        <f t="shared" si="9"/>
        <v>0</v>
      </c>
    </row>
    <row r="69" spans="1:9" ht="15">
      <c r="A69" s="43" t="str">
        <f>HLOOKUP(INDICE!$F$2,Nombres!$C$3:$D$636,38,FALSE)</f>
        <v>Gastos de explotación</v>
      </c>
      <c r="B69" s="44">
        <v>-607.8547925939403</v>
      </c>
      <c r="C69" s="44">
        <v>-584.3157279658562</v>
      </c>
      <c r="D69" s="44">
        <v>-586.4778999229718</v>
      </c>
      <c r="E69" s="45">
        <v>-609.9494442409148</v>
      </c>
      <c r="F69" s="44">
        <v>-633.9676247366729</v>
      </c>
      <c r="G69" s="44">
        <v>-646.2515451921289</v>
      </c>
      <c r="H69" s="44">
        <v>-668.1671589311983</v>
      </c>
      <c r="I69" s="44">
        <v>0</v>
      </c>
    </row>
    <row r="70" spans="1:9" ht="15">
      <c r="A70" s="43" t="str">
        <f>HLOOKUP(INDICE!$F$2,Nombres!$C$3:$D$636,39,FALSE)</f>
        <v>  Gastos de administración</v>
      </c>
      <c r="B70" s="44">
        <v>-529.3541697390298</v>
      </c>
      <c r="C70" s="44">
        <v>-505.4679373515272</v>
      </c>
      <c r="D70" s="44">
        <v>-506.32284394788473</v>
      </c>
      <c r="E70" s="45">
        <v>-530.0219246186067</v>
      </c>
      <c r="F70" s="44">
        <v>-554.1022472038064</v>
      </c>
      <c r="G70" s="44">
        <v>-566.7999297575534</v>
      </c>
      <c r="H70" s="44">
        <v>-585.6985949686401</v>
      </c>
      <c r="I70" s="44">
        <v>0</v>
      </c>
    </row>
    <row r="71" spans="1:9" ht="15">
      <c r="A71" s="46" t="str">
        <f>HLOOKUP(INDICE!$F$2,Nombres!$C$3:$D$636,40,FALSE)</f>
        <v>  Gastos de personal</v>
      </c>
      <c r="B71" s="44">
        <v>-264.26890822862384</v>
      </c>
      <c r="C71" s="44">
        <v>-226.0658935519312</v>
      </c>
      <c r="D71" s="44">
        <v>-245.8467925231329</v>
      </c>
      <c r="E71" s="45">
        <v>-257.80170218385103</v>
      </c>
      <c r="F71" s="44">
        <v>-259.9651169608338</v>
      </c>
      <c r="G71" s="44">
        <v>-269.88582474283396</v>
      </c>
      <c r="H71" s="44">
        <v>-323.3869173963322</v>
      </c>
      <c r="I71" s="44">
        <v>0</v>
      </c>
    </row>
    <row r="72" spans="1:9" ht="15">
      <c r="A72" s="46" t="str">
        <f>HLOOKUP(INDICE!$F$2,Nombres!$C$3:$D$636,41,FALSE)</f>
        <v>  Otros gastos de administración</v>
      </c>
      <c r="B72" s="44">
        <v>-265.08526151040587</v>
      </c>
      <c r="C72" s="44">
        <v>-279.40204379959596</v>
      </c>
      <c r="D72" s="44">
        <v>-260.47605142475174</v>
      </c>
      <c r="E72" s="45">
        <v>-272.22022243475567</v>
      </c>
      <c r="F72" s="44">
        <v>-294.1371302429726</v>
      </c>
      <c r="G72" s="44">
        <v>-296.91410501471944</v>
      </c>
      <c r="H72" s="44">
        <v>-262.31167757230793</v>
      </c>
      <c r="I72" s="44">
        <v>0</v>
      </c>
    </row>
    <row r="73" spans="1:9" ht="15">
      <c r="A73" s="43" t="str">
        <f>HLOOKUP(INDICE!$F$2,Nombres!$C$3:$D$636,42,FALSE)</f>
        <v>  Amortización</v>
      </c>
      <c r="B73" s="44">
        <v>-78.50062285491056</v>
      </c>
      <c r="C73" s="44">
        <v>-78.84779061432911</v>
      </c>
      <c r="D73" s="44">
        <v>-80.15505597508707</v>
      </c>
      <c r="E73" s="45">
        <v>-79.92751962230798</v>
      </c>
      <c r="F73" s="44">
        <v>-79.8653775328664</v>
      </c>
      <c r="G73" s="44">
        <v>-79.45161543457546</v>
      </c>
      <c r="H73" s="44">
        <v>-82.46856396255812</v>
      </c>
      <c r="I73" s="44">
        <v>0</v>
      </c>
    </row>
    <row r="74" spans="1:9" ht="15">
      <c r="A74" s="41" t="str">
        <f>HLOOKUP(INDICE!$F$2,Nombres!$C$3:$D$636,43,FALSE)</f>
        <v>Margen neto</v>
      </c>
      <c r="B74" s="41">
        <f>+B68+B69</f>
        <v>1220.9715408611582</v>
      </c>
      <c r="C74" s="41">
        <f aca="true" t="shared" si="10" ref="C74:I74">+C68+C69</f>
        <v>1110.268435828609</v>
      </c>
      <c r="D74" s="41">
        <f t="shared" si="10"/>
        <v>1227.148282898022</v>
      </c>
      <c r="E74" s="42">
        <f t="shared" si="10"/>
        <v>1210.0439338170067</v>
      </c>
      <c r="F74" s="50">
        <f t="shared" si="10"/>
        <v>1159.7489876813092</v>
      </c>
      <c r="G74" s="50">
        <f t="shared" si="10"/>
        <v>1201.2603288630003</v>
      </c>
      <c r="H74" s="50">
        <f t="shared" si="10"/>
        <v>1248.1142846856906</v>
      </c>
      <c r="I74" s="50">
        <f t="shared" si="10"/>
        <v>0</v>
      </c>
    </row>
    <row r="75" spans="1:9" ht="15">
      <c r="A75" s="43" t="str">
        <f>HLOOKUP(INDICE!$F$2,Nombres!$C$3:$D$636,44,FALSE)</f>
        <v>Deterioro de activos financieros no valorados a valor razonable con cambios en resultados</v>
      </c>
      <c r="B75" s="44">
        <v>-709.3807969877128</v>
      </c>
      <c r="C75" s="44">
        <v>-673.4378093006698</v>
      </c>
      <c r="D75" s="44">
        <v>-399.9202174368258</v>
      </c>
      <c r="E75" s="45">
        <v>-430.5742948124555</v>
      </c>
      <c r="F75" s="44">
        <v>-466.47356236331126</v>
      </c>
      <c r="G75" s="44">
        <v>-282.3863303975098</v>
      </c>
      <c r="H75" s="44">
        <v>-326.613107209179</v>
      </c>
      <c r="I75" s="44">
        <v>0</v>
      </c>
    </row>
    <row r="76" spans="1:9" ht="15">
      <c r="A76" s="43" t="str">
        <f>HLOOKUP(INDICE!$F$2,Nombres!$C$3:$D$636,45,FALSE)</f>
        <v>Provisiones o reversión de provisiones y otros resultados</v>
      </c>
      <c r="B76" s="44">
        <v>-11.575236816184445</v>
      </c>
      <c r="C76" s="44">
        <v>-51.75889916107113</v>
      </c>
      <c r="D76" s="44">
        <v>14.53370615248565</v>
      </c>
      <c r="E76" s="45">
        <v>15.563412466551284</v>
      </c>
      <c r="F76" s="44">
        <v>1.8428871727972922</v>
      </c>
      <c r="G76" s="44">
        <v>7.1161905997853285</v>
      </c>
      <c r="H76" s="44">
        <v>8.802922217417386</v>
      </c>
      <c r="I76" s="44">
        <v>0</v>
      </c>
    </row>
    <row r="77" spans="1:9" ht="15">
      <c r="A77" s="41" t="str">
        <f>HLOOKUP(INDICE!$F$2,Nombres!$C$3:$D$636,46,FALSE)</f>
        <v>Resultado antes de impuestos</v>
      </c>
      <c r="B77" s="41">
        <f>+B74+B75+B76</f>
        <v>500.01550705726106</v>
      </c>
      <c r="C77" s="41">
        <f aca="true" t="shared" si="11" ref="C77:I77">+C74+C75+C76</f>
        <v>385.0717273668681</v>
      </c>
      <c r="D77" s="41">
        <f t="shared" si="11"/>
        <v>841.7617716136817</v>
      </c>
      <c r="E77" s="42">
        <f t="shared" si="11"/>
        <v>795.0330514711026</v>
      </c>
      <c r="F77" s="50">
        <f t="shared" si="11"/>
        <v>695.1183124907953</v>
      </c>
      <c r="G77" s="50">
        <f t="shared" si="11"/>
        <v>925.9901890652758</v>
      </c>
      <c r="H77" s="50">
        <f t="shared" si="11"/>
        <v>930.304099693929</v>
      </c>
      <c r="I77" s="50">
        <f t="shared" si="11"/>
        <v>0</v>
      </c>
    </row>
    <row r="78" spans="1:9" ht="15">
      <c r="A78" s="43" t="str">
        <f>HLOOKUP(INDICE!$F$2,Nombres!$C$3:$D$636,47,FALSE)</f>
        <v>Impuesto sobre beneficios</v>
      </c>
      <c r="B78" s="44">
        <v>-158.07337249024658</v>
      </c>
      <c r="C78" s="44">
        <v>-76.56755131555552</v>
      </c>
      <c r="D78" s="44">
        <v>-262.8087778361131</v>
      </c>
      <c r="E78" s="45">
        <v>-229.89063612450528</v>
      </c>
      <c r="F78" s="44">
        <v>-192.89788883331985</v>
      </c>
      <c r="G78" s="44">
        <v>-289.69900569245476</v>
      </c>
      <c r="H78" s="44">
        <v>-257.15749101422534</v>
      </c>
      <c r="I78" s="44">
        <v>0</v>
      </c>
    </row>
    <row r="79" spans="1:9" ht="15">
      <c r="A79" s="41" t="str">
        <f>HLOOKUP(INDICE!$F$2,Nombres!$C$3:$D$636,48,FALSE)</f>
        <v>Resultado del ejercicio</v>
      </c>
      <c r="B79" s="41">
        <f>+B77+B78</f>
        <v>341.9421345670145</v>
      </c>
      <c r="C79" s="41">
        <f aca="true" t="shared" si="12" ref="C79:I79">+C77+C78</f>
        <v>308.5041760513126</v>
      </c>
      <c r="D79" s="41">
        <f t="shared" si="12"/>
        <v>578.9529937775686</v>
      </c>
      <c r="E79" s="42">
        <f t="shared" si="12"/>
        <v>565.1424153465973</v>
      </c>
      <c r="F79" s="50">
        <f t="shared" si="12"/>
        <v>502.2204236574755</v>
      </c>
      <c r="G79" s="50">
        <f t="shared" si="12"/>
        <v>636.291183372821</v>
      </c>
      <c r="H79" s="50">
        <f t="shared" si="12"/>
        <v>673.1466086797036</v>
      </c>
      <c r="I79" s="50">
        <f t="shared" si="12"/>
        <v>0</v>
      </c>
    </row>
    <row r="80" spans="1:9" ht="15">
      <c r="A80" s="43" t="str">
        <f>HLOOKUP(INDICE!$F$2,Nombres!$C$3:$D$636,49,FALSE)</f>
        <v>Minoritarios</v>
      </c>
      <c r="B80" s="44">
        <v>-0.062395252110376546</v>
      </c>
      <c r="C80" s="44">
        <v>-0.05858686056808027</v>
      </c>
      <c r="D80" s="44">
        <v>-0.1175012861011901</v>
      </c>
      <c r="E80" s="45">
        <v>-0.10079459706017929</v>
      </c>
      <c r="F80" s="44">
        <v>-0.08659226723030104</v>
      </c>
      <c r="G80" s="44">
        <v>-0.12152343227727398</v>
      </c>
      <c r="H80" s="44">
        <v>-0.12088430049242496</v>
      </c>
      <c r="I80" s="44">
        <v>0</v>
      </c>
    </row>
    <row r="81" spans="1:9" ht="15">
      <c r="A81" s="47" t="str">
        <f>HLOOKUP(INDICE!$F$2,Nombres!$C$3:$D$636,50,FALSE)</f>
        <v>Resultado atribuido</v>
      </c>
      <c r="B81" s="47">
        <f>+B79+B80</f>
        <v>341.8797393149041</v>
      </c>
      <c r="C81" s="47">
        <f aca="true" t="shared" si="13" ref="C81:I81">+C79+C80</f>
        <v>308.4455891907445</v>
      </c>
      <c r="D81" s="47">
        <f t="shared" si="13"/>
        <v>578.8354924914674</v>
      </c>
      <c r="E81" s="47">
        <f t="shared" si="13"/>
        <v>565.0416207495372</v>
      </c>
      <c r="F81" s="51">
        <f t="shared" si="13"/>
        <v>502.13383139024523</v>
      </c>
      <c r="G81" s="51">
        <f t="shared" si="13"/>
        <v>636.1696599405437</v>
      </c>
      <c r="H81" s="51">
        <f t="shared" si="13"/>
        <v>673.0257243792112</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6451.210909331128</v>
      </c>
      <c r="C87" s="44">
        <v>7174.686066822289</v>
      </c>
      <c r="D87" s="44">
        <v>8811.987653327255</v>
      </c>
      <c r="E87" s="45">
        <v>9420.512750973048</v>
      </c>
      <c r="F87" s="44">
        <v>10778.928926421304</v>
      </c>
      <c r="G87" s="44">
        <v>13005.906769625295</v>
      </c>
      <c r="H87" s="44">
        <v>13776.94199999</v>
      </c>
      <c r="I87" s="44">
        <v>0</v>
      </c>
    </row>
    <row r="88" spans="1:9" ht="15">
      <c r="A88" s="43" t="str">
        <f>HLOOKUP(INDICE!$F$2,Nombres!$C$3:$D$636,53,FALSE)</f>
        <v>Activos financieros a valor razonable</v>
      </c>
      <c r="B88" s="58">
        <v>38311.6643829345</v>
      </c>
      <c r="C88" s="58">
        <v>37090.49553686846</v>
      </c>
      <c r="D88" s="58">
        <v>35220.78751837297</v>
      </c>
      <c r="E88" s="65">
        <v>37389.30456340166</v>
      </c>
      <c r="F88" s="44">
        <v>34352.87044394342</v>
      </c>
      <c r="G88" s="44">
        <v>34455.57860267538</v>
      </c>
      <c r="H88" s="44">
        <v>33472.055000019995</v>
      </c>
      <c r="I88" s="44">
        <v>0</v>
      </c>
    </row>
    <row r="89" spans="1:9" ht="15">
      <c r="A89" s="43" t="str">
        <f>HLOOKUP(INDICE!$F$2,Nombres!$C$3:$D$636,54,FALSE)</f>
        <v>Activos financieros a coste amortizado</v>
      </c>
      <c r="B89" s="44">
        <v>64868.790380418606</v>
      </c>
      <c r="C89" s="44">
        <v>63838.07051431904</v>
      </c>
      <c r="D89" s="44">
        <v>62677.52637277019</v>
      </c>
      <c r="E89" s="45">
        <v>61511.88663932786</v>
      </c>
      <c r="F89" s="44">
        <v>61644.073523886625</v>
      </c>
      <c r="G89" s="44">
        <v>61416.26487492442</v>
      </c>
      <c r="H89" s="44">
        <v>62195.73199996001</v>
      </c>
      <c r="I89" s="44">
        <v>0</v>
      </c>
    </row>
    <row r="90" spans="1:9" ht="15">
      <c r="A90" s="43" t="str">
        <f>HLOOKUP(INDICE!$F$2,Nombres!$C$3:$D$636,55,FALSE)</f>
        <v>    de los que préstamos y anticipos a la clientela</v>
      </c>
      <c r="B90" s="44">
        <v>55657.708870845054</v>
      </c>
      <c r="C90" s="44">
        <v>54026.94876696799</v>
      </c>
      <c r="D90" s="44">
        <v>52701.20127530165</v>
      </c>
      <c r="E90" s="45">
        <v>51417.80041004916</v>
      </c>
      <c r="F90" s="44">
        <v>52190.162598851675</v>
      </c>
      <c r="G90" s="44">
        <v>52505.00919182777</v>
      </c>
      <c r="H90" s="44">
        <v>53014.01999998001</v>
      </c>
      <c r="I90" s="44">
        <v>0</v>
      </c>
    </row>
    <row r="91" spans="1:9" ht="15">
      <c r="A91" s="43"/>
      <c r="B91" s="44"/>
      <c r="C91" s="44"/>
      <c r="D91" s="44"/>
      <c r="E91" s="45"/>
      <c r="F91" s="44"/>
      <c r="G91" s="44"/>
      <c r="H91" s="44"/>
      <c r="I91" s="44"/>
    </row>
    <row r="92" spans="1:9" ht="15">
      <c r="A92" s="43" t="str">
        <f>HLOOKUP(INDICE!$F$2,Nombres!$C$3:$D$636,56,FALSE)</f>
        <v>Activos tangibles</v>
      </c>
      <c r="B92" s="44">
        <v>1761.6721227296753</v>
      </c>
      <c r="C92" s="44">
        <v>1729.3840128380252</v>
      </c>
      <c r="D92" s="44">
        <v>1696.0375748120348</v>
      </c>
      <c r="E92" s="45">
        <v>1693.8712471385334</v>
      </c>
      <c r="F92" s="44">
        <v>1665.1909826821977</v>
      </c>
      <c r="G92" s="44">
        <v>1649.6826528460779</v>
      </c>
      <c r="H92" s="44">
        <v>1643.6710000100002</v>
      </c>
      <c r="I92" s="44">
        <v>0</v>
      </c>
    </row>
    <row r="93" spans="1:9" ht="15">
      <c r="A93" s="43" t="str">
        <f>HLOOKUP(INDICE!$F$2,Nombres!$C$3:$D$636,57,FALSE)</f>
        <v>Otros activos</v>
      </c>
      <c r="B93" s="58">
        <f>+B94-B92-B89-B88-B87</f>
        <v>3493.742629198563</v>
      </c>
      <c r="C93" s="58">
        <f aca="true" t="shared" si="15" ref="C93:I93">+C94-C92-C89-C88-C87</f>
        <v>3466.2139049536836</v>
      </c>
      <c r="D93" s="58">
        <f t="shared" si="15"/>
        <v>3447.414575395909</v>
      </c>
      <c r="E93" s="65">
        <f t="shared" si="15"/>
        <v>3341.2589400057223</v>
      </c>
      <c r="F93" s="44">
        <f t="shared" si="15"/>
        <v>3397.4401693999425</v>
      </c>
      <c r="G93" s="44">
        <f t="shared" si="15"/>
        <v>3175.0275318056247</v>
      </c>
      <c r="H93" s="44">
        <f t="shared" si="15"/>
        <v>2866.14309037999</v>
      </c>
      <c r="I93" s="44">
        <f t="shared" si="15"/>
        <v>0</v>
      </c>
    </row>
    <row r="94" spans="1:9" ht="15">
      <c r="A94" s="47" t="str">
        <f>HLOOKUP(INDICE!$F$2,Nombres!$C$3:$D$636,58,FALSE)</f>
        <v>Total activo / pasivo</v>
      </c>
      <c r="B94" s="47">
        <v>114887.08042461248</v>
      </c>
      <c r="C94" s="47">
        <v>113298.8500358015</v>
      </c>
      <c r="D94" s="47">
        <v>111853.75369467835</v>
      </c>
      <c r="E94" s="47">
        <v>113356.83414084683</v>
      </c>
      <c r="F94" s="51">
        <v>111838.50404633349</v>
      </c>
      <c r="G94" s="51">
        <v>113702.4604318768</v>
      </c>
      <c r="H94" s="51">
        <v>113954.54309035999</v>
      </c>
      <c r="I94" s="51">
        <v>0</v>
      </c>
    </row>
    <row r="95" spans="1:9" ht="15">
      <c r="A95" s="43" t="str">
        <f>HLOOKUP(INDICE!$F$2,Nombres!$C$3:$D$636,59,FALSE)</f>
        <v>Pasivos financieros mantenidos para negociar y designados a valor razonable con cambios en resultados</v>
      </c>
      <c r="B95" s="58">
        <v>28220.9000071886</v>
      </c>
      <c r="C95" s="58">
        <v>26766.846257431767</v>
      </c>
      <c r="D95" s="58">
        <v>23789.232503123505</v>
      </c>
      <c r="E95" s="65">
        <v>24475.016550849003</v>
      </c>
      <c r="F95" s="44">
        <v>21411.354602269996</v>
      </c>
      <c r="G95" s="44">
        <v>22231.771171302385</v>
      </c>
      <c r="H95" s="44">
        <v>21232.270999999997</v>
      </c>
      <c r="I95" s="44">
        <v>0</v>
      </c>
    </row>
    <row r="96" spans="1:9" ht="15">
      <c r="A96" s="43" t="str">
        <f>HLOOKUP(INDICE!$F$2,Nombres!$C$3:$D$636,60,FALSE)</f>
        <v>Depósitos de bancos centrales y entidades de crédito</v>
      </c>
      <c r="B96" s="58">
        <v>3604.8749247262126</v>
      </c>
      <c r="C96" s="58">
        <v>3383.3756311452626</v>
      </c>
      <c r="D96" s="58">
        <v>3818.9760879781543</v>
      </c>
      <c r="E96" s="65">
        <v>5270.323356920568</v>
      </c>
      <c r="F96" s="44">
        <v>5088.350067944373</v>
      </c>
      <c r="G96" s="44">
        <v>5311.574336582926</v>
      </c>
      <c r="H96" s="44">
        <v>5509.040000020001</v>
      </c>
      <c r="I96" s="44">
        <v>0</v>
      </c>
    </row>
    <row r="97" spans="1:9" ht="15">
      <c r="A97" s="43" t="str">
        <f>HLOOKUP(INDICE!$F$2,Nombres!$C$3:$D$636,61,FALSE)</f>
        <v>Depósitos de la clientela</v>
      </c>
      <c r="B97" s="58">
        <v>54101.28564672645</v>
      </c>
      <c r="C97" s="58">
        <v>55074.76765509404</v>
      </c>
      <c r="D97" s="58">
        <v>55988.89188585995</v>
      </c>
      <c r="E97" s="65">
        <v>55581.80098497211</v>
      </c>
      <c r="F97" s="44">
        <v>57566.577145899384</v>
      </c>
      <c r="G97" s="44">
        <v>58318.539233048796</v>
      </c>
      <c r="H97" s="44">
        <v>58440.05500003</v>
      </c>
      <c r="I97" s="44">
        <v>0</v>
      </c>
    </row>
    <row r="98" spans="1:9" ht="15">
      <c r="A98" s="43" t="str">
        <f>HLOOKUP(INDICE!$F$2,Nombres!$C$3:$D$636,62,FALSE)</f>
        <v>Valores representativos de deuda emitidos</v>
      </c>
      <c r="B98" s="44">
        <v>9657.084636690623</v>
      </c>
      <c r="C98" s="44">
        <v>8598.616557571859</v>
      </c>
      <c r="D98" s="44">
        <v>8692.32043193941</v>
      </c>
      <c r="E98" s="45">
        <v>7856.263870891904</v>
      </c>
      <c r="F98" s="44">
        <v>7673.080411271974</v>
      </c>
      <c r="G98" s="44">
        <v>7841.911547574633</v>
      </c>
      <c r="H98" s="44">
        <v>7810.507309169999</v>
      </c>
      <c r="I98" s="44">
        <v>0</v>
      </c>
    </row>
    <row r="99" spans="1:9" ht="15">
      <c r="A99" s="43"/>
      <c r="B99" s="44"/>
      <c r="C99" s="44"/>
      <c r="D99" s="44"/>
      <c r="E99" s="45"/>
      <c r="F99" s="44"/>
      <c r="G99" s="44"/>
      <c r="H99" s="44"/>
      <c r="I99" s="44"/>
    </row>
    <row r="100" spans="1:9" ht="15">
      <c r="A100" s="43" t="str">
        <f>HLOOKUP(INDICE!$F$2,Nombres!$C$3:$D$636,63,FALSE)</f>
        <v>Otros pasivos</v>
      </c>
      <c r="B100" s="58">
        <f>+B94-B95-B96-B97-B98-B101</f>
        <v>12192.45129390416</v>
      </c>
      <c r="C100" s="58">
        <f aca="true" t="shared" si="16" ref="C100:I100">+C94-C95-C96-C97-C98-C101</f>
        <v>12260.83319832351</v>
      </c>
      <c r="D100" s="58">
        <f t="shared" si="16"/>
        <v>12488.579333526472</v>
      </c>
      <c r="E100" s="65">
        <f t="shared" si="16"/>
        <v>13276.257391776251</v>
      </c>
      <c r="F100" s="44">
        <f t="shared" si="16"/>
        <v>12907.297944770004</v>
      </c>
      <c r="G100" s="44">
        <f t="shared" si="16"/>
        <v>12833.556942129857</v>
      </c>
      <c r="H100" s="44">
        <f t="shared" si="16"/>
        <v>13623.665511779996</v>
      </c>
      <c r="I100" s="44">
        <f t="shared" si="16"/>
        <v>0</v>
      </c>
    </row>
    <row r="101" spans="1:9" ht="15">
      <c r="A101" s="43" t="str">
        <f>HLOOKUP(INDICE!$F$2,Nombres!$C$3:$D$636,282,FALSE)</f>
        <v>Dotación de capital regulatorio</v>
      </c>
      <c r="B101" s="44">
        <v>7110.483915376429</v>
      </c>
      <c r="C101" s="44">
        <v>7214.410736235068</v>
      </c>
      <c r="D101" s="44">
        <v>7075.753452250859</v>
      </c>
      <c r="E101" s="44">
        <v>6897.171985436993</v>
      </c>
      <c r="F101" s="44">
        <v>7191.843874177755</v>
      </c>
      <c r="G101" s="44">
        <v>7165.107201238196</v>
      </c>
      <c r="H101" s="44">
        <v>7339.004269360001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6" t="str">
        <f>HLOOKUP(INDICE!$F$2,Nombres!$C$3:$D$636,65,FALSE)</f>
        <v>Indicadores relevantes y de gestión</v>
      </c>
      <c r="B104" s="67"/>
      <c r="C104" s="67"/>
      <c r="D104" s="67"/>
      <c r="E104" s="67"/>
      <c r="F104" s="72"/>
      <c r="G104" s="72"/>
      <c r="H104" s="72"/>
      <c r="I104" s="72"/>
    </row>
    <row r="105" spans="1:9" ht="15">
      <c r="A105" s="35" t="str">
        <f>HLOOKUP(INDICE!$F$2,Nombres!$C$3:$D$636,73,FALSE)</f>
        <v>(Millones de euros constantes)</v>
      </c>
      <c r="B105" s="30"/>
      <c r="C105" s="30"/>
      <c r="D105" s="30"/>
      <c r="E105" s="30"/>
      <c r="F105" s="70"/>
      <c r="G105" s="70"/>
      <c r="H105" s="70"/>
      <c r="I105" s="70"/>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57794.59642260304</v>
      </c>
      <c r="C107" s="44">
        <v>56181.758590696605</v>
      </c>
      <c r="D107" s="44">
        <v>54923.088619322436</v>
      </c>
      <c r="E107" s="45">
        <v>53691.158690120516</v>
      </c>
      <c r="F107" s="44">
        <v>54353.88766757627</v>
      </c>
      <c r="G107" s="44">
        <v>54547.99389507418</v>
      </c>
      <c r="H107" s="44">
        <v>54922.70150473</v>
      </c>
      <c r="I107" s="44">
        <v>0</v>
      </c>
    </row>
    <row r="108" spans="1:9" ht="15">
      <c r="A108" s="43" t="str">
        <f>HLOOKUP(INDICE!$F$2,Nombres!$C$3:$D$636,67,FALSE)</f>
        <v>Depósitos de clientes en gestión (**)</v>
      </c>
      <c r="B108" s="44">
        <v>53951.81500321326</v>
      </c>
      <c r="C108" s="44">
        <v>54782.78038359303</v>
      </c>
      <c r="D108" s="44">
        <v>55616.50632206447</v>
      </c>
      <c r="E108" s="45">
        <v>55296.811976795005</v>
      </c>
      <c r="F108" s="44">
        <v>57218.663137372045</v>
      </c>
      <c r="G108" s="44">
        <v>57010.457906792486</v>
      </c>
      <c r="H108" s="44">
        <v>57893.08033935</v>
      </c>
      <c r="I108" s="44">
        <v>0</v>
      </c>
    </row>
    <row r="109" spans="1:9" ht="15">
      <c r="A109" s="43" t="str">
        <f>HLOOKUP(INDICE!$F$2,Nombres!$C$3:$D$636,68,FALSE)</f>
        <v>Fondos de inversión</v>
      </c>
      <c r="B109" s="44">
        <v>20439.281274552228</v>
      </c>
      <c r="C109" s="44">
        <v>21155.613611501893</v>
      </c>
      <c r="D109" s="44">
        <v>21606.554010554115</v>
      </c>
      <c r="E109" s="45">
        <v>21244.97899075849</v>
      </c>
      <c r="F109" s="44">
        <v>22219.069278844203</v>
      </c>
      <c r="G109" s="44">
        <v>22519.207262007432</v>
      </c>
      <c r="H109" s="44">
        <v>22910.04352186</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2291.0466200999076</v>
      </c>
      <c r="C111" s="44">
        <v>2089.427152167462</v>
      </c>
      <c r="D111" s="44">
        <v>1913.5383952057455</v>
      </c>
      <c r="E111" s="45">
        <v>1916.1831876720753</v>
      </c>
      <c r="F111" s="44">
        <v>1923.0325804517113</v>
      </c>
      <c r="G111" s="44">
        <v>2059.853638264818</v>
      </c>
      <c r="H111" s="44">
        <v>2036.87402643</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34138.19111623784</v>
      </c>
      <c r="C120" s="41">
        <v>30736.277456811848</v>
      </c>
      <c r="D120" s="41">
        <v>34158.92017100016</v>
      </c>
      <c r="E120" s="42">
        <v>33787.93162903715</v>
      </c>
      <c r="F120" s="50">
        <v>33509.60308059932</v>
      </c>
      <c r="G120" s="50">
        <v>33892.87224402525</v>
      </c>
      <c r="H120" s="50">
        <v>35645.23363799661</v>
      </c>
      <c r="I120" s="50">
        <v>0</v>
      </c>
    </row>
    <row r="121" spans="1:9" ht="15">
      <c r="A121" s="43" t="str">
        <f>HLOOKUP(INDICE!$F$2,Nombres!$C$3:$D$636,34,FALSE)</f>
        <v>Comisiones netas</v>
      </c>
      <c r="B121" s="44">
        <v>6530.433106251778</v>
      </c>
      <c r="C121" s="44">
        <v>5678.102997384022</v>
      </c>
      <c r="D121" s="44">
        <v>6515.264667350748</v>
      </c>
      <c r="E121" s="45">
        <v>7300.64268294067</v>
      </c>
      <c r="F121" s="44">
        <v>6906.020329253886</v>
      </c>
      <c r="G121" s="44">
        <v>7221.565916532223</v>
      </c>
      <c r="H121" s="44">
        <v>7489.736796474619</v>
      </c>
      <c r="I121" s="44">
        <v>0</v>
      </c>
    </row>
    <row r="122" spans="1:9" ht="15">
      <c r="A122" s="43" t="str">
        <f>HLOOKUP(INDICE!$F$2,Nombres!$C$3:$D$636,35,FALSE)</f>
        <v>Resultados de operaciones financieras</v>
      </c>
      <c r="B122" s="44">
        <v>1728.9227129235874</v>
      </c>
      <c r="C122" s="44">
        <v>3799.5759093936626</v>
      </c>
      <c r="D122" s="44">
        <v>2572.8485934907894</v>
      </c>
      <c r="E122" s="45">
        <v>2270.1171562147865</v>
      </c>
      <c r="F122" s="44">
        <v>1695.8157988297858</v>
      </c>
      <c r="G122" s="44">
        <v>2315.558869067377</v>
      </c>
      <c r="H122" s="44">
        <v>2077.868938042165</v>
      </c>
      <c r="I122" s="44">
        <v>0</v>
      </c>
    </row>
    <row r="123" spans="1:9" ht="15">
      <c r="A123" s="43" t="str">
        <f>HLOOKUP(INDICE!$F$2,Nombres!$C$3:$D$636,36,FALSE)</f>
        <v>Otros ingresos y cargas de explotación</v>
      </c>
      <c r="B123" s="44">
        <v>1633.6654087374682</v>
      </c>
      <c r="C123" s="44">
        <v>585.2129102386382</v>
      </c>
      <c r="D123" s="44">
        <v>418.21684801119716</v>
      </c>
      <c r="E123" s="45">
        <v>459.8567603967312</v>
      </c>
      <c r="F123" s="44">
        <v>1074.4640134098381</v>
      </c>
      <c r="G123" s="44">
        <v>1051.0923700310423</v>
      </c>
      <c r="H123" s="44">
        <v>923.9608318251146</v>
      </c>
      <c r="I123" s="44">
        <v>0</v>
      </c>
    </row>
    <row r="124" spans="1:9" ht="15">
      <c r="A124" s="41" t="str">
        <f>HLOOKUP(INDICE!$F$2,Nombres!$C$3:$D$636,37,FALSE)</f>
        <v>Margen bruto</v>
      </c>
      <c r="B124" s="41">
        <f>+SUM(B120:B123)</f>
        <v>44031.21234415067</v>
      </c>
      <c r="C124" s="41">
        <f aca="true" t="shared" si="19" ref="C124:I124">+SUM(C120:C123)</f>
        <v>40799.16927382817</v>
      </c>
      <c r="D124" s="41">
        <f t="shared" si="19"/>
        <v>43665.25027985289</v>
      </c>
      <c r="E124" s="42">
        <f t="shared" si="19"/>
        <v>43818.54822858934</v>
      </c>
      <c r="F124" s="50">
        <f t="shared" si="19"/>
        <v>43185.90322209283</v>
      </c>
      <c r="G124" s="50">
        <f t="shared" si="19"/>
        <v>44481.089399655895</v>
      </c>
      <c r="H124" s="50">
        <f t="shared" si="19"/>
        <v>46136.8002043385</v>
      </c>
      <c r="I124" s="50">
        <f t="shared" si="19"/>
        <v>0</v>
      </c>
    </row>
    <row r="125" spans="1:9" ht="15">
      <c r="A125" s="43" t="str">
        <f>HLOOKUP(INDICE!$F$2,Nombres!$C$3:$D$636,38,FALSE)</f>
        <v>Gastos de explotación</v>
      </c>
      <c r="B125" s="44">
        <v>-14634.841459521544</v>
      </c>
      <c r="C125" s="44">
        <v>-14068.109925716613</v>
      </c>
      <c r="D125" s="44">
        <v>-14120.166838298606</v>
      </c>
      <c r="E125" s="45">
        <v>-14685.272738734762</v>
      </c>
      <c r="F125" s="44">
        <v>-15263.53956822146</v>
      </c>
      <c r="G125" s="44">
        <v>-15559.289853581246</v>
      </c>
      <c r="H125" s="44">
        <v>-16086.934837987328</v>
      </c>
      <c r="I125" s="44">
        <v>0</v>
      </c>
    </row>
    <row r="126" spans="1:9" ht="15">
      <c r="A126" s="43" t="str">
        <f>HLOOKUP(INDICE!$F$2,Nombres!$C$3:$D$636,39,FALSE)</f>
        <v>  Gastos de administración</v>
      </c>
      <c r="B126" s="44">
        <v>-12744.843743039342</v>
      </c>
      <c r="C126" s="44">
        <v>-12169.753724311942</v>
      </c>
      <c r="D126" s="44">
        <v>-12190.336637620892</v>
      </c>
      <c r="E126" s="45">
        <v>-12760.920751751784</v>
      </c>
      <c r="F126" s="44">
        <v>-13340.683727420137</v>
      </c>
      <c r="G126" s="44">
        <v>-13646.395837189679</v>
      </c>
      <c r="H126" s="44">
        <v>-14101.404126226214</v>
      </c>
      <c r="I126" s="44">
        <v>0</v>
      </c>
    </row>
    <row r="127" spans="1:9" ht="15">
      <c r="A127" s="46" t="str">
        <f>HLOOKUP(INDICE!$F$2,Nombres!$C$3:$D$636,40,FALSE)</f>
        <v>  Gastos de personal</v>
      </c>
      <c r="B127" s="44">
        <v>-6362.594523771981</v>
      </c>
      <c r="C127" s="44">
        <v>-5442.810605176379</v>
      </c>
      <c r="D127" s="44">
        <v>-5919.059742137179</v>
      </c>
      <c r="E127" s="45">
        <v>-6206.888693523581</v>
      </c>
      <c r="F127" s="44">
        <v>-6258.97552850142</v>
      </c>
      <c r="G127" s="44">
        <v>-6497.828602170945</v>
      </c>
      <c r="H127" s="44">
        <v>-7785.932304625694</v>
      </c>
      <c r="I127" s="44">
        <v>0</v>
      </c>
    </row>
    <row r="128" spans="1:9" ht="15">
      <c r="A128" s="46" t="str">
        <f>HLOOKUP(INDICE!$F$2,Nombres!$C$3:$D$636,41,FALSE)</f>
        <v>  Otros gastos de administración</v>
      </c>
      <c r="B128" s="44">
        <v>-6382.24921926736</v>
      </c>
      <c r="C128" s="44">
        <v>-6726.943119135563</v>
      </c>
      <c r="D128" s="44">
        <v>-6271.276895483714</v>
      </c>
      <c r="E128" s="45">
        <v>-6554.032058228204</v>
      </c>
      <c r="F128" s="44">
        <v>-7081.708198918718</v>
      </c>
      <c r="G128" s="44">
        <v>-7148.567235018734</v>
      </c>
      <c r="H128" s="44">
        <v>-6315.471821600522</v>
      </c>
      <c r="I128" s="44">
        <v>0</v>
      </c>
    </row>
    <row r="129" spans="1:9" ht="15">
      <c r="A129" s="43" t="str">
        <f>HLOOKUP(INDICE!$F$2,Nombres!$C$3:$D$636,42,FALSE)</f>
        <v>  Amortización</v>
      </c>
      <c r="B129" s="44">
        <v>-1889.9977164822017</v>
      </c>
      <c r="C129" s="44">
        <v>-1898.3562014046718</v>
      </c>
      <c r="D129" s="44">
        <v>-1929.8302006777142</v>
      </c>
      <c r="E129" s="45">
        <v>-1924.351986982978</v>
      </c>
      <c r="F129" s="44">
        <v>-1922.8558408013214</v>
      </c>
      <c r="G129" s="44">
        <v>-1912.894016391569</v>
      </c>
      <c r="H129" s="44">
        <v>-1985.5307117611126</v>
      </c>
      <c r="I129" s="44">
        <v>0</v>
      </c>
    </row>
    <row r="130" spans="1:9" ht="15">
      <c r="A130" s="41" t="str">
        <f>HLOOKUP(INDICE!$F$2,Nombres!$C$3:$D$636,43,FALSE)</f>
        <v>Margen neto</v>
      </c>
      <c r="B130" s="41">
        <f>+B124+B125</f>
        <v>29396.370884629127</v>
      </c>
      <c r="C130" s="41">
        <f aca="true" t="shared" si="20" ref="C130:I130">+C124+C125</f>
        <v>26731.059348111557</v>
      </c>
      <c r="D130" s="41">
        <f t="shared" si="20"/>
        <v>29545.08344155428</v>
      </c>
      <c r="E130" s="42">
        <f t="shared" si="20"/>
        <v>29133.275489854575</v>
      </c>
      <c r="F130" s="50">
        <f t="shared" si="20"/>
        <v>27922.36365387137</v>
      </c>
      <c r="G130" s="50">
        <f t="shared" si="20"/>
        <v>28921.79954607465</v>
      </c>
      <c r="H130" s="50">
        <f t="shared" si="20"/>
        <v>30049.865366351172</v>
      </c>
      <c r="I130" s="50">
        <f t="shared" si="20"/>
        <v>0</v>
      </c>
    </row>
    <row r="131" spans="1:9" ht="15">
      <c r="A131" s="43" t="str">
        <f>HLOOKUP(INDICE!$F$2,Nombres!$C$3:$D$636,44,FALSE)</f>
        <v>Deterioro de activos financieros no valorados a valor razonable con cambios en resultados</v>
      </c>
      <c r="B131" s="44">
        <v>-17079.2031663381</v>
      </c>
      <c r="C131" s="44">
        <v>-16213.832138930902</v>
      </c>
      <c r="D131" s="44">
        <v>-9628.564337988364</v>
      </c>
      <c r="E131" s="45">
        <v>-10366.598434200449</v>
      </c>
      <c r="F131" s="44">
        <v>-11230.916846296415</v>
      </c>
      <c r="G131" s="44">
        <v>-6798.793438919782</v>
      </c>
      <c r="H131" s="44">
        <v>-7863.606737738004</v>
      </c>
      <c r="I131" s="44">
        <v>0</v>
      </c>
    </row>
    <row r="132" spans="1:9" ht="15">
      <c r="A132" s="43" t="str">
        <f>HLOOKUP(INDICE!$F$2,Nombres!$C$3:$D$636,45,FALSE)</f>
        <v>Provisiones o reversión de provisiones y otros resultados</v>
      </c>
      <c r="B132" s="44">
        <v>-278.6878671111182</v>
      </c>
      <c r="C132" s="44">
        <v>-1246.1582808439798</v>
      </c>
      <c r="D132" s="44">
        <v>349.9166050056751</v>
      </c>
      <c r="E132" s="45">
        <v>374.70803355049446</v>
      </c>
      <c r="F132" s="44">
        <v>44.36974410711076</v>
      </c>
      <c r="G132" s="44">
        <v>171.33092062854925</v>
      </c>
      <c r="H132" s="44">
        <v>211.9410303283798</v>
      </c>
      <c r="I132" s="44">
        <v>0</v>
      </c>
    </row>
    <row r="133" spans="1:9" ht="15">
      <c r="A133" s="41" t="str">
        <f>HLOOKUP(INDICE!$F$2,Nombres!$C$3:$D$636,46,FALSE)</f>
        <v>Resultado antes de impuestos</v>
      </c>
      <c r="B133" s="41">
        <f>+B130+B131+B132</f>
        <v>12038.479851179909</v>
      </c>
      <c r="C133" s="41">
        <f aca="true" t="shared" si="21" ref="C133:I133">+C130+C131+C132</f>
        <v>9271.068928336676</v>
      </c>
      <c r="D133" s="41">
        <f t="shared" si="21"/>
        <v>20266.43570857159</v>
      </c>
      <c r="E133" s="42">
        <f t="shared" si="21"/>
        <v>19141.38508920462</v>
      </c>
      <c r="F133" s="50">
        <f t="shared" si="21"/>
        <v>16735.816551682063</v>
      </c>
      <c r="G133" s="50">
        <f t="shared" si="21"/>
        <v>22294.33702778342</v>
      </c>
      <c r="H133" s="50">
        <f t="shared" si="21"/>
        <v>22398.19965894155</v>
      </c>
      <c r="I133" s="50">
        <f t="shared" si="21"/>
        <v>0</v>
      </c>
    </row>
    <row r="134" spans="1:9" ht="15">
      <c r="A134" s="43" t="str">
        <f>HLOOKUP(INDICE!$F$2,Nombres!$C$3:$D$636,47,FALSE)</f>
        <v>Impuesto sobre beneficios</v>
      </c>
      <c r="B134" s="44">
        <v>-3805.8081856928584</v>
      </c>
      <c r="C134" s="44">
        <v>-1843.4566743565824</v>
      </c>
      <c r="D134" s="44">
        <v>-6327.440113434218</v>
      </c>
      <c r="E134" s="45">
        <v>-5534.895922023584</v>
      </c>
      <c r="F134" s="44">
        <v>-4644.250658788325</v>
      </c>
      <c r="G134" s="44">
        <v>-6974.854966920218</v>
      </c>
      <c r="H134" s="44">
        <v>-6191.378528186737</v>
      </c>
      <c r="I134" s="44">
        <v>0</v>
      </c>
    </row>
    <row r="135" spans="1:9" ht="15">
      <c r="A135" s="41" t="str">
        <f>HLOOKUP(INDICE!$F$2,Nombres!$C$3:$D$636,48,FALSE)</f>
        <v>Resultado del ejercicio</v>
      </c>
      <c r="B135" s="41">
        <f>+B133+B134</f>
        <v>8232.67166548705</v>
      </c>
      <c r="C135" s="41">
        <f aca="true" t="shared" si="22" ref="C135:I135">+C133+C134</f>
        <v>7427.612253980093</v>
      </c>
      <c r="D135" s="41">
        <f t="shared" si="22"/>
        <v>13938.99559513737</v>
      </c>
      <c r="E135" s="42">
        <f t="shared" si="22"/>
        <v>13606.489167181036</v>
      </c>
      <c r="F135" s="50">
        <f t="shared" si="22"/>
        <v>12091.565892893737</v>
      </c>
      <c r="G135" s="50">
        <f t="shared" si="22"/>
        <v>15319.4820608632</v>
      </c>
      <c r="H135" s="50">
        <f t="shared" si="22"/>
        <v>16206.821130754814</v>
      </c>
      <c r="I135" s="50">
        <f t="shared" si="22"/>
        <v>0</v>
      </c>
    </row>
    <row r="136" spans="1:9" ht="15">
      <c r="A136" s="43" t="str">
        <f>HLOOKUP(INDICE!$F$2,Nombres!$C$3:$D$636,49,FALSE)</f>
        <v>Minoritarios</v>
      </c>
      <c r="B136" s="44">
        <v>-1.502241379993918</v>
      </c>
      <c r="C136" s="44">
        <v>-1.4105497340344517</v>
      </c>
      <c r="D136" s="44">
        <v>-2.8289859919382696</v>
      </c>
      <c r="E136" s="45">
        <v>-2.4267521880632548</v>
      </c>
      <c r="F136" s="44">
        <v>-2.084813869983809</v>
      </c>
      <c r="G136" s="44">
        <v>-2.9258240399905304</v>
      </c>
      <c r="H136" s="44">
        <v>-2.9104361670034775</v>
      </c>
      <c r="I136" s="44">
        <v>0</v>
      </c>
    </row>
    <row r="137" spans="1:9" ht="15">
      <c r="A137" s="47" t="str">
        <f>HLOOKUP(INDICE!$F$2,Nombres!$C$3:$D$636,50,FALSE)</f>
        <v>Resultado atribuido</v>
      </c>
      <c r="B137" s="47">
        <f>+B135+B136</f>
        <v>8231.169424107056</v>
      </c>
      <c r="C137" s="47">
        <f aca="true" t="shared" si="23" ref="C137:I137">+C135+C136</f>
        <v>7426.201704246058</v>
      </c>
      <c r="D137" s="47">
        <f t="shared" si="23"/>
        <v>13936.166609145432</v>
      </c>
      <c r="E137" s="47">
        <f t="shared" si="23"/>
        <v>13604.062414992974</v>
      </c>
      <c r="F137" s="51">
        <f t="shared" si="23"/>
        <v>12089.481079023753</v>
      </c>
      <c r="G137" s="51">
        <f t="shared" si="23"/>
        <v>15316.55623682321</v>
      </c>
      <c r="H137" s="51">
        <f t="shared" si="23"/>
        <v>16203.91069458781</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9"/>
      <c r="G140" s="69"/>
      <c r="H140" s="69"/>
      <c r="I140" s="69"/>
    </row>
    <row r="141" spans="1:9" ht="15">
      <c r="A141" s="35" t="str">
        <f>HLOOKUP(INDICE!$F$2,Nombres!$C$3:$D$636,74,FALSE)</f>
        <v>(Millones de pesos mexicanos)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43" t="str">
        <f>HLOOKUP(INDICE!$F$2,Nombres!$C$3:$D$636,52,FALSE)</f>
        <v>Efectivo, saldos en efectivo en bancos centrales y otros depósitos a la vista</v>
      </c>
      <c r="B143" s="44">
        <v>153176.90670873935</v>
      </c>
      <c r="C143" s="44">
        <v>170355.02850054484</v>
      </c>
      <c r="D143" s="44">
        <v>209230.95364002298</v>
      </c>
      <c r="E143" s="45">
        <v>223679.71270588966</v>
      </c>
      <c r="F143" s="44">
        <v>255933.81053383587</v>
      </c>
      <c r="G143" s="44">
        <v>308810.9497446287</v>
      </c>
      <c r="H143" s="44">
        <v>327118.33315072645</v>
      </c>
      <c r="I143" s="44">
        <v>0</v>
      </c>
    </row>
    <row r="144" spans="1:9" ht="15">
      <c r="A144" s="43" t="str">
        <f>HLOOKUP(INDICE!$F$2,Nombres!$C$3:$D$636,53,FALSE)</f>
        <v>Activos financieros a valor razonable</v>
      </c>
      <c r="B144" s="58">
        <v>909668.3279340717</v>
      </c>
      <c r="C144" s="58">
        <v>880673.0169702156</v>
      </c>
      <c r="D144" s="58">
        <v>836278.8567502454</v>
      </c>
      <c r="E144" s="65">
        <v>887767.9086152557</v>
      </c>
      <c r="F144" s="44">
        <v>815671.1205268765</v>
      </c>
      <c r="G144" s="44">
        <v>818109.8127769709</v>
      </c>
      <c r="H144" s="44">
        <v>794757.1267080844</v>
      </c>
      <c r="I144" s="44">
        <v>0</v>
      </c>
    </row>
    <row r="145" spans="1:9" ht="15">
      <c r="A145" s="43" t="str">
        <f>HLOOKUP(INDICE!$F$2,Nombres!$C$3:$D$636,54,FALSE)</f>
        <v>Activos financieros a coste amortizado</v>
      </c>
      <c r="B145" s="44">
        <v>1540238.0719002676</v>
      </c>
      <c r="C145" s="44">
        <v>1515764.7624717986</v>
      </c>
      <c r="D145" s="44">
        <v>1488208.9184295156</v>
      </c>
      <c r="E145" s="45">
        <v>1460532.0851628738</v>
      </c>
      <c r="F145" s="44">
        <v>1463670.7173311217</v>
      </c>
      <c r="G145" s="44">
        <v>1458261.6515510753</v>
      </c>
      <c r="H145" s="44">
        <v>1476769.2410210469</v>
      </c>
      <c r="I145" s="44">
        <v>0</v>
      </c>
    </row>
    <row r="146" spans="1:9" ht="15">
      <c r="A146" s="43" t="str">
        <f>HLOOKUP(INDICE!$F$2,Nombres!$C$3:$D$636,55,FALSE)</f>
        <v>    de los que préstamos y anticipos a la clientela</v>
      </c>
      <c r="B146" s="44">
        <v>1321531.0736470008</v>
      </c>
      <c r="C146" s="44">
        <v>1282810.4688168894</v>
      </c>
      <c r="D146" s="44">
        <v>1251332.0529497862</v>
      </c>
      <c r="E146" s="45">
        <v>1220859.1111455811</v>
      </c>
      <c r="F146" s="44">
        <v>1239198.001720131</v>
      </c>
      <c r="G146" s="44">
        <v>1246673.687739031</v>
      </c>
      <c r="H146" s="44">
        <v>1258759.5894666119</v>
      </c>
      <c r="I146" s="44">
        <v>0</v>
      </c>
    </row>
    <row r="147" spans="1:9" ht="15">
      <c r="A147" s="43"/>
      <c r="B147" s="44"/>
      <c r="C147" s="44"/>
      <c r="D147" s="44"/>
      <c r="E147" s="45"/>
      <c r="F147" s="44"/>
      <c r="G147" s="44"/>
      <c r="H147" s="44"/>
      <c r="I147" s="44"/>
    </row>
    <row r="148" spans="1:9" ht="15">
      <c r="A148" s="43" t="str">
        <f>HLOOKUP(INDICE!$F$2,Nombres!$C$3:$D$636,56,FALSE)</f>
        <v>Activos tangibles</v>
      </c>
      <c r="B148" s="44">
        <v>41828.966714518494</v>
      </c>
      <c r="C148" s="44">
        <v>41062.32106206878</v>
      </c>
      <c r="D148" s="44">
        <v>40270.546572230334</v>
      </c>
      <c r="E148" s="45">
        <v>40219.10950458394</v>
      </c>
      <c r="F148" s="44">
        <v>39538.12817336504</v>
      </c>
      <c r="G148" s="44">
        <v>39169.899940572395</v>
      </c>
      <c r="H148" s="44">
        <v>39027.15985679908</v>
      </c>
      <c r="I148" s="44">
        <v>0</v>
      </c>
    </row>
    <row r="149" spans="1:9" ht="15">
      <c r="A149" s="43" t="str">
        <f>HLOOKUP(INDICE!$F$2,Nombres!$C$3:$D$636,57,FALSE)</f>
        <v>Otros activos</v>
      </c>
      <c r="B149" s="58">
        <f>+B150-B148-B145-B144-B143</f>
        <v>82955.07561270904</v>
      </c>
      <c r="C149" s="58">
        <f aca="true" t="shared" si="25" ref="C149:I149">+C150-C148-C145-C144-C143</f>
        <v>82301.43633711617</v>
      </c>
      <c r="D149" s="58">
        <f t="shared" si="25"/>
        <v>81855.06693603218</v>
      </c>
      <c r="E149" s="65">
        <f t="shared" si="25"/>
        <v>79334.51814491447</v>
      </c>
      <c r="F149" s="44">
        <f t="shared" si="25"/>
        <v>80668.47963751564</v>
      </c>
      <c r="G149" s="44">
        <f t="shared" si="25"/>
        <v>75387.53621178475</v>
      </c>
      <c r="H149" s="44">
        <f t="shared" si="25"/>
        <v>68053.41492308368</v>
      </c>
      <c r="I149" s="44">
        <f t="shared" si="25"/>
        <v>0</v>
      </c>
    </row>
    <row r="150" spans="1:9" ht="15">
      <c r="A150" s="47" t="str">
        <f>HLOOKUP(INDICE!$F$2,Nombres!$C$3:$D$636,58,FALSE)</f>
        <v>Total activo / pasivo</v>
      </c>
      <c r="B150" s="47">
        <v>2727867.3488703063</v>
      </c>
      <c r="C150" s="47">
        <v>2690156.565341744</v>
      </c>
      <c r="D150" s="47">
        <v>2655844.3423280464</v>
      </c>
      <c r="E150" s="47">
        <v>2691533.3341335175</v>
      </c>
      <c r="F150" s="51">
        <v>2655482.256202715</v>
      </c>
      <c r="G150" s="51">
        <v>2699739.850225032</v>
      </c>
      <c r="H150" s="51">
        <v>2705725.2756597404</v>
      </c>
      <c r="I150" s="51">
        <v>0</v>
      </c>
    </row>
    <row r="151" spans="1:9" ht="15">
      <c r="A151" s="43" t="str">
        <f>HLOOKUP(INDICE!$F$2,Nombres!$C$3:$D$636,59,FALSE)</f>
        <v>Pasivos financieros mantenidos para negociar y designados a valor razonable con cambios en resultados</v>
      </c>
      <c r="B151" s="58">
        <v>670074.2276748761</v>
      </c>
      <c r="C151" s="58">
        <v>635549.3208463241</v>
      </c>
      <c r="D151" s="58">
        <v>564849.157626017</v>
      </c>
      <c r="E151" s="65">
        <v>581132.3454766653</v>
      </c>
      <c r="F151" s="44">
        <v>508389.06253643084</v>
      </c>
      <c r="G151" s="44">
        <v>527868.9515097103</v>
      </c>
      <c r="H151" s="44">
        <v>504136.9193925291</v>
      </c>
      <c r="I151" s="44">
        <v>0</v>
      </c>
    </row>
    <row r="152" spans="1:9" ht="15">
      <c r="A152" s="43" t="str">
        <f>HLOOKUP(INDICE!$F$2,Nombres!$C$3:$D$636,60,FALSE)</f>
        <v>Depósitos de bancos centrales y entidades de crédito</v>
      </c>
      <c r="B152" s="58">
        <v>85593.78972446463</v>
      </c>
      <c r="C152" s="58">
        <v>80334.53264765351</v>
      </c>
      <c r="D152" s="58">
        <v>90677.38633455834</v>
      </c>
      <c r="E152" s="65">
        <v>125138.03075330133</v>
      </c>
      <c r="F152" s="44">
        <v>120817.27517721696</v>
      </c>
      <c r="G152" s="44">
        <v>126117.48988929787</v>
      </c>
      <c r="H152" s="44">
        <v>130806.09485534081</v>
      </c>
      <c r="I152" s="44">
        <v>0</v>
      </c>
    </row>
    <row r="153" spans="1:9" ht="15">
      <c r="A153" s="43" t="str">
        <f>HLOOKUP(INDICE!$F$2,Nombres!$C$3:$D$636,61,FALSE)</f>
        <v>Depósitos de la clientela</v>
      </c>
      <c r="B153" s="58">
        <v>1284575.5162561713</v>
      </c>
      <c r="C153" s="58">
        <v>1307689.77571445</v>
      </c>
      <c r="D153" s="58">
        <v>1329394.650037144</v>
      </c>
      <c r="E153" s="65">
        <v>1319728.7243956374</v>
      </c>
      <c r="F153" s="44">
        <v>1366855.0510826702</v>
      </c>
      <c r="G153" s="44">
        <v>1384709.5636835815</v>
      </c>
      <c r="H153" s="44">
        <v>1387594.8219031817</v>
      </c>
      <c r="I153" s="44">
        <v>0</v>
      </c>
    </row>
    <row r="154" spans="1:9" ht="15">
      <c r="A154" s="43" t="str">
        <f>HLOOKUP(INDICE!$F$2,Nombres!$C$3:$D$636,62,FALSE)</f>
        <v>Valores representativos de deuda emitidos</v>
      </c>
      <c r="B154" s="44">
        <v>229296.85190313045</v>
      </c>
      <c r="C154" s="44">
        <v>204164.6916795604</v>
      </c>
      <c r="D154" s="44">
        <v>206389.58710213675</v>
      </c>
      <c r="E154" s="45">
        <v>186538.34372245302</v>
      </c>
      <c r="F154" s="44">
        <v>182188.85397562105</v>
      </c>
      <c r="G154" s="44">
        <v>186197.56359284304</v>
      </c>
      <c r="H154" s="44">
        <v>185451.9044965937</v>
      </c>
      <c r="I154" s="44">
        <v>0</v>
      </c>
    </row>
    <row r="155" spans="1:9" ht="15">
      <c r="A155" s="43"/>
      <c r="B155" s="44"/>
      <c r="C155" s="44"/>
      <c r="D155" s="44"/>
      <c r="E155" s="45"/>
      <c r="F155" s="44"/>
      <c r="G155" s="44"/>
      <c r="H155" s="44"/>
      <c r="I155" s="44"/>
    </row>
    <row r="156" spans="1:9" ht="15.75" customHeight="1">
      <c r="A156" s="43" t="str">
        <f>HLOOKUP(INDICE!$F$2,Nombres!$C$3:$D$636,63,FALSE)</f>
        <v>Otros pasivos</v>
      </c>
      <c r="B156" s="58">
        <f>+B150-B151-B152-B153-B154-B157</f>
        <v>289496.3442748213</v>
      </c>
      <c r="C156" s="58">
        <f aca="true" t="shared" si="26" ref="C156:I156">+C150-C151-C152-C153-C154-C157</f>
        <v>291119.9973751494</v>
      </c>
      <c r="D156" s="58">
        <f t="shared" si="26"/>
        <v>296527.5788347478</v>
      </c>
      <c r="E156" s="65">
        <f t="shared" si="26"/>
        <v>315230.1278818632</v>
      </c>
      <c r="F156" s="44">
        <f t="shared" si="26"/>
        <v>306469.5916681671</v>
      </c>
      <c r="G156" s="44">
        <f t="shared" si="26"/>
        <v>304718.6926755945</v>
      </c>
      <c r="H156" s="44">
        <f t="shared" si="26"/>
        <v>323478.95154234907</v>
      </c>
      <c r="I156" s="44">
        <f t="shared" si="26"/>
        <v>0</v>
      </c>
    </row>
    <row r="157" spans="1:9" ht="15.75" customHeight="1">
      <c r="A157" s="43" t="str">
        <f>HLOOKUP(INDICE!$F$2,Nombres!$C$3:$D$636,282,FALSE)</f>
        <v>Dotación de capital regulatorio</v>
      </c>
      <c r="B157" s="44">
        <v>168830.61903684266</v>
      </c>
      <c r="C157" s="44">
        <v>171298.2470786067</v>
      </c>
      <c r="D157" s="44">
        <v>168005.9823934426</v>
      </c>
      <c r="E157" s="44">
        <v>163765.76190359757</v>
      </c>
      <c r="F157" s="44">
        <v>170762.42176260875</v>
      </c>
      <c r="G157" s="44">
        <v>170127.58887400458</v>
      </c>
      <c r="H157" s="44">
        <v>174256.5834697461</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Indicadores relevantes y de gestión</v>
      </c>
      <c r="B160" s="67"/>
      <c r="C160" s="67"/>
      <c r="D160" s="67"/>
      <c r="E160" s="67"/>
      <c r="F160" s="72"/>
      <c r="G160" s="72"/>
      <c r="H160" s="72"/>
      <c r="I160" s="72"/>
    </row>
    <row r="161" spans="1:9" ht="15">
      <c r="A161" s="35" t="str">
        <f>HLOOKUP(INDICE!$F$2,Nombres!$C$3:$D$636,74,FALSE)</f>
        <v>(Millones de pesos mexicanos)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43" t="str">
        <f>HLOOKUP(INDICE!$F$2,Nombres!$C$3:$D$636,66,FALSE)</f>
        <v>Préstamos y anticipos a la clientela bruto (*)</v>
      </c>
      <c r="B163" s="44">
        <v>1372269.117986747</v>
      </c>
      <c r="C163" s="44">
        <v>1333974.057790076</v>
      </c>
      <c r="D163" s="44">
        <v>1304088.3238570238</v>
      </c>
      <c r="E163" s="45">
        <v>1274837.5028112999</v>
      </c>
      <c r="F163" s="44">
        <v>1290573.2733789755</v>
      </c>
      <c r="G163" s="44">
        <v>1295182.1122340232</v>
      </c>
      <c r="H163" s="44">
        <v>1304079.1322468526</v>
      </c>
      <c r="I163" s="44">
        <v>0</v>
      </c>
    </row>
    <row r="164" spans="1:9" ht="15">
      <c r="A164" s="43" t="str">
        <f>HLOOKUP(INDICE!$F$2,Nombres!$C$3:$D$636,67,FALSE)</f>
        <v>Depósitos de clientes en gestión (**)</v>
      </c>
      <c r="B164" s="44">
        <v>1281026.5002436892</v>
      </c>
      <c r="C164" s="44">
        <v>1300756.8591387172</v>
      </c>
      <c r="D164" s="44">
        <v>1320552.7644490178</v>
      </c>
      <c r="E164" s="45">
        <v>1312961.97388444</v>
      </c>
      <c r="F164" s="44">
        <v>1358594.2156556693</v>
      </c>
      <c r="G164" s="44">
        <v>1353650.6114813543</v>
      </c>
      <c r="H164" s="44">
        <v>1374607.5102575745</v>
      </c>
      <c r="I164" s="44">
        <v>0</v>
      </c>
    </row>
    <row r="165" spans="1:9" ht="15">
      <c r="A165" s="43" t="str">
        <f>HLOOKUP(INDICE!$F$2,Nombres!$C$3:$D$636,68,FALSE)</f>
        <v>Fondos de inversión</v>
      </c>
      <c r="B165" s="44">
        <v>485308.250650633</v>
      </c>
      <c r="C165" s="44">
        <v>502316.7740257847</v>
      </c>
      <c r="D165" s="44">
        <v>513023.857766748</v>
      </c>
      <c r="E165" s="45">
        <v>504438.656654297</v>
      </c>
      <c r="F165" s="44">
        <v>527567.3590453749</v>
      </c>
      <c r="G165" s="44">
        <v>534693.8053037424</v>
      </c>
      <c r="H165" s="44">
        <v>543973.7823739755</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54398.381842518575</v>
      </c>
      <c r="C167" s="44">
        <v>49611.14935791888</v>
      </c>
      <c r="D167" s="44">
        <v>45434.86430153178</v>
      </c>
      <c r="E167" s="45">
        <v>45497.66198937253</v>
      </c>
      <c r="F167" s="44">
        <v>45660.29328659152</v>
      </c>
      <c r="G167" s="44">
        <v>48908.95880117197</v>
      </c>
      <c r="H167" s="44">
        <v>48363.333195731975</v>
      </c>
      <c r="I167" s="44">
        <v>0</v>
      </c>
      <c r="K167" s="74"/>
      <c r="L167" s="74"/>
      <c r="M167" s="74"/>
      <c r="N167" s="74"/>
      <c r="O167" s="74"/>
    </row>
    <row r="168" spans="1:15" ht="1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5">
      <c r="A170" s="30"/>
      <c r="B170" s="30"/>
      <c r="C170" s="30"/>
      <c r="D170" s="30"/>
      <c r="E170" s="30"/>
      <c r="F170" s="30"/>
      <c r="G170" s="30"/>
      <c r="H170" s="30"/>
      <c r="I170" s="30"/>
      <c r="K170" s="74"/>
      <c r="L170" s="74"/>
      <c r="M170" s="74"/>
      <c r="N170" s="74"/>
      <c r="O170" s="74"/>
    </row>
    <row r="171" spans="1:15" ht="15">
      <c r="A171" s="30"/>
      <c r="B171" s="30"/>
      <c r="C171" s="30"/>
      <c r="D171" s="30"/>
      <c r="E171" s="30"/>
      <c r="F171" s="30"/>
      <c r="G171" s="30"/>
      <c r="H171" s="30"/>
      <c r="I171" s="30"/>
      <c r="K171" s="74"/>
      <c r="L171" s="74"/>
      <c r="M171" s="74"/>
      <c r="N171" s="74"/>
      <c r="O171" s="74"/>
    </row>
    <row r="172" spans="1:15" ht="15">
      <c r="A172" s="73"/>
      <c r="B172" s="74"/>
      <c r="C172" s="75"/>
      <c r="D172" s="75"/>
      <c r="E172" s="75"/>
      <c r="F172" s="74"/>
      <c r="G172" s="74"/>
      <c r="H172" s="74"/>
      <c r="I172" s="74"/>
      <c r="K172" s="74"/>
      <c r="L172" s="74"/>
      <c r="M172" s="74"/>
      <c r="N172" s="74"/>
      <c r="O172" s="74"/>
    </row>
    <row r="173" spans="1:15" ht="15">
      <c r="A173" s="73"/>
      <c r="B173" s="74"/>
      <c r="C173" s="75"/>
      <c r="D173" s="75"/>
      <c r="E173" s="75"/>
      <c r="F173" s="74"/>
      <c r="G173" s="74"/>
      <c r="H173" s="74"/>
      <c r="I173" s="74"/>
      <c r="J173" s="74"/>
      <c r="K173" s="74"/>
      <c r="L173" s="74"/>
      <c r="M173" s="74"/>
      <c r="N173" s="74"/>
      <c r="O173" s="74"/>
    </row>
    <row r="174" spans="1:15" ht="15">
      <c r="A174" s="74"/>
      <c r="B174" s="74"/>
      <c r="C174" s="74"/>
      <c r="D174" s="74"/>
      <c r="E174" s="74"/>
      <c r="F174" s="74"/>
      <c r="G174" s="74"/>
      <c r="H174" s="74"/>
      <c r="I174" s="74"/>
      <c r="J174" s="74"/>
      <c r="K174" s="74"/>
      <c r="L174" s="74"/>
      <c r="M174" s="74"/>
      <c r="N174" s="74"/>
      <c r="O174" s="74"/>
    </row>
    <row r="175" spans="1:10" ht="15">
      <c r="A175" s="74"/>
      <c r="B175" s="74"/>
      <c r="C175" s="74"/>
      <c r="D175" s="74"/>
      <c r="E175" s="74"/>
      <c r="F175" s="74"/>
      <c r="G175" s="74"/>
      <c r="H175" s="74"/>
      <c r="I175" s="74"/>
      <c r="J175" s="74"/>
    </row>
    <row r="176" spans="1:10" ht="15">
      <c r="A176" s="74"/>
      <c r="B176" s="74"/>
      <c r="C176" s="74"/>
      <c r="D176" s="74"/>
      <c r="E176" s="74"/>
      <c r="F176" s="74"/>
      <c r="G176" s="74"/>
      <c r="H176" s="74"/>
      <c r="I176" s="74"/>
      <c r="J176" s="74"/>
    </row>
    <row r="177" spans="1:10" ht="15">
      <c r="A177" s="74"/>
      <c r="B177" s="74"/>
      <c r="C177" s="74"/>
      <c r="D177" s="74"/>
      <c r="E177" s="74"/>
      <c r="F177" s="74"/>
      <c r="G177" s="74"/>
      <c r="H177" s="74"/>
      <c r="I177" s="74"/>
      <c r="J177" s="74"/>
    </row>
    <row r="178" spans="1:10" ht="15">
      <c r="A178" s="74"/>
      <c r="B178" s="74"/>
      <c r="C178" s="74"/>
      <c r="D178" s="74"/>
      <c r="E178" s="74"/>
      <c r="F178" s="74"/>
      <c r="G178" s="74"/>
      <c r="H178" s="74"/>
      <c r="I178" s="74"/>
      <c r="J178" s="74"/>
    </row>
    <row r="179" spans="1:10" ht="15">
      <c r="A179" s="74"/>
      <c r="B179" s="74"/>
      <c r="C179" s="74"/>
      <c r="D179" s="74"/>
      <c r="E179" s="74"/>
      <c r="F179" s="74"/>
      <c r="G179" s="74"/>
      <c r="H179" s="74"/>
      <c r="I179" s="74"/>
      <c r="J179" s="74"/>
    </row>
    <row r="180" spans="1:10" ht="15">
      <c r="A180" s="74"/>
      <c r="B180" s="74"/>
      <c r="C180" s="74"/>
      <c r="D180" s="74"/>
      <c r="E180" s="74"/>
      <c r="F180" s="74"/>
      <c r="G180" s="74"/>
      <c r="H180" s="74"/>
      <c r="I180" s="74"/>
      <c r="J180" s="74"/>
    </row>
    <row r="1006" ht="1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819.493</v>
      </c>
      <c r="C8" s="41">
        <v>714.7619999899996</v>
      </c>
      <c r="D8" s="41">
        <v>683.9560000199999</v>
      </c>
      <c r="E8" s="42">
        <v>564.5439999900001</v>
      </c>
      <c r="F8" s="50">
        <v>529.5730000000001</v>
      </c>
      <c r="G8" s="50">
        <v>506.62400001000015</v>
      </c>
      <c r="H8" s="50">
        <v>614.6899999999998</v>
      </c>
      <c r="I8" s="50">
        <v>0</v>
      </c>
    </row>
    <row r="9" spans="1:9" ht="15">
      <c r="A9" s="43" t="str">
        <f>HLOOKUP(INDICE!$F$2,Nombres!$C$3:$D$636,34,FALSE)</f>
        <v>Comisiones netas</v>
      </c>
      <c r="B9" s="44">
        <v>165.06999995</v>
      </c>
      <c r="C9" s="44">
        <v>99.06400002000001</v>
      </c>
      <c r="D9" s="44">
        <v>127.24000000999996</v>
      </c>
      <c r="E9" s="45">
        <v>118.89200001000006</v>
      </c>
      <c r="F9" s="44">
        <v>154.401</v>
      </c>
      <c r="G9" s="44">
        <v>142.64500001</v>
      </c>
      <c r="H9" s="44">
        <v>145.87599999</v>
      </c>
      <c r="I9" s="44">
        <v>0</v>
      </c>
    </row>
    <row r="10" spans="1:9" ht="15">
      <c r="A10" s="43" t="str">
        <f>HLOOKUP(INDICE!$F$2,Nombres!$C$3:$D$636,35,FALSE)</f>
        <v>Resultados de operaciones financieras</v>
      </c>
      <c r="B10" s="44">
        <v>66.84599998</v>
      </c>
      <c r="C10" s="44">
        <v>59.775000009999985</v>
      </c>
      <c r="D10" s="44">
        <v>79.42800002000004</v>
      </c>
      <c r="E10" s="45">
        <v>21.16799998999999</v>
      </c>
      <c r="F10" s="44">
        <v>125.63700000999998</v>
      </c>
      <c r="G10" s="44">
        <v>54.027</v>
      </c>
      <c r="H10" s="44">
        <v>59.10599996999999</v>
      </c>
      <c r="I10" s="44">
        <v>0</v>
      </c>
    </row>
    <row r="11" spans="1:9" ht="15">
      <c r="A11" s="43" t="str">
        <f>HLOOKUP(INDICE!$F$2,Nombres!$C$3:$D$636,36,FALSE)</f>
        <v>Otros ingresos y cargas de explotación</v>
      </c>
      <c r="B11" s="44">
        <v>21.869000000000018</v>
      </c>
      <c r="C11" s="44">
        <v>10.061000000000018</v>
      </c>
      <c r="D11" s="44">
        <v>18.81700001</v>
      </c>
      <c r="E11" s="45">
        <v>2.439999990000004</v>
      </c>
      <c r="F11" s="44">
        <v>24.439999999999998</v>
      </c>
      <c r="G11" s="44">
        <v>33.91299999999998</v>
      </c>
      <c r="H11" s="44">
        <v>22.784000000000052</v>
      </c>
      <c r="I11" s="44">
        <v>0</v>
      </c>
    </row>
    <row r="12" spans="1:9" ht="15">
      <c r="A12" s="41" t="str">
        <f>HLOOKUP(INDICE!$F$2,Nombres!$C$3:$D$636,37,FALSE)</f>
        <v>Margen bruto</v>
      </c>
      <c r="B12" s="41">
        <f>+SUM(B8:B11)</f>
        <v>1073.27799993</v>
      </c>
      <c r="C12" s="41">
        <f aca="true" t="shared" si="0" ref="C12:I12">+SUM(C8:C11)</f>
        <v>883.6620000199996</v>
      </c>
      <c r="D12" s="41">
        <f t="shared" si="0"/>
        <v>909.4410000599999</v>
      </c>
      <c r="E12" s="42">
        <f t="shared" si="0"/>
        <v>707.0439999800002</v>
      </c>
      <c r="F12" s="50">
        <f t="shared" si="0"/>
        <v>834.05100001</v>
      </c>
      <c r="G12" s="50">
        <f t="shared" si="0"/>
        <v>737.2090000200002</v>
      </c>
      <c r="H12" s="50">
        <f t="shared" si="0"/>
        <v>842.4559999599999</v>
      </c>
      <c r="I12" s="50">
        <f t="shared" si="0"/>
        <v>0</v>
      </c>
    </row>
    <row r="13" spans="1:9" ht="15">
      <c r="A13" s="43" t="str">
        <f>HLOOKUP(INDICE!$F$2,Nombres!$C$3:$D$636,38,FALSE)</f>
        <v>Gastos de explotación</v>
      </c>
      <c r="B13" s="44">
        <v>-309.88871792</v>
      </c>
      <c r="C13" s="44">
        <v>-252.57887997</v>
      </c>
      <c r="D13" s="44">
        <v>-229.31690742</v>
      </c>
      <c r="E13" s="45">
        <v>-237.70630896999995</v>
      </c>
      <c r="F13" s="44">
        <v>-264.95964426</v>
      </c>
      <c r="G13" s="44">
        <v>-233.61289325</v>
      </c>
      <c r="H13" s="44">
        <v>-235.40816529999995</v>
      </c>
      <c r="I13" s="44">
        <v>0</v>
      </c>
    </row>
    <row r="14" spans="1:9" ht="15">
      <c r="A14" s="43" t="str">
        <f>HLOOKUP(INDICE!$F$2,Nombres!$C$3:$D$636,39,FALSE)</f>
        <v>  Gastos de administración</v>
      </c>
      <c r="B14" s="44">
        <v>-262.03969592</v>
      </c>
      <c r="C14" s="44">
        <v>-217.17585795999997</v>
      </c>
      <c r="D14" s="44">
        <v>-194.02888543</v>
      </c>
      <c r="E14" s="45">
        <v>-206.71428699</v>
      </c>
      <c r="F14" s="44">
        <v>-231.18662226000004</v>
      </c>
      <c r="G14" s="44">
        <v>-203.79787226000002</v>
      </c>
      <c r="H14" s="44">
        <v>-204.49014329</v>
      </c>
      <c r="I14" s="44">
        <v>0</v>
      </c>
    </row>
    <row r="15" spans="1:9" ht="15">
      <c r="A15" s="46" t="str">
        <f>HLOOKUP(INDICE!$F$2,Nombres!$C$3:$D$636,40,FALSE)</f>
        <v>  Gastos de personal</v>
      </c>
      <c r="B15" s="44">
        <v>-156.81167561</v>
      </c>
      <c r="C15" s="44">
        <v>-150.30583696999997</v>
      </c>
      <c r="D15" s="44">
        <v>-130.36995616000002</v>
      </c>
      <c r="E15" s="45">
        <v>-123.43996326</v>
      </c>
      <c r="F15" s="44">
        <v>-141.8752291</v>
      </c>
      <c r="G15" s="44">
        <v>-139.68222913</v>
      </c>
      <c r="H15" s="44">
        <v>-139.68122918</v>
      </c>
      <c r="I15" s="44">
        <v>0</v>
      </c>
    </row>
    <row r="16" spans="1:9" ht="15">
      <c r="A16" s="46" t="str">
        <f>HLOOKUP(INDICE!$F$2,Nombres!$C$3:$D$636,41,FALSE)</f>
        <v>  Otros gastos de administración</v>
      </c>
      <c r="B16" s="44">
        <v>-105.22802031</v>
      </c>
      <c r="C16" s="44">
        <v>-66.87002099</v>
      </c>
      <c r="D16" s="44">
        <v>-63.65892927</v>
      </c>
      <c r="E16" s="45">
        <v>-83.27432372999999</v>
      </c>
      <c r="F16" s="44">
        <v>-89.31139316000001</v>
      </c>
      <c r="G16" s="44">
        <v>-64.11564313000002</v>
      </c>
      <c r="H16" s="44">
        <v>-64.80891410999998</v>
      </c>
      <c r="I16" s="44">
        <v>0</v>
      </c>
    </row>
    <row r="17" spans="1:9" ht="15">
      <c r="A17" s="43" t="str">
        <f>HLOOKUP(INDICE!$F$2,Nombres!$C$3:$D$636,42,FALSE)</f>
        <v>  Amortización</v>
      </c>
      <c r="B17" s="44">
        <v>-47.849022</v>
      </c>
      <c r="C17" s="44">
        <v>-35.403022009999994</v>
      </c>
      <c r="D17" s="44">
        <v>-35.28802199</v>
      </c>
      <c r="E17" s="45">
        <v>-30.992021979999997</v>
      </c>
      <c r="F17" s="44">
        <v>-33.773022</v>
      </c>
      <c r="G17" s="44">
        <v>-29.81502099</v>
      </c>
      <c r="H17" s="44">
        <v>-30.918022009999998</v>
      </c>
      <c r="I17" s="44">
        <v>0</v>
      </c>
    </row>
    <row r="18" spans="1:9" ht="15">
      <c r="A18" s="41" t="str">
        <f>HLOOKUP(INDICE!$F$2,Nombres!$C$3:$D$636,43,FALSE)</f>
        <v>Margen neto</v>
      </c>
      <c r="B18" s="41">
        <f>+B12+B13</f>
        <v>763.3892820100001</v>
      </c>
      <c r="C18" s="41">
        <f aca="true" t="shared" si="1" ref="C18:I18">+C12+C13</f>
        <v>631.0831200499996</v>
      </c>
      <c r="D18" s="41">
        <f t="shared" si="1"/>
        <v>680.1240926399998</v>
      </c>
      <c r="E18" s="42">
        <f t="shared" si="1"/>
        <v>469.33769101000024</v>
      </c>
      <c r="F18" s="50">
        <f t="shared" si="1"/>
        <v>569.09135575</v>
      </c>
      <c r="G18" s="50">
        <f t="shared" si="1"/>
        <v>503.5961067700002</v>
      </c>
      <c r="H18" s="50">
        <f t="shared" si="1"/>
        <v>607.0478346599999</v>
      </c>
      <c r="I18" s="50">
        <f t="shared" si="1"/>
        <v>0</v>
      </c>
    </row>
    <row r="19" spans="1:9" ht="15">
      <c r="A19" s="43" t="str">
        <f>HLOOKUP(INDICE!$F$2,Nombres!$C$3:$D$636,44,FALSE)</f>
        <v>Deterioro de activos financieros no valorados a valor razonable con cambios en resultados</v>
      </c>
      <c r="B19" s="44">
        <v>-403.24300001</v>
      </c>
      <c r="C19" s="44">
        <v>-215.16299999000003</v>
      </c>
      <c r="D19" s="44">
        <v>-61.251999999999995</v>
      </c>
      <c r="E19" s="45">
        <v>-215.31000000999998</v>
      </c>
      <c r="F19" s="44">
        <v>-122.84000001000001</v>
      </c>
      <c r="G19" s="44">
        <v>-44.93799996999999</v>
      </c>
      <c r="H19" s="44">
        <v>-67.13700002999998</v>
      </c>
      <c r="I19" s="44">
        <v>0</v>
      </c>
    </row>
    <row r="20" spans="1:9" ht="15">
      <c r="A20" s="43" t="str">
        <f>HLOOKUP(INDICE!$F$2,Nombres!$C$3:$D$636,45,FALSE)</f>
        <v>Provisiones o reversión de provisiones y otros resultados</v>
      </c>
      <c r="B20" s="44">
        <v>-20.217</v>
      </c>
      <c r="C20" s="44">
        <v>-40.53700000000002</v>
      </c>
      <c r="D20" s="44">
        <v>-9.180999989999956</v>
      </c>
      <c r="E20" s="45">
        <v>-56.78800001999997</v>
      </c>
      <c r="F20" s="44">
        <v>34.80999999999998</v>
      </c>
      <c r="G20" s="44">
        <v>12.811999999999989</v>
      </c>
      <c r="H20" s="44">
        <v>11.643000000000022</v>
      </c>
      <c r="I20" s="44">
        <v>0</v>
      </c>
    </row>
    <row r="21" spans="1:9" ht="15">
      <c r="A21" s="41" t="str">
        <f>HLOOKUP(INDICE!$F$2,Nombres!$C$3:$D$636,46,FALSE)</f>
        <v>Resultado antes de impuestos</v>
      </c>
      <c r="B21" s="41">
        <f>+B18+B19+B20</f>
        <v>339.9292820000001</v>
      </c>
      <c r="C21" s="41">
        <f aca="true" t="shared" si="2" ref="C21:I21">+C18+C19+C20</f>
        <v>375.38312005999956</v>
      </c>
      <c r="D21" s="41">
        <f t="shared" si="2"/>
        <v>609.69109265</v>
      </c>
      <c r="E21" s="42">
        <f t="shared" si="2"/>
        <v>197.2396909800003</v>
      </c>
      <c r="F21" s="50">
        <f t="shared" si="2"/>
        <v>481.06135574</v>
      </c>
      <c r="G21" s="50">
        <f t="shared" si="2"/>
        <v>471.47010680000017</v>
      </c>
      <c r="H21" s="50">
        <f t="shared" si="2"/>
        <v>551.55383463</v>
      </c>
      <c r="I21" s="50">
        <f t="shared" si="2"/>
        <v>0</v>
      </c>
    </row>
    <row r="22" spans="1:9" ht="15">
      <c r="A22" s="43" t="str">
        <f>HLOOKUP(INDICE!$F$2,Nombres!$C$3:$D$636,47,FALSE)</f>
        <v>Impuesto sobre beneficios</v>
      </c>
      <c r="B22" s="44">
        <v>-78.24558461999999</v>
      </c>
      <c r="C22" s="44">
        <v>-96.93393603</v>
      </c>
      <c r="D22" s="44">
        <v>-132.35332775</v>
      </c>
      <c r="E22" s="45">
        <v>-72.21390731000001</v>
      </c>
      <c r="F22" s="44">
        <v>-93.89860671</v>
      </c>
      <c r="G22" s="44">
        <v>-80.64343203</v>
      </c>
      <c r="H22" s="44">
        <v>-148.35625043</v>
      </c>
      <c r="I22" s="44">
        <v>0</v>
      </c>
    </row>
    <row r="23" spans="1:9" ht="15">
      <c r="A23" s="41" t="str">
        <f>HLOOKUP(INDICE!$F$2,Nombres!$C$3:$D$636,48,FALSE)</f>
        <v>Resultado del ejercicio</v>
      </c>
      <c r="B23" s="41">
        <f>+B21+B22</f>
        <v>261.6836973800001</v>
      </c>
      <c r="C23" s="41">
        <f aca="true" t="shared" si="3" ref="C23:I23">+C21+C22</f>
        <v>278.44918402999957</v>
      </c>
      <c r="D23" s="41">
        <f t="shared" si="3"/>
        <v>477.33776489999997</v>
      </c>
      <c r="E23" s="42">
        <f t="shared" si="3"/>
        <v>125.02578367000028</v>
      </c>
      <c r="F23" s="50">
        <f t="shared" si="3"/>
        <v>387.16274903</v>
      </c>
      <c r="G23" s="50">
        <f t="shared" si="3"/>
        <v>390.8266747700002</v>
      </c>
      <c r="H23" s="50">
        <f t="shared" si="3"/>
        <v>403.1975842</v>
      </c>
      <c r="I23" s="50">
        <f t="shared" si="3"/>
        <v>0</v>
      </c>
    </row>
    <row r="24" spans="1:9" ht="15">
      <c r="A24" s="43" t="str">
        <f>HLOOKUP(INDICE!$F$2,Nombres!$C$3:$D$636,49,FALSE)</f>
        <v>Minoritarios</v>
      </c>
      <c r="B24" s="44">
        <v>-132.898</v>
      </c>
      <c r="C24" s="44">
        <v>-141.088</v>
      </c>
      <c r="D24" s="44">
        <v>-240.952</v>
      </c>
      <c r="E24" s="45">
        <v>-64.26400001</v>
      </c>
      <c r="F24" s="44">
        <v>-196.24699999999999</v>
      </c>
      <c r="G24" s="44">
        <v>-197.595</v>
      </c>
      <c r="H24" s="44">
        <v>-203.94899998000005</v>
      </c>
      <c r="I24" s="44">
        <v>0</v>
      </c>
    </row>
    <row r="25" spans="1:9" ht="15">
      <c r="A25" s="47" t="str">
        <f>HLOOKUP(INDICE!$F$2,Nombres!$C$3:$D$636,50,FALSE)</f>
        <v>Resultado atribuido</v>
      </c>
      <c r="B25" s="47">
        <f>+B23+B24</f>
        <v>128.78569738000013</v>
      </c>
      <c r="C25" s="47">
        <f aca="true" t="shared" si="4" ref="C25:I25">+C23+C24</f>
        <v>137.36118402999958</v>
      </c>
      <c r="D25" s="47">
        <f t="shared" si="4"/>
        <v>236.38576489999997</v>
      </c>
      <c r="E25" s="47">
        <f t="shared" si="4"/>
        <v>60.761783660000276</v>
      </c>
      <c r="F25" s="51">
        <f t="shared" si="4"/>
        <v>190.91574903</v>
      </c>
      <c r="G25" s="51">
        <f t="shared" si="4"/>
        <v>193.23167477000018</v>
      </c>
      <c r="H25" s="51">
        <f t="shared" si="4"/>
        <v>199.24858421999994</v>
      </c>
      <c r="I25" s="51">
        <f t="shared" si="4"/>
        <v>0</v>
      </c>
    </row>
    <row r="26" spans="1:9" ht="15">
      <c r="A26" s="62"/>
      <c r="B26" s="63">
        <v>0</v>
      </c>
      <c r="C26" s="63">
        <v>0</v>
      </c>
      <c r="D26" s="63">
        <v>0</v>
      </c>
      <c r="E26" s="63">
        <v>1.1368683772161603E-13</v>
      </c>
      <c r="F26" s="63">
        <v>0</v>
      </c>
      <c r="G26" s="63">
        <v>2.2737367544323206E-13</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5194.189</v>
      </c>
      <c r="C31" s="44">
        <v>5489.2119999999995</v>
      </c>
      <c r="D31" s="44">
        <v>5510.271</v>
      </c>
      <c r="E31" s="45">
        <v>5477.186000000001</v>
      </c>
      <c r="F31" s="44">
        <v>6682.253</v>
      </c>
      <c r="G31" s="44">
        <v>6656.599999999999</v>
      </c>
      <c r="H31" s="44">
        <v>6257.517</v>
      </c>
      <c r="I31" s="44">
        <v>0</v>
      </c>
    </row>
    <row r="32" spans="1:9" ht="15">
      <c r="A32" s="43" t="str">
        <f>HLOOKUP(INDICE!$F$2,Nombres!$C$3:$D$636,53,FALSE)</f>
        <v>Activos financieros a valor razonable</v>
      </c>
      <c r="B32" s="58">
        <v>5058.879</v>
      </c>
      <c r="C32" s="58">
        <v>5712.279</v>
      </c>
      <c r="D32" s="58">
        <v>5429.875999999999</v>
      </c>
      <c r="E32" s="65">
        <v>5331.522999999999</v>
      </c>
      <c r="F32" s="44">
        <v>5492.143</v>
      </c>
      <c r="G32" s="44">
        <v>5153.531</v>
      </c>
      <c r="H32" s="44">
        <v>5417.218000000001</v>
      </c>
      <c r="I32" s="44">
        <v>0</v>
      </c>
    </row>
    <row r="33" spans="1:9" ht="15">
      <c r="A33" s="43" t="str">
        <f>HLOOKUP(INDICE!$F$2,Nombres!$C$3:$D$636,54,FALSE)</f>
        <v>Activos financieros a coste amortizado</v>
      </c>
      <c r="B33" s="44">
        <v>50862.558000000005</v>
      </c>
      <c r="C33" s="44">
        <v>50078.886999999995</v>
      </c>
      <c r="D33" s="44">
        <v>45251.355</v>
      </c>
      <c r="E33" s="45">
        <v>46705.471999999994</v>
      </c>
      <c r="F33" s="44">
        <v>44633.130000000005</v>
      </c>
      <c r="G33" s="44">
        <v>45507.883</v>
      </c>
      <c r="H33" s="44">
        <v>47893.36</v>
      </c>
      <c r="I33" s="44">
        <v>0</v>
      </c>
    </row>
    <row r="34" spans="1:9" ht="15">
      <c r="A34" s="43" t="str">
        <f>HLOOKUP(INDICE!$F$2,Nombres!$C$3:$D$636,55,FALSE)</f>
        <v>    de los que préstamos y anticipos a la clientela</v>
      </c>
      <c r="B34" s="44">
        <v>39916.31599999999</v>
      </c>
      <c r="C34" s="44">
        <v>41196.41400000001</v>
      </c>
      <c r="D34" s="44">
        <v>36797.241</v>
      </c>
      <c r="E34" s="45">
        <v>37295.429000000004</v>
      </c>
      <c r="F34" s="44">
        <v>36858.534</v>
      </c>
      <c r="G34" s="44">
        <v>36911.164</v>
      </c>
      <c r="H34" s="44">
        <v>38932.94</v>
      </c>
      <c r="I34" s="44">
        <v>0</v>
      </c>
    </row>
    <row r="35" spans="1:9" ht="15">
      <c r="A35" s="43"/>
      <c r="B35" s="44"/>
      <c r="C35" s="44"/>
      <c r="D35" s="44"/>
      <c r="E35" s="45"/>
      <c r="F35" s="44"/>
      <c r="G35" s="44"/>
      <c r="H35" s="44"/>
      <c r="I35" s="44"/>
    </row>
    <row r="36" spans="1:9" ht="15">
      <c r="A36" s="43" t="str">
        <f>HLOOKUP(INDICE!$F$2,Nombres!$C$3:$D$636,56,FALSE)</f>
        <v>Activos tangibles</v>
      </c>
      <c r="B36" s="44">
        <v>1033.449</v>
      </c>
      <c r="C36" s="44">
        <v>942.0169999999999</v>
      </c>
      <c r="D36" s="44">
        <v>827.0029999999999</v>
      </c>
      <c r="E36" s="45">
        <v>900.807</v>
      </c>
      <c r="F36" s="44">
        <v>871.2429999999999</v>
      </c>
      <c r="G36" s="44">
        <v>814.192</v>
      </c>
      <c r="H36" s="44">
        <v>851.2760000000001</v>
      </c>
      <c r="I36" s="44">
        <v>0</v>
      </c>
    </row>
    <row r="37" spans="1:9" ht="15">
      <c r="A37" s="43" t="str">
        <f>HLOOKUP(INDICE!$F$2,Nombres!$C$3:$D$636,57,FALSE)</f>
        <v>Otros activos</v>
      </c>
      <c r="B37" s="58">
        <f>+B38-B36-B33-B32-B31</f>
        <v>1354.8760000399916</v>
      </c>
      <c r="C37" s="58">
        <f aca="true" t="shared" si="5" ref="C37:I37">+C38-C36-C33-C32-C31</f>
        <v>1302.464000000009</v>
      </c>
      <c r="D37" s="58">
        <f t="shared" si="5"/>
        <v>1109.6209999999974</v>
      </c>
      <c r="E37" s="65">
        <f t="shared" si="5"/>
        <v>1170.1390215599995</v>
      </c>
      <c r="F37" s="44">
        <f t="shared" si="5"/>
        <v>1197.1020000099898</v>
      </c>
      <c r="G37" s="44">
        <f t="shared" si="5"/>
        <v>1111.1410000100022</v>
      </c>
      <c r="H37" s="44">
        <f t="shared" si="5"/>
        <v>1129.5460000300009</v>
      </c>
      <c r="I37" s="44">
        <f t="shared" si="5"/>
        <v>0</v>
      </c>
    </row>
    <row r="38" spans="1:9" ht="15">
      <c r="A38" s="47" t="str">
        <f>HLOOKUP(INDICE!$F$2,Nombres!$C$3:$D$636,58,FALSE)</f>
        <v>Total activo / pasivo</v>
      </c>
      <c r="B38" s="51">
        <v>63503.95100004</v>
      </c>
      <c r="C38" s="51">
        <v>63524.859000000004</v>
      </c>
      <c r="D38" s="51">
        <v>58128.126</v>
      </c>
      <c r="E38" s="80">
        <v>59585.127021559994</v>
      </c>
      <c r="F38" s="51">
        <v>58875.871000009996</v>
      </c>
      <c r="G38" s="51">
        <v>59243.347000010006</v>
      </c>
      <c r="H38" s="51">
        <v>61548.91700003</v>
      </c>
      <c r="I38" s="51">
        <v>0</v>
      </c>
    </row>
    <row r="39" spans="1:9" ht="15">
      <c r="A39" s="43" t="str">
        <f>HLOOKUP(INDICE!$F$2,Nombres!$C$3:$D$636,59,FALSE)</f>
        <v>Pasivos financieros mantenidos para negociar y designados a valor razonable con cambios en resultados</v>
      </c>
      <c r="B39" s="58">
        <v>2336.191</v>
      </c>
      <c r="C39" s="58">
        <v>2248.6989999999996</v>
      </c>
      <c r="D39" s="58">
        <v>2163.924</v>
      </c>
      <c r="E39" s="65">
        <v>2335.963</v>
      </c>
      <c r="F39" s="44">
        <v>2061.667</v>
      </c>
      <c r="G39" s="44">
        <v>1969.616</v>
      </c>
      <c r="H39" s="44">
        <v>1998.7019999999998</v>
      </c>
      <c r="I39" s="44">
        <v>0</v>
      </c>
    </row>
    <row r="40" spans="1:9" ht="15.75" customHeight="1">
      <c r="A40" s="43" t="str">
        <f>HLOOKUP(INDICE!$F$2,Nombres!$C$3:$D$636,60,FALSE)</f>
        <v>Depósitos de bancos centrales y entidades de crédito</v>
      </c>
      <c r="B40" s="58">
        <v>4414.611</v>
      </c>
      <c r="C40" s="58">
        <v>5571.6900000000005</v>
      </c>
      <c r="D40" s="58">
        <v>3726.4350000000004</v>
      </c>
      <c r="E40" s="65">
        <v>3380.7119999999995</v>
      </c>
      <c r="F40" s="44">
        <v>4671.436</v>
      </c>
      <c r="G40" s="44">
        <v>3749.326</v>
      </c>
      <c r="H40" s="44">
        <v>3879.982</v>
      </c>
      <c r="I40" s="44">
        <v>0</v>
      </c>
    </row>
    <row r="41" spans="1:9" ht="15">
      <c r="A41" s="43" t="str">
        <f>HLOOKUP(INDICE!$F$2,Nombres!$C$3:$D$636,61,FALSE)</f>
        <v>Depósitos de la clientela</v>
      </c>
      <c r="B41" s="58">
        <v>41058.386</v>
      </c>
      <c r="C41" s="58">
        <v>40131.886</v>
      </c>
      <c r="D41" s="58">
        <v>38130.409999999996</v>
      </c>
      <c r="E41" s="65">
        <v>39353.42600000001</v>
      </c>
      <c r="F41" s="44">
        <v>38089.234</v>
      </c>
      <c r="G41" s="44">
        <v>39858.453</v>
      </c>
      <c r="H41" s="44">
        <v>41281.827999999994</v>
      </c>
      <c r="I41" s="44">
        <v>0</v>
      </c>
    </row>
    <row r="42" spans="1:9" ht="15">
      <c r="A42" s="43" t="str">
        <f>HLOOKUP(INDICE!$F$2,Nombres!$C$3:$D$636,62,FALSE)</f>
        <v>Valores representativos de deuda emitidos</v>
      </c>
      <c r="B42" s="44">
        <v>5120.445076800001</v>
      </c>
      <c r="C42" s="44">
        <v>5018.526176</v>
      </c>
      <c r="D42" s="44">
        <v>4229.6461632</v>
      </c>
      <c r="E42" s="45">
        <v>4037.0064272399995</v>
      </c>
      <c r="F42" s="44">
        <v>4242.74763894</v>
      </c>
      <c r="G42" s="44">
        <v>3869.5861344400005</v>
      </c>
      <c r="H42" s="44">
        <v>3971.0202847</v>
      </c>
      <c r="I42" s="44">
        <v>0</v>
      </c>
    </row>
    <row r="43" spans="1:9" ht="15">
      <c r="A43" s="43"/>
      <c r="B43" s="44"/>
      <c r="C43" s="44"/>
      <c r="D43" s="44"/>
      <c r="E43" s="45"/>
      <c r="F43" s="44"/>
      <c r="G43" s="44"/>
      <c r="H43" s="44"/>
      <c r="I43" s="44"/>
    </row>
    <row r="44" spans="1:9" ht="15">
      <c r="A44" s="43" t="str">
        <f>HLOOKUP(INDICE!$F$2,Nombres!$C$3:$D$636,63,FALSE)</f>
        <v>Otros pasivos</v>
      </c>
      <c r="B44" s="58">
        <f>+B38-B39-B40-B41-B42-B45</f>
        <v>3479.0703696400014</v>
      </c>
      <c r="C44" s="58">
        <f aca="true" t="shared" si="6" ref="C44:I44">+C38-C39-C40-C41-C42-C45</f>
        <v>3715.6891158000035</v>
      </c>
      <c r="D44" s="58">
        <f t="shared" si="6"/>
        <v>3901.206617970004</v>
      </c>
      <c r="E44" s="65">
        <f t="shared" si="6"/>
        <v>4308.340876909984</v>
      </c>
      <c r="F44" s="44">
        <f t="shared" si="6"/>
        <v>3364.9573332099962</v>
      </c>
      <c r="G44" s="44">
        <f t="shared" si="6"/>
        <v>3685.0812602700025</v>
      </c>
      <c r="H44" s="44">
        <f t="shared" si="6"/>
        <v>3735.150638970006</v>
      </c>
      <c r="I44" s="44">
        <f t="shared" si="6"/>
        <v>0</v>
      </c>
    </row>
    <row r="45" spans="1:9" ht="15">
      <c r="A45" s="43" t="str">
        <f>HLOOKUP(INDICE!$F$2,Nombres!$C$3:$D$636,282,FALSE)</f>
        <v>Dotación de capital regulatorio</v>
      </c>
      <c r="B45" s="44">
        <v>7095.2475536</v>
      </c>
      <c r="C45" s="44">
        <v>6838.3687082</v>
      </c>
      <c r="D45" s="44">
        <v>5976.50421883</v>
      </c>
      <c r="E45" s="44">
        <v>6169.678717410001</v>
      </c>
      <c r="F45" s="44">
        <v>6445.829027860001</v>
      </c>
      <c r="G45" s="44">
        <v>6111.284605299999</v>
      </c>
      <c r="H45" s="44">
        <v>6682.234076359999</v>
      </c>
      <c r="I45" s="44">
        <v>0</v>
      </c>
    </row>
    <row r="46" spans="1:9" ht="15">
      <c r="A46" s="62"/>
      <c r="B46" s="58"/>
      <c r="C46" s="58"/>
      <c r="D46" s="58"/>
      <c r="E46" s="58"/>
      <c r="F46" s="77"/>
      <c r="G46" s="77"/>
      <c r="H46" s="77"/>
      <c r="I46" s="77"/>
    </row>
    <row r="47" spans="1:9" ht="15">
      <c r="A47" s="43"/>
      <c r="B47" s="58"/>
      <c r="C47" s="58"/>
      <c r="D47" s="58"/>
      <c r="E47" s="58"/>
      <c r="F47" s="77"/>
      <c r="G47" s="77"/>
      <c r="H47" s="77"/>
      <c r="I47" s="77"/>
    </row>
    <row r="48" spans="1:9" ht="18">
      <c r="A48" s="33" t="str">
        <f>HLOOKUP(INDICE!$F$2,Nombres!$C$3:$D$636,65,FALSE)</f>
        <v>Indicadores relevantes y de gestión</v>
      </c>
      <c r="B48" s="34"/>
      <c r="C48" s="34"/>
      <c r="D48" s="34"/>
      <c r="E48" s="34"/>
      <c r="F48" s="81"/>
      <c r="G48" s="81"/>
      <c r="H48" s="81"/>
      <c r="I48" s="81"/>
    </row>
    <row r="49" spans="1:9" ht="15">
      <c r="A49" s="35" t="str">
        <f>HLOOKUP(INDICE!$F$2,Nombres!$C$3:$D$636,32,FALSE)</f>
        <v>(Millones de euros)</v>
      </c>
      <c r="B49" s="30"/>
      <c r="C49" s="30"/>
      <c r="D49" s="30"/>
      <c r="E49" s="30"/>
      <c r="F49" s="79"/>
      <c r="G49" s="77"/>
      <c r="H49" s="77"/>
      <c r="I49" s="77"/>
    </row>
    <row r="50" spans="1:9" ht="15.7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 r="A51" s="43" t="str">
        <f>HLOOKUP(INDICE!$F$2,Nombres!$C$3:$D$636,66,FALSE)</f>
        <v>Préstamos y anticipos a la clientela bruto (*)</v>
      </c>
      <c r="B51" s="44">
        <v>42779.227999999996</v>
      </c>
      <c r="C51" s="44">
        <v>44061.442</v>
      </c>
      <c r="D51" s="44">
        <v>39401.64</v>
      </c>
      <c r="E51" s="45">
        <v>39633.030999999995</v>
      </c>
      <c r="F51" s="44">
        <v>39266.594000000005</v>
      </c>
      <c r="G51" s="44">
        <v>39186.41300000001</v>
      </c>
      <c r="H51" s="44">
        <v>41346.916</v>
      </c>
      <c r="I51" s="44">
        <v>0</v>
      </c>
    </row>
    <row r="52" spans="1:9" ht="15">
      <c r="A52" s="43" t="str">
        <f>HLOOKUP(INDICE!$F$2,Nombres!$C$3:$D$636,67,FALSE)</f>
        <v>Depósitos de clientes en gestión (**)</v>
      </c>
      <c r="B52" s="44">
        <v>41050.208999999995</v>
      </c>
      <c r="C52" s="44">
        <v>39929.238999999994</v>
      </c>
      <c r="D52" s="44">
        <v>38125.38</v>
      </c>
      <c r="E52" s="45">
        <v>39345.543000000005</v>
      </c>
      <c r="F52" s="44">
        <v>38086.758</v>
      </c>
      <c r="G52" s="44">
        <v>39856.34500000001</v>
      </c>
      <c r="H52" s="44">
        <v>41279.562999999995</v>
      </c>
      <c r="I52" s="44">
        <v>0</v>
      </c>
    </row>
    <row r="53" spans="1:9" ht="15">
      <c r="A53" s="43" t="str">
        <f>HLOOKUP(INDICE!$F$2,Nombres!$C$3:$D$636,68,FALSE)</f>
        <v>Fondos de inversión</v>
      </c>
      <c r="B53" s="44">
        <v>1502.553</v>
      </c>
      <c r="C53" s="44">
        <v>1754.509</v>
      </c>
      <c r="D53" s="44">
        <v>1216.837</v>
      </c>
      <c r="E53" s="45">
        <v>1087.446</v>
      </c>
      <c r="F53" s="44">
        <v>1232.623</v>
      </c>
      <c r="G53" s="44">
        <v>1453.084</v>
      </c>
      <c r="H53" s="44">
        <v>1978.496</v>
      </c>
      <c r="I53" s="44">
        <v>0</v>
      </c>
    </row>
    <row r="54" spans="1:9" ht="15">
      <c r="A54" s="43" t="str">
        <f>HLOOKUP(INDICE!$F$2,Nombres!$C$3:$D$636,69,FALSE)</f>
        <v>Fondos de pensiones</v>
      </c>
      <c r="B54" s="44">
        <v>2360.204</v>
      </c>
      <c r="C54" s="44">
        <v>2457.219</v>
      </c>
      <c r="D54" s="44">
        <v>2214.174</v>
      </c>
      <c r="E54" s="45">
        <v>2337.185</v>
      </c>
      <c r="F54" s="44">
        <v>2434.119</v>
      </c>
      <c r="G54" s="44">
        <v>2482.271</v>
      </c>
      <c r="H54" s="44">
        <v>2586.371</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569.0872127898947</v>
      </c>
      <c r="C64" s="41">
        <v>561.343503434515</v>
      </c>
      <c r="D64" s="41">
        <v>605.2703382336003</v>
      </c>
      <c r="E64" s="42">
        <v>571.4122530072552</v>
      </c>
      <c r="F64" s="50">
        <v>486.2576197077315</v>
      </c>
      <c r="G64" s="50">
        <v>530.0251567722477</v>
      </c>
      <c r="H64" s="50">
        <v>634.6042235300207</v>
      </c>
      <c r="I64" s="50">
        <v>0</v>
      </c>
    </row>
    <row r="65" spans="1:9" ht="15">
      <c r="A65" s="43" t="str">
        <f>HLOOKUP(INDICE!$F$2,Nombres!$C$3:$D$636,34,FALSE)</f>
        <v>Comisiones netas</v>
      </c>
      <c r="B65" s="44">
        <v>114.63090738636399</v>
      </c>
      <c r="C65" s="44">
        <v>79.9815832147757</v>
      </c>
      <c r="D65" s="44">
        <v>111.62900962118943</v>
      </c>
      <c r="E65" s="45">
        <v>116.80741314733527</v>
      </c>
      <c r="F65" s="44">
        <v>141.7720743702822</v>
      </c>
      <c r="G65" s="44">
        <v>149.56512659586753</v>
      </c>
      <c r="H65" s="44">
        <v>151.5847990338503</v>
      </c>
      <c r="I65" s="44">
        <v>0</v>
      </c>
    </row>
    <row r="66" spans="1:9" ht="15">
      <c r="A66" s="43" t="str">
        <f>HLOOKUP(INDICE!$F$2,Nombres!$C$3:$D$636,35,FALSE)</f>
        <v>Resultados de operaciones financieras</v>
      </c>
      <c r="B66" s="44">
        <v>46.420413371159455</v>
      </c>
      <c r="C66" s="44">
        <v>46.873248835370504</v>
      </c>
      <c r="D66" s="44">
        <v>67.93512377720344</v>
      </c>
      <c r="E66" s="45">
        <v>27.151205924406263</v>
      </c>
      <c r="F66" s="44">
        <v>115.36076909525755</v>
      </c>
      <c r="G66" s="44">
        <v>60.85034593586076</v>
      </c>
      <c r="H66" s="44">
        <v>62.55888494888165</v>
      </c>
      <c r="I66" s="44">
        <v>0</v>
      </c>
    </row>
    <row r="67" spans="1:9" ht="15">
      <c r="A67" s="43" t="str">
        <f>HLOOKUP(INDICE!$F$2,Nombres!$C$3:$D$636,36,FALSE)</f>
        <v>Otros ingresos y cargas de explotación</v>
      </c>
      <c r="B67" s="44">
        <v>15.186668167394</v>
      </c>
      <c r="C67" s="44">
        <v>8.339181687604475</v>
      </c>
      <c r="D67" s="44">
        <v>16.182555444380455</v>
      </c>
      <c r="E67" s="45">
        <v>4.387620216397757</v>
      </c>
      <c r="F67" s="44">
        <v>22.44097834605798</v>
      </c>
      <c r="G67" s="44">
        <v>34.790560497775715</v>
      </c>
      <c r="H67" s="44">
        <v>23.905461156166357</v>
      </c>
      <c r="I67" s="44">
        <v>0</v>
      </c>
    </row>
    <row r="68" spans="1:9" ht="15">
      <c r="A68" s="41" t="str">
        <f>HLOOKUP(INDICE!$F$2,Nombres!$C$3:$D$636,37,FALSE)</f>
        <v>Margen bruto</v>
      </c>
      <c r="B68" s="41">
        <f>+SUM(B64:B67)</f>
        <v>745.3252017148122</v>
      </c>
      <c r="C68" s="41">
        <f aca="true" t="shared" si="9" ref="C68:I68">+SUM(C64:C67)</f>
        <v>696.5375171722657</v>
      </c>
      <c r="D68" s="41">
        <f t="shared" si="9"/>
        <v>801.0170270763737</v>
      </c>
      <c r="E68" s="42">
        <f t="shared" si="9"/>
        <v>719.7584922953945</v>
      </c>
      <c r="F68" s="50">
        <f t="shared" si="9"/>
        <v>765.8314415193292</v>
      </c>
      <c r="G68" s="50">
        <f t="shared" si="9"/>
        <v>775.2311898017517</v>
      </c>
      <c r="H68" s="50">
        <f t="shared" si="9"/>
        <v>872.653368668919</v>
      </c>
      <c r="I68" s="50">
        <f t="shared" si="9"/>
        <v>0</v>
      </c>
    </row>
    <row r="69" spans="1:9" ht="15">
      <c r="A69" s="43" t="str">
        <f>HLOOKUP(INDICE!$F$2,Nombres!$C$3:$D$636,38,FALSE)</f>
        <v>Gastos de explotación</v>
      </c>
      <c r="B69" s="44">
        <v>-215.19855173397053</v>
      </c>
      <c r="C69" s="44">
        <v>-199.22450671456664</v>
      </c>
      <c r="D69" s="44">
        <v>-205.13080760112427</v>
      </c>
      <c r="E69" s="45">
        <v>-233.97149192782507</v>
      </c>
      <c r="F69" s="44">
        <v>-243.287792120208</v>
      </c>
      <c r="G69" s="44">
        <v>-245.70289468205215</v>
      </c>
      <c r="H69" s="44">
        <v>-244.99001600773988</v>
      </c>
      <c r="I69" s="44">
        <v>0</v>
      </c>
    </row>
    <row r="70" spans="1:9" ht="15">
      <c r="A70" s="43" t="str">
        <f>HLOOKUP(INDICE!$F$2,Nombres!$C$3:$D$636,39,FALSE)</f>
        <v>  Gastos de administración</v>
      </c>
      <c r="B70" s="44">
        <v>-181.9703648370692</v>
      </c>
      <c r="C70" s="44">
        <v>-171.11304163837104</v>
      </c>
      <c r="D70" s="44">
        <v>-173.7154792992182</v>
      </c>
      <c r="E70" s="45">
        <v>-202.7531184322931</v>
      </c>
      <c r="F70" s="44">
        <v>-212.27716792287</v>
      </c>
      <c r="G70" s="44">
        <v>-214.34754708041572</v>
      </c>
      <c r="H70" s="44">
        <v>-212.84992280671415</v>
      </c>
      <c r="I70" s="44">
        <v>0</v>
      </c>
    </row>
    <row r="71" spans="1:9" ht="15">
      <c r="A71" s="46" t="str">
        <f>HLOOKUP(INDICE!$F$2,Nombres!$C$3:$D$636,40,FALSE)</f>
        <v>  Gastos de personal</v>
      </c>
      <c r="B71" s="44">
        <v>-108.89601180950663</v>
      </c>
      <c r="C71" s="44">
        <v>-117.3864964522435</v>
      </c>
      <c r="D71" s="44">
        <v>-116.04176152176487</v>
      </c>
      <c r="E71" s="45">
        <v>-122.72678318001141</v>
      </c>
      <c r="F71" s="44">
        <v>-130.27082422565934</v>
      </c>
      <c r="G71" s="44">
        <v>-145.87550256921537</v>
      </c>
      <c r="H71" s="44">
        <v>-145.09236061512533</v>
      </c>
      <c r="I71" s="44">
        <v>0</v>
      </c>
    </row>
    <row r="72" spans="1:9" ht="15">
      <c r="A72" s="46" t="str">
        <f>HLOOKUP(INDICE!$F$2,Nombres!$C$3:$D$636,41,FALSE)</f>
        <v>  Otros gastos de administración</v>
      </c>
      <c r="B72" s="44">
        <v>-73.07435302756258</v>
      </c>
      <c r="C72" s="44">
        <v>-53.72654518612753</v>
      </c>
      <c r="D72" s="44">
        <v>-57.673717777453376</v>
      </c>
      <c r="E72" s="45">
        <v>-80.02633525228171</v>
      </c>
      <c r="F72" s="44">
        <v>-82.00634369721074</v>
      </c>
      <c r="G72" s="44">
        <v>-68.47204451120041</v>
      </c>
      <c r="H72" s="44">
        <v>-67.75756219158885</v>
      </c>
      <c r="I72" s="44">
        <v>0</v>
      </c>
    </row>
    <row r="73" spans="1:9" ht="15">
      <c r="A73" s="43" t="str">
        <f>HLOOKUP(INDICE!$F$2,Nombres!$C$3:$D$636,42,FALSE)</f>
        <v>  Amortización</v>
      </c>
      <c r="B73" s="44">
        <v>-33.22818689690133</v>
      </c>
      <c r="C73" s="44">
        <v>-28.111465076195586</v>
      </c>
      <c r="D73" s="44">
        <v>-31.415328301906044</v>
      </c>
      <c r="E73" s="45">
        <v>-31.21837349553196</v>
      </c>
      <c r="F73" s="44">
        <v>-31.010624197337954</v>
      </c>
      <c r="G73" s="44">
        <v>-31.355347601636403</v>
      </c>
      <c r="H73" s="44">
        <v>-32.14009320102565</v>
      </c>
      <c r="I73" s="44">
        <v>0</v>
      </c>
    </row>
    <row r="74" spans="1:9" ht="15">
      <c r="A74" s="41" t="str">
        <f>HLOOKUP(INDICE!$F$2,Nombres!$C$3:$D$636,43,FALSE)</f>
        <v>Margen neto</v>
      </c>
      <c r="B74" s="41">
        <f>+B68+B69</f>
        <v>530.1266499808416</v>
      </c>
      <c r="C74" s="41">
        <f aca="true" t="shared" si="10" ref="C74:I74">+C68+C69</f>
        <v>497.313010457699</v>
      </c>
      <c r="D74" s="41">
        <f t="shared" si="10"/>
        <v>595.8862194752494</v>
      </c>
      <c r="E74" s="42">
        <f t="shared" si="10"/>
        <v>485.7870003675694</v>
      </c>
      <c r="F74" s="50">
        <f t="shared" si="10"/>
        <v>522.5436493991213</v>
      </c>
      <c r="G74" s="50">
        <f t="shared" si="10"/>
        <v>529.5282951196996</v>
      </c>
      <c r="H74" s="50">
        <f t="shared" si="10"/>
        <v>627.6633526611791</v>
      </c>
      <c r="I74" s="50">
        <f t="shared" si="10"/>
        <v>0</v>
      </c>
    </row>
    <row r="75" spans="1:9" ht="15">
      <c r="A75" s="43" t="str">
        <f>HLOOKUP(INDICE!$F$2,Nombres!$C$3:$D$636,44,FALSE)</f>
        <v>Deterioro de activos financieros no valorados a valor razonable con cambios en resultados</v>
      </c>
      <c r="B75" s="44">
        <v>-280.0273278145468</v>
      </c>
      <c r="C75" s="44">
        <v>-175.61084022272786</v>
      </c>
      <c r="D75" s="44">
        <v>-76.17918714918152</v>
      </c>
      <c r="E75" s="45">
        <v>-210.17846642868597</v>
      </c>
      <c r="F75" s="44">
        <v>-112.79254420025251</v>
      </c>
      <c r="G75" s="44">
        <v>-51.761002712435705</v>
      </c>
      <c r="H75" s="44">
        <v>-70.36145309731181</v>
      </c>
      <c r="I75" s="44">
        <v>0</v>
      </c>
    </row>
    <row r="76" spans="1:9" ht="15">
      <c r="A76" s="43" t="str">
        <f>HLOOKUP(INDICE!$F$2,Nombres!$C$3:$D$636,45,FALSE)</f>
        <v>Provisiones o reversión de provisiones y otros resultados</v>
      </c>
      <c r="B76" s="44">
        <v>-14.039456323572379</v>
      </c>
      <c r="C76" s="44">
        <v>-30.72375952643002</v>
      </c>
      <c r="D76" s="44">
        <v>-9.959375114345306</v>
      </c>
      <c r="E76" s="45">
        <v>-50.34031241197969</v>
      </c>
      <c r="F76" s="44">
        <v>31.962784624643135</v>
      </c>
      <c r="G76" s="44">
        <v>14.743988683002522</v>
      </c>
      <c r="H76" s="44">
        <v>12.558226692354381</v>
      </c>
      <c r="I76" s="44">
        <v>0</v>
      </c>
    </row>
    <row r="77" spans="1:9" ht="15">
      <c r="A77" s="41" t="str">
        <f>HLOOKUP(INDICE!$F$2,Nombres!$C$3:$D$636,46,FALSE)</f>
        <v>Resultado antes de impuestos</v>
      </c>
      <c r="B77" s="41">
        <f>+B74+B75+B76</f>
        <v>236.05986584272244</v>
      </c>
      <c r="C77" s="41">
        <f aca="true" t="shared" si="11" ref="C77:I77">+C74+C75+C76</f>
        <v>290.97841070854116</v>
      </c>
      <c r="D77" s="41">
        <f t="shared" si="11"/>
        <v>509.7476572117225</v>
      </c>
      <c r="E77" s="42">
        <f t="shared" si="11"/>
        <v>225.26822152690377</v>
      </c>
      <c r="F77" s="50">
        <f t="shared" si="11"/>
        <v>441.71388982351186</v>
      </c>
      <c r="G77" s="50">
        <f t="shared" si="11"/>
        <v>492.5112810902664</v>
      </c>
      <c r="H77" s="50">
        <f t="shared" si="11"/>
        <v>569.8601262562217</v>
      </c>
      <c r="I77" s="50">
        <f t="shared" si="11"/>
        <v>0</v>
      </c>
    </row>
    <row r="78" spans="1:9" ht="15">
      <c r="A78" s="43" t="str">
        <f>HLOOKUP(INDICE!$F$2,Nombres!$C$3:$D$636,47,FALSE)</f>
        <v>Impuesto sobre beneficios</v>
      </c>
      <c r="B78" s="44">
        <v>-54.3367199774881</v>
      </c>
      <c r="C78" s="44">
        <v>-74.7345954150112</v>
      </c>
      <c r="D78" s="44">
        <v>-111.56633776400793</v>
      </c>
      <c r="E78" s="45">
        <v>-74.20098465576959</v>
      </c>
      <c r="F78" s="44">
        <v>-86.2183551515599</v>
      </c>
      <c r="G78" s="44">
        <v>-84.96923537558065</v>
      </c>
      <c r="H78" s="44">
        <v>-151.71069864285946</v>
      </c>
      <c r="I78" s="44">
        <v>0</v>
      </c>
    </row>
    <row r="79" spans="1:9" ht="15">
      <c r="A79" s="41" t="str">
        <f>HLOOKUP(INDICE!$F$2,Nombres!$C$3:$D$636,48,FALSE)</f>
        <v>Resultado del ejercicio</v>
      </c>
      <c r="B79" s="41">
        <f>+B77+B78</f>
        <v>181.72314586523436</v>
      </c>
      <c r="C79" s="41">
        <f aca="true" t="shared" si="12" ref="C79:I79">+C77+C78</f>
        <v>216.24381529352996</v>
      </c>
      <c r="D79" s="41">
        <f t="shared" si="12"/>
        <v>398.1813194477146</v>
      </c>
      <c r="E79" s="42">
        <f t="shared" si="12"/>
        <v>151.06723687113418</v>
      </c>
      <c r="F79" s="50">
        <f t="shared" si="12"/>
        <v>355.495534671952</v>
      </c>
      <c r="G79" s="50">
        <f t="shared" si="12"/>
        <v>407.54204571468574</v>
      </c>
      <c r="H79" s="50">
        <f t="shared" si="12"/>
        <v>418.14942761336226</v>
      </c>
      <c r="I79" s="50">
        <f t="shared" si="12"/>
        <v>0</v>
      </c>
    </row>
    <row r="80" spans="1:9" ht="15">
      <c r="A80" s="43" t="str">
        <f>HLOOKUP(INDICE!$F$2,Nombres!$C$3:$D$636,49,FALSE)</f>
        <v>Minoritarios</v>
      </c>
      <c r="B80" s="44">
        <v>-92.28944286937342</v>
      </c>
      <c r="C80" s="44">
        <v>-109.58194762143802</v>
      </c>
      <c r="D80" s="44">
        <v>-201.05620727895425</v>
      </c>
      <c r="E80" s="45">
        <v>-77.27444730195927</v>
      </c>
      <c r="F80" s="44">
        <v>-180.1953632356317</v>
      </c>
      <c r="G80" s="44">
        <v>-206.07755711693187</v>
      </c>
      <c r="H80" s="44">
        <v>-211.51807962743646</v>
      </c>
      <c r="I80" s="44">
        <v>0</v>
      </c>
    </row>
    <row r="81" spans="1:9" ht="15">
      <c r="A81" s="47" t="str">
        <f>HLOOKUP(INDICE!$F$2,Nombres!$C$3:$D$636,50,FALSE)</f>
        <v>Resultado atribuido</v>
      </c>
      <c r="B81" s="47">
        <f>+B79+B80</f>
        <v>89.43370299586094</v>
      </c>
      <c r="C81" s="47">
        <f aca="true" t="shared" si="13" ref="C81:I81">+C79+C80</f>
        <v>106.66186767209194</v>
      </c>
      <c r="D81" s="47">
        <f t="shared" si="13"/>
        <v>197.12511216876035</v>
      </c>
      <c r="E81" s="47">
        <f t="shared" si="13"/>
        <v>73.79278956917491</v>
      </c>
      <c r="F81" s="51">
        <f t="shared" si="13"/>
        <v>175.30017143632028</v>
      </c>
      <c r="G81" s="51">
        <f t="shared" si="13"/>
        <v>201.46448859775387</v>
      </c>
      <c r="H81" s="51">
        <f t="shared" si="13"/>
        <v>206.6313479859258</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3634.7369117180465</v>
      </c>
      <c r="C87" s="44">
        <v>4091.6033280938727</v>
      </c>
      <c r="D87" s="44">
        <v>4868.660804285866</v>
      </c>
      <c r="E87" s="45">
        <v>4846.927465880772</v>
      </c>
      <c r="F87" s="44">
        <v>6310.3786547883665</v>
      </c>
      <c r="G87" s="44">
        <v>6671.4023557644705</v>
      </c>
      <c r="H87" s="44">
        <v>6257.517</v>
      </c>
      <c r="I87" s="44">
        <v>0</v>
      </c>
    </row>
    <row r="88" spans="1:9" ht="15">
      <c r="A88" s="43" t="str">
        <f>HLOOKUP(INDICE!$F$2,Nombres!$C$3:$D$636,53,FALSE)</f>
        <v>Activos financieros a valor razonable</v>
      </c>
      <c r="B88" s="58">
        <v>3540.0510518995898</v>
      </c>
      <c r="C88" s="58">
        <v>4257.875222782566</v>
      </c>
      <c r="D88" s="58">
        <v>4797.626914054232</v>
      </c>
      <c r="E88" s="65">
        <v>4718.0258738109405</v>
      </c>
      <c r="F88" s="44">
        <v>5186.499516891285</v>
      </c>
      <c r="G88" s="44">
        <v>5164.990964442091</v>
      </c>
      <c r="H88" s="44">
        <v>5417.218000000001</v>
      </c>
      <c r="I88" s="44">
        <v>0</v>
      </c>
    </row>
    <row r="89" spans="1:9" ht="15">
      <c r="A89" s="43" t="str">
        <f>HLOOKUP(INDICE!$F$2,Nombres!$C$3:$D$636,54,FALSE)</f>
        <v>Activos financieros a coste amortizado</v>
      </c>
      <c r="B89" s="44">
        <v>35592.085114153524</v>
      </c>
      <c r="C89" s="44">
        <v>37328.29788983135</v>
      </c>
      <c r="D89" s="44">
        <v>39982.33452208163</v>
      </c>
      <c r="E89" s="45">
        <v>41331.08407195324</v>
      </c>
      <c r="F89" s="44">
        <v>42149.2497887156</v>
      </c>
      <c r="G89" s="44">
        <v>45609.07938768349</v>
      </c>
      <c r="H89" s="44">
        <v>47893.36</v>
      </c>
      <c r="I89" s="44">
        <v>0</v>
      </c>
    </row>
    <row r="90" spans="1:9" ht="15">
      <c r="A90" s="43" t="str">
        <f>HLOOKUP(INDICE!$F$2,Nombres!$C$3:$D$636,55,FALSE)</f>
        <v>    de los que préstamos y anticipos a la clientela</v>
      </c>
      <c r="B90" s="44">
        <v>27932.234877283372</v>
      </c>
      <c r="C90" s="44">
        <v>30707.391995050108</v>
      </c>
      <c r="D90" s="44">
        <v>32512.60871970923</v>
      </c>
      <c r="E90" s="45">
        <v>33003.85255711714</v>
      </c>
      <c r="F90" s="44">
        <v>34807.31816056519</v>
      </c>
      <c r="G90" s="44">
        <v>36993.243767630425</v>
      </c>
      <c r="H90" s="44">
        <v>38932.94</v>
      </c>
      <c r="I90" s="44">
        <v>0</v>
      </c>
    </row>
    <row r="91" spans="1:9" ht="15">
      <c r="A91" s="43"/>
      <c r="B91" s="44"/>
      <c r="C91" s="44"/>
      <c r="D91" s="44"/>
      <c r="E91" s="45"/>
      <c r="F91" s="44"/>
      <c r="G91" s="44"/>
      <c r="H91" s="44"/>
      <c r="I91" s="44"/>
    </row>
    <row r="92" spans="1:9" ht="15">
      <c r="A92" s="43" t="str">
        <f>HLOOKUP(INDICE!$F$2,Nombres!$C$3:$D$636,56,FALSE)</f>
        <v>Activos tangibles</v>
      </c>
      <c r="B92" s="44">
        <v>723.1764625195779</v>
      </c>
      <c r="C92" s="44">
        <v>702.1699821979923</v>
      </c>
      <c r="D92" s="44">
        <v>730.7076350921442</v>
      </c>
      <c r="E92" s="45">
        <v>797.1513455554841</v>
      </c>
      <c r="F92" s="44">
        <v>822.7574188426837</v>
      </c>
      <c r="G92" s="44">
        <v>816.002527843732</v>
      </c>
      <c r="H92" s="44">
        <v>851.2760000000001</v>
      </c>
      <c r="I92" s="44">
        <v>0</v>
      </c>
    </row>
    <row r="93" spans="1:9" ht="15">
      <c r="A93" s="43" t="str">
        <f>HLOOKUP(INDICE!$F$2,Nombres!$C$3:$D$636,57,FALSE)</f>
        <v>Otros activos</v>
      </c>
      <c r="B93" s="58">
        <f>+B94-B92-B89-B88-B87</f>
        <v>948.1013894847279</v>
      </c>
      <c r="C93" s="58">
        <f aca="true" t="shared" si="15" ref="C93:I93">+C94-C92-C89-C88-C87</f>
        <v>970.8435449610124</v>
      </c>
      <c r="D93" s="58">
        <f t="shared" si="15"/>
        <v>980.4178905742538</v>
      </c>
      <c r="E93" s="65">
        <f t="shared" si="15"/>
        <v>1035.491393299044</v>
      </c>
      <c r="F93" s="44">
        <f t="shared" si="15"/>
        <v>1130.4820258178806</v>
      </c>
      <c r="G93" s="44">
        <f t="shared" si="15"/>
        <v>1113.611856661546</v>
      </c>
      <c r="H93" s="44">
        <f t="shared" si="15"/>
        <v>1129.5460000300009</v>
      </c>
      <c r="I93" s="44">
        <f t="shared" si="15"/>
        <v>0</v>
      </c>
    </row>
    <row r="94" spans="1:9" ht="15">
      <c r="A94" s="47" t="str">
        <f>HLOOKUP(INDICE!$F$2,Nombres!$C$3:$D$636,58,FALSE)</f>
        <v>Total activo / pasivo</v>
      </c>
      <c r="B94" s="47">
        <v>44438.15092977547</v>
      </c>
      <c r="C94" s="47">
        <v>47350.789967866796</v>
      </c>
      <c r="D94" s="47">
        <v>51359.74776608813</v>
      </c>
      <c r="E94" s="47">
        <v>52728.68015049948</v>
      </c>
      <c r="F94" s="47">
        <v>55599.36740505581</v>
      </c>
      <c r="G94" s="47">
        <v>59375.087092395326</v>
      </c>
      <c r="H94" s="47">
        <v>61548.91700003</v>
      </c>
      <c r="I94" s="47">
        <v>0</v>
      </c>
    </row>
    <row r="95" spans="1:9" ht="15">
      <c r="A95" s="43" t="str">
        <f>HLOOKUP(INDICE!$F$2,Nombres!$C$3:$D$636,59,FALSE)</f>
        <v>Pasivos financieros mantenidos para negociar y designados a valor razonable con cambios en resultados</v>
      </c>
      <c r="B95" s="58">
        <v>1634.7960500712416</v>
      </c>
      <c r="C95" s="58">
        <v>1676.157581868101</v>
      </c>
      <c r="D95" s="58">
        <v>1911.958951248222</v>
      </c>
      <c r="E95" s="65">
        <v>2067.1642744981173</v>
      </c>
      <c r="F95" s="44">
        <v>1946.9330823124421</v>
      </c>
      <c r="G95" s="44">
        <v>1973.9958570969254</v>
      </c>
      <c r="H95" s="44">
        <v>1998.7019999999998</v>
      </c>
      <c r="I95" s="44">
        <v>0</v>
      </c>
    </row>
    <row r="96" spans="1:9" ht="15">
      <c r="A96" s="43" t="str">
        <f>HLOOKUP(INDICE!$F$2,Nombres!$C$3:$D$636,60,FALSE)</f>
        <v>Depósitos de bancos centrales y entidades de crédito</v>
      </c>
      <c r="B96" s="58">
        <v>3089.2117234425846</v>
      </c>
      <c r="C96" s="58">
        <v>4153.0815984347755</v>
      </c>
      <c r="D96" s="58">
        <v>3292.5328035987714</v>
      </c>
      <c r="E96" s="65">
        <v>2991.69424719787</v>
      </c>
      <c r="F96" s="44">
        <v>4411.465716968504</v>
      </c>
      <c r="G96" s="44">
        <v>3757.6634181006793</v>
      </c>
      <c r="H96" s="44">
        <v>3879.982</v>
      </c>
      <c r="I96" s="44">
        <v>0</v>
      </c>
    </row>
    <row r="97" spans="1:9" ht="15">
      <c r="A97" s="43" t="str">
        <f>HLOOKUP(INDICE!$F$2,Nombres!$C$3:$D$636,61,FALSE)</f>
        <v>Depósitos de la clientela</v>
      </c>
      <c r="B97" s="58">
        <v>28731.421041815665</v>
      </c>
      <c r="C97" s="58">
        <v>29913.903547591875</v>
      </c>
      <c r="D97" s="58">
        <v>33690.54491482358</v>
      </c>
      <c r="E97" s="65">
        <v>34825.03631534632</v>
      </c>
      <c r="F97" s="44">
        <v>35969.52842265015</v>
      </c>
      <c r="G97" s="44">
        <v>39947.08668709663</v>
      </c>
      <c r="H97" s="44">
        <v>41281.827999999994</v>
      </c>
      <c r="I97" s="44">
        <v>0</v>
      </c>
    </row>
    <row r="98" spans="1:9" ht="15">
      <c r="A98" s="43" t="str">
        <f>HLOOKUP(INDICE!$F$2,Nombres!$C$3:$D$636,62,FALSE)</f>
        <v>Valores representativos de deuda emitidos</v>
      </c>
      <c r="B98" s="44">
        <v>3583.1331368708197</v>
      </c>
      <c r="C98" s="44">
        <v>3740.7588564347334</v>
      </c>
      <c r="D98" s="44">
        <v>3737.150584929479</v>
      </c>
      <c r="E98" s="45">
        <v>3572.469025540991</v>
      </c>
      <c r="F98" s="44">
        <v>4006.63431007786</v>
      </c>
      <c r="G98" s="44">
        <v>3878.190976344763</v>
      </c>
      <c r="H98" s="44">
        <v>3971.0202847</v>
      </c>
      <c r="I98" s="44">
        <v>0</v>
      </c>
    </row>
    <row r="99" spans="1:9" ht="15">
      <c r="A99" s="43"/>
      <c r="B99" s="44"/>
      <c r="C99" s="44"/>
      <c r="D99" s="44"/>
      <c r="E99" s="45"/>
      <c r="F99" s="44"/>
      <c r="G99" s="44"/>
      <c r="H99" s="44"/>
      <c r="I99" s="44"/>
    </row>
    <row r="100" spans="1:9" ht="15">
      <c r="A100" s="43" t="str">
        <f>HLOOKUP(INDICE!$F$2,Nombres!$C$3:$D$636,63,FALSE)</f>
        <v>Otros pasivos</v>
      </c>
      <c r="B100" s="58">
        <f>+B94-B95-B96-B97-B98-B101</f>
        <v>2434.5485870835737</v>
      </c>
      <c r="C100" s="58">
        <f aca="true" t="shared" si="16" ref="C100:I100">+C94-C95-C96-C97-C98-C101</f>
        <v>2769.6372361587555</v>
      </c>
      <c r="D100" s="58">
        <f t="shared" si="16"/>
        <v>3446.9541970496903</v>
      </c>
      <c r="E100" s="65">
        <f t="shared" si="16"/>
        <v>3812.5810824521805</v>
      </c>
      <c r="F100" s="44">
        <f t="shared" si="16"/>
        <v>3177.6939498941447</v>
      </c>
      <c r="G100" s="44">
        <f t="shared" si="16"/>
        <v>3693.275816625429</v>
      </c>
      <c r="H100" s="44">
        <f t="shared" si="16"/>
        <v>3735.150638970006</v>
      </c>
      <c r="I100" s="44">
        <f t="shared" si="16"/>
        <v>0</v>
      </c>
    </row>
    <row r="101" spans="1:9" ht="15">
      <c r="A101" s="43" t="str">
        <f>HLOOKUP(INDICE!$F$2,Nombres!$C$3:$D$636,282,FALSE)</f>
        <v>Dotación de capital regulatorio</v>
      </c>
      <c r="B101" s="44">
        <v>4965.040390491583</v>
      </c>
      <c r="C101" s="44">
        <v>5097.251147378552</v>
      </c>
      <c r="D101" s="44">
        <v>5280.60631443839</v>
      </c>
      <c r="E101" s="44">
        <v>5459.735205464006</v>
      </c>
      <c r="F101" s="44">
        <v>6087.111923152712</v>
      </c>
      <c r="G101" s="44">
        <v>6124.874337130902</v>
      </c>
      <c r="H101" s="44">
        <v>6682.234076359999</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29935.61440802446</v>
      </c>
      <c r="C107" s="44">
        <v>32842.95500480125</v>
      </c>
      <c r="D107" s="44">
        <v>34813.75422235715</v>
      </c>
      <c r="E107" s="45">
        <v>35072.46723226198</v>
      </c>
      <c r="F107" s="44">
        <v>37081.36711133818</v>
      </c>
      <c r="G107" s="44">
        <v>39273.55226424292</v>
      </c>
      <c r="H107" s="44">
        <v>41346.916</v>
      </c>
      <c r="I107" s="44">
        <v>0</v>
      </c>
    </row>
    <row r="108" spans="1:9" ht="15">
      <c r="A108" s="43" t="str">
        <f>HLOOKUP(INDICE!$F$2,Nombres!$C$3:$D$636,67,FALSE)</f>
        <v>Depósitos de clientes en gestión (**)</v>
      </c>
      <c r="B108" s="44">
        <v>28725.699023666708</v>
      </c>
      <c r="C108" s="44">
        <v>29762.852515198112</v>
      </c>
      <c r="D108" s="44">
        <v>33686.100602766055</v>
      </c>
      <c r="E108" s="45">
        <v>34818.060410344464</v>
      </c>
      <c r="F108" s="44">
        <v>35967.190214631206</v>
      </c>
      <c r="G108" s="44">
        <v>39944.97399951349</v>
      </c>
      <c r="H108" s="44">
        <v>41279.562999999995</v>
      </c>
      <c r="I108" s="44">
        <v>0</v>
      </c>
    </row>
    <row r="109" spans="1:9" ht="15">
      <c r="A109" s="43" t="str">
        <f>HLOOKUP(INDICE!$F$2,Nombres!$C$3:$D$636,68,FALSE)</f>
        <v>Fondos de inversión</v>
      </c>
      <c r="B109" s="44">
        <v>1051.4413031394672</v>
      </c>
      <c r="C109" s="44">
        <v>1307.7933341927132</v>
      </c>
      <c r="D109" s="44">
        <v>1075.1497716001265</v>
      </c>
      <c r="E109" s="45">
        <v>962.3138387234212</v>
      </c>
      <c r="F109" s="44">
        <v>1164.0262451303772</v>
      </c>
      <c r="G109" s="44">
        <v>1456.3152391196197</v>
      </c>
      <c r="H109" s="44">
        <v>1978.496</v>
      </c>
      <c r="I109" s="44">
        <v>0</v>
      </c>
    </row>
    <row r="110" spans="1:9" ht="15">
      <c r="A110" s="43" t="str">
        <f>HLOOKUP(INDICE!$F$2,Nombres!$C$3:$D$636,69,FALSE)</f>
        <v>Fondos de pensiones</v>
      </c>
      <c r="B110" s="44">
        <v>1651.5996237303993</v>
      </c>
      <c r="C110" s="44">
        <v>1831.586289298992</v>
      </c>
      <c r="D110" s="44">
        <v>1956.35789377126</v>
      </c>
      <c r="E110" s="45">
        <v>2068.2456592389867</v>
      </c>
      <c r="F110" s="44">
        <v>2298.657740258383</v>
      </c>
      <c r="G110" s="44">
        <v>2487.7908537460307</v>
      </c>
      <c r="H110" s="44">
        <v>2586.371</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5525.709360629243</v>
      </c>
      <c r="C120" s="41">
        <v>5450.519677379742</v>
      </c>
      <c r="D120" s="41">
        <v>5877.039403665936</v>
      </c>
      <c r="E120" s="42">
        <v>5548.284980330708</v>
      </c>
      <c r="F120" s="50">
        <v>4721.45256563392</v>
      </c>
      <c r="G120" s="50">
        <v>5146.425546600156</v>
      </c>
      <c r="H120" s="50">
        <v>6161.864859102583</v>
      </c>
      <c r="I120" s="50">
        <v>0</v>
      </c>
    </row>
    <row r="121" spans="1:9" ht="15">
      <c r="A121" s="43" t="str">
        <f>HLOOKUP(INDICE!$F$2,Nombres!$C$3:$D$636,34,FALSE)</f>
        <v>Comisiones netas</v>
      </c>
      <c r="B121" s="44">
        <v>1113.0404333933097</v>
      </c>
      <c r="C121" s="44">
        <v>776.6032571373223</v>
      </c>
      <c r="D121" s="44">
        <v>1083.8926785186961</v>
      </c>
      <c r="E121" s="45">
        <v>1134.1738167949545</v>
      </c>
      <c r="F121" s="44">
        <v>1376.5750851845605</v>
      </c>
      <c r="G121" s="44">
        <v>1452.243876650953</v>
      </c>
      <c r="H121" s="44">
        <v>1471.8544436170516</v>
      </c>
      <c r="I121" s="44">
        <v>0</v>
      </c>
    </row>
    <row r="122" spans="1:9" ht="15">
      <c r="A122" s="43" t="str">
        <f>HLOOKUP(INDICE!$F$2,Nombres!$C$3:$D$636,35,FALSE)</f>
        <v>Resultados de operaciones financieras</v>
      </c>
      <c r="B122" s="44">
        <v>450.73181565932595</v>
      </c>
      <c r="C122" s="44">
        <v>455.1287465816515</v>
      </c>
      <c r="D122" s="44">
        <v>659.6348344059388</v>
      </c>
      <c r="E122" s="45">
        <v>263.63212765466676</v>
      </c>
      <c r="F122" s="44">
        <v>1120.1272270976117</v>
      </c>
      <c r="G122" s="44">
        <v>590.8432285570483</v>
      </c>
      <c r="H122" s="44">
        <v>607.4327596606674</v>
      </c>
      <c r="I122" s="44">
        <v>0</v>
      </c>
    </row>
    <row r="123" spans="1:9" ht="15">
      <c r="A123" s="43" t="str">
        <f>HLOOKUP(INDICE!$F$2,Nombres!$C$3:$D$636,36,FALSE)</f>
        <v>Otros ingresos y cargas de explotación</v>
      </c>
      <c r="B123" s="44">
        <v>147.45914609105975</v>
      </c>
      <c r="C123" s="44">
        <v>80.97158620957545</v>
      </c>
      <c r="D123" s="44">
        <v>157.12898847180452</v>
      </c>
      <c r="E123" s="45">
        <v>42.60280947410109</v>
      </c>
      <c r="F123" s="44">
        <v>217.8968729600887</v>
      </c>
      <c r="G123" s="44">
        <v>337.8085493463238</v>
      </c>
      <c r="H123" s="44">
        <v>232.11667300202782</v>
      </c>
      <c r="I123" s="44">
        <v>0</v>
      </c>
    </row>
    <row r="124" spans="1:9" ht="15">
      <c r="A124" s="41" t="str">
        <f>HLOOKUP(INDICE!$F$2,Nombres!$C$3:$D$636,37,FALSE)</f>
        <v>Margen bruto</v>
      </c>
      <c r="B124" s="41">
        <f>+SUM(B120:B123)</f>
        <v>7236.940755772938</v>
      </c>
      <c r="C124" s="41">
        <f aca="true" t="shared" si="19" ref="C124:I124">+SUM(C120:C123)</f>
        <v>6763.223267308291</v>
      </c>
      <c r="D124" s="41">
        <f t="shared" si="19"/>
        <v>7777.6959050623755</v>
      </c>
      <c r="E124" s="42">
        <f t="shared" si="19"/>
        <v>6988.693734254431</v>
      </c>
      <c r="F124" s="50">
        <f t="shared" si="19"/>
        <v>7436.05175087618</v>
      </c>
      <c r="G124" s="50">
        <f t="shared" si="19"/>
        <v>7527.321201154481</v>
      </c>
      <c r="H124" s="50">
        <f t="shared" si="19"/>
        <v>8473.268735382331</v>
      </c>
      <c r="I124" s="50">
        <f t="shared" si="19"/>
        <v>0</v>
      </c>
    </row>
    <row r="125" spans="1:9" ht="15">
      <c r="A125" s="43" t="str">
        <f>HLOOKUP(INDICE!$F$2,Nombres!$C$3:$D$636,38,FALSE)</f>
        <v>Gastos de explotación</v>
      </c>
      <c r="B125" s="44">
        <v>-2089.5297328518227</v>
      </c>
      <c r="C125" s="44">
        <v>-1934.4253339001957</v>
      </c>
      <c r="D125" s="44">
        <v>-1991.7741924970137</v>
      </c>
      <c r="E125" s="45">
        <v>-2271.810776994723</v>
      </c>
      <c r="F125" s="44">
        <v>-2362.26996501111</v>
      </c>
      <c r="G125" s="44">
        <v>-2385.720069903536</v>
      </c>
      <c r="H125" s="44">
        <v>-2378.798177660819</v>
      </c>
      <c r="I125" s="44">
        <v>0</v>
      </c>
    </row>
    <row r="126" spans="1:9" ht="15">
      <c r="A126" s="43" t="str">
        <f>HLOOKUP(INDICE!$F$2,Nombres!$C$3:$D$636,39,FALSE)</f>
        <v>  Gastos de administración</v>
      </c>
      <c r="B126" s="44">
        <v>-1766.8914811982345</v>
      </c>
      <c r="C126" s="44">
        <v>-1661.4693049797474</v>
      </c>
      <c r="D126" s="44">
        <v>-1686.7383917204238</v>
      </c>
      <c r="E126" s="45">
        <v>-1968.6873632701404</v>
      </c>
      <c r="F126" s="44">
        <v>-2061.163750436139</v>
      </c>
      <c r="G126" s="44">
        <v>-2081.2666682908853</v>
      </c>
      <c r="H126" s="44">
        <v>-2066.7250720611464</v>
      </c>
      <c r="I126" s="44">
        <v>0</v>
      </c>
    </row>
    <row r="127" spans="1:9" ht="15">
      <c r="A127" s="46" t="str">
        <f>HLOOKUP(INDICE!$F$2,Nombres!$C$3:$D$636,40,FALSE)</f>
        <v>  Gastos de personal</v>
      </c>
      <c r="B127" s="44">
        <v>-1057.3558819588861</v>
      </c>
      <c r="C127" s="44">
        <v>-1139.7965859709284</v>
      </c>
      <c r="D127" s="44">
        <v>-1126.739511016664</v>
      </c>
      <c r="E127" s="45">
        <v>-1191.6495738730932</v>
      </c>
      <c r="F127" s="44">
        <v>-1264.9005225608093</v>
      </c>
      <c r="G127" s="44">
        <v>-1416.4184538281047</v>
      </c>
      <c r="H127" s="44">
        <v>-1408.8143208777228</v>
      </c>
      <c r="I127" s="44">
        <v>0</v>
      </c>
    </row>
    <row r="128" spans="1:9" ht="15">
      <c r="A128" s="46" t="str">
        <f>HLOOKUP(INDICE!$F$2,Nombres!$C$3:$D$636,41,FALSE)</f>
        <v>  Otros gastos de administración</v>
      </c>
      <c r="B128" s="44">
        <v>-709.5355992393481</v>
      </c>
      <c r="C128" s="44">
        <v>-521.6727190088191</v>
      </c>
      <c r="D128" s="44">
        <v>-559.9988807037596</v>
      </c>
      <c r="E128" s="45">
        <v>-777.037789397047</v>
      </c>
      <c r="F128" s="44">
        <v>-796.2632278753299</v>
      </c>
      <c r="G128" s="44">
        <v>-664.8482144627809</v>
      </c>
      <c r="H128" s="44">
        <v>-657.9107511834238</v>
      </c>
      <c r="I128" s="44">
        <v>0</v>
      </c>
    </row>
    <row r="129" spans="1:9" ht="15">
      <c r="A129" s="43" t="str">
        <f>HLOOKUP(INDICE!$F$2,Nombres!$C$3:$D$636,42,FALSE)</f>
        <v>  Amortización</v>
      </c>
      <c r="B129" s="44">
        <v>-322.63825165358895</v>
      </c>
      <c r="C129" s="44">
        <v>-272.95602892044855</v>
      </c>
      <c r="D129" s="44">
        <v>-305.03580077658967</v>
      </c>
      <c r="E129" s="45">
        <v>-303.12341372458246</v>
      </c>
      <c r="F129" s="44">
        <v>-301.10621457497064</v>
      </c>
      <c r="G129" s="44">
        <v>-304.4534016126509</v>
      </c>
      <c r="H129" s="44">
        <v>-312.07310559967175</v>
      </c>
      <c r="I129" s="44">
        <v>0</v>
      </c>
    </row>
    <row r="130" spans="1:9" ht="15">
      <c r="A130" s="41" t="str">
        <f>HLOOKUP(INDICE!$F$2,Nombres!$C$3:$D$636,43,FALSE)</f>
        <v>Margen neto</v>
      </c>
      <c r="B130" s="41">
        <f>+B124+B125</f>
        <v>5147.411022921116</v>
      </c>
      <c r="C130" s="41">
        <f aca="true" t="shared" si="20" ref="C130:I130">+C124+C125</f>
        <v>4828.797933408096</v>
      </c>
      <c r="D130" s="41">
        <f t="shared" si="20"/>
        <v>5785.921712565361</v>
      </c>
      <c r="E130" s="42">
        <f t="shared" si="20"/>
        <v>4716.882957259708</v>
      </c>
      <c r="F130" s="50">
        <f t="shared" si="20"/>
        <v>5073.781785865071</v>
      </c>
      <c r="G130" s="50">
        <f t="shared" si="20"/>
        <v>5141.601131250945</v>
      </c>
      <c r="H130" s="50">
        <f t="shared" si="20"/>
        <v>6094.470557721512</v>
      </c>
      <c r="I130" s="50">
        <f t="shared" si="20"/>
        <v>0</v>
      </c>
    </row>
    <row r="131" spans="1:9" ht="15">
      <c r="A131" s="43" t="str">
        <f>HLOOKUP(INDICE!$F$2,Nombres!$C$3:$D$636,44,FALSE)</f>
        <v>Deterioro de activos financieros no valorados a valor razonable con cambios en resultados</v>
      </c>
      <c r="B131" s="44">
        <v>-2719.002626945532</v>
      </c>
      <c r="C131" s="44">
        <v>-1705.1419217267726</v>
      </c>
      <c r="D131" s="44">
        <v>-739.6828430772881</v>
      </c>
      <c r="E131" s="45">
        <v>-2040.7858290368383</v>
      </c>
      <c r="F131" s="44">
        <v>-1095.190338649602</v>
      </c>
      <c r="G131" s="44">
        <v>-502.587741870872</v>
      </c>
      <c r="H131" s="44">
        <v>-683.1939486063164</v>
      </c>
      <c r="I131" s="44">
        <v>0</v>
      </c>
    </row>
    <row r="132" spans="1:9" ht="15">
      <c r="A132" s="43" t="str">
        <f>HLOOKUP(INDICE!$F$2,Nombres!$C$3:$D$636,45,FALSE)</f>
        <v>Provisiones o reversión de provisiones y otros resultados</v>
      </c>
      <c r="B132" s="44">
        <v>-136.31997606305518</v>
      </c>
      <c r="C132" s="44">
        <v>-298.32082287815376</v>
      </c>
      <c r="D132" s="44">
        <v>-96.70330145982993</v>
      </c>
      <c r="E132" s="45">
        <v>-488.7931572881339</v>
      </c>
      <c r="F132" s="44">
        <v>310.35147904012643</v>
      </c>
      <c r="G132" s="44">
        <v>143.16082745784246</v>
      </c>
      <c r="H132" s="44">
        <v>121.93756813943114</v>
      </c>
      <c r="I132" s="44">
        <v>0</v>
      </c>
    </row>
    <row r="133" spans="1:9" ht="15">
      <c r="A133" s="41" t="str">
        <f>HLOOKUP(INDICE!$F$2,Nombres!$C$3:$D$636,46,FALSE)</f>
        <v>Resultado antes de impuestos</v>
      </c>
      <c r="B133" s="41">
        <f>+B130+B131+B132</f>
        <v>2292.0884199125285</v>
      </c>
      <c r="C133" s="41">
        <f aca="true" t="shared" si="21" ref="C133:I133">+C130+C131+C132</f>
        <v>2825.3351888031693</v>
      </c>
      <c r="D133" s="41">
        <f t="shared" si="21"/>
        <v>4949.535568028243</v>
      </c>
      <c r="E133" s="42">
        <f t="shared" si="21"/>
        <v>2187.3039709347354</v>
      </c>
      <c r="F133" s="50">
        <f t="shared" si="21"/>
        <v>4288.942926255595</v>
      </c>
      <c r="G133" s="50">
        <f t="shared" si="21"/>
        <v>4782.174216837915</v>
      </c>
      <c r="H133" s="50">
        <f t="shared" si="21"/>
        <v>5533.2141772546265</v>
      </c>
      <c r="I133" s="50">
        <f t="shared" si="21"/>
        <v>0</v>
      </c>
    </row>
    <row r="134" spans="1:9" ht="15">
      <c r="A134" s="43" t="str">
        <f>HLOOKUP(INDICE!$F$2,Nombres!$C$3:$D$636,47,FALSE)</f>
        <v>Impuesto sobre beneficios</v>
      </c>
      <c r="B134" s="44">
        <v>-527.5973795537502</v>
      </c>
      <c r="C134" s="44">
        <v>-725.6561809271068</v>
      </c>
      <c r="D134" s="44">
        <v>-1083.2841488239624</v>
      </c>
      <c r="E134" s="45">
        <v>-720.4749399837041</v>
      </c>
      <c r="F134" s="44">
        <v>-837.1609156063096</v>
      </c>
      <c r="G134" s="44">
        <v>-825.0322423844357</v>
      </c>
      <c r="H134" s="44">
        <v>-1473.0769006190128</v>
      </c>
      <c r="I134" s="44">
        <v>0</v>
      </c>
    </row>
    <row r="135" spans="1:9" ht="15">
      <c r="A135" s="41" t="str">
        <f>HLOOKUP(INDICE!$F$2,Nombres!$C$3:$D$636,48,FALSE)</f>
        <v>Resultado del ejercicio</v>
      </c>
      <c r="B135" s="41">
        <f>+B133+B134</f>
        <v>1764.4910403587783</v>
      </c>
      <c r="C135" s="41">
        <f aca="true" t="shared" si="22" ref="C135:I135">+C133+C134</f>
        <v>2099.6790078760623</v>
      </c>
      <c r="D135" s="41">
        <f t="shared" si="22"/>
        <v>3866.2514192042804</v>
      </c>
      <c r="E135" s="42">
        <f t="shared" si="22"/>
        <v>1466.8290309510312</v>
      </c>
      <c r="F135" s="50">
        <f t="shared" si="22"/>
        <v>3451.7820106492854</v>
      </c>
      <c r="G135" s="50">
        <f t="shared" si="22"/>
        <v>3957.1419744534796</v>
      </c>
      <c r="H135" s="50">
        <f t="shared" si="22"/>
        <v>4060.1372766356135</v>
      </c>
      <c r="I135" s="50">
        <f t="shared" si="22"/>
        <v>0</v>
      </c>
    </row>
    <row r="136" spans="1:9" ht="15">
      <c r="A136" s="43" t="str">
        <f>HLOOKUP(INDICE!$F$2,Nombres!$C$3:$D$636,49,FALSE)</f>
        <v>Minoritarios</v>
      </c>
      <c r="B136" s="44">
        <v>-896.1098174223639</v>
      </c>
      <c r="C136" s="44">
        <v>-1064.0161650430875</v>
      </c>
      <c r="D136" s="44">
        <v>-1952.210736079393</v>
      </c>
      <c r="E136" s="45">
        <v>-750.3175738224381</v>
      </c>
      <c r="F136" s="44">
        <v>-1749.6566132487123</v>
      </c>
      <c r="G136" s="44">
        <v>-2000.9669182235716</v>
      </c>
      <c r="H136" s="44">
        <v>-2053.7931731232907</v>
      </c>
      <c r="I136" s="44">
        <v>0</v>
      </c>
    </row>
    <row r="137" spans="1:9" ht="15">
      <c r="A137" s="47" t="str">
        <f>HLOOKUP(INDICE!$F$2,Nombres!$C$3:$D$636,50,FALSE)</f>
        <v>Resultado atribuido</v>
      </c>
      <c r="B137" s="47">
        <f>+B135+B136</f>
        <v>868.3812229364144</v>
      </c>
      <c r="C137" s="47">
        <f aca="true" t="shared" si="23" ref="C137:I137">+C135+C136</f>
        <v>1035.6628428329748</v>
      </c>
      <c r="D137" s="47">
        <f t="shared" si="23"/>
        <v>1914.0406831248874</v>
      </c>
      <c r="E137" s="47">
        <f t="shared" si="23"/>
        <v>716.5114571285931</v>
      </c>
      <c r="F137" s="51">
        <f t="shared" si="23"/>
        <v>1702.125397400573</v>
      </c>
      <c r="G137" s="51">
        <f t="shared" si="23"/>
        <v>1956.175056229908</v>
      </c>
      <c r="H137" s="51">
        <f t="shared" si="23"/>
        <v>2006.3441035123228</v>
      </c>
      <c r="I137" s="51">
        <f t="shared" si="23"/>
        <v>0</v>
      </c>
    </row>
    <row r="138" spans="1:9" ht="15">
      <c r="A138" s="62"/>
      <c r="B138" s="63">
        <v>0</v>
      </c>
      <c r="C138" s="63">
        <v>0</v>
      </c>
      <c r="D138" s="63">
        <v>-1.8189894035458565E-12</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9"/>
      <c r="G140" s="69"/>
      <c r="H140" s="69"/>
      <c r="I140" s="69"/>
    </row>
    <row r="141" spans="1:9" ht="15">
      <c r="A141" s="35" t="str">
        <f>HLOOKUP(INDICE!$F$2,Nombres!$C$3:$D$636,77,FALSE)</f>
        <v>(Millones de liras turcas)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43" t="str">
        <f>HLOOKUP(INDICE!$F$2,Nombres!$C$3:$D$636,52,FALSE)</f>
        <v>Efectivo, saldos en efectivo en bancos centrales y otros depósitos a la vista</v>
      </c>
      <c r="B143" s="44">
        <v>37430.8841906874</v>
      </c>
      <c r="C143" s="44">
        <v>42135.74023318286</v>
      </c>
      <c r="D143" s="44">
        <v>50137.955828782106</v>
      </c>
      <c r="E143" s="45">
        <v>49914.14373655185</v>
      </c>
      <c r="F143" s="44">
        <v>64984.91042509099</v>
      </c>
      <c r="G143" s="44">
        <v>68702.7686001253</v>
      </c>
      <c r="H143" s="44">
        <v>64440.53581791313</v>
      </c>
      <c r="I143" s="44">
        <v>0</v>
      </c>
    </row>
    <row r="144" spans="1:9" ht="15">
      <c r="A144" s="43" t="str">
        <f>HLOOKUP(INDICE!$F$2,Nombres!$C$3:$D$636,53,FALSE)</f>
        <v>Activos financieros a valor razonable</v>
      </c>
      <c r="B144" s="58">
        <v>36455.79973768773</v>
      </c>
      <c r="C144" s="58">
        <v>43848.02483188216</v>
      </c>
      <c r="D144" s="58">
        <v>49406.441723785276</v>
      </c>
      <c r="E144" s="65">
        <v>48586.702251253126</v>
      </c>
      <c r="F144" s="44">
        <v>53411.09067507478</v>
      </c>
      <c r="G144" s="44">
        <v>53189.59345109702</v>
      </c>
      <c r="H144" s="44">
        <v>55787.05268598451</v>
      </c>
      <c r="I144" s="44">
        <v>0</v>
      </c>
    </row>
    <row r="145" spans="1:9" ht="15">
      <c r="A145" s="43" t="str">
        <f>HLOOKUP(INDICE!$F$2,Nombres!$C$3:$D$636,54,FALSE)</f>
        <v>Activos financieros a coste amortizado</v>
      </c>
      <c r="B145" s="44">
        <v>366530.85171527666</v>
      </c>
      <c r="C145" s="44">
        <v>384410.5445005436</v>
      </c>
      <c r="D145" s="44">
        <v>411742.0791432106</v>
      </c>
      <c r="E145" s="45">
        <v>425631.6368827893</v>
      </c>
      <c r="F145" s="44">
        <v>434057.1892506077</v>
      </c>
      <c r="G145" s="44">
        <v>469686.8604438566</v>
      </c>
      <c r="H145" s="44">
        <v>493210.6106176312</v>
      </c>
      <c r="I145" s="44">
        <v>0</v>
      </c>
    </row>
    <row r="146" spans="1:9" ht="15">
      <c r="A146" s="43" t="str">
        <f>HLOOKUP(INDICE!$F$2,Nombres!$C$3:$D$636,55,FALSE)</f>
        <v>    de los que préstamos y anticipos a la clientela</v>
      </c>
      <c r="B146" s="44">
        <v>287648.9479907032</v>
      </c>
      <c r="C146" s="44">
        <v>316227.7935052714</v>
      </c>
      <c r="D146" s="44">
        <v>334818.09585754486</v>
      </c>
      <c r="E146" s="45">
        <v>339876.97401957214</v>
      </c>
      <c r="F146" s="44">
        <v>358449.2431505018</v>
      </c>
      <c r="G146" s="44">
        <v>380960.123644695</v>
      </c>
      <c r="H146" s="44">
        <v>400935.30941532605</v>
      </c>
      <c r="I146" s="44">
        <v>0</v>
      </c>
    </row>
    <row r="147" spans="1:9" ht="15">
      <c r="A147" s="43"/>
      <c r="B147" s="44"/>
      <c r="C147" s="44"/>
      <c r="D147" s="44"/>
      <c r="E147" s="45"/>
      <c r="F147" s="44"/>
      <c r="G147" s="44"/>
      <c r="H147" s="44"/>
      <c r="I147" s="44"/>
    </row>
    <row r="148" spans="1:9" ht="15">
      <c r="A148" s="43" t="str">
        <f>HLOOKUP(INDICE!$F$2,Nombres!$C$3:$D$636,56,FALSE)</f>
        <v>Activos tangibles</v>
      </c>
      <c r="B148" s="44">
        <v>7447.343528697495</v>
      </c>
      <c r="C148" s="44">
        <v>7231.016693697059</v>
      </c>
      <c r="D148" s="44">
        <v>7524.9002969672965</v>
      </c>
      <c r="E148" s="45">
        <v>8209.14427169208</v>
      </c>
      <c r="F148" s="44">
        <v>8472.838175011862</v>
      </c>
      <c r="G148" s="44">
        <v>8403.275632015326</v>
      </c>
      <c r="H148" s="44">
        <v>8766.525375628993</v>
      </c>
      <c r="I148" s="44">
        <v>0</v>
      </c>
    </row>
    <row r="149" spans="1:9" ht="15">
      <c r="A149" s="43" t="str">
        <f>HLOOKUP(INDICE!$F$2,Nombres!$C$3:$D$636,57,FALSE)</f>
        <v>Otros activos</v>
      </c>
      <c r="B149" s="58">
        <f>+B150-B148-B145-B144-B143</f>
        <v>9763.642919084872</v>
      </c>
      <c r="C149" s="58">
        <f aca="true" t="shared" si="25" ref="C149:I149">+C150-C148-C145-C144-C143</f>
        <v>9997.843910396019</v>
      </c>
      <c r="D149" s="58">
        <f t="shared" si="25"/>
        <v>10096.441478956061</v>
      </c>
      <c r="E149" s="65">
        <f t="shared" si="25"/>
        <v>10663.593917368285</v>
      </c>
      <c r="F149" s="44">
        <f t="shared" si="25"/>
        <v>11641.816950113454</v>
      </c>
      <c r="G149" s="44">
        <f t="shared" si="25"/>
        <v>11468.086261124205</v>
      </c>
      <c r="H149" s="44">
        <f t="shared" si="25"/>
        <v>11632.17766294752</v>
      </c>
      <c r="I149" s="44">
        <f t="shared" si="25"/>
        <v>0</v>
      </c>
    </row>
    <row r="150" spans="1:9" ht="15">
      <c r="A150" s="47" t="str">
        <f>HLOOKUP(INDICE!$F$2,Nombres!$C$3:$D$636,58,FALSE)</f>
        <v>Total activo / pasivo</v>
      </c>
      <c r="B150" s="47">
        <v>457628.52209143416</v>
      </c>
      <c r="C150" s="47">
        <v>487623.17016970174</v>
      </c>
      <c r="D150" s="47">
        <v>528907.8184717014</v>
      </c>
      <c r="E150" s="71">
        <v>543005.2210596546</v>
      </c>
      <c r="F150" s="51">
        <v>572567.8454758988</v>
      </c>
      <c r="G150" s="51">
        <v>611450.5843882185</v>
      </c>
      <c r="H150" s="51">
        <v>633836.9021601053</v>
      </c>
      <c r="I150" s="51">
        <v>0</v>
      </c>
    </row>
    <row r="151" spans="1:9" ht="15">
      <c r="A151" s="43" t="str">
        <f>HLOOKUP(INDICE!$F$2,Nombres!$C$3:$D$636,59,FALSE)</f>
        <v>Pasivos financieros mantenidos para negociar y designados a valor razonable con cambios en resultados</v>
      </c>
      <c r="B151" s="58">
        <v>16835.29320329433</v>
      </c>
      <c r="C151" s="58">
        <v>17261.238393892974</v>
      </c>
      <c r="D151" s="58">
        <v>19689.544475914427</v>
      </c>
      <c r="E151" s="65">
        <v>21287.864415279462</v>
      </c>
      <c r="F151" s="44">
        <v>20049.71157502807</v>
      </c>
      <c r="G151" s="44">
        <v>20328.40673603707</v>
      </c>
      <c r="H151" s="44">
        <v>20582.83306626808</v>
      </c>
      <c r="I151" s="44">
        <v>0</v>
      </c>
    </row>
    <row r="152" spans="1:9" ht="15">
      <c r="A152" s="43" t="str">
        <f>HLOOKUP(INDICE!$F$2,Nombres!$C$3:$D$636,60,FALSE)</f>
        <v>Depósitos de bancos centrales y entidades de crédito</v>
      </c>
      <c r="B152" s="58">
        <v>31813.011249289295</v>
      </c>
      <c r="C152" s="58">
        <v>42768.84960898261</v>
      </c>
      <c r="D152" s="58">
        <v>33906.83206485265</v>
      </c>
      <c r="E152" s="65">
        <v>30808.766527170275</v>
      </c>
      <c r="F152" s="44">
        <v>45429.71510006361</v>
      </c>
      <c r="G152" s="44">
        <v>38696.79364607059</v>
      </c>
      <c r="H152" s="44">
        <v>39956.44263433215</v>
      </c>
      <c r="I152" s="44">
        <v>0</v>
      </c>
    </row>
    <row r="153" spans="1:9" ht="15">
      <c r="A153" s="43" t="str">
        <f>HLOOKUP(INDICE!$F$2,Nombres!$C$3:$D$636,61,FALSE)</f>
        <v>Depósitos de la clientela</v>
      </c>
      <c r="B153" s="58">
        <v>295879.0470317004</v>
      </c>
      <c r="C153" s="58">
        <v>308056.37012447463</v>
      </c>
      <c r="D153" s="58">
        <v>346948.6005884922</v>
      </c>
      <c r="E153" s="65">
        <v>358631.706480254</v>
      </c>
      <c r="F153" s="44">
        <v>370417.8006505186</v>
      </c>
      <c r="G153" s="44">
        <v>411379.0934137504</v>
      </c>
      <c r="H153" s="44">
        <v>425124.392928206</v>
      </c>
      <c r="I153" s="44">
        <v>0</v>
      </c>
    </row>
    <row r="154" spans="1:9" ht="15">
      <c r="A154" s="43" t="str">
        <f>HLOOKUP(INDICE!$F$2,Nombres!$C$3:$D$636,62,FALSE)</f>
        <v>Valores representativos de deuda emitidos</v>
      </c>
      <c r="B154" s="44">
        <v>36899.463356931425</v>
      </c>
      <c r="C154" s="44">
        <v>38522.70877957793</v>
      </c>
      <c r="D154" s="44">
        <v>38485.55043878954</v>
      </c>
      <c r="E154" s="45">
        <v>36789.64327204535</v>
      </c>
      <c r="F154" s="44">
        <v>41260.72078874927</v>
      </c>
      <c r="G154" s="44">
        <v>39937.99849362808</v>
      </c>
      <c r="H154" s="44">
        <v>40893.96399400432</v>
      </c>
      <c r="I154" s="44">
        <v>0</v>
      </c>
    </row>
    <row r="155" spans="1:9" ht="15">
      <c r="A155" s="43"/>
      <c r="B155" s="44"/>
      <c r="C155" s="44"/>
      <c r="D155" s="44"/>
      <c r="E155" s="45"/>
      <c r="F155" s="44"/>
      <c r="G155" s="44"/>
      <c r="H155" s="44"/>
      <c r="I155" s="44"/>
    </row>
    <row r="156" spans="1:9" ht="15.75" customHeight="1">
      <c r="A156" s="43" t="str">
        <f>HLOOKUP(INDICE!$F$2,Nombres!$C$3:$D$636,63,FALSE)</f>
        <v>Otros pasivos</v>
      </c>
      <c r="B156" s="58">
        <f>+B150-B151-B152-B153-B154-B157</f>
        <v>25071.224804728277</v>
      </c>
      <c r="C156" s="58">
        <f aca="true" t="shared" si="26" ref="C156:I156">+C150-C151-C152-C153-C154-C157</f>
        <v>28522.001221780898</v>
      </c>
      <c r="D156" s="58">
        <f t="shared" si="26"/>
        <v>35497.07901675472</v>
      </c>
      <c r="E156" s="65">
        <f t="shared" si="26"/>
        <v>39262.34124533068</v>
      </c>
      <c r="F156" s="44">
        <f t="shared" si="26"/>
        <v>32724.21006551305</v>
      </c>
      <c r="G156" s="44">
        <f t="shared" si="26"/>
        <v>38033.72368731588</v>
      </c>
      <c r="H156" s="44">
        <f t="shared" si="26"/>
        <v>38464.95479530422</v>
      </c>
      <c r="I156" s="44">
        <f t="shared" si="26"/>
        <v>0</v>
      </c>
    </row>
    <row r="157" spans="1:9" ht="15.75" customHeight="1">
      <c r="A157" s="43" t="str">
        <f>HLOOKUP(INDICE!$F$2,Nombres!$C$3:$D$636,282,FALSE)</f>
        <v>Dotación de capital regulatorio</v>
      </c>
      <c r="B157" s="44">
        <v>51130.482445490474</v>
      </c>
      <c r="C157" s="44">
        <v>52492.002040992666</v>
      </c>
      <c r="D157" s="44">
        <v>54380.211886897836</v>
      </c>
      <c r="E157" s="44">
        <v>56224.899119574824</v>
      </c>
      <c r="F157" s="44">
        <v>62685.68729602627</v>
      </c>
      <c r="G157" s="44">
        <v>63074.568411416345</v>
      </c>
      <c r="H157" s="44">
        <v>68814.3147419905</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5">
      <c r="A161" s="35" t="str">
        <f>HLOOKUP(INDICE!$F$2,Nombres!$C$3:$D$636,77,FALSE)</f>
        <v>(Millones de liras turcas)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43" t="str">
        <f>HLOOKUP(INDICE!$F$2,Nombres!$C$3:$D$636,66,FALSE)</f>
        <v>Préstamos y anticipos a la clientela bruto (*)</v>
      </c>
      <c r="B163" s="44">
        <v>308279.95073629625</v>
      </c>
      <c r="C163" s="44">
        <v>338220.0349360624</v>
      </c>
      <c r="D163" s="44">
        <v>358515.52235844184</v>
      </c>
      <c r="E163" s="45">
        <v>361179.7748057516</v>
      </c>
      <c r="F163" s="44">
        <v>381867.6266505346</v>
      </c>
      <c r="G163" s="44">
        <v>404442.9685737377</v>
      </c>
      <c r="H163" s="44">
        <v>425794.67566100816</v>
      </c>
      <c r="I163" s="44">
        <v>0</v>
      </c>
    </row>
    <row r="164" spans="1:9" ht="15">
      <c r="A164" s="43" t="str">
        <f>HLOOKUP(INDICE!$F$2,Nombres!$C$3:$D$636,67,FALSE)</f>
        <v>Depósitos de clientes en gestión (**)</v>
      </c>
      <c r="B164" s="44">
        <v>295820.1211166004</v>
      </c>
      <c r="C164" s="44">
        <v>306500.8314877754</v>
      </c>
      <c r="D164" s="44">
        <v>346902.83261849236</v>
      </c>
      <c r="E164" s="45">
        <v>358559.86791295424</v>
      </c>
      <c r="F164" s="44">
        <v>370393.72155051853</v>
      </c>
      <c r="G164" s="44">
        <v>411357.33674575033</v>
      </c>
      <c r="H164" s="44">
        <v>425101.0677317059</v>
      </c>
      <c r="I164" s="44">
        <v>0</v>
      </c>
    </row>
    <row r="165" spans="1:9" ht="15">
      <c r="A165" s="43" t="str">
        <f>HLOOKUP(INDICE!$F$2,Nombres!$C$3:$D$636,68,FALSE)</f>
        <v>Fondos de inversión</v>
      </c>
      <c r="B165" s="44">
        <v>10827.847683896356</v>
      </c>
      <c r="C165" s="44">
        <v>13467.786534894522</v>
      </c>
      <c r="D165" s="44">
        <v>11071.999862951881</v>
      </c>
      <c r="E165" s="45">
        <v>9910.004142590438</v>
      </c>
      <c r="F165" s="44">
        <v>11987.258675016783</v>
      </c>
      <c r="G165" s="44">
        <v>14997.279964027355</v>
      </c>
      <c r="H165" s="44">
        <v>20374.749657667388</v>
      </c>
      <c r="I165" s="44">
        <v>0</v>
      </c>
    </row>
    <row r="166" spans="1:9" ht="15">
      <c r="A166" s="43" t="str">
        <f>HLOOKUP(INDICE!$F$2,Nombres!$C$3:$D$636,69,FALSE)</f>
        <v>Fondos de pensiones</v>
      </c>
      <c r="B166" s="44">
        <v>17008.33808519428</v>
      </c>
      <c r="C166" s="44">
        <v>18861.858765892328</v>
      </c>
      <c r="D166" s="44">
        <v>20146.76922591244</v>
      </c>
      <c r="E166" s="45">
        <v>21299.000623479453</v>
      </c>
      <c r="F166" s="44">
        <v>23671.807275033145</v>
      </c>
      <c r="G166" s="44">
        <v>25619.51899104673</v>
      </c>
      <c r="H166" s="44">
        <v>26634.70719518809</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5">
      <c r="A170" s="30"/>
      <c r="B170" s="30"/>
      <c r="C170" s="30"/>
      <c r="D170" s="30"/>
      <c r="E170" s="30"/>
      <c r="F170" s="30"/>
      <c r="G170" s="30"/>
      <c r="H170" s="30"/>
      <c r="I170" s="30"/>
      <c r="K170" s="74"/>
      <c r="L170" s="74"/>
      <c r="M170" s="74"/>
      <c r="N170" s="74"/>
      <c r="O170" s="74"/>
    </row>
    <row r="171" spans="1:15" ht="15">
      <c r="A171" s="30"/>
      <c r="B171" s="30"/>
      <c r="C171" s="30"/>
      <c r="D171" s="30"/>
      <c r="E171" s="30"/>
      <c r="F171" s="30"/>
      <c r="G171" s="30"/>
      <c r="H171" s="30"/>
      <c r="I171" s="30"/>
      <c r="K171" s="74"/>
      <c r="L171" s="74"/>
      <c r="M171" s="74"/>
      <c r="N171" s="74"/>
      <c r="O171" s="74"/>
    </row>
    <row r="172" spans="1:15" ht="15">
      <c r="A172" s="73"/>
      <c r="B172" s="74"/>
      <c r="C172" s="75"/>
      <c r="D172" s="75"/>
      <c r="E172" s="75"/>
      <c r="F172" s="74"/>
      <c r="G172" s="74"/>
      <c r="H172" s="74"/>
      <c r="I172" s="74"/>
      <c r="K172" s="74"/>
      <c r="L172" s="74"/>
      <c r="M172" s="74"/>
      <c r="N172" s="74"/>
      <c r="O172" s="74"/>
    </row>
    <row r="173" spans="1:15" ht="15">
      <c r="A173" s="73"/>
      <c r="B173" s="74"/>
      <c r="C173" s="75"/>
      <c r="D173" s="75"/>
      <c r="E173" s="75"/>
      <c r="F173" s="74"/>
      <c r="G173" s="74"/>
      <c r="H173" s="74"/>
      <c r="I173" s="74"/>
      <c r="J173" s="74"/>
      <c r="K173" s="74"/>
      <c r="L173" s="74"/>
      <c r="M173" s="74"/>
      <c r="N173" s="74"/>
      <c r="O173" s="74"/>
    </row>
    <row r="174" spans="1:15" ht="15">
      <c r="A174" s="74"/>
      <c r="B174" s="74"/>
      <c r="C174" s="74"/>
      <c r="D174" s="74"/>
      <c r="E174" s="74"/>
      <c r="F174" s="74"/>
      <c r="G174" s="74"/>
      <c r="H174" s="74"/>
      <c r="I174" s="74"/>
      <c r="J174" s="74"/>
      <c r="K174" s="74"/>
      <c r="L174" s="74"/>
      <c r="M174" s="74"/>
      <c r="N174" s="74"/>
      <c r="O174" s="74"/>
    </row>
    <row r="175" spans="1:10" ht="15">
      <c r="A175" s="74"/>
      <c r="B175" s="74"/>
      <c r="C175" s="74"/>
      <c r="D175" s="74"/>
      <c r="E175" s="74"/>
      <c r="F175" s="74"/>
      <c r="G175" s="74"/>
      <c r="H175" s="74"/>
      <c r="I175" s="74"/>
      <c r="J175" s="74"/>
    </row>
    <row r="176" spans="1:10" ht="15">
      <c r="A176" s="74"/>
      <c r="B176" s="74"/>
      <c r="C176" s="74"/>
      <c r="D176" s="74"/>
      <c r="E176" s="74"/>
      <c r="F176" s="74"/>
      <c r="G176" s="74"/>
      <c r="H176" s="74"/>
      <c r="I176" s="74"/>
      <c r="J176" s="74"/>
    </row>
    <row r="177" spans="1:10" ht="15">
      <c r="A177" s="74"/>
      <c r="B177" s="74"/>
      <c r="C177" s="74"/>
      <c r="D177" s="74"/>
      <c r="E177" s="74"/>
      <c r="F177" s="74"/>
      <c r="G177" s="74"/>
      <c r="H177" s="74"/>
      <c r="I177" s="74"/>
      <c r="J177" s="74"/>
    </row>
    <row r="178" spans="1:10" ht="15">
      <c r="A178" s="74"/>
      <c r="B178" s="74"/>
      <c r="C178" s="74"/>
      <c r="D178" s="74"/>
      <c r="E178" s="74"/>
      <c r="F178" s="74"/>
      <c r="G178" s="74"/>
      <c r="H178" s="74"/>
      <c r="I178" s="74"/>
      <c r="J178" s="74"/>
    </row>
    <row r="179" spans="1:10" ht="15">
      <c r="A179" s="74"/>
      <c r="B179" s="74"/>
      <c r="C179" s="74"/>
      <c r="D179" s="74"/>
      <c r="E179" s="74"/>
      <c r="F179" s="74"/>
      <c r="G179" s="74"/>
      <c r="H179" s="74"/>
      <c r="I179" s="74"/>
      <c r="J179" s="74"/>
    </row>
    <row r="180" spans="1:10" ht="15">
      <c r="A180" s="74"/>
      <c r="B180" s="74"/>
      <c r="C180" s="74"/>
      <c r="D180" s="74"/>
      <c r="E180" s="74"/>
      <c r="F180" s="74"/>
      <c r="G180" s="74"/>
      <c r="H180" s="74"/>
      <c r="I180" s="74"/>
      <c r="J180" s="74"/>
    </row>
    <row r="1006" ht="1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HLOOKUP(INDICE!$F$2,Nombres!$C$3:$D$636,300,FALSE)</f>
        <v>América del Sur  (incluye Paraguay)</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763.1889958799999</v>
      </c>
      <c r="C8" s="41">
        <v>679.60597805</v>
      </c>
      <c r="D8" s="41">
        <v>626.5529847900001</v>
      </c>
      <c r="E8" s="42">
        <v>632.04092009</v>
      </c>
      <c r="F8" s="50">
        <v>659.8777555500001</v>
      </c>
      <c r="G8" s="50">
        <v>667.9077535700001</v>
      </c>
      <c r="H8" s="50">
        <v>732.88197284</v>
      </c>
      <c r="I8" s="50">
        <v>0</v>
      </c>
    </row>
    <row r="9" spans="1:9" ht="15">
      <c r="A9" s="43" t="str">
        <f>HLOOKUP(INDICE!$F$2,Nombres!$C$3:$D$636,34,FALSE)</f>
        <v>Comisiones netas</v>
      </c>
      <c r="B9" s="44">
        <v>119.18508365</v>
      </c>
      <c r="C9" s="44">
        <v>112.75746720000001</v>
      </c>
      <c r="D9" s="44">
        <v>135.58780038</v>
      </c>
      <c r="E9" s="45">
        <v>115.94195891000001</v>
      </c>
      <c r="F9" s="44">
        <v>120.15356925</v>
      </c>
      <c r="G9" s="44">
        <v>146.68809574</v>
      </c>
      <c r="H9" s="44">
        <v>159.10616693999998</v>
      </c>
      <c r="I9" s="44">
        <v>0</v>
      </c>
    </row>
    <row r="10" spans="1:9" ht="15">
      <c r="A10" s="43" t="str">
        <f>HLOOKUP(INDICE!$F$2,Nombres!$C$3:$D$636,35,FALSE)</f>
        <v>Resultados de operaciones financieras</v>
      </c>
      <c r="B10" s="44">
        <v>80.40936833</v>
      </c>
      <c r="C10" s="44">
        <v>91.73590292999998</v>
      </c>
      <c r="D10" s="44">
        <v>97.76752325000004</v>
      </c>
      <c r="E10" s="45">
        <v>137.30968869000003</v>
      </c>
      <c r="F10" s="44">
        <v>74.42403224</v>
      </c>
      <c r="G10" s="44">
        <v>105.54285952999999</v>
      </c>
      <c r="H10" s="44">
        <v>70.48393611000002</v>
      </c>
      <c r="I10" s="44">
        <v>0</v>
      </c>
    </row>
    <row r="11" spans="1:9" ht="15">
      <c r="A11" s="43" t="str">
        <f>HLOOKUP(INDICE!$F$2,Nombres!$C$3:$D$636,36,FALSE)</f>
        <v>Otros ingresos y cargas de explotación</v>
      </c>
      <c r="B11" s="44">
        <v>-100.265</v>
      </c>
      <c r="C11" s="44">
        <v>-82.466</v>
      </c>
      <c r="D11" s="44">
        <v>-83.26500000000001</v>
      </c>
      <c r="E11" s="45">
        <v>-101.06199999999995</v>
      </c>
      <c r="F11" s="44">
        <v>-140.19099999999997</v>
      </c>
      <c r="G11" s="44">
        <v>-154.58100000000002</v>
      </c>
      <c r="H11" s="44">
        <v>-148.22700000000003</v>
      </c>
      <c r="I11" s="44">
        <v>0</v>
      </c>
    </row>
    <row r="12" spans="1:9" ht="15">
      <c r="A12" s="41" t="str">
        <f>HLOOKUP(INDICE!$F$2,Nombres!$C$3:$D$636,37,FALSE)</f>
        <v>Margen bruto</v>
      </c>
      <c r="B12" s="41">
        <f>+SUM(B8:B11)</f>
        <v>862.5184478599999</v>
      </c>
      <c r="C12" s="41">
        <f aca="true" t="shared" si="0" ref="C12:I12">+SUM(C8:C11)</f>
        <v>801.63334818</v>
      </c>
      <c r="D12" s="41">
        <f t="shared" si="0"/>
        <v>776.6433084200002</v>
      </c>
      <c r="E12" s="42">
        <f t="shared" si="0"/>
        <v>784.23056769</v>
      </c>
      <c r="F12" s="50">
        <f t="shared" si="0"/>
        <v>714.26435704</v>
      </c>
      <c r="G12" s="50">
        <f t="shared" si="0"/>
        <v>765.55770884</v>
      </c>
      <c r="H12" s="50">
        <f t="shared" si="0"/>
        <v>814.24507589</v>
      </c>
      <c r="I12" s="50">
        <f t="shared" si="0"/>
        <v>0</v>
      </c>
    </row>
    <row r="13" spans="1:9" ht="15">
      <c r="A13" s="43" t="str">
        <f>HLOOKUP(INDICE!$F$2,Nombres!$C$3:$D$636,38,FALSE)</f>
        <v>Gastos de explotación</v>
      </c>
      <c r="B13" s="44">
        <v>-389.59941787</v>
      </c>
      <c r="C13" s="44">
        <v>-329.52753055999995</v>
      </c>
      <c r="D13" s="44">
        <v>-324.68345208999995</v>
      </c>
      <c r="E13" s="45">
        <v>-328.58780636999995</v>
      </c>
      <c r="F13" s="44">
        <v>-337.19646658000005</v>
      </c>
      <c r="G13" s="44">
        <v>-345.48890659000006</v>
      </c>
      <c r="H13" s="44">
        <v>-391.16090333</v>
      </c>
      <c r="I13" s="44">
        <v>0</v>
      </c>
    </row>
    <row r="14" spans="1:9" ht="15">
      <c r="A14" s="43" t="str">
        <f>HLOOKUP(INDICE!$F$2,Nombres!$C$3:$D$636,39,FALSE)</f>
        <v>  Gastos de administración</v>
      </c>
      <c r="B14" s="44">
        <v>-345.63841787</v>
      </c>
      <c r="C14" s="44">
        <v>-290.74753056000003</v>
      </c>
      <c r="D14" s="44">
        <v>-288.91045209</v>
      </c>
      <c r="E14" s="45">
        <v>-293.39180637000004</v>
      </c>
      <c r="F14" s="44">
        <v>-302.79846658</v>
      </c>
      <c r="G14" s="44">
        <v>-310.00090659</v>
      </c>
      <c r="H14" s="44">
        <v>-354.54590333</v>
      </c>
      <c r="I14" s="44">
        <v>0</v>
      </c>
    </row>
    <row r="15" spans="1:9" ht="15">
      <c r="A15" s="46" t="str">
        <f>HLOOKUP(INDICE!$F$2,Nombres!$C$3:$D$636,40,FALSE)</f>
        <v>  Gastos de personal</v>
      </c>
      <c r="B15" s="44">
        <v>-197.31927843</v>
      </c>
      <c r="C15" s="44">
        <v>-159.60420292</v>
      </c>
      <c r="D15" s="44">
        <v>-158.28397114</v>
      </c>
      <c r="E15" s="45">
        <v>-154.46618740000002</v>
      </c>
      <c r="F15" s="44">
        <v>-165.87710144000002</v>
      </c>
      <c r="G15" s="44">
        <v>-166.23455489999998</v>
      </c>
      <c r="H15" s="44">
        <v>-186.48427492000002</v>
      </c>
      <c r="I15" s="44">
        <v>0</v>
      </c>
    </row>
    <row r="16" spans="1:9" ht="15">
      <c r="A16" s="46" t="str">
        <f>HLOOKUP(INDICE!$F$2,Nombres!$C$3:$D$636,41,FALSE)</f>
        <v>  Otros gastos de administración</v>
      </c>
      <c r="B16" s="44">
        <v>-148.31913944000001</v>
      </c>
      <c r="C16" s="44">
        <v>-131.14332764</v>
      </c>
      <c r="D16" s="44">
        <v>-130.62648094999997</v>
      </c>
      <c r="E16" s="45">
        <v>-138.92561897000002</v>
      </c>
      <c r="F16" s="44">
        <v>-136.92136514</v>
      </c>
      <c r="G16" s="44">
        <v>-143.76635169</v>
      </c>
      <c r="H16" s="44">
        <v>-168.06162841000003</v>
      </c>
      <c r="I16" s="44">
        <v>0</v>
      </c>
    </row>
    <row r="17" spans="1:9" ht="15">
      <c r="A17" s="43" t="str">
        <f>HLOOKUP(INDICE!$F$2,Nombres!$C$3:$D$636,42,FALSE)</f>
        <v>  Amortización</v>
      </c>
      <c r="B17" s="44">
        <v>-43.961</v>
      </c>
      <c r="C17" s="44">
        <v>-38.78</v>
      </c>
      <c r="D17" s="44">
        <v>-35.772999999999996</v>
      </c>
      <c r="E17" s="45">
        <v>-35.196</v>
      </c>
      <c r="F17" s="44">
        <v>-34.397999999999996</v>
      </c>
      <c r="G17" s="44">
        <v>-35.488</v>
      </c>
      <c r="H17" s="44">
        <v>-36.615</v>
      </c>
      <c r="I17" s="44">
        <v>0</v>
      </c>
    </row>
    <row r="18" spans="1:9" ht="15">
      <c r="A18" s="41" t="str">
        <f>HLOOKUP(INDICE!$F$2,Nombres!$C$3:$D$636,43,FALSE)</f>
        <v>Margen neto</v>
      </c>
      <c r="B18" s="41">
        <f>+B12+B13</f>
        <v>472.9190299899999</v>
      </c>
      <c r="C18" s="41">
        <f aca="true" t="shared" si="1" ref="C18:I18">+C12+C13</f>
        <v>472.10581762000004</v>
      </c>
      <c r="D18" s="41">
        <f t="shared" si="1"/>
        <v>451.9598563300002</v>
      </c>
      <c r="E18" s="42">
        <f t="shared" si="1"/>
        <v>455.6427613200001</v>
      </c>
      <c r="F18" s="50">
        <f t="shared" si="1"/>
        <v>377.06789046</v>
      </c>
      <c r="G18" s="50">
        <f t="shared" si="1"/>
        <v>420.06880225</v>
      </c>
      <c r="H18" s="50">
        <f t="shared" si="1"/>
        <v>423.08417255999996</v>
      </c>
      <c r="I18" s="50">
        <f t="shared" si="1"/>
        <v>0</v>
      </c>
    </row>
    <row r="19" spans="1:9" ht="15">
      <c r="A19" s="43" t="str">
        <f>HLOOKUP(INDICE!$F$2,Nombres!$C$3:$D$636,44,FALSE)</f>
        <v>Deterioro de activos financieros no valorados a valor razonable con cambios en resultados</v>
      </c>
      <c r="B19" s="44">
        <v>-318.74199999999996</v>
      </c>
      <c r="C19" s="44">
        <v>-283.932</v>
      </c>
      <c r="D19" s="44">
        <v>-72.37499999999997</v>
      </c>
      <c r="E19" s="45">
        <v>-189.16700000000003</v>
      </c>
      <c r="F19" s="44">
        <v>-159.254</v>
      </c>
      <c r="G19" s="44">
        <v>-184.08600000000004</v>
      </c>
      <c r="H19" s="44">
        <v>-164.624</v>
      </c>
      <c r="I19" s="44">
        <v>0</v>
      </c>
    </row>
    <row r="20" spans="1:9" ht="15">
      <c r="A20" s="43" t="str">
        <f>HLOOKUP(INDICE!$F$2,Nombres!$C$3:$D$636,45,FALSE)</f>
        <v>Provisiones o reversión de provisiones y otros resultados</v>
      </c>
      <c r="B20" s="44">
        <v>-17.688000000000002</v>
      </c>
      <c r="C20" s="44">
        <v>-27.756999999999998</v>
      </c>
      <c r="D20" s="44">
        <v>-29.577999999999996</v>
      </c>
      <c r="E20" s="45">
        <v>-17.711512999999997</v>
      </c>
      <c r="F20" s="44">
        <v>-15.966793999999998</v>
      </c>
      <c r="G20" s="44">
        <v>-13.527615</v>
      </c>
      <c r="H20" s="44">
        <v>-17.842942999999998</v>
      </c>
      <c r="I20" s="44">
        <v>0</v>
      </c>
    </row>
    <row r="21" spans="1:9" ht="15">
      <c r="A21" s="41" t="str">
        <f>HLOOKUP(INDICE!$F$2,Nombres!$C$3:$D$636,46,FALSE)</f>
        <v>Resultado antes de impuestos</v>
      </c>
      <c r="B21" s="41">
        <f>+B18+B19+B20</f>
        <v>136.48902998999995</v>
      </c>
      <c r="C21" s="41">
        <f aca="true" t="shared" si="2" ref="C21:I21">+C18+C19+C20</f>
        <v>160.41681762000002</v>
      </c>
      <c r="D21" s="41">
        <f t="shared" si="2"/>
        <v>350.00685633000023</v>
      </c>
      <c r="E21" s="42">
        <f t="shared" si="2"/>
        <v>248.76424832000006</v>
      </c>
      <c r="F21" s="50">
        <f t="shared" si="2"/>
        <v>201.84709646000002</v>
      </c>
      <c r="G21" s="50">
        <f t="shared" si="2"/>
        <v>222.45518724999994</v>
      </c>
      <c r="H21" s="50">
        <f t="shared" si="2"/>
        <v>240.61722955999994</v>
      </c>
      <c r="I21" s="50">
        <f t="shared" si="2"/>
        <v>0</v>
      </c>
    </row>
    <row r="22" spans="1:9" ht="15">
      <c r="A22" s="43" t="str">
        <f>HLOOKUP(INDICE!$F$2,Nombres!$C$3:$D$636,47,FALSE)</f>
        <v>Impuesto sobre beneficios</v>
      </c>
      <c r="B22" s="44">
        <v>-29.373916749999992</v>
      </c>
      <c r="C22" s="44">
        <v>-51.951764289999986</v>
      </c>
      <c r="D22" s="44">
        <v>-111.81223175000002</v>
      </c>
      <c r="E22" s="45">
        <v>-84.26761391000001</v>
      </c>
      <c r="F22" s="44">
        <v>-59.07668183999999</v>
      </c>
      <c r="G22" s="44">
        <v>-71.93390375</v>
      </c>
      <c r="H22" s="44">
        <v>-75.98728387</v>
      </c>
      <c r="I22" s="44">
        <v>0</v>
      </c>
    </row>
    <row r="23" spans="1:9" ht="15">
      <c r="A23" s="41" t="str">
        <f>HLOOKUP(INDICE!$F$2,Nombres!$C$3:$D$636,48,FALSE)</f>
        <v>Resultado del ejercicio</v>
      </c>
      <c r="B23" s="41">
        <f>+B21+B22</f>
        <v>107.11511323999996</v>
      </c>
      <c r="C23" s="41">
        <f aca="true" t="shared" si="3" ref="C23:I23">+C21+C22</f>
        <v>108.46505333000003</v>
      </c>
      <c r="D23" s="41">
        <f t="shared" si="3"/>
        <v>238.1946245800002</v>
      </c>
      <c r="E23" s="42">
        <f t="shared" si="3"/>
        <v>164.49663441000007</v>
      </c>
      <c r="F23" s="50">
        <f t="shared" si="3"/>
        <v>142.77041462000003</v>
      </c>
      <c r="G23" s="50">
        <f t="shared" si="3"/>
        <v>150.52128349999992</v>
      </c>
      <c r="H23" s="50">
        <f t="shared" si="3"/>
        <v>164.62994568999994</v>
      </c>
      <c r="I23" s="50">
        <f t="shared" si="3"/>
        <v>0</v>
      </c>
    </row>
    <row r="24" spans="1:9" ht="15">
      <c r="A24" s="43" t="str">
        <f>HLOOKUP(INDICE!$F$2,Nombres!$C$3:$D$636,49,FALSE)</f>
        <v>Minoritarios</v>
      </c>
      <c r="B24" s="44">
        <v>-37.355934810000015</v>
      </c>
      <c r="C24" s="44">
        <v>-19.17750641999999</v>
      </c>
      <c r="D24" s="44">
        <v>-71.41591481</v>
      </c>
      <c r="E24" s="45">
        <v>-44.756895869999994</v>
      </c>
      <c r="F24" s="44">
        <v>-39.13709874999999</v>
      </c>
      <c r="G24" s="44">
        <v>-36.190655830000004</v>
      </c>
      <c r="H24" s="44">
        <v>-43.94528358999999</v>
      </c>
      <c r="I24" s="44">
        <v>0</v>
      </c>
    </row>
    <row r="25" spans="1:9" ht="15">
      <c r="A25" s="47" t="str">
        <f>HLOOKUP(INDICE!$F$2,Nombres!$C$3:$D$636,50,FALSE)</f>
        <v>Resultado atribuido</v>
      </c>
      <c r="B25" s="47">
        <f>+B23+B24</f>
        <v>69.75917842999993</v>
      </c>
      <c r="C25" s="47">
        <f aca="true" t="shared" si="4" ref="C25:I25">+C23+C24</f>
        <v>89.28754691000005</v>
      </c>
      <c r="D25" s="47">
        <f t="shared" si="4"/>
        <v>166.7787097700002</v>
      </c>
      <c r="E25" s="47">
        <f t="shared" si="4"/>
        <v>119.73973854000008</v>
      </c>
      <c r="F25" s="51">
        <f t="shared" si="4"/>
        <v>103.63331587000003</v>
      </c>
      <c r="G25" s="51">
        <f t="shared" si="4"/>
        <v>114.33062766999993</v>
      </c>
      <c r="H25" s="51">
        <f t="shared" si="4"/>
        <v>120.68466209999995</v>
      </c>
      <c r="I25" s="51">
        <f t="shared" si="4"/>
        <v>0</v>
      </c>
    </row>
    <row r="26" spans="1:9" ht="15">
      <c r="A26" s="62"/>
      <c r="B26" s="63"/>
      <c r="C26" s="63"/>
      <c r="D26" s="63"/>
      <c r="E26" s="63"/>
      <c r="F26" s="63"/>
      <c r="G26" s="63"/>
      <c r="H26" s="63"/>
      <c r="I26" s="63"/>
    </row>
    <row r="27" spans="1:15" ht="15">
      <c r="A27" s="41"/>
      <c r="B27" s="41"/>
      <c r="C27" s="41"/>
      <c r="D27" s="41"/>
      <c r="E27" s="41"/>
      <c r="F27" s="41"/>
      <c r="G27" s="41"/>
      <c r="H27" s="41"/>
      <c r="I27" s="41"/>
      <c r="K27" s="163"/>
      <c r="L27" s="163"/>
      <c r="M27" s="163"/>
      <c r="N27" s="163"/>
      <c r="O27" s="163"/>
    </row>
    <row r="28" spans="1:15" ht="18">
      <c r="A28" s="33" t="str">
        <f>HLOOKUP(INDICE!$F$2,Nombres!$C$3:$D$636,51,FALSE)</f>
        <v>Balances</v>
      </c>
      <c r="B28" s="34"/>
      <c r="C28" s="34"/>
      <c r="D28" s="34"/>
      <c r="E28" s="34"/>
      <c r="F28" s="34"/>
      <c r="G28" s="34"/>
      <c r="H28" s="34"/>
      <c r="I28" s="34"/>
      <c r="K28" s="163"/>
      <c r="L28" s="163"/>
      <c r="M28" s="163"/>
      <c r="N28" s="163"/>
      <c r="O28" s="163"/>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10" ht="15">
      <c r="A31" s="43" t="str">
        <f>HLOOKUP(INDICE!$F$2,Nombres!$C$3:$D$636,52,FALSE)</f>
        <v>Efectivo, saldos en efectivo en bancos centrales y otros depósitos a la vista</v>
      </c>
      <c r="B31" s="44">
        <v>8313.738</v>
      </c>
      <c r="C31" s="44">
        <v>8399.082</v>
      </c>
      <c r="D31" s="44">
        <v>6825.591</v>
      </c>
      <c r="E31" s="45">
        <v>7126.786</v>
      </c>
      <c r="F31" s="44">
        <v>6794.749999999998</v>
      </c>
      <c r="G31" s="44">
        <v>7127.522</v>
      </c>
      <c r="H31" s="44">
        <v>7852.526999999999</v>
      </c>
      <c r="I31" s="44">
        <v>0</v>
      </c>
      <c r="J31" s="82"/>
    </row>
    <row r="32" spans="1:10" ht="15">
      <c r="A32" s="43" t="str">
        <f>HLOOKUP(INDICE!$F$2,Nombres!$C$3:$D$636,53,FALSE)</f>
        <v>Activos financieros a valor razonable</v>
      </c>
      <c r="B32" s="58">
        <v>7561.228999999999</v>
      </c>
      <c r="C32" s="58">
        <v>8250.433</v>
      </c>
      <c r="D32" s="58">
        <v>8153.83</v>
      </c>
      <c r="E32" s="65">
        <v>7328.645</v>
      </c>
      <c r="F32" s="44">
        <v>7432.951999999999</v>
      </c>
      <c r="G32" s="44">
        <v>7266.091</v>
      </c>
      <c r="H32" s="44">
        <v>7357.267</v>
      </c>
      <c r="I32" s="44">
        <v>0</v>
      </c>
      <c r="J32" s="82"/>
    </row>
    <row r="33" spans="1:10" ht="15">
      <c r="A33" s="43" t="str">
        <f>HLOOKUP(INDICE!$F$2,Nombres!$C$3:$D$636,54,FALSE)</f>
        <v>Activos financieros a coste amortizado</v>
      </c>
      <c r="B33" s="44">
        <v>36145.817</v>
      </c>
      <c r="C33" s="44">
        <v>38741.912</v>
      </c>
      <c r="D33" s="44">
        <v>38223.009</v>
      </c>
      <c r="E33" s="45">
        <v>38548.833000000006</v>
      </c>
      <c r="F33" s="44">
        <v>36380.903999999995</v>
      </c>
      <c r="G33" s="44">
        <v>36356.060999999994</v>
      </c>
      <c r="H33" s="44">
        <v>36364.706</v>
      </c>
      <c r="I33" s="44">
        <v>0</v>
      </c>
      <c r="J33" s="82"/>
    </row>
    <row r="34" spans="1:10" ht="15">
      <c r="A34" s="43" t="str">
        <f>HLOOKUP(INDICE!$F$2,Nombres!$C$3:$D$636,55,FALSE)</f>
        <v>    de los que préstamos y anticipos a la clientela</v>
      </c>
      <c r="B34" s="44">
        <v>34202.08700000001</v>
      </c>
      <c r="C34" s="44">
        <v>35335.912</v>
      </c>
      <c r="D34" s="44">
        <v>33678.044</v>
      </c>
      <c r="E34" s="45">
        <v>33615.106</v>
      </c>
      <c r="F34" s="44">
        <v>32443.496999999996</v>
      </c>
      <c r="G34" s="44">
        <v>32634.762</v>
      </c>
      <c r="H34" s="44">
        <v>32421.622000000003</v>
      </c>
      <c r="I34" s="44">
        <v>0</v>
      </c>
      <c r="J34" s="82"/>
    </row>
    <row r="35" spans="1:10" ht="15">
      <c r="A35" s="43"/>
      <c r="B35" s="44"/>
      <c r="C35" s="44"/>
      <c r="D35" s="44"/>
      <c r="E35" s="45"/>
      <c r="F35" s="44"/>
      <c r="G35" s="44"/>
      <c r="H35" s="44"/>
      <c r="I35" s="44"/>
      <c r="J35" s="82"/>
    </row>
    <row r="36" spans="1:10" ht="15">
      <c r="A36" s="43" t="str">
        <f>HLOOKUP(INDICE!$F$2,Nombres!$C$3:$D$636,56,FALSE)</f>
        <v>Activos tangibles</v>
      </c>
      <c r="B36" s="44">
        <v>920.8204417600001</v>
      </c>
      <c r="C36" s="44">
        <v>874.267</v>
      </c>
      <c r="D36" s="44">
        <v>809.60891768</v>
      </c>
      <c r="E36" s="45">
        <v>808.0144728399999</v>
      </c>
      <c r="F36" s="44">
        <v>805.5433658399999</v>
      </c>
      <c r="G36" s="44">
        <v>799.439</v>
      </c>
      <c r="H36" s="44">
        <v>813.9630000000001</v>
      </c>
      <c r="I36" s="44">
        <v>0</v>
      </c>
      <c r="J36" s="82"/>
    </row>
    <row r="37" spans="1:10" ht="15">
      <c r="A37" s="43" t="str">
        <f>HLOOKUP(INDICE!$F$2,Nombres!$C$3:$D$636,57,FALSE)</f>
        <v>Otros activos</v>
      </c>
      <c r="B37" s="58">
        <f aca="true" t="shared" si="5" ref="B37:I37">+B38-B36-B33-B32-B31</f>
        <v>1830.2178972300007</v>
      </c>
      <c r="C37" s="58">
        <f t="shared" si="5"/>
        <v>1626.9002275999937</v>
      </c>
      <c r="D37" s="58">
        <f t="shared" si="5"/>
        <v>1521.1875777600017</v>
      </c>
      <c r="E37" s="65">
        <f t="shared" si="5"/>
        <v>1623.8986307299892</v>
      </c>
      <c r="F37" s="44">
        <f t="shared" si="5"/>
        <v>1750.073712999998</v>
      </c>
      <c r="G37" s="44">
        <f t="shared" si="5"/>
        <v>1794.0877786900064</v>
      </c>
      <c r="H37" s="44">
        <f t="shared" si="5"/>
        <v>1750.8512422000013</v>
      </c>
      <c r="I37" s="44">
        <f t="shared" si="5"/>
        <v>0</v>
      </c>
      <c r="J37" s="82"/>
    </row>
    <row r="38" spans="1:10" ht="15">
      <c r="A38" s="47" t="str">
        <f>HLOOKUP(INDICE!$F$2,Nombres!$C$3:$D$636,58,FALSE)</f>
        <v>Total activo / pasivo</v>
      </c>
      <c r="B38" s="47">
        <v>54771.82233899</v>
      </c>
      <c r="C38" s="47">
        <v>57892.59422759999</v>
      </c>
      <c r="D38" s="47">
        <v>55533.22649544</v>
      </c>
      <c r="E38" s="47">
        <v>55436.17710356999</v>
      </c>
      <c r="F38" s="51">
        <v>53164.22307883999</v>
      </c>
      <c r="G38" s="51">
        <v>53343.20077869</v>
      </c>
      <c r="H38" s="51">
        <v>54139.3142422</v>
      </c>
      <c r="I38" s="51">
        <v>0</v>
      </c>
      <c r="J38" s="82"/>
    </row>
    <row r="39" spans="1:10" ht="15">
      <c r="A39" s="43" t="str">
        <f>HLOOKUP(INDICE!$F$2,Nombres!$C$3:$D$636,59,FALSE)</f>
        <v>Pasivos financieros mantenidos para negociar y designados a valor razonable con cambios en resultados</v>
      </c>
      <c r="B39" s="58">
        <v>2005.9350000000002</v>
      </c>
      <c r="C39" s="58">
        <v>1942.9720000000002</v>
      </c>
      <c r="D39" s="58">
        <v>1618.1270000000002</v>
      </c>
      <c r="E39" s="65">
        <v>1326.236</v>
      </c>
      <c r="F39" s="44">
        <v>1222.644</v>
      </c>
      <c r="G39" s="44">
        <v>1176.6830000000002</v>
      </c>
      <c r="H39" s="44">
        <v>1588.1860000000001</v>
      </c>
      <c r="I39" s="44">
        <v>0</v>
      </c>
      <c r="J39" s="82"/>
    </row>
    <row r="40" spans="1:10" ht="15.75" customHeight="1">
      <c r="A40" s="43" t="str">
        <f>HLOOKUP(INDICE!$F$2,Nombres!$C$3:$D$636,60,FALSE)</f>
        <v>Depósitos de bancos centrales y entidades de crédito</v>
      </c>
      <c r="B40" s="58">
        <v>4055.4549999999995</v>
      </c>
      <c r="C40" s="58">
        <v>4289.307999999999</v>
      </c>
      <c r="D40" s="58">
        <v>5877.398999999999</v>
      </c>
      <c r="E40" s="65">
        <v>5378.188999999999</v>
      </c>
      <c r="F40" s="44">
        <v>5196.62500001</v>
      </c>
      <c r="G40" s="44">
        <v>5348.602999999999</v>
      </c>
      <c r="H40" s="44">
        <v>5239.848999989999</v>
      </c>
      <c r="I40" s="44">
        <v>0</v>
      </c>
      <c r="J40" s="82"/>
    </row>
    <row r="41" spans="1:10" ht="15">
      <c r="A41" s="43" t="str">
        <f>HLOOKUP(INDICE!$F$2,Nombres!$C$3:$D$636,61,FALSE)</f>
        <v>Depósitos de la clientela</v>
      </c>
      <c r="B41" s="58">
        <v>35948.85399999999</v>
      </c>
      <c r="C41" s="58">
        <v>39356.901</v>
      </c>
      <c r="D41" s="58">
        <v>36023.834</v>
      </c>
      <c r="E41" s="65">
        <v>36874.061</v>
      </c>
      <c r="F41" s="44">
        <v>34919.717999989996</v>
      </c>
      <c r="G41" s="44">
        <v>35236.349</v>
      </c>
      <c r="H41" s="44">
        <v>35458.31500001</v>
      </c>
      <c r="I41" s="44">
        <v>0</v>
      </c>
      <c r="J41" s="82"/>
    </row>
    <row r="42" spans="1:10" ht="15">
      <c r="A42" s="43" t="str">
        <f>HLOOKUP(INDICE!$F$2,Nombres!$C$3:$D$636,62,FALSE)</f>
        <v>Valores representativos de deuda emitidos</v>
      </c>
      <c r="B42" s="44">
        <v>4260.41774522</v>
      </c>
      <c r="C42" s="44">
        <v>4125.4932297000005</v>
      </c>
      <c r="D42" s="44">
        <v>3566.7334447400003</v>
      </c>
      <c r="E42" s="45">
        <v>3268.8553259699993</v>
      </c>
      <c r="F42" s="44">
        <v>3233.9270526300006</v>
      </c>
      <c r="G42" s="44">
        <v>3133.04524343</v>
      </c>
      <c r="H42" s="44">
        <v>3159.1872175900003</v>
      </c>
      <c r="I42" s="44">
        <v>0</v>
      </c>
      <c r="J42" s="82"/>
    </row>
    <row r="43" spans="1:10" ht="15">
      <c r="A43" s="43"/>
      <c r="B43" s="44"/>
      <c r="C43" s="44"/>
      <c r="D43" s="44"/>
      <c r="E43" s="45"/>
      <c r="F43" s="44"/>
      <c r="G43" s="44"/>
      <c r="H43" s="44"/>
      <c r="I43" s="44"/>
      <c r="J43" s="82"/>
    </row>
    <row r="44" spans="1:10" ht="15">
      <c r="A44" s="43" t="str">
        <f>HLOOKUP(INDICE!$F$2,Nombres!$C$3:$D$636,63,FALSE)</f>
        <v>Otros pasivos</v>
      </c>
      <c r="B44" s="58">
        <f aca="true" t="shared" si="6" ref="B44:I44">+B38-B39-B40-B41-B42-B45</f>
        <v>3150.914846060009</v>
      </c>
      <c r="C44" s="58">
        <f t="shared" si="6"/>
        <v>2934.163866549995</v>
      </c>
      <c r="D44" s="58">
        <f>+D38-D39-D40-D41-D42-D45</f>
        <v>3685.2393622300006</v>
      </c>
      <c r="E44" s="65">
        <f t="shared" si="6"/>
        <v>3812.805354639998</v>
      </c>
      <c r="F44" s="44">
        <f t="shared" si="6"/>
        <v>4044.611532879997</v>
      </c>
      <c r="G44" s="44">
        <f t="shared" si="6"/>
        <v>3992.8996804399976</v>
      </c>
      <c r="H44" s="44">
        <f t="shared" si="6"/>
        <v>4076.4370374000027</v>
      </c>
      <c r="I44" s="44">
        <f t="shared" si="6"/>
        <v>0</v>
      </c>
      <c r="J44" s="82"/>
    </row>
    <row r="45" spans="1:10" ht="15">
      <c r="A45" s="43" t="str">
        <f>HLOOKUP(INDICE!$F$2,Nombres!$C$3:$D$636,282,FALSE)</f>
        <v>Dotación de capital regulatorio</v>
      </c>
      <c r="B45" s="44">
        <v>5350.245747710001</v>
      </c>
      <c r="C45" s="44">
        <v>5243.756131349999</v>
      </c>
      <c r="D45" s="58">
        <v>4761.89368847</v>
      </c>
      <c r="E45" s="65">
        <v>4776.03042296</v>
      </c>
      <c r="F45" s="44">
        <v>4546.697493329999</v>
      </c>
      <c r="G45" s="44">
        <v>4455.620854819999</v>
      </c>
      <c r="H45" s="44">
        <v>4617.33998721</v>
      </c>
      <c r="I45" s="44">
        <v>0</v>
      </c>
      <c r="J45" s="82"/>
    </row>
    <row r="46" spans="1:10" ht="15">
      <c r="A46" s="62"/>
      <c r="B46" s="58"/>
      <c r="C46" s="58"/>
      <c r="D46" s="58"/>
      <c r="E46" s="58"/>
      <c r="F46" s="44"/>
      <c r="G46" s="44"/>
      <c r="H46" s="44"/>
      <c r="I46" s="44"/>
      <c r="J46" s="82"/>
    </row>
    <row r="47" spans="1:10" ht="15">
      <c r="A47" s="43"/>
      <c r="B47" s="58"/>
      <c r="C47" s="58"/>
      <c r="D47" s="58"/>
      <c r="E47" s="58"/>
      <c r="F47" s="44"/>
      <c r="G47" s="44"/>
      <c r="H47" s="44"/>
      <c r="I47" s="44"/>
      <c r="J47" s="82"/>
    </row>
    <row r="48" spans="1:10" ht="18">
      <c r="A48" s="33" t="str">
        <f>HLOOKUP(INDICE!$F$2,Nombres!$C$3:$D$636,65,FALSE)</f>
        <v>Indicadores relevantes y de gestión</v>
      </c>
      <c r="B48" s="34"/>
      <c r="C48" s="34"/>
      <c r="D48" s="34"/>
      <c r="E48" s="34"/>
      <c r="F48" s="69"/>
      <c r="G48" s="69"/>
      <c r="H48" s="69"/>
      <c r="I48" s="69"/>
      <c r="J48" s="82"/>
    </row>
    <row r="49" spans="1:10" ht="15">
      <c r="A49" s="35" t="str">
        <f>HLOOKUP(INDICE!$F$2,Nombres!$C$3:$D$636,32,FALSE)</f>
        <v>(Millones de euros)</v>
      </c>
      <c r="B49" s="30"/>
      <c r="C49" s="30"/>
      <c r="D49" s="30"/>
      <c r="E49" s="30"/>
      <c r="F49" s="70"/>
      <c r="G49" s="44"/>
      <c r="H49" s="44"/>
      <c r="I49" s="44"/>
      <c r="J49" s="82"/>
    </row>
    <row r="50" spans="1:10"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c r="J50" s="82"/>
    </row>
    <row r="51" spans="1:10" ht="15">
      <c r="A51" s="43" t="str">
        <f>HLOOKUP(INDICE!$F$2,Nombres!$C$3:$D$636,66,FALSE)</f>
        <v>Préstamos y anticipos a la clientela bruto (*)</v>
      </c>
      <c r="B51" s="44">
        <v>35917.39800456</v>
      </c>
      <c r="C51" s="44">
        <v>37122.318925789994</v>
      </c>
      <c r="D51" s="44">
        <v>35480.540991320006</v>
      </c>
      <c r="E51" s="45">
        <v>35441.98570991</v>
      </c>
      <c r="F51" s="44">
        <v>34337.82003087</v>
      </c>
      <c r="G51" s="44">
        <v>34509.81434494999</v>
      </c>
      <c r="H51" s="44">
        <v>34229.01637454</v>
      </c>
      <c r="I51" s="44">
        <v>0</v>
      </c>
      <c r="J51" s="82"/>
    </row>
    <row r="52" spans="1:10" ht="15">
      <c r="A52" s="43" t="str">
        <f>HLOOKUP(INDICE!$F$2,Nombres!$C$3:$D$636,67,FALSE)</f>
        <v>Depósitos de clientes en gestión (**)</v>
      </c>
      <c r="B52" s="44">
        <v>35963.780299909995</v>
      </c>
      <c r="C52" s="44">
        <v>39375.98712307001</v>
      </c>
      <c r="D52" s="44">
        <v>36036.08106172</v>
      </c>
      <c r="E52" s="45">
        <v>36885.8285584</v>
      </c>
      <c r="F52" s="44">
        <v>34931.854498429995</v>
      </c>
      <c r="G52" s="44">
        <v>35235.706468820004</v>
      </c>
      <c r="H52" s="44">
        <v>35452.64485391999</v>
      </c>
      <c r="I52" s="44">
        <v>0</v>
      </c>
      <c r="J52" s="82"/>
    </row>
    <row r="53" spans="1:10" ht="15">
      <c r="A53" s="43" t="str">
        <f>HLOOKUP(INDICE!$F$2,Nombres!$C$3:$D$636,68,FALSE)</f>
        <v>Fondos de inversión</v>
      </c>
      <c r="B53" s="44">
        <v>3501.24404655</v>
      </c>
      <c r="C53" s="44">
        <v>4488.529605320001</v>
      </c>
      <c r="D53" s="44">
        <v>4680.553746400001</v>
      </c>
      <c r="E53" s="45">
        <v>4687.02710085</v>
      </c>
      <c r="F53" s="44">
        <v>4788.23855366</v>
      </c>
      <c r="G53" s="44">
        <v>4237.59487643</v>
      </c>
      <c r="H53" s="44">
        <v>4278.745868699999</v>
      </c>
      <c r="I53" s="44">
        <v>0</v>
      </c>
      <c r="J53" s="82"/>
    </row>
    <row r="54" spans="1:10" ht="15">
      <c r="A54" s="43" t="str">
        <f>HLOOKUP(INDICE!$F$2,Nombres!$C$3:$D$636,69,FALSE)</f>
        <v>Fondos de pensiones</v>
      </c>
      <c r="B54" s="44">
        <v>9433.94754052</v>
      </c>
      <c r="C54" s="44">
        <v>9349.92267847</v>
      </c>
      <c r="D54" s="44">
        <v>9180.04306231</v>
      </c>
      <c r="E54" s="45">
        <v>9035.21080128</v>
      </c>
      <c r="F54" s="44">
        <v>9644.26944677</v>
      </c>
      <c r="G54" s="44">
        <v>9723.71141773</v>
      </c>
      <c r="H54" s="44">
        <v>10139.32699649</v>
      </c>
      <c r="I54" s="44">
        <v>0</v>
      </c>
      <c r="J54" s="82"/>
    </row>
    <row r="55" spans="1:10" ht="15">
      <c r="A55" s="43" t="str">
        <f>HLOOKUP(INDICE!$F$2,Nombres!$C$3:$D$636,70,FALSE)</f>
        <v>Otros recursos fuera de balance</v>
      </c>
      <c r="B55" s="44">
        <v>0</v>
      </c>
      <c r="C55" s="44">
        <v>0</v>
      </c>
      <c r="D55" s="44">
        <v>0</v>
      </c>
      <c r="E55" s="45">
        <v>0</v>
      </c>
      <c r="F55" s="44">
        <v>0</v>
      </c>
      <c r="G55" s="44">
        <v>0</v>
      </c>
      <c r="H55" s="44">
        <v>0</v>
      </c>
      <c r="I55" s="44">
        <v>0</v>
      </c>
      <c r="J55" s="82"/>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602.4077246012212</v>
      </c>
      <c r="C64" s="41">
        <v>593.392811632293</v>
      </c>
      <c r="D64" s="41">
        <v>614.3216771117606</v>
      </c>
      <c r="E64" s="42">
        <v>679.1658512786721</v>
      </c>
      <c r="F64" s="50">
        <v>635.2871468386661</v>
      </c>
      <c r="G64" s="50">
        <v>677.8279734771708</v>
      </c>
      <c r="H64" s="50">
        <v>747.552361644163</v>
      </c>
      <c r="I64" s="50">
        <v>0</v>
      </c>
    </row>
    <row r="65" spans="1:9" ht="15">
      <c r="A65" s="43" t="str">
        <f>HLOOKUP(INDICE!$F$2,Nombres!$C$3:$D$636,34,FALSE)</f>
        <v>Comisiones netas</v>
      </c>
      <c r="B65" s="44">
        <v>95.44645686978188</v>
      </c>
      <c r="C65" s="44">
        <v>93.38959004655592</v>
      </c>
      <c r="D65" s="44">
        <v>126.83669402976575</v>
      </c>
      <c r="E65" s="45">
        <v>122.16712591759892</v>
      </c>
      <c r="F65" s="44">
        <v>115.77696304162129</v>
      </c>
      <c r="G65" s="44">
        <v>148.25582161887772</v>
      </c>
      <c r="H65" s="44">
        <v>161.915047269501</v>
      </c>
      <c r="I65" s="44">
        <v>0</v>
      </c>
    </row>
    <row r="66" spans="1:9" ht="15">
      <c r="A66" s="43" t="str">
        <f>HLOOKUP(INDICE!$F$2,Nombres!$C$3:$D$636,35,FALSE)</f>
        <v>Resultados de operaciones financieras</v>
      </c>
      <c r="B66" s="44">
        <v>62.27249029678565</v>
      </c>
      <c r="C66" s="44">
        <v>78.5037029127292</v>
      </c>
      <c r="D66" s="44">
        <v>92.53131457011536</v>
      </c>
      <c r="E66" s="45">
        <v>135.723374100755</v>
      </c>
      <c r="F66" s="44">
        <v>71.51609402959471</v>
      </c>
      <c r="G66" s="44">
        <v>106.16700993374467</v>
      </c>
      <c r="H66" s="44">
        <v>72.76772391666063</v>
      </c>
      <c r="I66" s="44">
        <v>0</v>
      </c>
    </row>
    <row r="67" spans="1:9" ht="15">
      <c r="A67" s="43" t="str">
        <f>HLOOKUP(INDICE!$F$2,Nombres!$C$3:$D$636,36,FALSE)</f>
        <v>Otros ingresos y cargas de explotación</v>
      </c>
      <c r="B67" s="44">
        <v>-90.5930703466583</v>
      </c>
      <c r="C67" s="44">
        <v>-77.48765739952267</v>
      </c>
      <c r="D67" s="44">
        <v>-83.18989943083824</v>
      </c>
      <c r="E67" s="45">
        <v>-104.96987062782419</v>
      </c>
      <c r="F67" s="44">
        <v>-138.1467696080558</v>
      </c>
      <c r="G67" s="44">
        <v>-155.82572820648596</v>
      </c>
      <c r="H67" s="44">
        <v>-149.02650218545827</v>
      </c>
      <c r="I67" s="44">
        <v>0</v>
      </c>
    </row>
    <row r="68" spans="1:9" ht="15">
      <c r="A68" s="41" t="str">
        <f>HLOOKUP(INDICE!$F$2,Nombres!$C$3:$D$636,37,FALSE)</f>
        <v>Margen bruto</v>
      </c>
      <c r="B68" s="41">
        <f>+SUM(B64:B67)</f>
        <v>669.5336014211305</v>
      </c>
      <c r="C68" s="41">
        <f aca="true" t="shared" si="9" ref="C68:I68">+SUM(C64:C67)</f>
        <v>687.7984471920554</v>
      </c>
      <c r="D68" s="41">
        <f t="shared" si="9"/>
        <v>750.4997862808034</v>
      </c>
      <c r="E68" s="42">
        <f t="shared" si="9"/>
        <v>832.0864806692018</v>
      </c>
      <c r="F68" s="50">
        <f t="shared" si="9"/>
        <v>684.4334343018262</v>
      </c>
      <c r="G68" s="50">
        <f t="shared" si="9"/>
        <v>776.4250768233071</v>
      </c>
      <c r="H68" s="50">
        <f t="shared" si="9"/>
        <v>833.2086306448664</v>
      </c>
      <c r="I68" s="50">
        <f t="shared" si="9"/>
        <v>0</v>
      </c>
    </row>
    <row r="69" spans="1:9" ht="15">
      <c r="A69" s="43" t="str">
        <f>HLOOKUP(INDICE!$F$2,Nombres!$C$3:$D$636,38,FALSE)</f>
        <v>Gastos de explotación</v>
      </c>
      <c r="B69" s="44">
        <v>-310.631414083101</v>
      </c>
      <c r="C69" s="44">
        <v>-287.1882664497481</v>
      </c>
      <c r="D69" s="44">
        <v>-315.4651140315774</v>
      </c>
      <c r="E69" s="45">
        <v>-349.6274181592358</v>
      </c>
      <c r="F69" s="44">
        <v>-325.19502324637466</v>
      </c>
      <c r="G69" s="44">
        <v>-350.58399376923654</v>
      </c>
      <c r="H69" s="44">
        <v>-398.0672594843887</v>
      </c>
      <c r="I69" s="44">
        <v>0</v>
      </c>
    </row>
    <row r="70" spans="1:9" ht="15">
      <c r="A70" s="43" t="str">
        <f>HLOOKUP(INDICE!$F$2,Nombres!$C$3:$D$636,39,FALSE)</f>
        <v>  Gastos de administración</v>
      </c>
      <c r="B70" s="44">
        <v>-273.55140762797737</v>
      </c>
      <c r="C70" s="44">
        <v>-252.7102799016593</v>
      </c>
      <c r="D70" s="44">
        <v>-280.8959952345501</v>
      </c>
      <c r="E70" s="45">
        <v>-313.76280183870324</v>
      </c>
      <c r="F70" s="44">
        <v>-291.84406974980755</v>
      </c>
      <c r="G70" s="44">
        <v>-314.84998080432536</v>
      </c>
      <c r="H70" s="44">
        <v>-360.6512259458672</v>
      </c>
      <c r="I70" s="44">
        <v>0</v>
      </c>
    </row>
    <row r="71" spans="1:9" ht="15">
      <c r="A71" s="46" t="str">
        <f>HLOOKUP(INDICE!$F$2,Nombres!$C$3:$D$636,40,FALSE)</f>
        <v>  Gastos de personal</v>
      </c>
      <c r="B71" s="44">
        <v>-154.60254116490654</v>
      </c>
      <c r="C71" s="44">
        <v>-138.91506674436204</v>
      </c>
      <c r="D71" s="44">
        <v>-154.22415745683813</v>
      </c>
      <c r="E71" s="45">
        <v>-166.49145044330055</v>
      </c>
      <c r="F71" s="44">
        <v>-159.8432011110346</v>
      </c>
      <c r="G71" s="44">
        <v>-169.08215032813882</v>
      </c>
      <c r="H71" s="44">
        <v>-189.67057982082656</v>
      </c>
      <c r="I71" s="44">
        <v>0</v>
      </c>
    </row>
    <row r="72" spans="1:9" ht="15">
      <c r="A72" s="46" t="str">
        <f>HLOOKUP(INDICE!$F$2,Nombres!$C$3:$D$636,41,FALSE)</f>
        <v>  Otros gastos de administración</v>
      </c>
      <c r="B72" s="44">
        <v>-118.9488664630708</v>
      </c>
      <c r="C72" s="44">
        <v>-113.79521315729724</v>
      </c>
      <c r="D72" s="44">
        <v>-126.671837777712</v>
      </c>
      <c r="E72" s="45">
        <v>-147.27135139540266</v>
      </c>
      <c r="F72" s="44">
        <v>-132.00086863877294</v>
      </c>
      <c r="G72" s="44">
        <v>-145.76783047618645</v>
      </c>
      <c r="H72" s="44">
        <v>-170.98064612504066</v>
      </c>
      <c r="I72" s="44">
        <v>0</v>
      </c>
    </row>
    <row r="73" spans="1:9" ht="15">
      <c r="A73" s="43" t="str">
        <f>HLOOKUP(INDICE!$F$2,Nombres!$C$3:$D$636,42,FALSE)</f>
        <v>  Amortización</v>
      </c>
      <c r="B73" s="44">
        <v>-37.08000645512365</v>
      </c>
      <c r="C73" s="44">
        <v>-34.477986548088786</v>
      </c>
      <c r="D73" s="44">
        <v>-34.56911879702734</v>
      </c>
      <c r="E73" s="45">
        <v>-35.86461632053259</v>
      </c>
      <c r="F73" s="44">
        <v>-33.35095349656713</v>
      </c>
      <c r="G73" s="44">
        <v>-35.73401296491126</v>
      </c>
      <c r="H73" s="44">
        <v>-37.41603353852162</v>
      </c>
      <c r="I73" s="44">
        <v>0</v>
      </c>
    </row>
    <row r="74" spans="1:9" ht="15">
      <c r="A74" s="41" t="str">
        <f>HLOOKUP(INDICE!$F$2,Nombres!$C$3:$D$636,43,FALSE)</f>
        <v>Margen neto</v>
      </c>
      <c r="B74" s="41">
        <f>+B68+B69</f>
        <v>358.9021873380295</v>
      </c>
      <c r="C74" s="41">
        <f aca="true" t="shared" si="10" ref="C74:I74">+C68+C69</f>
        <v>400.6101807423073</v>
      </c>
      <c r="D74" s="41">
        <f t="shared" si="10"/>
        <v>435.034672249226</v>
      </c>
      <c r="E74" s="42">
        <f t="shared" si="10"/>
        <v>482.45906250996603</v>
      </c>
      <c r="F74" s="50">
        <f t="shared" si="10"/>
        <v>359.23841105545154</v>
      </c>
      <c r="G74" s="50">
        <f t="shared" si="10"/>
        <v>425.84108305407057</v>
      </c>
      <c r="H74" s="50">
        <f t="shared" si="10"/>
        <v>435.14137116047766</v>
      </c>
      <c r="I74" s="50">
        <f t="shared" si="10"/>
        <v>0</v>
      </c>
    </row>
    <row r="75" spans="1:9" ht="15">
      <c r="A75" s="43" t="str">
        <f>HLOOKUP(INDICE!$F$2,Nombres!$C$3:$D$636,44,FALSE)</f>
        <v>Deterioro de activos financieros no valorados a valor razonable con cambios en resultados</v>
      </c>
      <c r="B75" s="44">
        <v>-260.34868434998054</v>
      </c>
      <c r="C75" s="44">
        <v>-255.5155604562765</v>
      </c>
      <c r="D75" s="44">
        <v>-90.55693699309369</v>
      </c>
      <c r="E75" s="45">
        <v>-187.4350842897096</v>
      </c>
      <c r="F75" s="44">
        <v>-153.48005352322548</v>
      </c>
      <c r="G75" s="44">
        <v>-185.09077420657275</v>
      </c>
      <c r="H75" s="44">
        <v>-169.39317227020177</v>
      </c>
      <c r="I75" s="44">
        <v>0</v>
      </c>
    </row>
    <row r="76" spans="1:9" ht="15">
      <c r="A76" s="43" t="str">
        <f>HLOOKUP(INDICE!$F$2,Nombres!$C$3:$D$636,45,FALSE)</f>
        <v>Provisiones o reversión de provisiones y otros resultados</v>
      </c>
      <c r="B76" s="44">
        <v>-12.651550479360147</v>
      </c>
      <c r="C76" s="44">
        <v>-25.591119497941506</v>
      </c>
      <c r="D76" s="44">
        <v>-26.751648601891063</v>
      </c>
      <c r="E76" s="45">
        <v>-18.83384429267954</v>
      </c>
      <c r="F76" s="44">
        <v>-15.362440876085213</v>
      </c>
      <c r="G76" s="44">
        <v>-13.692949970033482</v>
      </c>
      <c r="H76" s="44">
        <v>-18.281961153881305</v>
      </c>
      <c r="I76" s="44">
        <v>0</v>
      </c>
    </row>
    <row r="77" spans="1:9" ht="15">
      <c r="A77" s="41" t="str">
        <f>HLOOKUP(INDICE!$F$2,Nombres!$C$3:$D$636,46,FALSE)</f>
        <v>Resultado antes de impuestos</v>
      </c>
      <c r="B77" s="41">
        <f>+B74+B75+B76</f>
        <v>85.9019525086888</v>
      </c>
      <c r="C77" s="41">
        <f aca="true" t="shared" si="11" ref="C77:I77">+C74+C75+C76</f>
        <v>119.50350078808931</v>
      </c>
      <c r="D77" s="41">
        <f t="shared" si="11"/>
        <v>317.7260866542412</v>
      </c>
      <c r="E77" s="42">
        <f t="shared" si="11"/>
        <v>276.1901339275769</v>
      </c>
      <c r="F77" s="50">
        <f t="shared" si="11"/>
        <v>190.39591665614086</v>
      </c>
      <c r="G77" s="50">
        <f t="shared" si="11"/>
        <v>227.05735887746434</v>
      </c>
      <c r="H77" s="50">
        <f t="shared" si="11"/>
        <v>247.4662377363946</v>
      </c>
      <c r="I77" s="50">
        <f t="shared" si="11"/>
        <v>0</v>
      </c>
    </row>
    <row r="78" spans="1:9" ht="15">
      <c r="A78" s="43" t="str">
        <f>HLOOKUP(INDICE!$F$2,Nombres!$C$3:$D$636,47,FALSE)</f>
        <v>Impuesto sobre beneficios</v>
      </c>
      <c r="B78" s="44">
        <v>-17.51744557311596</v>
      </c>
      <c r="C78" s="44">
        <v>-38.64078045335131</v>
      </c>
      <c r="D78" s="44">
        <v>-101.47296234261898</v>
      </c>
      <c r="E78" s="45">
        <v>-92.08297590246443</v>
      </c>
      <c r="F78" s="44">
        <v>-55.734042594086745</v>
      </c>
      <c r="G78" s="44">
        <v>-73.28844041636383</v>
      </c>
      <c r="H78" s="44">
        <v>-77.97538644954943</v>
      </c>
      <c r="I78" s="44">
        <v>0</v>
      </c>
    </row>
    <row r="79" spans="1:9" ht="15">
      <c r="A79" s="41" t="str">
        <f>HLOOKUP(INDICE!$F$2,Nombres!$C$3:$D$636,48,FALSE)</f>
        <v>Resultado del ejercicio</v>
      </c>
      <c r="B79" s="41">
        <f>+B77+B78</f>
        <v>68.38450693557283</v>
      </c>
      <c r="C79" s="41">
        <f aca="true" t="shared" si="12" ref="C79:I79">+C77+C78</f>
        <v>80.862720334738</v>
      </c>
      <c r="D79" s="41">
        <f t="shared" si="12"/>
        <v>216.25312431162223</v>
      </c>
      <c r="E79" s="42">
        <f t="shared" si="12"/>
        <v>184.10715802511245</v>
      </c>
      <c r="F79" s="50">
        <f t="shared" si="12"/>
        <v>134.6618740620541</v>
      </c>
      <c r="G79" s="50">
        <f t="shared" si="12"/>
        <v>153.7689184611005</v>
      </c>
      <c r="H79" s="50">
        <f t="shared" si="12"/>
        <v>169.49085128684516</v>
      </c>
      <c r="I79" s="50">
        <f t="shared" si="12"/>
        <v>0</v>
      </c>
    </row>
    <row r="80" spans="1:9" ht="15">
      <c r="A80" s="43" t="str">
        <f>HLOOKUP(INDICE!$F$2,Nombres!$C$3:$D$636,49,FALSE)</f>
        <v>Minoritarios</v>
      </c>
      <c r="B80" s="44">
        <v>-23.555390851892177</v>
      </c>
      <c r="C80" s="44">
        <v>-11.163332950376073</v>
      </c>
      <c r="D80" s="44">
        <v>-62.447371394689995</v>
      </c>
      <c r="E80" s="45">
        <v>-50.194636149300834</v>
      </c>
      <c r="F80" s="44">
        <v>-36.500023396881126</v>
      </c>
      <c r="G80" s="44">
        <v>-37.25566363450061</v>
      </c>
      <c r="H80" s="44">
        <v>-45.517351138618274</v>
      </c>
      <c r="I80" s="44">
        <v>0</v>
      </c>
    </row>
    <row r="81" spans="1:9" ht="15">
      <c r="A81" s="47" t="str">
        <f>HLOOKUP(INDICE!$F$2,Nombres!$C$3:$D$636,50,FALSE)</f>
        <v>Resultado atribuido</v>
      </c>
      <c r="B81" s="47">
        <f>+B79+B80</f>
        <v>44.82911608368065</v>
      </c>
      <c r="C81" s="47">
        <f aca="true" t="shared" si="13" ref="C81:I81">+C79+C80</f>
        <v>69.69938738436193</v>
      </c>
      <c r="D81" s="47">
        <f t="shared" si="13"/>
        <v>153.80575291693225</v>
      </c>
      <c r="E81" s="47">
        <f t="shared" si="13"/>
        <v>133.91252187581162</v>
      </c>
      <c r="F81" s="51">
        <f t="shared" si="13"/>
        <v>98.16185066517298</v>
      </c>
      <c r="G81" s="51">
        <f t="shared" si="13"/>
        <v>116.51325482659989</v>
      </c>
      <c r="H81" s="51">
        <f t="shared" si="13"/>
        <v>123.97350014822689</v>
      </c>
      <c r="I81" s="51">
        <f t="shared" si="13"/>
        <v>0</v>
      </c>
    </row>
    <row r="82" spans="1:9" ht="15">
      <c r="A82" s="62"/>
      <c r="B82" s="63"/>
      <c r="C82" s="63"/>
      <c r="D82" s="63"/>
      <c r="E82" s="63"/>
      <c r="F82" s="63"/>
      <c r="G82" s="63"/>
      <c r="H82" s="63"/>
      <c r="I82" s="63"/>
    </row>
    <row r="83" spans="1:15" ht="15">
      <c r="A83" s="41"/>
      <c r="B83" s="41"/>
      <c r="C83" s="41"/>
      <c r="D83" s="41"/>
      <c r="E83" s="41"/>
      <c r="F83" s="50"/>
      <c r="G83" s="50"/>
      <c r="H83" s="50"/>
      <c r="I83" s="50"/>
      <c r="K83" s="163"/>
      <c r="L83" s="163"/>
      <c r="M83" s="163"/>
      <c r="N83" s="163"/>
      <c r="O83" s="163"/>
    </row>
    <row r="84" spans="1:15" ht="18">
      <c r="A84" s="33" t="str">
        <f>HLOOKUP(INDICE!$F$2,Nombres!$C$3:$D$636,51,FALSE)</f>
        <v>Balances</v>
      </c>
      <c r="B84" s="34"/>
      <c r="C84" s="34"/>
      <c r="D84" s="34"/>
      <c r="E84" s="34"/>
      <c r="F84" s="69"/>
      <c r="G84" s="69"/>
      <c r="H84" s="69"/>
      <c r="I84" s="69"/>
      <c r="K84" s="163"/>
      <c r="L84" s="163"/>
      <c r="M84" s="163"/>
      <c r="N84" s="163"/>
      <c r="O84" s="163"/>
    </row>
    <row r="85" spans="1:15" ht="15">
      <c r="A85" s="35" t="str">
        <f>HLOOKUP(INDICE!$F$2,Nombres!$C$3:$D$636,73,FALSE)</f>
        <v>(Millones de euros constantes)</v>
      </c>
      <c r="B85" s="30"/>
      <c r="C85" s="52"/>
      <c r="D85" s="52"/>
      <c r="E85" s="52"/>
      <c r="F85" s="70"/>
      <c r="G85" s="44"/>
      <c r="H85" s="44"/>
      <c r="I85" s="44"/>
      <c r="K85" s="163"/>
      <c r="L85" s="163"/>
      <c r="M85" s="163"/>
      <c r="N85" s="163"/>
      <c r="O85" s="163"/>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6721.179787010236</v>
      </c>
      <c r="C87" s="44">
        <v>7225.263950824006</v>
      </c>
      <c r="D87" s="44">
        <v>6243.217234933381</v>
      </c>
      <c r="E87" s="45">
        <v>6777.182931912154</v>
      </c>
      <c r="F87" s="44">
        <v>6485.949743140721</v>
      </c>
      <c r="G87" s="44">
        <v>7077.159848813583</v>
      </c>
      <c r="H87" s="44">
        <v>7852.526999999999</v>
      </c>
      <c r="I87" s="44">
        <v>0</v>
      </c>
    </row>
    <row r="88" spans="1:9" ht="15">
      <c r="A88" s="43" t="str">
        <f>HLOOKUP(INDICE!$F$2,Nombres!$C$3:$D$636,53,FALSE)</f>
        <v>Activos financieros a valor razonable</v>
      </c>
      <c r="B88" s="58">
        <v>6621.940352825082</v>
      </c>
      <c r="C88" s="58">
        <v>7127.46771333272</v>
      </c>
      <c r="D88" s="58">
        <v>7547.679956154499</v>
      </c>
      <c r="E88" s="65">
        <v>6911.697207633148</v>
      </c>
      <c r="F88" s="44">
        <v>7152.944460422369</v>
      </c>
      <c r="G88" s="44">
        <v>7196.225394842471</v>
      </c>
      <c r="H88" s="44">
        <v>7357.267</v>
      </c>
      <c r="I88" s="44">
        <v>0</v>
      </c>
    </row>
    <row r="89" spans="1:9" ht="15">
      <c r="A89" s="43" t="str">
        <f>HLOOKUP(INDICE!$F$2,Nombres!$C$3:$D$636,54,FALSE)</f>
        <v>Activos financieros a coste amortizado</v>
      </c>
      <c r="B89" s="44">
        <v>31221.205187682997</v>
      </c>
      <c r="C89" s="44">
        <v>33695.48047748298</v>
      </c>
      <c r="D89" s="44">
        <v>35550.90648587015</v>
      </c>
      <c r="E89" s="45">
        <v>36343.10144889494</v>
      </c>
      <c r="F89" s="44">
        <v>34642.27069385322</v>
      </c>
      <c r="G89" s="44">
        <v>35785.422241021784</v>
      </c>
      <c r="H89" s="44">
        <v>36364.706</v>
      </c>
      <c r="I89" s="44">
        <v>0</v>
      </c>
    </row>
    <row r="90" spans="1:9" ht="15">
      <c r="A90" s="43" t="str">
        <f>HLOOKUP(INDICE!$F$2,Nombres!$C$3:$D$636,55,FALSE)</f>
        <v>    de los que préstamos y anticipos a la clientela</v>
      </c>
      <c r="B90" s="44">
        <v>29540.16217152268</v>
      </c>
      <c r="C90" s="44">
        <v>30790.043075749232</v>
      </c>
      <c r="D90" s="44">
        <v>31414.26975878373</v>
      </c>
      <c r="E90" s="45">
        <v>31722.98145933624</v>
      </c>
      <c r="F90" s="44">
        <v>30919.04582687932</v>
      </c>
      <c r="G90" s="44">
        <v>32113.850901545877</v>
      </c>
      <c r="H90" s="44">
        <v>32421.622000000003</v>
      </c>
      <c r="I90" s="44">
        <v>0</v>
      </c>
    </row>
    <row r="91" spans="1:9" ht="15">
      <c r="A91" s="43"/>
      <c r="B91" s="44"/>
      <c r="C91" s="44"/>
      <c r="D91" s="44"/>
      <c r="E91" s="45"/>
      <c r="F91" s="44"/>
      <c r="G91" s="44"/>
      <c r="H91" s="44"/>
      <c r="I91" s="44"/>
    </row>
    <row r="92" spans="1:9" ht="15">
      <c r="A92" s="43" t="str">
        <f>HLOOKUP(INDICE!$F$2,Nombres!$C$3:$D$636,56,FALSE)</f>
        <v>Activos tangibles</v>
      </c>
      <c r="B92" s="44">
        <v>806.4995167613579</v>
      </c>
      <c r="C92" s="44">
        <v>782.4122274302717</v>
      </c>
      <c r="D92" s="44">
        <v>758.0806218146176</v>
      </c>
      <c r="E92" s="45">
        <v>774.8651026088382</v>
      </c>
      <c r="F92" s="44">
        <v>778.5708421041028</v>
      </c>
      <c r="G92" s="44">
        <v>790.866871642587</v>
      </c>
      <c r="H92" s="44">
        <v>813.9630000000001</v>
      </c>
      <c r="I92" s="44">
        <v>0</v>
      </c>
    </row>
    <row r="93" spans="1:9" ht="15">
      <c r="A93" s="43" t="str">
        <f>HLOOKUP(INDICE!$F$2,Nombres!$C$3:$D$636,57,FALSE)</f>
        <v>Otros activos</v>
      </c>
      <c r="B93" s="58">
        <f>+B94-B92-B89-B88-B87</f>
        <v>1620.6150890892823</v>
      </c>
      <c r="C93" s="58">
        <f aca="true" t="shared" si="15" ref="C93:I93">+C94-C92-C89-C88-C87</f>
        <v>1432.3350311262438</v>
      </c>
      <c r="D93" s="58">
        <f t="shared" si="15"/>
        <v>1429.2983109310971</v>
      </c>
      <c r="E93" s="65">
        <f t="shared" si="15"/>
        <v>1533.7104283599647</v>
      </c>
      <c r="F93" s="44">
        <f t="shared" si="15"/>
        <v>1682.6581969893814</v>
      </c>
      <c r="G93" s="44">
        <f t="shared" si="15"/>
        <v>1774.1915782418955</v>
      </c>
      <c r="H93" s="44">
        <f t="shared" si="15"/>
        <v>1750.8512422000013</v>
      </c>
      <c r="I93" s="44">
        <f t="shared" si="15"/>
        <v>0</v>
      </c>
    </row>
    <row r="94" spans="1:9" ht="15">
      <c r="A94" s="47" t="str">
        <f>HLOOKUP(INDICE!$F$2,Nombres!$C$3:$D$636,58,FALSE)</f>
        <v>Total activo / pasivo</v>
      </c>
      <c r="B94" s="47">
        <v>46991.43993336896</v>
      </c>
      <c r="C94" s="47">
        <v>50262.959400196225</v>
      </c>
      <c r="D94" s="47">
        <v>51529.18260970375</v>
      </c>
      <c r="E94" s="47">
        <v>52340.557119409044</v>
      </c>
      <c r="F94" s="51">
        <v>50742.3939365098</v>
      </c>
      <c r="G94" s="51">
        <v>52623.865934562324</v>
      </c>
      <c r="H94" s="51">
        <v>54139.3142422</v>
      </c>
      <c r="I94" s="51">
        <v>0</v>
      </c>
    </row>
    <row r="95" spans="1:9" ht="15">
      <c r="A95" s="43" t="str">
        <f>HLOOKUP(INDICE!$F$2,Nombres!$C$3:$D$636,59,FALSE)</f>
        <v>Pasivos financieros mantenidos para negociar y designados a valor razonable con cambios en resultados</v>
      </c>
      <c r="B95" s="58">
        <v>1954.831912743106</v>
      </c>
      <c r="C95" s="58">
        <v>1806.724091195935</v>
      </c>
      <c r="D95" s="58">
        <v>1622.538443410231</v>
      </c>
      <c r="E95" s="65">
        <v>1253.8886483901906</v>
      </c>
      <c r="F95" s="44">
        <v>1189.2980363985967</v>
      </c>
      <c r="G95" s="44">
        <v>1167.929061570383</v>
      </c>
      <c r="H95" s="44">
        <v>1588.1860000000001</v>
      </c>
      <c r="I95" s="44">
        <v>0</v>
      </c>
    </row>
    <row r="96" spans="1:9" ht="15">
      <c r="A96" s="43" t="str">
        <f>HLOOKUP(INDICE!$F$2,Nombres!$C$3:$D$636,60,FALSE)</f>
        <v>Depósitos de bancos centrales y entidades de crédito</v>
      </c>
      <c r="B96" s="58">
        <v>3417.109695337959</v>
      </c>
      <c r="C96" s="58">
        <v>3686.782516397454</v>
      </c>
      <c r="D96" s="58">
        <v>5329.6305773162085</v>
      </c>
      <c r="E96" s="65">
        <v>5022.716903105387</v>
      </c>
      <c r="F96" s="44">
        <v>4829.848356549763</v>
      </c>
      <c r="G96" s="44">
        <v>5175.183364959429</v>
      </c>
      <c r="H96" s="44">
        <v>5239.848999989999</v>
      </c>
      <c r="I96" s="44">
        <v>0</v>
      </c>
    </row>
    <row r="97" spans="1:9" ht="15">
      <c r="A97" s="43" t="str">
        <f>HLOOKUP(INDICE!$F$2,Nombres!$C$3:$D$636,61,FALSE)</f>
        <v>Depósitos de la clientela</v>
      </c>
      <c r="B97" s="58">
        <v>30796.549306796325</v>
      </c>
      <c r="C97" s="58">
        <v>34106.53817751344</v>
      </c>
      <c r="D97" s="58">
        <v>33472.88355899886</v>
      </c>
      <c r="E97" s="65">
        <v>34890.294721705126</v>
      </c>
      <c r="F97" s="44">
        <v>33470.07007713945</v>
      </c>
      <c r="G97" s="44">
        <v>34900.84937728838</v>
      </c>
      <c r="H97" s="44">
        <v>35458.31500001</v>
      </c>
      <c r="I97" s="44">
        <v>0</v>
      </c>
    </row>
    <row r="98" spans="1:9" ht="15">
      <c r="A98" s="43" t="str">
        <f>HLOOKUP(INDICE!$F$2,Nombres!$C$3:$D$636,62,FALSE)</f>
        <v>Valores representativos de deuda emitidos</v>
      </c>
      <c r="B98" s="44">
        <v>3668.0578942061597</v>
      </c>
      <c r="C98" s="44">
        <v>3629.8076660035686</v>
      </c>
      <c r="D98" s="44">
        <v>3340.2033351282626</v>
      </c>
      <c r="E98" s="45">
        <v>3062.230407285888</v>
      </c>
      <c r="F98" s="44">
        <v>3044.4144229503017</v>
      </c>
      <c r="G98" s="44">
        <v>3042.08695202282</v>
      </c>
      <c r="H98" s="44">
        <v>3159.1872175900003</v>
      </c>
      <c r="I98" s="44">
        <v>0</v>
      </c>
    </row>
    <row r="99" spans="1:9" ht="15">
      <c r="A99" s="43"/>
      <c r="B99" s="44"/>
      <c r="C99" s="44"/>
      <c r="D99" s="44"/>
      <c r="E99" s="45"/>
      <c r="F99" s="44"/>
      <c r="G99" s="44"/>
      <c r="H99" s="44"/>
      <c r="I99" s="44"/>
    </row>
    <row r="100" spans="1:9" ht="15">
      <c r="A100" s="43" t="str">
        <f>HLOOKUP(INDICE!$F$2,Nombres!$C$3:$D$636,63,FALSE)</f>
        <v>Otros pasivos</v>
      </c>
      <c r="B100" s="58">
        <f>+B94-B95-B96-B97-B98-B101</f>
        <v>2640.7087278978497</v>
      </c>
      <c r="C100" s="58">
        <f aca="true" t="shared" si="16" ref="C100:I100">+C94-C95-C96-C97-C98-C101</f>
        <v>2522.1793138111816</v>
      </c>
      <c r="D100" s="58">
        <f t="shared" si="16"/>
        <v>3357.433250623306</v>
      </c>
      <c r="E100" s="65">
        <f t="shared" si="16"/>
        <v>3611.0185970098246</v>
      </c>
      <c r="F100" s="44">
        <f t="shared" si="16"/>
        <v>3873.126528458066</v>
      </c>
      <c r="G100" s="44">
        <f t="shared" si="16"/>
        <v>3946.3801586480404</v>
      </c>
      <c r="H100" s="44">
        <f t="shared" si="16"/>
        <v>4076.4370374000027</v>
      </c>
      <c r="I100" s="44">
        <f t="shared" si="16"/>
        <v>0</v>
      </c>
    </row>
    <row r="101" spans="1:9" ht="15">
      <c r="A101" s="43" t="str">
        <f>HLOOKUP(INDICE!$F$2,Nombres!$C$3:$D$636,282,FALSE)</f>
        <v>Dotación de capital regulatorio</v>
      </c>
      <c r="B101" s="58">
        <v>4514.182396387553</v>
      </c>
      <c r="C101" s="58">
        <v>4510.927635274644</v>
      </c>
      <c r="D101" s="58">
        <v>4406.4934442268805</v>
      </c>
      <c r="E101" s="65">
        <v>4500.407841912633</v>
      </c>
      <c r="F101" s="44">
        <v>4335.636515013617</v>
      </c>
      <c r="G101" s="44">
        <v>4391.43702007327</v>
      </c>
      <c r="H101" s="44">
        <v>4617.33998721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31016.258225898633</v>
      </c>
      <c r="C107" s="44">
        <v>32351.817589763952</v>
      </c>
      <c r="D107" s="44">
        <v>33103.14693783533</v>
      </c>
      <c r="E107" s="45">
        <v>33442.78765337251</v>
      </c>
      <c r="F107" s="44">
        <v>32721.792420543246</v>
      </c>
      <c r="G107" s="44">
        <v>33958.861498959064</v>
      </c>
      <c r="H107" s="44">
        <v>34229.01637454</v>
      </c>
      <c r="I107" s="44">
        <v>0</v>
      </c>
    </row>
    <row r="108" spans="1:9" ht="15">
      <c r="A108" s="43" t="str">
        <f>HLOOKUP(INDICE!$F$2,Nombres!$C$3:$D$636,67,FALSE)</f>
        <v>Depósitos de clientes en gestión (**)</v>
      </c>
      <c r="B108" s="44">
        <v>30811.625240758447</v>
      </c>
      <c r="C108" s="44">
        <v>34124.65597367203</v>
      </c>
      <c r="D108" s="44">
        <v>33485.11052020788</v>
      </c>
      <c r="E108" s="45">
        <v>34902.71236050532</v>
      </c>
      <c r="F108" s="44">
        <v>33482.92065399851</v>
      </c>
      <c r="G108" s="44">
        <v>34900.73297981645</v>
      </c>
      <c r="H108" s="44">
        <v>35452.64485391999</v>
      </c>
      <c r="I108" s="44">
        <v>0</v>
      </c>
    </row>
    <row r="109" spans="1:9" ht="15">
      <c r="A109" s="43" t="str">
        <f>HLOOKUP(INDICE!$F$2,Nombres!$C$3:$D$636,68,FALSE)</f>
        <v>Fondos de inversión</v>
      </c>
      <c r="B109" s="44">
        <v>2741.267489601947</v>
      </c>
      <c r="C109" s="44">
        <v>3648.0695113453157</v>
      </c>
      <c r="D109" s="44">
        <v>4223.944270162173</v>
      </c>
      <c r="E109" s="45">
        <v>4362.443386178278</v>
      </c>
      <c r="F109" s="44">
        <v>4518.003809958673</v>
      </c>
      <c r="G109" s="44">
        <v>4169.5504382574345</v>
      </c>
      <c r="H109" s="44">
        <v>4278.745868699999</v>
      </c>
      <c r="I109" s="44">
        <v>0</v>
      </c>
    </row>
    <row r="110" spans="1:9" ht="15">
      <c r="A110" s="43" t="str">
        <f>HLOOKUP(INDICE!$F$2,Nombres!$C$3:$D$636,69,FALSE)</f>
        <v>Fondos de pensiones</v>
      </c>
      <c r="B110" s="44">
        <v>8926.360588492593</v>
      </c>
      <c r="C110" s="44">
        <v>9042.269121122328</v>
      </c>
      <c r="D110" s="44">
        <v>9282.316622625185</v>
      </c>
      <c r="E110" s="45">
        <v>9575.185399666116</v>
      </c>
      <c r="F110" s="44">
        <v>9765.874364215762</v>
      </c>
      <c r="G110" s="44">
        <v>9979.841651977806</v>
      </c>
      <c r="H110" s="44">
        <v>10139.32699649</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2"/>
      <c r="G120" s="82"/>
      <c r="H120" s="82"/>
      <c r="I120" s="82"/>
    </row>
    <row r="121" spans="6:9" ht="15">
      <c r="F121" s="82"/>
      <c r="G121" s="82"/>
      <c r="H121" s="82"/>
      <c r="I121" s="82"/>
    </row>
    <row r="122" spans="6:9" ht="15">
      <c r="F122" s="82"/>
      <c r="G122" s="82"/>
      <c r="H122" s="82"/>
      <c r="I122" s="82"/>
    </row>
    <row r="123" spans="6:9" ht="15">
      <c r="F123" s="82"/>
      <c r="G123" s="82"/>
      <c r="H123" s="82"/>
      <c r="I123" s="82"/>
    </row>
    <row r="124" spans="6:9" ht="15">
      <c r="F124" s="82"/>
      <c r="G124" s="82"/>
      <c r="H124" s="82"/>
      <c r="I124" s="82"/>
    </row>
    <row r="125" spans="6:9" ht="15">
      <c r="F125" s="82"/>
      <c r="G125" s="82"/>
      <c r="H125" s="82"/>
      <c r="I125" s="82"/>
    </row>
    <row r="126" spans="6:9" ht="15">
      <c r="F126" s="82"/>
      <c r="G126" s="82"/>
      <c r="H126" s="82"/>
      <c r="I126" s="82"/>
    </row>
    <row r="127" spans="6:9" ht="15">
      <c r="F127" s="82"/>
      <c r="G127" s="82"/>
      <c r="H127" s="82"/>
      <c r="I127" s="82"/>
    </row>
    <row r="128" spans="6:9" ht="15">
      <c r="F128" s="82"/>
      <c r="G128" s="82"/>
      <c r="H128" s="82"/>
      <c r="I128" s="82"/>
    </row>
    <row r="129" spans="6:9" ht="15">
      <c r="F129" s="82"/>
      <c r="G129" s="82"/>
      <c r="H129" s="82"/>
      <c r="I129" s="82"/>
    </row>
    <row r="130" spans="6:9" ht="15">
      <c r="F130" s="82"/>
      <c r="G130" s="82"/>
      <c r="H130" s="82"/>
      <c r="I130" s="82"/>
    </row>
    <row r="131" spans="6:9" ht="15">
      <c r="F131" s="82"/>
      <c r="G131" s="82"/>
      <c r="H131" s="82"/>
      <c r="I131" s="82"/>
    </row>
    <row r="132" spans="6:9" ht="15">
      <c r="F132" s="82"/>
      <c r="G132" s="82"/>
      <c r="H132" s="82"/>
      <c r="I132" s="82"/>
    </row>
    <row r="133" spans="6:9" ht="15">
      <c r="F133" s="82"/>
      <c r="G133" s="82"/>
      <c r="H133" s="82"/>
      <c r="I133" s="82"/>
    </row>
    <row r="134" spans="6:9" ht="15">
      <c r="F134" s="82"/>
      <c r="G134" s="82"/>
      <c r="H134" s="82"/>
      <c r="I134" s="82"/>
    </row>
    <row r="135" spans="6:9" ht="15">
      <c r="F135" s="82"/>
      <c r="G135" s="82"/>
      <c r="H135" s="82"/>
      <c r="I135" s="82"/>
    </row>
    <row r="136" spans="6:9" ht="15">
      <c r="F136" s="82"/>
      <c r="G136" s="82"/>
      <c r="H136" s="82"/>
      <c r="I136" s="82"/>
    </row>
    <row r="137" spans="6:9" ht="15">
      <c r="F137" s="82"/>
      <c r="G137" s="82"/>
      <c r="H137" s="82"/>
      <c r="I137" s="82"/>
    </row>
    <row r="138" spans="6:9" ht="15">
      <c r="F138" s="82"/>
      <c r="G138" s="82"/>
      <c r="H138" s="82"/>
      <c r="I138" s="82"/>
    </row>
    <row r="139" spans="6:9" ht="15">
      <c r="F139" s="82"/>
      <c r="G139" s="82"/>
      <c r="H139" s="82"/>
      <c r="I139" s="82"/>
    </row>
    <row r="140" spans="6:9" ht="15">
      <c r="F140" s="82"/>
      <c r="G140" s="82"/>
      <c r="H140" s="82"/>
      <c r="I140" s="82"/>
    </row>
    <row r="141" spans="6:9" ht="15">
      <c r="F141" s="82"/>
      <c r="G141" s="82"/>
      <c r="H141" s="82"/>
      <c r="I141" s="82"/>
    </row>
    <row r="142" spans="6:9" ht="15">
      <c r="F142" s="82"/>
      <c r="G142" s="82"/>
      <c r="H142" s="82"/>
      <c r="I142" s="82"/>
    </row>
    <row r="143" spans="6:9" ht="15">
      <c r="F143" s="82"/>
      <c r="G143" s="82"/>
      <c r="H143" s="82"/>
      <c r="I143" s="82"/>
    </row>
    <row r="144" spans="6:9" ht="15">
      <c r="F144" s="82"/>
      <c r="G144" s="82"/>
      <c r="H144" s="82"/>
      <c r="I144" s="82"/>
    </row>
    <row r="145" spans="6:9" ht="15">
      <c r="F145" s="82"/>
      <c r="G145" s="82"/>
      <c r="H145" s="82"/>
      <c r="I145" s="82"/>
    </row>
    <row r="146" spans="6:9" ht="15">
      <c r="F146" s="82"/>
      <c r="G146" s="82"/>
      <c r="H146" s="82"/>
      <c r="I146" s="82"/>
    </row>
    <row r="147" spans="6:9" ht="15">
      <c r="F147" s="82"/>
      <c r="G147" s="82"/>
      <c r="H147" s="82"/>
      <c r="I147" s="82"/>
    </row>
    <row r="148" spans="6:9" ht="15">
      <c r="F148" s="82"/>
      <c r="G148" s="82"/>
      <c r="H148" s="82"/>
      <c r="I148" s="82"/>
    </row>
    <row r="149" spans="6:9" ht="15">
      <c r="F149" s="82"/>
      <c r="G149" s="82"/>
      <c r="H149" s="82"/>
      <c r="I149" s="82"/>
    </row>
    <row r="150" spans="6:9" ht="15">
      <c r="F150" s="82"/>
      <c r="G150" s="82"/>
      <c r="H150" s="82"/>
      <c r="I150" s="82"/>
    </row>
    <row r="151" spans="6:9" ht="15">
      <c r="F151" s="82"/>
      <c r="G151" s="82"/>
      <c r="H151" s="82"/>
      <c r="I151" s="82"/>
    </row>
    <row r="152" spans="6:9" ht="15">
      <c r="F152" s="82"/>
      <c r="G152" s="82"/>
      <c r="H152" s="82"/>
      <c r="I152" s="82"/>
    </row>
    <row r="153" spans="6:9" ht="15">
      <c r="F153" s="82"/>
      <c r="G153" s="82"/>
      <c r="H153" s="82"/>
      <c r="I153" s="82"/>
    </row>
    <row r="154" spans="6:9" ht="15">
      <c r="F154" s="82"/>
      <c r="G154" s="82"/>
      <c r="H154" s="82"/>
      <c r="I154" s="82"/>
    </row>
    <row r="155" spans="6:9" ht="15">
      <c r="F155" s="82"/>
      <c r="G155" s="82"/>
      <c r="H155" s="82"/>
      <c r="I155" s="82"/>
    </row>
    <row r="156" spans="6:9" ht="15">
      <c r="F156" s="82"/>
      <c r="G156" s="82"/>
      <c r="H156" s="82"/>
      <c r="I156" s="82"/>
    </row>
    <row r="157" spans="6:9" ht="15">
      <c r="F157" s="82"/>
      <c r="G157" s="82"/>
      <c r="H157" s="82"/>
      <c r="I157" s="82"/>
    </row>
    <row r="158" spans="6:9" ht="15">
      <c r="F158" s="82"/>
      <c r="G158" s="82"/>
      <c r="H158" s="82"/>
      <c r="I158" s="82"/>
    </row>
    <row r="159" spans="6:9" ht="15">
      <c r="F159" s="82"/>
      <c r="G159" s="82"/>
      <c r="H159" s="82"/>
      <c r="I159" s="82"/>
    </row>
    <row r="160" spans="6:9" ht="15">
      <c r="F160" s="82"/>
      <c r="G160" s="82"/>
      <c r="H160" s="82"/>
      <c r="I160" s="82"/>
    </row>
    <row r="161" spans="6:9" ht="15">
      <c r="F161" s="82"/>
      <c r="G161" s="82"/>
      <c r="H161" s="82"/>
      <c r="I161" s="82"/>
    </row>
    <row r="162" spans="6:9" ht="15">
      <c r="F162" s="82"/>
      <c r="G162" s="82"/>
      <c r="H162" s="82"/>
      <c r="I162" s="82"/>
    </row>
    <row r="163" spans="6:9" ht="15">
      <c r="F163" s="82"/>
      <c r="G163" s="82"/>
      <c r="H163" s="82"/>
      <c r="I163" s="82"/>
    </row>
    <row r="164" spans="6:9" ht="15">
      <c r="F164" s="82"/>
      <c r="G164" s="82"/>
      <c r="H164" s="82"/>
      <c r="I164" s="82"/>
    </row>
    <row r="165" spans="6:9" ht="15">
      <c r="F165" s="82"/>
      <c r="G165" s="82"/>
      <c r="H165" s="82"/>
      <c r="I165" s="82"/>
    </row>
    <row r="166" spans="6:9" ht="15">
      <c r="F166" s="82"/>
      <c r="G166" s="82"/>
      <c r="H166" s="82"/>
      <c r="I166" s="82"/>
    </row>
    <row r="998" ht="15">
      <c r="A998" s="31" t="s">
        <v>396</v>
      </c>
    </row>
  </sheetData>
  <sheetProtection/>
  <mergeCells count="4">
    <mergeCell ref="B6:E6"/>
    <mergeCell ref="F6:I6"/>
    <mergeCell ref="B62:E62"/>
    <mergeCell ref="F62:I62"/>
  </mergeCells>
  <conditionalFormatting sqref="B26:I26 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6">
        <f>+España!B6</f>
        <v>2020</v>
      </c>
      <c r="C6" s="306"/>
      <c r="D6" s="306"/>
      <c r="E6" s="307"/>
      <c r="F6" s="306">
        <f>+España!F6</f>
        <v>2021</v>
      </c>
      <c r="G6" s="306"/>
      <c r="H6" s="306"/>
      <c r="I6" s="306"/>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241.80299999999994</v>
      </c>
      <c r="C8" s="41">
        <v>199.958</v>
      </c>
      <c r="D8" s="41">
        <v>170.69600000000008</v>
      </c>
      <c r="E8" s="42">
        <v>166.394</v>
      </c>
      <c r="F8" s="50">
        <v>201.59000000000003</v>
      </c>
      <c r="G8" s="50">
        <v>224.785</v>
      </c>
      <c r="H8" s="50">
        <v>282.751</v>
      </c>
      <c r="I8" s="50">
        <v>0</v>
      </c>
    </row>
    <row r="9" spans="1:9" ht="15">
      <c r="A9" s="43" t="str">
        <f>HLOOKUP(INDICE!$F$2,Nombres!$C$3:$D$636,34,FALSE)</f>
        <v>Comisiones netas</v>
      </c>
      <c r="B9" s="44">
        <v>26.540583739999988</v>
      </c>
      <c r="C9" s="44">
        <v>39.096000000000004</v>
      </c>
      <c r="D9" s="44">
        <v>35.084584660000004</v>
      </c>
      <c r="E9" s="45">
        <v>20.095286379999997</v>
      </c>
      <c r="F9" s="44">
        <v>31.211</v>
      </c>
      <c r="G9" s="44">
        <v>52.53021648</v>
      </c>
      <c r="H9" s="44">
        <v>60.98599999999999</v>
      </c>
      <c r="I9" s="44">
        <v>0</v>
      </c>
    </row>
    <row r="10" spans="1:9" ht="15">
      <c r="A10" s="43" t="str">
        <f>HLOOKUP(INDICE!$F$2,Nombres!$C$3:$D$636,35,FALSE)</f>
        <v>Resultados de operaciones financieras</v>
      </c>
      <c r="B10" s="44">
        <v>25.751163390000002</v>
      </c>
      <c r="C10" s="44">
        <v>22.934605</v>
      </c>
      <c r="D10" s="44">
        <v>20.087802110000002</v>
      </c>
      <c r="E10" s="45">
        <v>73.11913341</v>
      </c>
      <c r="F10" s="44">
        <v>25.746997999999998</v>
      </c>
      <c r="G10" s="44">
        <v>24.615463</v>
      </c>
      <c r="H10" s="44">
        <v>25.485568999999998</v>
      </c>
      <c r="I10" s="44">
        <v>0</v>
      </c>
    </row>
    <row r="11" spans="1:9" ht="15">
      <c r="A11" s="43" t="str">
        <f>HLOOKUP(INDICE!$F$2,Nombres!$C$3:$D$636,36,FALSE)</f>
        <v>Otros ingresos y cargas de explotación</v>
      </c>
      <c r="B11" s="44">
        <v>-84.321</v>
      </c>
      <c r="C11" s="44">
        <v>-65.797</v>
      </c>
      <c r="D11" s="44">
        <v>-67.18100000000001</v>
      </c>
      <c r="E11" s="45">
        <v>-84.75499999999997</v>
      </c>
      <c r="F11" s="44">
        <v>-121.00899999999999</v>
      </c>
      <c r="G11" s="44">
        <v>-125.608</v>
      </c>
      <c r="H11" s="44">
        <v>-119.70800000000001</v>
      </c>
      <c r="I11" s="44">
        <v>0</v>
      </c>
    </row>
    <row r="12" spans="1:9" ht="15">
      <c r="A12" s="41" t="str">
        <f>HLOOKUP(INDICE!$F$2,Nombres!$C$3:$D$636,37,FALSE)</f>
        <v>Margen bruto</v>
      </c>
      <c r="B12" s="41">
        <f>+SUM(B8:B11)</f>
        <v>209.77374712999992</v>
      </c>
      <c r="C12" s="41">
        <f aca="true" t="shared" si="0" ref="C12:I12">+SUM(C8:C11)</f>
        <v>196.191605</v>
      </c>
      <c r="D12" s="41">
        <f t="shared" si="0"/>
        <v>158.6873867700001</v>
      </c>
      <c r="E12" s="42">
        <f t="shared" si="0"/>
        <v>174.85341979000006</v>
      </c>
      <c r="F12" s="50">
        <f t="shared" si="0"/>
        <v>137.53899800000008</v>
      </c>
      <c r="G12" s="50">
        <f t="shared" si="0"/>
        <v>176.32267947999998</v>
      </c>
      <c r="H12" s="50">
        <f t="shared" si="0"/>
        <v>249.51456899999994</v>
      </c>
      <c r="I12" s="50">
        <f t="shared" si="0"/>
        <v>0</v>
      </c>
    </row>
    <row r="13" spans="1:9" ht="15">
      <c r="A13" s="43" t="str">
        <f>HLOOKUP(INDICE!$F$2,Nombres!$C$3:$D$636,38,FALSE)</f>
        <v>Gastos de explotación</v>
      </c>
      <c r="B13" s="44">
        <v>-117.91999933</v>
      </c>
      <c r="C13" s="44">
        <v>-98.427</v>
      </c>
      <c r="D13" s="44">
        <v>-93.79025886999997</v>
      </c>
      <c r="E13" s="45">
        <v>-85.97375296000001</v>
      </c>
      <c r="F13" s="44">
        <v>-104.51766264000001</v>
      </c>
      <c r="G13" s="44">
        <v>-116.44870464000002</v>
      </c>
      <c r="H13" s="44">
        <v>-161.02685164000002</v>
      </c>
      <c r="I13" s="44">
        <v>0</v>
      </c>
    </row>
    <row r="14" spans="1:9" ht="15">
      <c r="A14" s="43" t="str">
        <f>HLOOKUP(INDICE!$F$2,Nombres!$C$3:$D$636,39,FALSE)</f>
        <v>  Gastos de administración</v>
      </c>
      <c r="B14" s="44">
        <v>-105.94299932999999</v>
      </c>
      <c r="C14" s="44">
        <v>-88.497</v>
      </c>
      <c r="D14" s="44">
        <v>-85.48925886999999</v>
      </c>
      <c r="E14" s="45">
        <v>-77.74175296000001</v>
      </c>
      <c r="F14" s="44">
        <v>-97.09966263999999</v>
      </c>
      <c r="G14" s="44">
        <v>-106.72070464000001</v>
      </c>
      <c r="H14" s="44">
        <v>-149.69685164</v>
      </c>
      <c r="I14" s="44">
        <v>0</v>
      </c>
    </row>
    <row r="15" spans="1:9" ht="15">
      <c r="A15" s="46" t="str">
        <f>HLOOKUP(INDICE!$F$2,Nombres!$C$3:$D$636,40,FALSE)</f>
        <v>  Gastos de personal</v>
      </c>
      <c r="B15" s="44">
        <v>-64.475</v>
      </c>
      <c r="C15" s="44">
        <v>-48.109</v>
      </c>
      <c r="D15" s="44">
        <v>-47.056</v>
      </c>
      <c r="E15" s="45">
        <v>-40.538</v>
      </c>
      <c r="F15" s="44">
        <v>-55.644999999999996</v>
      </c>
      <c r="G15" s="44">
        <v>-59.501</v>
      </c>
      <c r="H15" s="44">
        <v>-75.02199999999999</v>
      </c>
      <c r="I15" s="44">
        <v>0</v>
      </c>
    </row>
    <row r="16" spans="1:9" ht="15">
      <c r="A16" s="46" t="str">
        <f>HLOOKUP(INDICE!$F$2,Nombres!$C$3:$D$636,41,FALSE)</f>
        <v>  Otros gastos de administración</v>
      </c>
      <c r="B16" s="44">
        <v>-41.46799932999999</v>
      </c>
      <c r="C16" s="44">
        <v>-40.388000000000005</v>
      </c>
      <c r="D16" s="44">
        <v>-38.43325886999999</v>
      </c>
      <c r="E16" s="45">
        <v>-37.20375296000001</v>
      </c>
      <c r="F16" s="44">
        <v>-41.45466264000001</v>
      </c>
      <c r="G16" s="44">
        <v>-47.21970464000002</v>
      </c>
      <c r="H16" s="44">
        <v>-74.67485164000001</v>
      </c>
      <c r="I16" s="44">
        <v>0</v>
      </c>
    </row>
    <row r="17" spans="1:9" ht="15">
      <c r="A17" s="43" t="str">
        <f>HLOOKUP(INDICE!$F$2,Nombres!$C$3:$D$636,42,FALSE)</f>
        <v>  Amortización</v>
      </c>
      <c r="B17" s="44">
        <v>-11.977</v>
      </c>
      <c r="C17" s="44">
        <v>-9.93</v>
      </c>
      <c r="D17" s="44">
        <v>-8.300999999999998</v>
      </c>
      <c r="E17" s="45">
        <v>-8.232000000000003</v>
      </c>
      <c r="F17" s="44">
        <v>-7.418000000000002</v>
      </c>
      <c r="G17" s="44">
        <v>-9.728</v>
      </c>
      <c r="H17" s="44">
        <v>-11.33</v>
      </c>
      <c r="I17" s="44">
        <v>0</v>
      </c>
    </row>
    <row r="18" spans="1:9" ht="15">
      <c r="A18" s="41" t="str">
        <f>HLOOKUP(INDICE!$F$2,Nombres!$C$3:$D$636,43,FALSE)</f>
        <v>Margen neto</v>
      </c>
      <c r="B18" s="41">
        <f>+B12+B13</f>
        <v>91.85374779999992</v>
      </c>
      <c r="C18" s="41">
        <f aca="true" t="shared" si="1" ref="C18:I18">+C12+C13</f>
        <v>97.764605</v>
      </c>
      <c r="D18" s="41">
        <f t="shared" si="1"/>
        <v>64.89712790000013</v>
      </c>
      <c r="E18" s="42">
        <f t="shared" si="1"/>
        <v>88.87966683000005</v>
      </c>
      <c r="F18" s="50">
        <f t="shared" si="1"/>
        <v>33.021335360000066</v>
      </c>
      <c r="G18" s="50">
        <f t="shared" si="1"/>
        <v>59.87397483999996</v>
      </c>
      <c r="H18" s="50">
        <f t="shared" si="1"/>
        <v>88.48771735999992</v>
      </c>
      <c r="I18" s="50">
        <f t="shared" si="1"/>
        <v>0</v>
      </c>
    </row>
    <row r="19" spans="1:9" ht="15">
      <c r="A19" s="43" t="str">
        <f>HLOOKUP(INDICE!$F$2,Nombres!$C$3:$D$636,44,FALSE)</f>
        <v>Deterioro de activos financieros no valorados a valor razonable con cambios en resultados</v>
      </c>
      <c r="B19" s="44">
        <v>-63.730999999999995</v>
      </c>
      <c r="C19" s="44">
        <v>-24.230000000000004</v>
      </c>
      <c r="D19" s="44">
        <v>35.42999999999999</v>
      </c>
      <c r="E19" s="45">
        <v>-52.36900000000003</v>
      </c>
      <c r="F19" s="44">
        <v>-20.544000000000004</v>
      </c>
      <c r="G19" s="44">
        <v>-32.67099999999999</v>
      </c>
      <c r="H19" s="44">
        <v>-33.587999999999994</v>
      </c>
      <c r="I19" s="44">
        <v>0</v>
      </c>
    </row>
    <row r="20" spans="1:9" ht="15">
      <c r="A20" s="43" t="str">
        <f>HLOOKUP(INDICE!$F$2,Nombres!$C$3:$D$636,45,FALSE)</f>
        <v>Provisiones o reversión de provisiones y otros resultados</v>
      </c>
      <c r="B20" s="44">
        <v>-10.753</v>
      </c>
      <c r="C20" s="44">
        <v>5.590000000000004</v>
      </c>
      <c r="D20" s="44">
        <v>-6.144</v>
      </c>
      <c r="E20" s="45">
        <v>-18.327999999999996</v>
      </c>
      <c r="F20" s="44">
        <v>-1.9580000000000004</v>
      </c>
      <c r="G20" s="44">
        <v>-4.7379999999999995</v>
      </c>
      <c r="H20" s="44">
        <v>-3.2439999999999998</v>
      </c>
      <c r="I20" s="44">
        <v>0</v>
      </c>
    </row>
    <row r="21" spans="1:9" ht="15">
      <c r="A21" s="41" t="str">
        <f>HLOOKUP(INDICE!$F$2,Nombres!$C$3:$D$636,46,FALSE)</f>
        <v>Resultado antes de impuestos</v>
      </c>
      <c r="B21" s="41">
        <f>+B18+B19+B20</f>
        <v>17.369747799999928</v>
      </c>
      <c r="C21" s="41">
        <f aca="true" t="shared" si="2" ref="C21:I21">+C18+C19+C20</f>
        <v>79.124605</v>
      </c>
      <c r="D21" s="41">
        <f t="shared" si="2"/>
        <v>94.18312790000012</v>
      </c>
      <c r="E21" s="42">
        <f t="shared" si="2"/>
        <v>18.182666830000024</v>
      </c>
      <c r="F21" s="50">
        <f t="shared" si="2"/>
        <v>10.519335360000062</v>
      </c>
      <c r="G21" s="50">
        <f t="shared" si="2"/>
        <v>22.464974839999968</v>
      </c>
      <c r="H21" s="50">
        <f t="shared" si="2"/>
        <v>51.655717359999926</v>
      </c>
      <c r="I21" s="50">
        <f t="shared" si="2"/>
        <v>0</v>
      </c>
    </row>
    <row r="22" spans="1:9" ht="15">
      <c r="A22" s="43" t="str">
        <f>HLOOKUP(INDICE!$F$2,Nombres!$C$3:$D$636,47,FALSE)</f>
        <v>Impuesto sobre beneficios</v>
      </c>
      <c r="B22" s="44">
        <v>-6.893724329999993</v>
      </c>
      <c r="C22" s="44">
        <v>-28.55778150999999</v>
      </c>
      <c r="D22" s="44">
        <v>-34.22763836</v>
      </c>
      <c r="E22" s="45">
        <v>-12.646800050000007</v>
      </c>
      <c r="F22" s="44">
        <v>-3.917300609999997</v>
      </c>
      <c r="G22" s="44">
        <v>-10.442892440000008</v>
      </c>
      <c r="H22" s="44">
        <v>-11.09661523</v>
      </c>
      <c r="I22" s="44">
        <v>0</v>
      </c>
    </row>
    <row r="23" spans="1:9" ht="15">
      <c r="A23" s="41" t="str">
        <f>HLOOKUP(INDICE!$F$2,Nombres!$C$3:$D$636,48,FALSE)</f>
        <v>Resultado del ejercicio</v>
      </c>
      <c r="B23" s="41">
        <f>+B21+B22</f>
        <v>10.476023469999934</v>
      </c>
      <c r="C23" s="41">
        <f aca="true" t="shared" si="3" ref="C23:I23">+C21+C22</f>
        <v>50.56682349000001</v>
      </c>
      <c r="D23" s="41">
        <f t="shared" si="3"/>
        <v>59.955489540000116</v>
      </c>
      <c r="E23" s="42">
        <f t="shared" si="3"/>
        <v>5.535866780000017</v>
      </c>
      <c r="F23" s="50">
        <f t="shared" si="3"/>
        <v>6.6020347500000645</v>
      </c>
      <c r="G23" s="50">
        <f t="shared" si="3"/>
        <v>12.02208239999996</v>
      </c>
      <c r="H23" s="50">
        <f t="shared" si="3"/>
        <v>40.55910212999993</v>
      </c>
      <c r="I23" s="50">
        <f t="shared" si="3"/>
        <v>0</v>
      </c>
    </row>
    <row r="24" spans="1:9" ht="15">
      <c r="A24" s="43" t="str">
        <f>HLOOKUP(INDICE!$F$2,Nombres!$C$3:$D$636,49,FALSE)</f>
        <v>Minoritarios</v>
      </c>
      <c r="B24" s="44">
        <v>-2.6900366600000076</v>
      </c>
      <c r="C24" s="44">
        <v>-15.640754219999994</v>
      </c>
      <c r="D24" s="44">
        <v>-18.49806356</v>
      </c>
      <c r="E24" s="45">
        <v>-0.8040582000000036</v>
      </c>
      <c r="F24" s="44">
        <v>-1.0705837599999972</v>
      </c>
      <c r="G24" s="44">
        <v>-2.3194256900000028</v>
      </c>
      <c r="H24" s="44">
        <v>-13.459307979999993</v>
      </c>
      <c r="I24" s="44">
        <v>0</v>
      </c>
    </row>
    <row r="25" spans="1:9" ht="15">
      <c r="A25" s="47" t="str">
        <f>HLOOKUP(INDICE!$F$2,Nombres!$C$3:$D$636,50,FALSE)</f>
        <v>Resultado atribuido</v>
      </c>
      <c r="B25" s="47">
        <f>+B23+B24</f>
        <v>7.785986809999926</v>
      </c>
      <c r="C25" s="47">
        <f aca="true" t="shared" si="4" ref="C25:I25">+C23+C24</f>
        <v>34.92606927000001</v>
      </c>
      <c r="D25" s="47">
        <f t="shared" si="4"/>
        <v>41.45742598000012</v>
      </c>
      <c r="E25" s="47">
        <f t="shared" si="4"/>
        <v>4.731808580000013</v>
      </c>
      <c r="F25" s="51">
        <f t="shared" si="4"/>
        <v>5.531450990000067</v>
      </c>
      <c r="G25" s="51">
        <f t="shared" si="4"/>
        <v>9.702656709999957</v>
      </c>
      <c r="H25" s="51">
        <f t="shared" si="4"/>
        <v>27.099794149999937</v>
      </c>
      <c r="I25" s="51">
        <f t="shared" si="4"/>
        <v>0</v>
      </c>
    </row>
    <row r="26" spans="1:9" ht="15">
      <c r="A26" s="62"/>
      <c r="B26" s="63">
        <v>-6.394884621840902E-14</v>
      </c>
      <c r="C26" s="63">
        <v>0</v>
      </c>
      <c r="D26" s="63">
        <v>9.237055564881302E-14</v>
      </c>
      <c r="E26" s="63">
        <v>1.7763568394002505E-14</v>
      </c>
      <c r="F26" s="63">
        <v>3.730349362740526E-14</v>
      </c>
      <c r="G26" s="63">
        <v>0</v>
      </c>
      <c r="H26" s="63">
        <v>-2.842170943040401E-14</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5">
      <c r="A31" s="43" t="str">
        <f>HLOOKUP(INDICE!$F$2,Nombres!$C$3:$D$636,52,FALSE)</f>
        <v>Efectivo, saldos en efectivo en bancos centrales y otros depósitos a la vista</v>
      </c>
      <c r="B31" s="44">
        <v>2075.984</v>
      </c>
      <c r="C31" s="44">
        <v>1429.8010000000002</v>
      </c>
      <c r="D31" s="44">
        <v>1496.7959999999998</v>
      </c>
      <c r="E31" s="45">
        <v>1474.656</v>
      </c>
      <c r="F31" s="44">
        <v>1814.7499999999998</v>
      </c>
      <c r="G31" s="44">
        <v>1743.115</v>
      </c>
      <c r="H31" s="44">
        <v>1725.562</v>
      </c>
      <c r="I31" s="44">
        <v>0</v>
      </c>
    </row>
    <row r="32" spans="1:9" ht="15">
      <c r="A32" s="43" t="str">
        <f>HLOOKUP(INDICE!$F$2,Nombres!$C$3:$D$636,53,FALSE)</f>
        <v>Activos financieros a valor razonable</v>
      </c>
      <c r="B32" s="58">
        <v>1172.92</v>
      </c>
      <c r="C32" s="58">
        <v>1286.2289999999998</v>
      </c>
      <c r="D32" s="58">
        <v>1421.06</v>
      </c>
      <c r="E32" s="65">
        <v>1389.639</v>
      </c>
      <c r="F32" s="44">
        <v>1347.5679999999998</v>
      </c>
      <c r="G32" s="44">
        <v>1426.29</v>
      </c>
      <c r="H32" s="44">
        <v>1574.5140000000001</v>
      </c>
      <c r="I32" s="44">
        <v>0</v>
      </c>
    </row>
    <row r="33" spans="1:9" ht="15">
      <c r="A33" s="43" t="str">
        <f>HLOOKUP(INDICE!$F$2,Nombres!$C$3:$D$636,54,FALSE)</f>
        <v>Activos financieros a coste amortizado</v>
      </c>
      <c r="B33" s="44">
        <v>3307.5209999999993</v>
      </c>
      <c r="C33" s="44">
        <v>3680.711999999999</v>
      </c>
      <c r="D33" s="44">
        <v>3188.999</v>
      </c>
      <c r="E33" s="45">
        <v>3360.505</v>
      </c>
      <c r="F33" s="44">
        <v>3214.4900000000002</v>
      </c>
      <c r="G33" s="44">
        <v>3911.3070000000002</v>
      </c>
      <c r="H33" s="44">
        <v>4157.168</v>
      </c>
      <c r="I33" s="44">
        <v>0</v>
      </c>
    </row>
    <row r="34" spans="1:9" ht="15">
      <c r="A34" s="43" t="str">
        <f>HLOOKUP(INDICE!$F$2,Nombres!$C$3:$D$636,55,FALSE)</f>
        <v>    de los que préstamos y anticipos a la clientela</v>
      </c>
      <c r="B34" s="44">
        <v>3089.0679999999993</v>
      </c>
      <c r="C34" s="44">
        <v>3103.6030000000005</v>
      </c>
      <c r="D34" s="44">
        <v>2833.8469999999993</v>
      </c>
      <c r="E34" s="45">
        <v>2742.2390000000005</v>
      </c>
      <c r="F34" s="44">
        <v>2678.9059999999995</v>
      </c>
      <c r="G34" s="44">
        <v>2718.075</v>
      </c>
      <c r="H34" s="44">
        <v>2908.585</v>
      </c>
      <c r="I34" s="44">
        <v>0</v>
      </c>
    </row>
    <row r="35" spans="1:9" ht="15">
      <c r="A35" s="43"/>
      <c r="B35" s="44"/>
      <c r="C35" s="44"/>
      <c r="D35" s="44"/>
      <c r="E35" s="45"/>
      <c r="F35" s="44"/>
      <c r="G35" s="44"/>
      <c r="H35" s="44"/>
      <c r="I35" s="44"/>
    </row>
    <row r="36" spans="1:9" ht="15">
      <c r="A36" s="43" t="str">
        <f>HLOOKUP(INDICE!$F$2,Nombres!$C$3:$D$636,56,FALSE)</f>
        <v>Activos tangibles</v>
      </c>
      <c r="B36" s="44">
        <v>399.99144176000004</v>
      </c>
      <c r="C36" s="44">
        <v>365.42600000000004</v>
      </c>
      <c r="D36" s="44">
        <v>336.80591768</v>
      </c>
      <c r="E36" s="45">
        <v>340.05147284</v>
      </c>
      <c r="F36" s="44">
        <v>358.37536584</v>
      </c>
      <c r="G36" s="44">
        <v>374.83600000000007</v>
      </c>
      <c r="H36" s="44">
        <v>399.10699999999997</v>
      </c>
      <c r="I36" s="44">
        <v>0</v>
      </c>
    </row>
    <row r="37" spans="1:9" ht="15">
      <c r="A37" s="43" t="str">
        <f>HLOOKUP(INDICE!$F$2,Nombres!$C$3:$D$636,57,FALSE)</f>
        <v>Otros activos</v>
      </c>
      <c r="B37" s="58">
        <f>+B38-B36-B33-B32-B31</f>
        <v>292.6261178899995</v>
      </c>
      <c r="C37" s="58">
        <f aca="true" t="shared" si="5" ref="C37:I37">+C38-C36-C33-C32-C31</f>
        <v>256.9794490300012</v>
      </c>
      <c r="D37" s="58">
        <f t="shared" si="5"/>
        <v>248.7959577800002</v>
      </c>
      <c r="E37" s="65">
        <f t="shared" si="5"/>
        <v>297.40743339000096</v>
      </c>
      <c r="F37" s="44">
        <f t="shared" si="5"/>
        <v>295.51088900000036</v>
      </c>
      <c r="G37" s="44">
        <f t="shared" si="5"/>
        <v>294.76199999999994</v>
      </c>
      <c r="H37" s="44">
        <f t="shared" si="5"/>
        <v>270.47804455999994</v>
      </c>
      <c r="I37" s="44">
        <f t="shared" si="5"/>
        <v>0</v>
      </c>
    </row>
    <row r="38" spans="1:9" ht="15">
      <c r="A38" s="47" t="str">
        <f>HLOOKUP(INDICE!$F$2,Nombres!$C$3:$D$636,58,FALSE)</f>
        <v>Total activo / pasivo</v>
      </c>
      <c r="B38" s="47">
        <v>7249.042559649999</v>
      </c>
      <c r="C38" s="47">
        <v>7019.147449030001</v>
      </c>
      <c r="D38" s="47">
        <v>6692.4568754599995</v>
      </c>
      <c r="E38" s="47">
        <v>6862.258906230001</v>
      </c>
      <c r="F38" s="51">
        <v>7030.69425484</v>
      </c>
      <c r="G38" s="51">
        <v>7750.31</v>
      </c>
      <c r="H38" s="51">
        <v>8126.82904456</v>
      </c>
      <c r="I38" s="51">
        <v>0</v>
      </c>
    </row>
    <row r="39" spans="1:9" ht="15">
      <c r="A39" s="43" t="str">
        <f>HLOOKUP(INDICE!$F$2,Nombres!$C$3:$D$636,59,FALSE)</f>
        <v>Pasivos financieros mantenidos para negociar y designados a valor razonable con cambios en resultados</v>
      </c>
      <c r="B39" s="58">
        <v>4.695</v>
      </c>
      <c r="C39" s="58">
        <v>2.9130000000000003</v>
      </c>
      <c r="D39" s="58">
        <v>0.403</v>
      </c>
      <c r="E39" s="65">
        <v>1.827</v>
      </c>
      <c r="F39" s="44">
        <v>3.699</v>
      </c>
      <c r="G39" s="44">
        <v>1.248</v>
      </c>
      <c r="H39" s="44">
        <v>3.49</v>
      </c>
      <c r="I39" s="44">
        <v>0</v>
      </c>
    </row>
    <row r="40" spans="1:9" ht="15.75" customHeight="1">
      <c r="A40" s="43" t="str">
        <f>HLOOKUP(INDICE!$F$2,Nombres!$C$3:$D$636,60,FALSE)</f>
        <v>Depósitos de bancos centrales y entidades de crédito</v>
      </c>
      <c r="B40" s="58">
        <v>109.653</v>
      </c>
      <c r="C40" s="58">
        <v>83.065</v>
      </c>
      <c r="D40" s="58">
        <v>51.71700000000002</v>
      </c>
      <c r="E40" s="65">
        <v>115.65699999999998</v>
      </c>
      <c r="F40" s="44">
        <v>120.434</v>
      </c>
      <c r="G40" s="44">
        <v>106.03899999999999</v>
      </c>
      <c r="H40" s="44">
        <v>107.00999999999998</v>
      </c>
      <c r="I40" s="44">
        <v>0</v>
      </c>
    </row>
    <row r="41" spans="1:9" ht="15">
      <c r="A41" s="43" t="str">
        <f>HLOOKUP(INDICE!$F$2,Nombres!$C$3:$D$636,61,FALSE)</f>
        <v>Depósitos de la clientela</v>
      </c>
      <c r="B41" s="58">
        <v>4638.339</v>
      </c>
      <c r="C41" s="58">
        <v>4730.674000000001</v>
      </c>
      <c r="D41" s="58">
        <v>4477.334000000001</v>
      </c>
      <c r="E41" s="65">
        <v>4622.5419999999995</v>
      </c>
      <c r="F41" s="44">
        <v>4706.075999999999</v>
      </c>
      <c r="G41" s="44">
        <v>5349.341</v>
      </c>
      <c r="H41" s="44">
        <v>5515.021</v>
      </c>
      <c r="I41" s="44">
        <v>0</v>
      </c>
    </row>
    <row r="42" spans="1:9" ht="15">
      <c r="A42" s="43" t="str">
        <f>HLOOKUP(INDICE!$F$2,Nombres!$C$3:$D$636,62,FALSE)</f>
        <v>Valores representativos de deuda emitidos</v>
      </c>
      <c r="B42" s="44">
        <v>334.08897606</v>
      </c>
      <c r="C42" s="44">
        <v>259.66729038</v>
      </c>
      <c r="D42" s="44">
        <v>242.87376404</v>
      </c>
      <c r="E42" s="45">
        <v>206.52914403999998</v>
      </c>
      <c r="F42" s="44">
        <v>193.7862963</v>
      </c>
      <c r="G42" s="44">
        <v>182.45249046</v>
      </c>
      <c r="H42" s="44">
        <v>199.47880386000003</v>
      </c>
      <c r="I42" s="44">
        <v>0</v>
      </c>
    </row>
    <row r="43" spans="1:9" ht="15">
      <c r="A43" s="43"/>
      <c r="B43" s="44"/>
      <c r="C43" s="44"/>
      <c r="D43" s="44"/>
      <c r="E43" s="45"/>
      <c r="F43" s="44"/>
      <c r="G43" s="44"/>
      <c r="H43" s="44"/>
      <c r="I43" s="44"/>
    </row>
    <row r="44" spans="1:9" ht="15">
      <c r="A44" s="43" t="str">
        <f>HLOOKUP(INDICE!$F$2,Nombres!$C$3:$D$636,63,FALSE)</f>
        <v>Otros pasivos</v>
      </c>
      <c r="B44" s="58">
        <f>+B38-B39-B40-B41-B42-B45</f>
        <v>1319.8365268699993</v>
      </c>
      <c r="C44" s="58">
        <f aca="true" t="shared" si="6" ref="C44:I44">+C38-C39-C40-C41-C42-C45</f>
        <v>1169.3500227400007</v>
      </c>
      <c r="D44" s="58">
        <f t="shared" si="6"/>
        <v>1212.304100499999</v>
      </c>
      <c r="E44" s="65">
        <f t="shared" si="6"/>
        <v>1215.4345030200016</v>
      </c>
      <c r="F44" s="44">
        <f t="shared" si="6"/>
        <v>1345.4178921300013</v>
      </c>
      <c r="G44" s="44">
        <f t="shared" si="6"/>
        <v>1465.610611580001</v>
      </c>
      <c r="H44" s="44">
        <f t="shared" si="6"/>
        <v>1590.59636955</v>
      </c>
      <c r="I44" s="44">
        <f t="shared" si="6"/>
        <v>0</v>
      </c>
    </row>
    <row r="45" spans="1:9" ht="15">
      <c r="A45" s="43" t="str">
        <f>HLOOKUP(INDICE!$F$2,Nombres!$C$3:$D$636,282,FALSE)</f>
        <v>Dotación de capital regulatorio</v>
      </c>
      <c r="B45" s="58">
        <v>842.43005672</v>
      </c>
      <c r="C45" s="58">
        <v>773.47813591</v>
      </c>
      <c r="D45" s="58">
        <v>707.82501092</v>
      </c>
      <c r="E45" s="65">
        <v>700.2692591699999</v>
      </c>
      <c r="F45" s="44">
        <v>661.28106641</v>
      </c>
      <c r="G45" s="44">
        <v>645.6188979599999</v>
      </c>
      <c r="H45" s="44">
        <v>711.23287115</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9"/>
      <c r="G48" s="69"/>
      <c r="H48" s="69"/>
      <c r="I48" s="69"/>
    </row>
    <row r="49" spans="1:9" ht="15">
      <c r="A49" s="35" t="str">
        <f>HLOOKUP(INDICE!$F$2,Nombres!$C$3:$D$636,32,FALSE)</f>
        <v>(Millones de euros)</v>
      </c>
      <c r="B49" s="30"/>
      <c r="C49" s="30"/>
      <c r="D49" s="30"/>
      <c r="E49" s="30"/>
      <c r="F49" s="70"/>
      <c r="G49" s="44"/>
      <c r="H49" s="44"/>
      <c r="I49" s="44"/>
    </row>
    <row r="50" spans="1:9" ht="15.7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5">
      <c r="A51" s="43" t="str">
        <f>HLOOKUP(INDICE!$F$2,Nombres!$C$3:$D$636,66,FALSE)</f>
        <v>Préstamos y anticipos a la clientela bruto (*)</v>
      </c>
      <c r="B51" s="44">
        <v>3256.68866218</v>
      </c>
      <c r="C51" s="44">
        <v>3239.52912875</v>
      </c>
      <c r="D51" s="44">
        <v>2953.827407529999</v>
      </c>
      <c r="E51" s="45">
        <v>2864.2089997900002</v>
      </c>
      <c r="F51" s="44">
        <v>2810.1806310599995</v>
      </c>
      <c r="G51" s="44">
        <v>2853.1629853199997</v>
      </c>
      <c r="H51" s="44">
        <v>3049.04189683</v>
      </c>
      <c r="I51" s="44">
        <v>0</v>
      </c>
    </row>
    <row r="52" spans="1:9" ht="15">
      <c r="A52" s="43" t="str">
        <f>HLOOKUP(INDICE!$F$2,Nombres!$C$3:$D$636,67,FALSE)</f>
        <v>Depósitos de clientes en gestión (**)</v>
      </c>
      <c r="B52" s="44">
        <v>4638.36020785</v>
      </c>
      <c r="C52" s="44">
        <v>4730.67369239</v>
      </c>
      <c r="D52" s="44">
        <v>4477.33311385</v>
      </c>
      <c r="E52" s="45">
        <v>4622.2055273000005</v>
      </c>
      <c r="F52" s="44">
        <v>4706.07777928</v>
      </c>
      <c r="G52" s="44">
        <v>5349.3398651200005</v>
      </c>
      <c r="H52" s="44">
        <v>5515.0211831999995</v>
      </c>
      <c r="I52" s="44">
        <v>0</v>
      </c>
    </row>
    <row r="53" spans="1:9" ht="15">
      <c r="A53" s="43" t="str">
        <f>HLOOKUP(INDICE!$F$2,Nombres!$C$3:$D$636,68,FALSE)</f>
        <v>Fondos de inversión</v>
      </c>
      <c r="B53" s="44">
        <v>945.89799169</v>
      </c>
      <c r="C53" s="44">
        <v>1455.18131032</v>
      </c>
      <c r="D53" s="44">
        <v>1125.3281869900002</v>
      </c>
      <c r="E53" s="45">
        <v>969.3644559700001</v>
      </c>
      <c r="F53" s="44">
        <v>1327.07892138</v>
      </c>
      <c r="G53" s="44">
        <v>1346.10370657</v>
      </c>
      <c r="H53" s="44">
        <v>1673.9364056799998</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6">
        <f>+B$6</f>
        <v>2020</v>
      </c>
      <c r="C62" s="306"/>
      <c r="D62" s="306"/>
      <c r="E62" s="307"/>
      <c r="F62" s="306">
        <f>+F$6</f>
        <v>2021</v>
      </c>
      <c r="G62" s="306"/>
      <c r="H62" s="306"/>
      <c r="I62" s="306"/>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151.76221542229848</v>
      </c>
      <c r="C64" s="41">
        <v>160.2323991114203</v>
      </c>
      <c r="D64" s="41">
        <v>177.05330492064382</v>
      </c>
      <c r="E64" s="42">
        <v>225.07404305121912</v>
      </c>
      <c r="F64" s="50">
        <v>190.56015237452618</v>
      </c>
      <c r="G64" s="50">
        <v>233.90528290504056</v>
      </c>
      <c r="H64" s="50">
        <v>284.66056472043323</v>
      </c>
      <c r="I64" s="50">
        <v>0</v>
      </c>
    </row>
    <row r="65" spans="1:9" ht="15">
      <c r="A65" s="43" t="str">
        <f>HLOOKUP(INDICE!$F$2,Nombres!$C$3:$D$636,34,FALSE)</f>
        <v>Comisiones netas</v>
      </c>
      <c r="B65" s="44">
        <v>16.60596316371255</v>
      </c>
      <c r="C65" s="44">
        <v>29.339575974981564</v>
      </c>
      <c r="D65" s="44">
        <v>33.93158202468408</v>
      </c>
      <c r="E65" s="45">
        <v>30.591450377609632</v>
      </c>
      <c r="F65" s="44">
        <v>29.485406986210037</v>
      </c>
      <c r="G65" s="44">
        <v>53.87154202613695</v>
      </c>
      <c r="H65" s="44">
        <v>61.37026746765302</v>
      </c>
      <c r="I65" s="44">
        <v>0</v>
      </c>
    </row>
    <row r="66" spans="1:9" ht="15">
      <c r="A66" s="43" t="str">
        <f>HLOOKUP(INDICE!$F$2,Nombres!$C$3:$D$636,35,FALSE)</f>
        <v>Resultados de operaciones financieras</v>
      </c>
      <c r="B66" s="44">
        <v>16.14766794641258</v>
      </c>
      <c r="C66" s="44">
        <v>18.235724538028208</v>
      </c>
      <c r="D66" s="44">
        <v>20.3620112010617</v>
      </c>
      <c r="E66" s="45">
        <v>74.48104735772404</v>
      </c>
      <c r="F66" s="44">
        <v>24.343400008497735</v>
      </c>
      <c r="G66" s="44">
        <v>25.794791338153377</v>
      </c>
      <c r="H66" s="44">
        <v>25.709838653348886</v>
      </c>
      <c r="I66" s="44">
        <v>0</v>
      </c>
    </row>
    <row r="67" spans="1:9" ht="15">
      <c r="A67" s="43" t="str">
        <f>HLOOKUP(INDICE!$F$2,Nombres!$C$3:$D$636,36,FALSE)</f>
        <v>Otros ingresos y cargas de explotación</v>
      </c>
      <c r="B67" s="44">
        <v>-76.3746486610957</v>
      </c>
      <c r="C67" s="44">
        <v>-62.54850002896522</v>
      </c>
      <c r="D67" s="44">
        <v>-68.04045165486855</v>
      </c>
      <c r="E67" s="45">
        <v>-89.37324368053696</v>
      </c>
      <c r="F67" s="44">
        <v>-119.43203641854416</v>
      </c>
      <c r="G67" s="44">
        <v>-126.90601435392337</v>
      </c>
      <c r="H67" s="44">
        <v>-119.98694922753248</v>
      </c>
      <c r="I67" s="44">
        <v>0</v>
      </c>
    </row>
    <row r="68" spans="1:9" ht="15">
      <c r="A68" s="41" t="str">
        <f>HLOOKUP(INDICE!$F$2,Nombres!$C$3:$D$636,37,FALSE)</f>
        <v>Margen bruto</v>
      </c>
      <c r="B68" s="41">
        <f>+SUM(B64:B67)</f>
        <v>108.1411978713279</v>
      </c>
      <c r="C68" s="41">
        <f aca="true" t="shared" si="9" ref="C68:I68">+SUM(C64:C67)</f>
        <v>145.25919959546485</v>
      </c>
      <c r="D68" s="41">
        <f t="shared" si="9"/>
        <v>163.30644649152106</v>
      </c>
      <c r="E68" s="42">
        <f t="shared" si="9"/>
        <v>240.77329710601583</v>
      </c>
      <c r="F68" s="50">
        <f t="shared" si="9"/>
        <v>124.95692295068977</v>
      </c>
      <c r="G68" s="50">
        <f t="shared" si="9"/>
        <v>186.6656019154076</v>
      </c>
      <c r="H68" s="50">
        <f t="shared" si="9"/>
        <v>251.75372161390266</v>
      </c>
      <c r="I68" s="50">
        <f t="shared" si="9"/>
        <v>0</v>
      </c>
    </row>
    <row r="69" spans="1:9" ht="15">
      <c r="A69" s="43" t="str">
        <f>HLOOKUP(INDICE!$F$2,Nombres!$C$3:$D$636,38,FALSE)</f>
        <v>Gastos de explotación</v>
      </c>
      <c r="B69" s="44">
        <v>-76.24817585241026</v>
      </c>
      <c r="C69" s="44">
        <v>-79.92093123002468</v>
      </c>
      <c r="D69" s="44">
        <v>-94.74867065110766</v>
      </c>
      <c r="E69" s="45">
        <v>-114.16616574801307</v>
      </c>
      <c r="F69" s="44">
        <v>-98.97438559393008</v>
      </c>
      <c r="G69" s="44">
        <v>-121.05020865747676</v>
      </c>
      <c r="H69" s="44">
        <v>-161.96862466859318</v>
      </c>
      <c r="I69" s="44">
        <v>0</v>
      </c>
    </row>
    <row r="70" spans="1:9" ht="15">
      <c r="A70" s="43" t="str">
        <f>HLOOKUP(INDICE!$F$2,Nombres!$C$3:$D$636,39,FALSE)</f>
        <v>  Gastos de administración</v>
      </c>
      <c r="B70" s="44">
        <v>-66.5950714490136</v>
      </c>
      <c r="C70" s="44">
        <v>-71.0217959022477</v>
      </c>
      <c r="D70" s="44">
        <v>-86.29706272242836</v>
      </c>
      <c r="E70" s="45">
        <v>-104.43379308124227</v>
      </c>
      <c r="F70" s="44">
        <v>-91.80640414578696</v>
      </c>
      <c r="G70" s="44">
        <v>-111.11387841468324</v>
      </c>
      <c r="H70" s="44">
        <v>-150.59693635952982</v>
      </c>
      <c r="I70" s="44">
        <v>0</v>
      </c>
    </row>
    <row r="71" spans="1:9" ht="15">
      <c r="A71" s="46" t="str">
        <f>HLOOKUP(INDICE!$F$2,Nombres!$C$3:$D$636,40,FALSE)</f>
        <v>  Gastos de personal</v>
      </c>
      <c r="B71" s="44">
        <v>-40.48708170902282</v>
      </c>
      <c r="C71" s="44">
        <v>-39.152440187484615</v>
      </c>
      <c r="D71" s="44">
        <v>-48.00950727979543</v>
      </c>
      <c r="E71" s="45">
        <v>-56.09602297133518</v>
      </c>
      <c r="F71" s="44">
        <v>-52.612223851676</v>
      </c>
      <c r="G71" s="44">
        <v>-62.02370528445911</v>
      </c>
      <c r="H71" s="44">
        <v>-75.53207086386487</v>
      </c>
      <c r="I71" s="44">
        <v>0</v>
      </c>
    </row>
    <row r="72" spans="1:9" ht="15">
      <c r="A72" s="46" t="str">
        <f>HLOOKUP(INDICE!$F$2,Nombres!$C$3:$D$636,41,FALSE)</f>
        <v>  Otros gastos de administración</v>
      </c>
      <c r="B72" s="44">
        <v>-26.107989739990778</v>
      </c>
      <c r="C72" s="44">
        <v>-31.869355714763078</v>
      </c>
      <c r="D72" s="44">
        <v>-38.287555442632936</v>
      </c>
      <c r="E72" s="45">
        <v>-48.33777010990708</v>
      </c>
      <c r="F72" s="44">
        <v>-39.19418029411096</v>
      </c>
      <c r="G72" s="44">
        <v>-49.09017313022412</v>
      </c>
      <c r="H72" s="44">
        <v>-75.06486549566495</v>
      </c>
      <c r="I72" s="44">
        <v>0</v>
      </c>
    </row>
    <row r="73" spans="1:9" ht="15">
      <c r="A73" s="43" t="str">
        <f>HLOOKUP(INDICE!$F$2,Nombres!$C$3:$D$636,42,FALSE)</f>
        <v>  Amortización</v>
      </c>
      <c r="B73" s="44">
        <v>-9.653104403396654</v>
      </c>
      <c r="C73" s="44">
        <v>-8.899135327776982</v>
      </c>
      <c r="D73" s="44">
        <v>-8.45160792867932</v>
      </c>
      <c r="E73" s="45">
        <v>-9.732372666770804</v>
      </c>
      <c r="F73" s="44">
        <v>-7.167981448143129</v>
      </c>
      <c r="G73" s="44">
        <v>-9.93633024279352</v>
      </c>
      <c r="H73" s="44">
        <v>-11.371688309063352</v>
      </c>
      <c r="I73" s="44">
        <v>0</v>
      </c>
    </row>
    <row r="74" spans="1:9" ht="15">
      <c r="A74" s="41" t="str">
        <f>HLOOKUP(INDICE!$F$2,Nombres!$C$3:$D$636,43,FALSE)</f>
        <v>Margen neto</v>
      </c>
      <c r="B74" s="41">
        <f>+B68+B69</f>
        <v>31.893022018917648</v>
      </c>
      <c r="C74" s="41">
        <f aca="true" t="shared" si="10" ref="C74:I74">+C68+C69</f>
        <v>65.33826836544017</v>
      </c>
      <c r="D74" s="41">
        <f t="shared" si="10"/>
        <v>68.5577758404134</v>
      </c>
      <c r="E74" s="42">
        <f t="shared" si="10"/>
        <v>126.60713135800276</v>
      </c>
      <c r="F74" s="50">
        <f t="shared" si="10"/>
        <v>25.982537356759693</v>
      </c>
      <c r="G74" s="50">
        <f t="shared" si="10"/>
        <v>65.61539325793083</v>
      </c>
      <c r="H74" s="50">
        <f t="shared" si="10"/>
        <v>89.78509694530948</v>
      </c>
      <c r="I74" s="50">
        <f t="shared" si="10"/>
        <v>0</v>
      </c>
    </row>
    <row r="75" spans="1:9" ht="15">
      <c r="A75" s="43" t="str">
        <f>HLOOKUP(INDICE!$F$2,Nombres!$C$3:$D$636,44,FALSE)</f>
        <v>Deterioro de activos financieros no valorados a valor razonable con cambios en resultados</v>
      </c>
      <c r="B75" s="44">
        <v>-39.5541686884597</v>
      </c>
      <c r="C75" s="44">
        <v>-23.080800990812353</v>
      </c>
      <c r="D75" s="44">
        <v>19.47673796741858</v>
      </c>
      <c r="E75" s="45">
        <v>-52.55532497705369</v>
      </c>
      <c r="F75" s="44">
        <v>-19.419099156019843</v>
      </c>
      <c r="G75" s="44">
        <v>-33.56397184621392</v>
      </c>
      <c r="H75" s="44">
        <v>-33.81992899776625</v>
      </c>
      <c r="I75" s="44">
        <v>0</v>
      </c>
    </row>
    <row r="76" spans="1:9" ht="15">
      <c r="A76" s="43" t="str">
        <f>HLOOKUP(INDICE!$F$2,Nombres!$C$3:$D$636,45,FALSE)</f>
        <v>Provisiones o reversión de provisiones y otros resultados</v>
      </c>
      <c r="B76" s="44">
        <v>-6.67969940890318</v>
      </c>
      <c r="C76" s="44">
        <v>2.9667873086543675</v>
      </c>
      <c r="D76" s="44">
        <v>-5.340122633048143</v>
      </c>
      <c r="E76" s="45">
        <v>-17.918841598892236</v>
      </c>
      <c r="F76" s="44">
        <v>-1.8318232587388728</v>
      </c>
      <c r="G76" s="44">
        <v>-4.830091520524382</v>
      </c>
      <c r="H76" s="44">
        <v>-3.278085220736746</v>
      </c>
      <c r="I76" s="44">
        <v>0</v>
      </c>
    </row>
    <row r="77" spans="1:9" ht="15">
      <c r="A77" s="41" t="str">
        <f>HLOOKUP(INDICE!$F$2,Nombres!$C$3:$D$636,46,FALSE)</f>
        <v>Resultado antes de impuestos</v>
      </c>
      <c r="B77" s="41">
        <f>+B74+B75+B76</f>
        <v>-14.340846078445228</v>
      </c>
      <c r="C77" s="41">
        <f aca="true" t="shared" si="11" ref="C77:I77">+C74+C75+C76</f>
        <v>45.22425468328219</v>
      </c>
      <c r="D77" s="41">
        <f t="shared" si="11"/>
        <v>82.69439117478385</v>
      </c>
      <c r="E77" s="42">
        <f t="shared" si="11"/>
        <v>56.13296478205684</v>
      </c>
      <c r="F77" s="50">
        <f t="shared" si="11"/>
        <v>4.731614942000976</v>
      </c>
      <c r="G77" s="50">
        <f t="shared" si="11"/>
        <v>27.221329891192532</v>
      </c>
      <c r="H77" s="50">
        <f t="shared" si="11"/>
        <v>52.68708272680648</v>
      </c>
      <c r="I77" s="50">
        <f t="shared" si="11"/>
        <v>0</v>
      </c>
    </row>
    <row r="78" spans="1:9" ht="15">
      <c r="A78" s="43" t="str">
        <f>HLOOKUP(INDICE!$F$2,Nombres!$C$3:$D$636,47,FALSE)</f>
        <v>Impuesto sobre beneficios</v>
      </c>
      <c r="B78" s="44">
        <v>1.4763405434296377</v>
      </c>
      <c r="C78" s="44">
        <v>-17.339028681179187</v>
      </c>
      <c r="D78" s="44">
        <v>-30.555069744761894</v>
      </c>
      <c r="E78" s="45">
        <v>-24.14417641388537</v>
      </c>
      <c r="F78" s="44">
        <v>-2.2348800365962918</v>
      </c>
      <c r="G78" s="44">
        <v>-11.90006915996483</v>
      </c>
      <c r="H78" s="44">
        <v>-11.321859083438886</v>
      </c>
      <c r="I78" s="44">
        <v>0</v>
      </c>
    </row>
    <row r="79" spans="1:9" ht="15">
      <c r="A79" s="41" t="str">
        <f>HLOOKUP(INDICE!$F$2,Nombres!$C$3:$D$636,48,FALSE)</f>
        <v>Resultado del ejercicio</v>
      </c>
      <c r="B79" s="41">
        <f>+B77+B78</f>
        <v>-12.86450553501559</v>
      </c>
      <c r="C79" s="41">
        <f aca="true" t="shared" si="12" ref="C79:I79">+C77+C78</f>
        <v>27.885226002103003</v>
      </c>
      <c r="D79" s="41">
        <f t="shared" si="12"/>
        <v>52.13932143002195</v>
      </c>
      <c r="E79" s="42">
        <f t="shared" si="12"/>
        <v>31.98878836817147</v>
      </c>
      <c r="F79" s="50">
        <f t="shared" si="12"/>
        <v>2.4967349054046846</v>
      </c>
      <c r="G79" s="50">
        <f t="shared" si="12"/>
        <v>15.321260731227703</v>
      </c>
      <c r="H79" s="50">
        <f t="shared" si="12"/>
        <v>41.36522364336759</v>
      </c>
      <c r="I79" s="50">
        <f t="shared" si="12"/>
        <v>0</v>
      </c>
    </row>
    <row r="80" spans="1:9" ht="15">
      <c r="A80" s="43" t="str">
        <f>HLOOKUP(INDICE!$F$2,Nombres!$C$3:$D$636,49,FALSE)</f>
        <v>Minoritarios</v>
      </c>
      <c r="B80" s="44">
        <v>4.765463182919742</v>
      </c>
      <c r="C80" s="44">
        <v>-8.242391192549345</v>
      </c>
      <c r="D80" s="44">
        <v>-16.023045779261324</v>
      </c>
      <c r="E80" s="45">
        <v>-9.341364852771973</v>
      </c>
      <c r="F80" s="44">
        <v>0.2620330561201172</v>
      </c>
      <c r="G80" s="44">
        <v>-3.391900705606969</v>
      </c>
      <c r="H80" s="44">
        <v>-13.719449780513143</v>
      </c>
      <c r="I80" s="44">
        <v>0</v>
      </c>
    </row>
    <row r="81" spans="1:9" ht="15">
      <c r="A81" s="47" t="str">
        <f>HLOOKUP(INDICE!$F$2,Nombres!$C$3:$D$636,50,FALSE)</f>
        <v>Resultado atribuido</v>
      </c>
      <c r="B81" s="47">
        <f>+B79+B80</f>
        <v>-8.099042352095848</v>
      </c>
      <c r="C81" s="47">
        <f aca="true" t="shared" si="13" ref="C81:I81">+C79+C80</f>
        <v>19.64283480955366</v>
      </c>
      <c r="D81" s="47">
        <f t="shared" si="13"/>
        <v>36.11627565076063</v>
      </c>
      <c r="E81" s="47">
        <f t="shared" si="13"/>
        <v>22.647423515399495</v>
      </c>
      <c r="F81" s="51">
        <f t="shared" si="13"/>
        <v>2.7587679615248017</v>
      </c>
      <c r="G81" s="51">
        <f t="shared" si="13"/>
        <v>11.929360025620735</v>
      </c>
      <c r="H81" s="51">
        <f t="shared" si="13"/>
        <v>27.645773862854448</v>
      </c>
      <c r="I81" s="51">
        <f t="shared" si="13"/>
        <v>0</v>
      </c>
    </row>
    <row r="82" spans="1:9" ht="15">
      <c r="A82" s="62"/>
      <c r="B82" s="63">
        <v>-2.4868995751603507E-14</v>
      </c>
      <c r="C82" s="63">
        <v>0</v>
      </c>
      <c r="D82" s="63">
        <v>0</v>
      </c>
      <c r="E82" s="63">
        <v>0</v>
      </c>
      <c r="F82" s="63">
        <v>-4.440892098500626E-14</v>
      </c>
      <c r="G82" s="63">
        <v>8.171241461241152E-14</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9"/>
      <c r="G84" s="69"/>
      <c r="H84" s="69"/>
      <c r="I84" s="69"/>
    </row>
    <row r="85" spans="1:9" ht="15">
      <c r="A85" s="35" t="str">
        <f>HLOOKUP(INDICE!$F$2,Nombres!$C$3:$D$636,73,FALSE)</f>
        <v>(Millones de euros constantes)</v>
      </c>
      <c r="B85" s="30"/>
      <c r="C85" s="52"/>
      <c r="D85" s="52"/>
      <c r="E85" s="52"/>
      <c r="F85" s="70"/>
      <c r="G85" s="44"/>
      <c r="H85" s="44"/>
      <c r="I85" s="44"/>
    </row>
    <row r="86" spans="1:9" ht="15.7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5">
      <c r="A87" s="43" t="str">
        <f>HLOOKUP(INDICE!$F$2,Nombres!$C$3:$D$636,52,FALSE)</f>
        <v>Efectivo, saldos en efectivo en bancos centrales y otros depósitos a la vista</v>
      </c>
      <c r="B87" s="44">
        <v>1282.9846614035869</v>
      </c>
      <c r="C87" s="44">
        <v>986.160638630392</v>
      </c>
      <c r="D87" s="44">
        <v>1167.0927485805507</v>
      </c>
      <c r="E87" s="45">
        <v>1332.2593666383866</v>
      </c>
      <c r="F87" s="44">
        <v>1712.026106096525</v>
      </c>
      <c r="G87" s="44">
        <v>1734.6549596189575</v>
      </c>
      <c r="H87" s="44">
        <v>1725.562</v>
      </c>
      <c r="I87" s="44">
        <v>0</v>
      </c>
    </row>
    <row r="88" spans="1:9" ht="15">
      <c r="A88" s="43" t="str">
        <f>HLOOKUP(INDICE!$F$2,Nombres!$C$3:$D$636,53,FALSE)</f>
        <v>Activos financieros a valor razonable</v>
      </c>
      <c r="B88" s="58">
        <v>724.879560272861</v>
      </c>
      <c r="C88" s="58">
        <v>887.136330206043</v>
      </c>
      <c r="D88" s="58">
        <v>1108.0393195184097</v>
      </c>
      <c r="E88" s="65">
        <v>1255.4518301190249</v>
      </c>
      <c r="F88" s="44">
        <v>1271.2889355229547</v>
      </c>
      <c r="G88" s="44">
        <v>1419.3676391717831</v>
      </c>
      <c r="H88" s="44">
        <v>1574.5140000000001</v>
      </c>
      <c r="I88" s="44">
        <v>0</v>
      </c>
    </row>
    <row r="89" spans="1:9" ht="15">
      <c r="A89" s="43" t="str">
        <f>HLOOKUP(INDICE!$F$2,Nombres!$C$3:$D$636,54,FALSE)</f>
        <v>Activos financieros a coste amortizado</v>
      </c>
      <c r="B89" s="44">
        <v>2044.0902773192151</v>
      </c>
      <c r="C89" s="44">
        <v>2538.6562861087295</v>
      </c>
      <c r="D89" s="44">
        <v>2486.5496755273457</v>
      </c>
      <c r="E89" s="45">
        <v>3036.00586366253</v>
      </c>
      <c r="F89" s="44">
        <v>3032.533846417533</v>
      </c>
      <c r="G89" s="44">
        <v>3892.3238490531867</v>
      </c>
      <c r="H89" s="44">
        <v>4157.168</v>
      </c>
      <c r="I89" s="44">
        <v>0</v>
      </c>
    </row>
    <row r="90" spans="1:9" ht="15">
      <c r="A90" s="43" t="str">
        <f>HLOOKUP(INDICE!$F$2,Nombres!$C$3:$D$636,55,FALSE)</f>
        <v>    de los que préstamos y anticipos a la clientela</v>
      </c>
      <c r="B90" s="44">
        <v>1909.083529561237</v>
      </c>
      <c r="C90" s="44">
        <v>2140.613355659424</v>
      </c>
      <c r="D90" s="44">
        <v>2209.6279548360285</v>
      </c>
      <c r="E90" s="45">
        <v>2477.441242778711</v>
      </c>
      <c r="F90" s="44">
        <v>2527.266569928981</v>
      </c>
      <c r="G90" s="44">
        <v>2704.8830853766376</v>
      </c>
      <c r="H90" s="44">
        <v>2908.585</v>
      </c>
      <c r="I90" s="44">
        <v>0</v>
      </c>
    </row>
    <row r="91" spans="1:9" ht="15">
      <c r="A91" s="43"/>
      <c r="B91" s="44"/>
      <c r="C91" s="44"/>
      <c r="D91" s="44"/>
      <c r="E91" s="45"/>
      <c r="F91" s="44"/>
      <c r="G91" s="44"/>
      <c r="H91" s="44"/>
      <c r="I91" s="44"/>
    </row>
    <row r="92" spans="1:9" ht="15">
      <c r="A92" s="43" t="str">
        <f>HLOOKUP(INDICE!$F$2,Nombres!$C$3:$D$636,56,FALSE)</f>
        <v>Activos tangibles</v>
      </c>
      <c r="B92" s="44">
        <v>353.2084162557131</v>
      </c>
      <c r="C92" s="44">
        <v>331.61652066046815</v>
      </c>
      <c r="D92" s="44">
        <v>314.8639394061719</v>
      </c>
      <c r="E92" s="45">
        <v>330.98406035017223</v>
      </c>
      <c r="F92" s="44">
        <v>353.2241232748663</v>
      </c>
      <c r="G92" s="44">
        <v>374.41903847157175</v>
      </c>
      <c r="H92" s="44">
        <v>399.10699999999997</v>
      </c>
      <c r="I92" s="44">
        <v>0</v>
      </c>
    </row>
    <row r="93" spans="1:9" ht="15">
      <c r="A93" s="43" t="str">
        <f>HLOOKUP(INDICE!$F$2,Nombres!$C$3:$D$636,57,FALSE)</f>
        <v>Otros activos</v>
      </c>
      <c r="B93" s="58">
        <f>+B94-B92-B89-B88-B87</f>
        <v>176.63245152800755</v>
      </c>
      <c r="C93" s="58">
        <f aca="true" t="shared" si="15" ref="C93:I93">+C94-C92-C89-C88-C87</f>
        <v>174.26181134700755</v>
      </c>
      <c r="D93" s="58">
        <f t="shared" si="15"/>
        <v>192.22616551733904</v>
      </c>
      <c r="E93" s="65">
        <f t="shared" si="15"/>
        <v>268.26652542043985</v>
      </c>
      <c r="F93" s="44">
        <f t="shared" si="15"/>
        <v>278.6388506040746</v>
      </c>
      <c r="G93" s="44">
        <f t="shared" si="15"/>
        <v>293.34407285514135</v>
      </c>
      <c r="H93" s="44">
        <f t="shared" si="15"/>
        <v>270.47804455999994</v>
      </c>
      <c r="I93" s="44">
        <f t="shared" si="15"/>
        <v>0</v>
      </c>
    </row>
    <row r="94" spans="1:9" ht="15">
      <c r="A94" s="47" t="str">
        <f>HLOOKUP(INDICE!$F$2,Nombres!$C$3:$D$636,58,FALSE)</f>
        <v>Total activo / pasivo</v>
      </c>
      <c r="B94" s="47">
        <v>4581.795366779384</v>
      </c>
      <c r="C94" s="47">
        <v>4917.8315869526405</v>
      </c>
      <c r="D94" s="47">
        <v>5268.771848549817</v>
      </c>
      <c r="E94" s="47">
        <v>6222.967646190554</v>
      </c>
      <c r="F94" s="51">
        <v>6647.711861915954</v>
      </c>
      <c r="G94" s="51">
        <v>7714.109559170641</v>
      </c>
      <c r="H94" s="51">
        <v>8126.82904456</v>
      </c>
      <c r="I94" s="51">
        <v>0</v>
      </c>
    </row>
    <row r="95" spans="1:9" ht="15">
      <c r="A95" s="43" t="str">
        <f>HLOOKUP(INDICE!$F$2,Nombres!$C$3:$D$636,59,FALSE)</f>
        <v>Pasivos financieros mantenidos para negociar y designados a valor razonable con cambios en resultados</v>
      </c>
      <c r="B95" s="58">
        <v>2.9015700435503553</v>
      </c>
      <c r="C95" s="58">
        <v>2.009150882067037</v>
      </c>
      <c r="D95" s="58">
        <v>0.31423011397542616</v>
      </c>
      <c r="E95" s="65">
        <v>1.6505801101059043</v>
      </c>
      <c r="F95" s="44">
        <v>3.4896181658360907</v>
      </c>
      <c r="G95" s="44">
        <v>1.2419429524755734</v>
      </c>
      <c r="H95" s="44">
        <v>3.49</v>
      </c>
      <c r="I95" s="44">
        <v>0</v>
      </c>
    </row>
    <row r="96" spans="1:9" ht="15">
      <c r="A96" s="43" t="str">
        <f>HLOOKUP(INDICE!$F$2,Nombres!$C$3:$D$636,60,FALSE)</f>
        <v>Depósitos de bancos centrales y entidades de crédito</v>
      </c>
      <c r="B96" s="58">
        <v>67.7669563334243</v>
      </c>
      <c r="C96" s="58">
        <v>57.29149262578045</v>
      </c>
      <c r="D96" s="58">
        <v>40.32515832373974</v>
      </c>
      <c r="E96" s="65">
        <v>104.4888581250786</v>
      </c>
      <c r="F96" s="44">
        <v>113.61683541073364</v>
      </c>
      <c r="G96" s="44">
        <v>105.52434994996581</v>
      </c>
      <c r="H96" s="44">
        <v>107.00999999999998</v>
      </c>
      <c r="I96" s="44">
        <v>0</v>
      </c>
    </row>
    <row r="97" spans="1:9" ht="15">
      <c r="A97" s="43" t="str">
        <f>HLOOKUP(INDICE!$F$2,Nombres!$C$3:$D$636,61,FALSE)</f>
        <v>Depósitos de la clientela</v>
      </c>
      <c r="B97" s="58">
        <v>2866.5528209225367</v>
      </c>
      <c r="C97" s="58">
        <v>3262.834823162238</v>
      </c>
      <c r="D97" s="58">
        <v>3491.099685176305</v>
      </c>
      <c r="E97" s="65">
        <v>4176.177276042237</v>
      </c>
      <c r="F97" s="44">
        <v>4439.688645419099</v>
      </c>
      <c r="G97" s="44">
        <v>5323.378489854676</v>
      </c>
      <c r="H97" s="44">
        <v>5515.021</v>
      </c>
      <c r="I97" s="44">
        <v>0</v>
      </c>
    </row>
    <row r="98" spans="1:9" ht="15">
      <c r="A98" s="43" t="str">
        <f>HLOOKUP(INDICE!$F$2,Nombres!$C$3:$D$636,62,FALSE)</f>
        <v>Valores representativos de deuda emitidos</v>
      </c>
      <c r="B98" s="44">
        <v>206.47125981173753</v>
      </c>
      <c r="C98" s="44">
        <v>179.0974134949998</v>
      </c>
      <c r="D98" s="44">
        <v>189.3753115531761</v>
      </c>
      <c r="E98" s="45">
        <v>186.58615068944795</v>
      </c>
      <c r="F98" s="44">
        <v>182.81702618507038</v>
      </c>
      <c r="G98" s="44">
        <v>181.56697491058796</v>
      </c>
      <c r="H98" s="44">
        <v>199.47880386000003</v>
      </c>
      <c r="I98" s="44">
        <v>0</v>
      </c>
    </row>
    <row r="99" spans="1:9" ht="15">
      <c r="A99" s="43"/>
      <c r="B99" s="44"/>
      <c r="C99" s="44"/>
      <c r="D99" s="44"/>
      <c r="E99" s="45"/>
      <c r="F99" s="44"/>
      <c r="G99" s="44"/>
      <c r="H99" s="44"/>
      <c r="I99" s="44"/>
    </row>
    <row r="100" spans="1:9" ht="15">
      <c r="A100" s="43" t="str">
        <f>HLOOKUP(INDICE!$F$2,Nombres!$C$3:$D$636,63,FALSE)</f>
        <v>Otros pasivos</v>
      </c>
      <c r="B100" s="58">
        <f>+B94-B95-B96-B97-B98-B101</f>
        <v>917.3856007542838</v>
      </c>
      <c r="C100" s="58">
        <f aca="true" t="shared" si="16" ref="C100:I100">+C94-C95-C96-C97-C98-C101</f>
        <v>883.0549508811806</v>
      </c>
      <c r="D100" s="58">
        <f t="shared" si="16"/>
        <v>995.7082380064076</v>
      </c>
      <c r="E100" s="65">
        <f t="shared" si="16"/>
        <v>1121.3988203809984</v>
      </c>
      <c r="F100" s="44">
        <f t="shared" si="16"/>
        <v>1284.2412085437486</v>
      </c>
      <c r="G100" s="44">
        <f t="shared" si="16"/>
        <v>1459.911538138318</v>
      </c>
      <c r="H100" s="44">
        <f t="shared" si="16"/>
        <v>1590.59636955</v>
      </c>
      <c r="I100" s="44">
        <f t="shared" si="16"/>
        <v>0</v>
      </c>
    </row>
    <row r="101" spans="1:9" ht="15">
      <c r="A101" s="43" t="str">
        <f>HLOOKUP(INDICE!$F$2,Nombres!$C$3:$D$636,282,FALSE)</f>
        <v>Dotación de capital regulatorio</v>
      </c>
      <c r="B101" s="58">
        <v>520.7171589138513</v>
      </c>
      <c r="C101" s="58">
        <v>533.5437559063743</v>
      </c>
      <c r="D101" s="58">
        <v>551.9492253762139</v>
      </c>
      <c r="E101" s="65">
        <v>632.6659608426855</v>
      </c>
      <c r="F101" s="44">
        <v>623.858528191466</v>
      </c>
      <c r="G101" s="44">
        <v>642.4862633646177</v>
      </c>
      <c r="H101" s="44">
        <v>711.23287115</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9"/>
      <c r="G104" s="69"/>
      <c r="H104" s="69"/>
      <c r="I104" s="69"/>
    </row>
    <row r="105" spans="1:9" ht="15">
      <c r="A105" s="35" t="str">
        <f>HLOOKUP(INDICE!$F$2,Nombres!$C$3:$D$636,73,FALSE)</f>
        <v>(Millones de euros constantes)</v>
      </c>
      <c r="B105" s="30"/>
      <c r="C105" s="30"/>
      <c r="D105" s="30"/>
      <c r="E105" s="30"/>
      <c r="F105" s="70"/>
      <c r="G105" s="44"/>
      <c r="H105" s="44"/>
      <c r="I105" s="44"/>
    </row>
    <row r="106" spans="1:9" ht="15.7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5">
      <c r="A107" s="43" t="str">
        <f>HLOOKUP(INDICE!$F$2,Nombres!$C$3:$D$636,66,FALSE)</f>
        <v>Préstamos y anticipos a la clientela bruto (*)</v>
      </c>
      <c r="B107" s="44">
        <v>2012.675242460398</v>
      </c>
      <c r="C107" s="44">
        <v>2234.3641628938976</v>
      </c>
      <c r="D107" s="44">
        <v>2303.1799576473686</v>
      </c>
      <c r="E107" s="45">
        <v>2587.6335009522168</v>
      </c>
      <c r="F107" s="44">
        <v>2651.110402656855</v>
      </c>
      <c r="G107" s="44">
        <v>2839.315434200595</v>
      </c>
      <c r="H107" s="44">
        <v>3049.04189683</v>
      </c>
      <c r="I107" s="44">
        <v>0</v>
      </c>
    </row>
    <row r="108" spans="1:9" ht="15">
      <c r="A108" s="43" t="str">
        <f>HLOOKUP(INDICE!$F$2,Nombres!$C$3:$D$636,67,FALSE)</f>
        <v>Depósitos de clientes en gestión (**)</v>
      </c>
      <c r="B108" s="44">
        <v>2866.56592764506</v>
      </c>
      <c r="C108" s="44">
        <v>3262.8346109978356</v>
      </c>
      <c r="D108" s="44">
        <v>3491.098994220931</v>
      </c>
      <c r="E108" s="45">
        <v>4175.8732940246055</v>
      </c>
      <c r="F108" s="44">
        <v>4439.6903239829835</v>
      </c>
      <c r="G108" s="44">
        <v>5323.3773604827065</v>
      </c>
      <c r="H108" s="44">
        <v>5515.0211831999995</v>
      </c>
      <c r="I108" s="44">
        <v>0</v>
      </c>
    </row>
    <row r="109" spans="1:9" ht="15">
      <c r="A109" s="43" t="str">
        <f>HLOOKUP(INDICE!$F$2,Nombres!$C$3:$D$636,68,FALSE)</f>
        <v>Fondos de inversión</v>
      </c>
      <c r="B109" s="44">
        <v>584.5770557917245</v>
      </c>
      <c r="C109" s="44">
        <v>1003.6659159618589</v>
      </c>
      <c r="D109" s="44">
        <v>877.4491425747578</v>
      </c>
      <c r="E109" s="45">
        <v>875.7600933047141</v>
      </c>
      <c r="F109" s="44">
        <v>1251.9596408612638</v>
      </c>
      <c r="G109" s="44">
        <v>1339.5705221761689</v>
      </c>
      <c r="H109" s="44">
        <v>1673.9364056799998</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6">
        <f>+B$6</f>
        <v>2020</v>
      </c>
      <c r="C118" s="306"/>
      <c r="D118" s="306"/>
      <c r="E118" s="307"/>
      <c r="F118" s="306">
        <f>+F$6</f>
        <v>2021</v>
      </c>
      <c r="G118" s="306"/>
      <c r="H118" s="306"/>
      <c r="I118" s="306"/>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17079.272024805472</v>
      </c>
      <c r="C120" s="41">
        <v>17744.005887890522</v>
      </c>
      <c r="D120" s="41">
        <v>19756.098347982188</v>
      </c>
      <c r="E120" s="42">
        <v>25840.3611361698</v>
      </c>
      <c r="F120" s="50">
        <v>21735.656959069278</v>
      </c>
      <c r="G120" s="50">
        <v>26758.454143550065</v>
      </c>
      <c r="H120" s="50">
        <v>32552.26818263314</v>
      </c>
      <c r="I120" s="50">
        <v>0</v>
      </c>
    </row>
    <row r="121" spans="1:9" ht="15">
      <c r="A121" s="43" t="str">
        <f>HLOOKUP(INDICE!$F$2,Nombres!$C$3:$D$636,34,FALSE)</f>
        <v>Comisiones netas</v>
      </c>
      <c r="B121" s="44">
        <v>1874.6411309726877</v>
      </c>
      <c r="C121" s="44">
        <v>3299.380561340492</v>
      </c>
      <c r="D121" s="44">
        <v>3801.789748357312</v>
      </c>
      <c r="E121" s="45">
        <v>3499.0105299320453</v>
      </c>
      <c r="F121" s="44">
        <v>3365.2045704127745</v>
      </c>
      <c r="G121" s="44">
        <v>6159.171520703305</v>
      </c>
      <c r="H121" s="44">
        <v>7016.5727384810925</v>
      </c>
      <c r="I121" s="44">
        <v>0</v>
      </c>
    </row>
    <row r="122" spans="1:9" ht="15">
      <c r="A122" s="43" t="str">
        <f>HLOOKUP(INDICE!$F$2,Nombres!$C$3:$D$636,35,FALSE)</f>
        <v>Resultados de operaciones financieras</v>
      </c>
      <c r="B122" s="44">
        <v>1818.8820010215834</v>
      </c>
      <c r="C122" s="44">
        <v>2018.9353776925182</v>
      </c>
      <c r="D122" s="44">
        <v>2290.969754276095</v>
      </c>
      <c r="E122" s="45">
        <v>8522.248799390842</v>
      </c>
      <c r="F122" s="44">
        <v>2776.0698261513107</v>
      </c>
      <c r="G122" s="44">
        <v>2951.9460733159035</v>
      </c>
      <c r="H122" s="44">
        <v>2940.694890179773</v>
      </c>
      <c r="I122" s="44">
        <v>0</v>
      </c>
    </row>
    <row r="123" spans="1:9" ht="15">
      <c r="A123" s="43" t="str">
        <f>HLOOKUP(INDICE!$F$2,Nombres!$C$3:$D$636,36,FALSE)</f>
        <v>Otros ingresos y cargas de explotación</v>
      </c>
      <c r="B123" s="44">
        <v>-5955.845446101257</v>
      </c>
      <c r="C123" s="44">
        <v>-5877.704445577949</v>
      </c>
      <c r="D123" s="44">
        <v>-7531.146539366742</v>
      </c>
      <c r="E123" s="45">
        <v>-11823.686661057054</v>
      </c>
      <c r="F123" s="44">
        <v>-13047.324336326277</v>
      </c>
      <c r="G123" s="44">
        <v>-15001.86287632614</v>
      </c>
      <c r="H123" s="44">
        <v>-13818.287526209393</v>
      </c>
      <c r="I123" s="44">
        <v>0</v>
      </c>
    </row>
    <row r="124" spans="1:9" ht="15">
      <c r="A124" s="41" t="str">
        <f>HLOOKUP(INDICE!$F$2,Nombres!$C$3:$D$636,37,FALSE)</f>
        <v>Margen bruto</v>
      </c>
      <c r="B124" s="41">
        <f>+SUM(B120:B123)</f>
        <v>14816.949710698484</v>
      </c>
      <c r="C124" s="41">
        <f aca="true" t="shared" si="19" ref="C124:I124">+SUM(C120:C123)</f>
        <v>17184.617381345583</v>
      </c>
      <c r="D124" s="41">
        <f t="shared" si="19"/>
        <v>18317.71131124885</v>
      </c>
      <c r="E124" s="42">
        <f t="shared" si="19"/>
        <v>26037.93380443563</v>
      </c>
      <c r="F124" s="50">
        <f t="shared" si="19"/>
        <v>14829.607019307085</v>
      </c>
      <c r="G124" s="50">
        <f t="shared" si="19"/>
        <v>20867.708861243136</v>
      </c>
      <c r="H124" s="50">
        <f t="shared" si="19"/>
        <v>28691.248285084606</v>
      </c>
      <c r="I124" s="50">
        <f t="shared" si="19"/>
        <v>0</v>
      </c>
    </row>
    <row r="125" spans="1:9" ht="15">
      <c r="A125" s="43" t="str">
        <f>HLOOKUP(INDICE!$F$2,Nombres!$C$3:$D$636,38,FALSE)</f>
        <v>Gastos de explotación</v>
      </c>
      <c r="B125" s="44">
        <v>-8329.043666629235</v>
      </c>
      <c r="C125" s="44">
        <v>-8725.22704365629</v>
      </c>
      <c r="D125" s="44">
        <v>-10583.748134715668</v>
      </c>
      <c r="E125" s="45">
        <v>-13262.157822278059</v>
      </c>
      <c r="F125" s="44">
        <v>-11269.210086347393</v>
      </c>
      <c r="G125" s="44">
        <v>-13862.581329233988</v>
      </c>
      <c r="H125" s="44">
        <v>-18526.41221111516</v>
      </c>
      <c r="I125" s="44">
        <v>0</v>
      </c>
    </row>
    <row r="126" spans="1:9" ht="15">
      <c r="A126" s="43" t="str">
        <f>HLOOKUP(INDICE!$F$2,Nombres!$C$3:$D$636,39,FALSE)</f>
        <v>  Gastos de administración</v>
      </c>
      <c r="B126" s="44">
        <v>-7483.072189678596</v>
      </c>
      <c r="C126" s="44">
        <v>-7844.306492488938</v>
      </c>
      <c r="D126" s="44">
        <v>-9618.640890913235</v>
      </c>
      <c r="E126" s="45">
        <v>-11985.060687395595</v>
      </c>
      <c r="F126" s="44">
        <v>-10469.393114660426</v>
      </c>
      <c r="G126" s="44">
        <v>-12712.283897014744</v>
      </c>
      <c r="H126" s="44">
        <v>-17221.98976751211</v>
      </c>
      <c r="I126" s="44">
        <v>0</v>
      </c>
    </row>
    <row r="127" spans="1:9" ht="15">
      <c r="A127" s="46" t="str">
        <f>HLOOKUP(INDICE!$F$2,Nombres!$C$3:$D$636,40,FALSE)</f>
        <v>  Gastos de personal</v>
      </c>
      <c r="B127" s="44">
        <v>-4554.062868530717</v>
      </c>
      <c r="C127" s="44">
        <v>-4320.744822784194</v>
      </c>
      <c r="D127" s="44">
        <v>-5351.581469482768</v>
      </c>
      <c r="E127" s="45">
        <v>-6442.855909987664</v>
      </c>
      <c r="F127" s="44">
        <v>-5999.705498722209</v>
      </c>
      <c r="G127" s="44">
        <v>-7096.519460579362</v>
      </c>
      <c r="H127" s="44">
        <v>-8638.174647986692</v>
      </c>
      <c r="I127" s="44">
        <v>0</v>
      </c>
    </row>
    <row r="128" spans="1:9" ht="15">
      <c r="A128" s="46" t="str">
        <f>HLOOKUP(INDICE!$F$2,Nombres!$C$3:$D$636,41,FALSE)</f>
        <v>  Otros gastos de administración</v>
      </c>
      <c r="B128" s="44">
        <v>-2929.0093211478807</v>
      </c>
      <c r="C128" s="44">
        <v>-3523.5616697047453</v>
      </c>
      <c r="D128" s="44">
        <v>-4267.059421430467</v>
      </c>
      <c r="E128" s="45">
        <v>-5542.204777407933</v>
      </c>
      <c r="F128" s="44">
        <v>-4469.687615938218</v>
      </c>
      <c r="G128" s="44">
        <v>-5615.764436435383</v>
      </c>
      <c r="H128" s="44">
        <v>-8583.815119525421</v>
      </c>
      <c r="I128" s="44">
        <v>0</v>
      </c>
    </row>
    <row r="129" spans="1:9" ht="15">
      <c r="A129" s="43" t="str">
        <f>HLOOKUP(INDICE!$F$2,Nombres!$C$3:$D$636,42,FALSE)</f>
        <v>  Amortización</v>
      </c>
      <c r="B129" s="44">
        <v>-845.9714769506381</v>
      </c>
      <c r="C129" s="44">
        <v>-880.9205511673514</v>
      </c>
      <c r="D129" s="44">
        <v>-965.107243802433</v>
      </c>
      <c r="E129" s="45">
        <v>-1277.0971348824653</v>
      </c>
      <c r="F129" s="44">
        <v>-799.8169716869681</v>
      </c>
      <c r="G129" s="44">
        <v>-1150.297432219244</v>
      </c>
      <c r="H129" s="44">
        <v>-1304.4224436030456</v>
      </c>
      <c r="I129" s="44">
        <v>0</v>
      </c>
    </row>
    <row r="130" spans="1:9" ht="15">
      <c r="A130" s="41" t="str">
        <f>HLOOKUP(INDICE!$F$2,Nombres!$C$3:$D$636,43,FALSE)</f>
        <v>Margen neto</v>
      </c>
      <c r="B130" s="41">
        <f>+B124+B125</f>
        <v>6487.906044069248</v>
      </c>
      <c r="C130" s="41">
        <f aca="true" t="shared" si="20" ref="C130:I130">+C124+C125</f>
        <v>8459.390337689292</v>
      </c>
      <c r="D130" s="41">
        <f t="shared" si="20"/>
        <v>7733.963176533183</v>
      </c>
      <c r="E130" s="42">
        <f t="shared" si="20"/>
        <v>12775.775982157571</v>
      </c>
      <c r="F130" s="50">
        <f t="shared" si="20"/>
        <v>3560.396932959691</v>
      </c>
      <c r="G130" s="50">
        <f t="shared" si="20"/>
        <v>7005.127532009148</v>
      </c>
      <c r="H130" s="50">
        <f t="shared" si="20"/>
        <v>10164.836073969447</v>
      </c>
      <c r="I130" s="50">
        <f t="shared" si="20"/>
        <v>0</v>
      </c>
    </row>
    <row r="131" spans="1:9" ht="15">
      <c r="A131" s="43" t="str">
        <f>HLOOKUP(INDICE!$F$2,Nombres!$C$3:$D$636,44,FALSE)</f>
        <v>Deterioro de activos financieros no valorados a valor razonable con cambios en resultados</v>
      </c>
      <c r="B131" s="44">
        <v>-4501.511914297497</v>
      </c>
      <c r="C131" s="44">
        <v>-2432.306029067025</v>
      </c>
      <c r="D131" s="44">
        <v>2252.4946596896057</v>
      </c>
      <c r="E131" s="45">
        <v>-6150.055828542127</v>
      </c>
      <c r="F131" s="44">
        <v>-2215.0768220999025</v>
      </c>
      <c r="G131" s="44">
        <v>-3837.3749453017717</v>
      </c>
      <c r="H131" s="44">
        <v>-3868.3082401255815</v>
      </c>
      <c r="I131" s="44">
        <v>0</v>
      </c>
    </row>
    <row r="132" spans="1:9" ht="15">
      <c r="A132" s="43" t="str">
        <f>HLOOKUP(INDICE!$F$2,Nombres!$C$3:$D$636,45,FALSE)</f>
        <v>Provisiones o reversión de provisiones y otros resultados</v>
      </c>
      <c r="B132" s="44">
        <v>-759.5166812766311</v>
      </c>
      <c r="C132" s="44">
        <v>352.5260599604685</v>
      </c>
      <c r="D132" s="44">
        <v>-600.6376813720062</v>
      </c>
      <c r="E132" s="45">
        <v>-2052.3137372598944</v>
      </c>
      <c r="F132" s="44">
        <v>-211.11372749569747</v>
      </c>
      <c r="G132" s="44">
        <v>-550.4613365749893</v>
      </c>
      <c r="H132" s="44">
        <v>-374.4727047255634</v>
      </c>
      <c r="I132" s="44">
        <v>0</v>
      </c>
    </row>
    <row r="133" spans="1:9" ht="15">
      <c r="A133" s="41" t="str">
        <f>HLOOKUP(INDICE!$F$2,Nombres!$C$3:$D$636,46,FALSE)</f>
        <v>Resultado antes de impuestos</v>
      </c>
      <c r="B133" s="41">
        <f>+B130+B131+B132</f>
        <v>1226.87744849512</v>
      </c>
      <c r="C133" s="41">
        <f aca="true" t="shared" si="21" ref="C133:I133">+C130+C131+C132</f>
        <v>6379.610368582735</v>
      </c>
      <c r="D133" s="41">
        <f t="shared" si="21"/>
        <v>9385.820154850782</v>
      </c>
      <c r="E133" s="42">
        <f t="shared" si="21"/>
        <v>4573.40641635555</v>
      </c>
      <c r="F133" s="50">
        <f t="shared" si="21"/>
        <v>1134.2063833640912</v>
      </c>
      <c r="G133" s="50">
        <f t="shared" si="21"/>
        <v>2617.291250132387</v>
      </c>
      <c r="H133" s="50">
        <f t="shared" si="21"/>
        <v>5922.055129118302</v>
      </c>
      <c r="I133" s="50">
        <f t="shared" si="21"/>
        <v>0</v>
      </c>
    </row>
    <row r="134" spans="1:9" ht="15">
      <c r="A134" s="43" t="str">
        <f>HLOOKUP(INDICE!$F$2,Nombres!$C$3:$D$636,47,FALSE)</f>
        <v>Impuesto sobre beneficios</v>
      </c>
      <c r="B134" s="44">
        <v>-486.9244512933663</v>
      </c>
      <c r="C134" s="44">
        <v>-2307.6582309485807</v>
      </c>
      <c r="D134" s="44">
        <v>-3414.9050512868575</v>
      </c>
      <c r="E134" s="45">
        <v>-2291.0223993882064</v>
      </c>
      <c r="F134" s="44">
        <v>-422.3676882013634</v>
      </c>
      <c r="G134" s="44">
        <v>-1210.9006723304751</v>
      </c>
      <c r="H134" s="44">
        <v>-1276.2034953200668</v>
      </c>
      <c r="I134" s="44">
        <v>0</v>
      </c>
    </row>
    <row r="135" spans="1:9" ht="15">
      <c r="A135" s="41" t="str">
        <f>HLOOKUP(INDICE!$F$2,Nombres!$C$3:$D$636,48,FALSE)</f>
        <v>Resultado del ejercicio</v>
      </c>
      <c r="B135" s="41">
        <f>+B133+B134</f>
        <v>739.9529972017538</v>
      </c>
      <c r="C135" s="41">
        <f aca="true" t="shared" si="22" ref="C135:I135">+C133+C134</f>
        <v>4071.952137634154</v>
      </c>
      <c r="D135" s="41">
        <f t="shared" si="22"/>
        <v>5970.915103563924</v>
      </c>
      <c r="E135" s="42">
        <f t="shared" si="22"/>
        <v>2282.384016967344</v>
      </c>
      <c r="F135" s="50">
        <f t="shared" si="22"/>
        <v>711.8386951627277</v>
      </c>
      <c r="G135" s="50">
        <f t="shared" si="22"/>
        <v>1406.390577801912</v>
      </c>
      <c r="H135" s="50">
        <f t="shared" si="22"/>
        <v>4645.851633798235</v>
      </c>
      <c r="I135" s="50">
        <f t="shared" si="22"/>
        <v>0</v>
      </c>
    </row>
    <row r="136" spans="1:9" ht="15">
      <c r="A136" s="43" t="str">
        <f>HLOOKUP(INDICE!$F$2,Nombres!$C$3:$D$636,49,FALSE)</f>
        <v>Minoritarios</v>
      </c>
      <c r="B136" s="44">
        <v>-190.00536748030083</v>
      </c>
      <c r="C136" s="44">
        <v>-1254.980100167937</v>
      </c>
      <c r="D136" s="44">
        <v>-1837.0341741070333</v>
      </c>
      <c r="E136" s="45">
        <v>-603.7415012455351</v>
      </c>
      <c r="F136" s="44">
        <v>-115.43152613378948</v>
      </c>
      <c r="G136" s="44">
        <v>-270.1339852288121</v>
      </c>
      <c r="H136" s="44">
        <v>-1540.1517393508057</v>
      </c>
      <c r="I136" s="44">
        <v>0</v>
      </c>
    </row>
    <row r="137" spans="1:9" ht="15">
      <c r="A137" s="47" t="str">
        <f>HLOOKUP(INDICE!$F$2,Nombres!$C$3:$D$636,50,FALSE)</f>
        <v>Resultado atribuido</v>
      </c>
      <c r="B137" s="47">
        <f>+B135+B136</f>
        <v>549.9476297214529</v>
      </c>
      <c r="C137" s="47">
        <f aca="true" t="shared" si="23" ref="C137:I137">+C135+C136</f>
        <v>2816.972037466217</v>
      </c>
      <c r="D137" s="47">
        <f t="shared" si="23"/>
        <v>4133.880929456891</v>
      </c>
      <c r="E137" s="47">
        <f t="shared" si="23"/>
        <v>1678.6425157218089</v>
      </c>
      <c r="F137" s="51">
        <f t="shared" si="23"/>
        <v>596.4071690289383</v>
      </c>
      <c r="G137" s="51">
        <f t="shared" si="23"/>
        <v>1136.2565925731</v>
      </c>
      <c r="H137" s="51">
        <f t="shared" si="23"/>
        <v>3105.699894447429</v>
      </c>
      <c r="I137" s="51">
        <f t="shared" si="23"/>
        <v>0</v>
      </c>
    </row>
    <row r="138" spans="1:9" ht="15">
      <c r="A138" s="62"/>
      <c r="B138" s="63">
        <v>-4.888534022029489E-12</v>
      </c>
      <c r="C138" s="63">
        <v>0</v>
      </c>
      <c r="D138" s="63">
        <v>0</v>
      </c>
      <c r="E138" s="63">
        <v>5.4569682106375694E-12</v>
      </c>
      <c r="F138" s="63">
        <v>1.7053025658242404E-12</v>
      </c>
      <c r="G138" s="63">
        <v>1.8189894035458565E-12</v>
      </c>
      <c r="H138" s="63">
        <v>-1.0913936421275139E-11</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9"/>
      <c r="G140" s="69"/>
      <c r="H140" s="69"/>
      <c r="I140" s="69"/>
    </row>
    <row r="141" spans="1:9" ht="15">
      <c r="A141" s="35" t="str">
        <f>HLOOKUP(INDICE!$F$2,Nombres!$C$3:$D$636,78,FALSE)</f>
        <v>(Millones de pesos argentinos)</v>
      </c>
      <c r="B141" s="30"/>
      <c r="C141" s="52"/>
      <c r="D141" s="52"/>
      <c r="E141" s="52"/>
      <c r="F141" s="70"/>
      <c r="G141" s="44"/>
      <c r="H141" s="44"/>
      <c r="I141" s="44"/>
    </row>
    <row r="142" spans="1:9" ht="15.7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5">
      <c r="A143" s="43" t="str">
        <f>HLOOKUP(INDICE!$F$2,Nombres!$C$3:$D$636,52,FALSE)</f>
        <v>Efectivo, saldos en efectivo en bancos centrales y otros depósitos a la vista</v>
      </c>
      <c r="B143" s="44">
        <v>146632.9841033559</v>
      </c>
      <c r="C143" s="44">
        <v>112708.81219222759</v>
      </c>
      <c r="D143" s="44">
        <v>133387.63712306015</v>
      </c>
      <c r="E143" s="45">
        <v>152264.6157874693</v>
      </c>
      <c r="F143" s="44">
        <v>195668.35391870118</v>
      </c>
      <c r="G143" s="44">
        <v>198254.61735477528</v>
      </c>
      <c r="H143" s="44">
        <v>197215.37827158908</v>
      </c>
      <c r="I143" s="44">
        <v>0</v>
      </c>
    </row>
    <row r="144" spans="1:9" ht="15">
      <c r="A144" s="43" t="str">
        <f>HLOOKUP(INDICE!$F$2,Nombres!$C$3:$D$636,53,FALSE)</f>
        <v>Activos financieros a valor razonable</v>
      </c>
      <c r="B144" s="58">
        <v>82846.8618806832</v>
      </c>
      <c r="C144" s="58">
        <v>101391.27248980572</v>
      </c>
      <c r="D144" s="58">
        <v>126638.39000778718</v>
      </c>
      <c r="E144" s="65">
        <v>143486.24249878142</v>
      </c>
      <c r="F144" s="44">
        <v>145296.2735106854</v>
      </c>
      <c r="G144" s="44">
        <v>162220.26555158006</v>
      </c>
      <c r="H144" s="44">
        <v>179952.02380668602</v>
      </c>
      <c r="I144" s="44">
        <v>0</v>
      </c>
    </row>
    <row r="145" spans="1:9" ht="15">
      <c r="A145" s="43" t="str">
        <f>HLOOKUP(INDICE!$F$2,Nombres!$C$3:$D$636,54,FALSE)</f>
        <v>Activos financieros a coste amortizado</v>
      </c>
      <c r="B145" s="44">
        <v>233620.14072098615</v>
      </c>
      <c r="C145" s="44">
        <v>290144.3470396778</v>
      </c>
      <c r="D145" s="44">
        <v>284189.0554209135</v>
      </c>
      <c r="E145" s="45">
        <v>346986.6888798944</v>
      </c>
      <c r="F145" s="44">
        <v>346589.8702235161</v>
      </c>
      <c r="G145" s="44">
        <v>444855.71671522193</v>
      </c>
      <c r="H145" s="44">
        <v>475124.89244579175</v>
      </c>
      <c r="I145" s="44">
        <v>0</v>
      </c>
    </row>
    <row r="146" spans="1:9" ht="15">
      <c r="A146" s="43" t="str">
        <f>HLOOKUP(INDICE!$F$2,Nombres!$C$3:$D$636,55,FALSE)</f>
        <v>    de los que préstamos y anticipos a la clientela</v>
      </c>
      <c r="B146" s="44">
        <v>218190.14931626903</v>
      </c>
      <c r="C146" s="44">
        <v>244651.81353645306</v>
      </c>
      <c r="D146" s="44">
        <v>252539.5279639127</v>
      </c>
      <c r="E146" s="45">
        <v>283148.04790569056</v>
      </c>
      <c r="F146" s="44">
        <v>288842.6104548462</v>
      </c>
      <c r="G146" s="44">
        <v>309142.49436588</v>
      </c>
      <c r="H146" s="44">
        <v>332423.6921131029</v>
      </c>
      <c r="I146" s="44">
        <v>0</v>
      </c>
    </row>
    <row r="147" spans="1:9" ht="15">
      <c r="A147" s="43"/>
      <c r="B147" s="44"/>
      <c r="C147" s="44"/>
      <c r="D147" s="44"/>
      <c r="E147" s="45"/>
      <c r="F147" s="44"/>
      <c r="G147" s="44"/>
      <c r="H147" s="44"/>
      <c r="I147" s="44"/>
    </row>
    <row r="148" spans="1:9" ht="15">
      <c r="A148" s="43" t="str">
        <f>HLOOKUP(INDICE!$F$2,Nombres!$C$3:$D$636,56,FALSE)</f>
        <v>Activos tangibles</v>
      </c>
      <c r="B148" s="44">
        <v>28252.596706464254</v>
      </c>
      <c r="C148" s="44">
        <v>28805.918029262084</v>
      </c>
      <c r="D148" s="44">
        <v>30014.608222095136</v>
      </c>
      <c r="E148" s="45">
        <v>35111.78665393532</v>
      </c>
      <c r="F148" s="44">
        <v>38640.428664513085</v>
      </c>
      <c r="G148" s="44">
        <v>42632.280572879325</v>
      </c>
      <c r="H148" s="44">
        <v>45614.14656548944</v>
      </c>
      <c r="I148" s="44">
        <v>0</v>
      </c>
    </row>
    <row r="149" spans="1:9" ht="15">
      <c r="A149" s="43" t="str">
        <f>HLOOKUP(INDICE!$F$2,Nombres!$C$3:$D$636,57,FALSE)</f>
        <v>Otros activos</v>
      </c>
      <c r="B149" s="58">
        <f>+B150-B148-B145-B144-B143</f>
        <v>20669.06146328256</v>
      </c>
      <c r="C149" s="58">
        <f aca="true" t="shared" si="25" ref="C149:H149">+C150-C148-C145-C144-C143</f>
        <v>20257.258498199735</v>
      </c>
      <c r="D149" s="58">
        <f t="shared" si="25"/>
        <v>22171.561745249783</v>
      </c>
      <c r="E149" s="65">
        <f t="shared" si="25"/>
        <v>30708.604974628513</v>
      </c>
      <c r="F149" s="44">
        <f t="shared" si="25"/>
        <v>31862.311180979334</v>
      </c>
      <c r="G149" s="44">
        <f t="shared" si="25"/>
        <v>33524.998362545535</v>
      </c>
      <c r="H149" s="44">
        <f t="shared" si="25"/>
        <v>30913.076361243497</v>
      </c>
      <c r="I149" s="44">
        <f>+I150-I148-I145-I144-I143</f>
        <v>0</v>
      </c>
    </row>
    <row r="150" spans="1:9" ht="15">
      <c r="A150" s="47" t="str">
        <f>HLOOKUP(INDICE!$F$2,Nombres!$C$3:$D$636,58,FALSE)</f>
        <v>Total activo / pasivo</v>
      </c>
      <c r="B150" s="47">
        <v>512021.64487477206</v>
      </c>
      <c r="C150" s="47">
        <v>553307.6082491729</v>
      </c>
      <c r="D150" s="47">
        <v>596401.2525191058</v>
      </c>
      <c r="E150" s="47">
        <v>708557.9387947089</v>
      </c>
      <c r="F150" s="51">
        <v>758057.237498395</v>
      </c>
      <c r="G150" s="51">
        <v>881487.8785570022</v>
      </c>
      <c r="H150" s="51">
        <v>928819.5174507998</v>
      </c>
      <c r="I150" s="51">
        <v>0</v>
      </c>
    </row>
    <row r="151" spans="1:9" ht="15">
      <c r="A151" s="43" t="str">
        <f>HLOOKUP(INDICE!$F$2,Nombres!$C$3:$D$636,59,FALSE)</f>
        <v>Pasivos financieros mantenidos para negociar y designados a valor razonable con cambios en resultados</v>
      </c>
      <c r="B151" s="58">
        <v>331.62194909269823</v>
      </c>
      <c r="C151" s="58">
        <v>229.62689906914247</v>
      </c>
      <c r="D151" s="58">
        <v>35.91352312579219</v>
      </c>
      <c r="E151" s="65">
        <v>188.6456590850384</v>
      </c>
      <c r="F151" s="44">
        <v>398.83027477353664</v>
      </c>
      <c r="G151" s="44">
        <v>141.94230584830007</v>
      </c>
      <c r="H151" s="44">
        <v>398.8739147986835</v>
      </c>
      <c r="I151" s="44">
        <v>0</v>
      </c>
    </row>
    <row r="152" spans="1:9" ht="15">
      <c r="A152" s="43" t="str">
        <f>HLOOKUP(INDICE!$F$2,Nombres!$C$3:$D$636,60,FALSE)</f>
        <v>Depósitos de bancos centrales y entidades de crédito</v>
      </c>
      <c r="B152" s="58">
        <v>7745.120678138793</v>
      </c>
      <c r="C152" s="58">
        <v>6547.874483755001</v>
      </c>
      <c r="D152" s="58">
        <v>4608.783313887331</v>
      </c>
      <c r="E152" s="65">
        <v>11942.085929282037</v>
      </c>
      <c r="F152" s="44">
        <v>12985.327199804304</v>
      </c>
      <c r="G152" s="44">
        <v>12060.43282840376</v>
      </c>
      <c r="H152" s="44">
        <v>12230.228545159633</v>
      </c>
      <c r="I152" s="44">
        <v>0</v>
      </c>
    </row>
    <row r="153" spans="1:9" ht="15">
      <c r="A153" s="43" t="str">
        <f>HLOOKUP(INDICE!$F$2,Nombres!$C$3:$D$636,61,FALSE)</f>
        <v>Depósitos de la clientela</v>
      </c>
      <c r="B153" s="58">
        <v>327619.8125096223</v>
      </c>
      <c r="C153" s="58">
        <v>372911.0886120894</v>
      </c>
      <c r="D153" s="58">
        <v>398999.59838931914</v>
      </c>
      <c r="E153" s="65">
        <v>477297.4724894754</v>
      </c>
      <c r="F153" s="44">
        <v>507414.3239213696</v>
      </c>
      <c r="G153" s="44">
        <v>608411.6957602976</v>
      </c>
      <c r="H153" s="44">
        <v>630314.6178988395</v>
      </c>
      <c r="I153" s="44">
        <v>0</v>
      </c>
    </row>
    <row r="154" spans="1:9" ht="15">
      <c r="A154" s="43" t="str">
        <f>HLOOKUP(INDICE!$F$2,Nombres!$C$3:$D$636,62,FALSE)</f>
        <v>Valores representativos de deuda emitidos</v>
      </c>
      <c r="B154" s="44">
        <v>23597.707648860698</v>
      </c>
      <c r="C154" s="44">
        <v>20469.136518930987</v>
      </c>
      <c r="D154" s="44">
        <v>21643.802832503065</v>
      </c>
      <c r="E154" s="45">
        <v>21325.028187024975</v>
      </c>
      <c r="F154" s="44">
        <v>20894.252987476346</v>
      </c>
      <c r="G154" s="44">
        <v>20751.38397728956</v>
      </c>
      <c r="H154" s="44">
        <v>22798.536222062157</v>
      </c>
      <c r="I154" s="44">
        <v>0</v>
      </c>
    </row>
    <row r="155" spans="1:9" ht="15">
      <c r="A155" s="43"/>
      <c r="B155" s="44"/>
      <c r="C155" s="44"/>
      <c r="D155" s="44"/>
      <c r="E155" s="45"/>
      <c r="F155" s="44"/>
      <c r="G155" s="44"/>
      <c r="H155" s="44"/>
      <c r="I155" s="44"/>
    </row>
    <row r="156" spans="1:9" ht="15.75" customHeight="1">
      <c r="A156" s="43" t="str">
        <f>HLOOKUP(INDICE!$F$2,Nombres!$C$3:$D$636,63,FALSE)</f>
        <v>Otros pasivos</v>
      </c>
      <c r="B156" s="58">
        <f>+B150-B151-B152-B153-B154-B157</f>
        <v>93224.0173640823</v>
      </c>
      <c r="C156" s="58">
        <f aca="true" t="shared" si="26" ref="C156:I156">+C150-C151-C152-C153-C154-C157</f>
        <v>92177.89895235756</v>
      </c>
      <c r="D156" s="58">
        <f t="shared" si="26"/>
        <v>108035.01575384483</v>
      </c>
      <c r="E156" s="65">
        <f t="shared" si="26"/>
        <v>125498.87405413478</v>
      </c>
      <c r="F156" s="44">
        <f t="shared" si="26"/>
        <v>145064.44649998407</v>
      </c>
      <c r="G156" s="44">
        <f t="shared" si="26"/>
        <v>166692.42763093155</v>
      </c>
      <c r="H156" s="44">
        <f t="shared" si="26"/>
        <v>181790.08618538157</v>
      </c>
      <c r="I156" s="44">
        <f t="shared" si="26"/>
        <v>0</v>
      </c>
    </row>
    <row r="157" spans="1:9" ht="15.75" customHeight="1">
      <c r="A157" s="43" t="str">
        <f>HLOOKUP(INDICE!$F$2,Nombres!$C$3:$D$636,282,FALSE)</f>
        <v>Dotación de capital regulatorio</v>
      </c>
      <c r="B157" s="58">
        <v>59503.364724975225</v>
      </c>
      <c r="C157" s="58">
        <v>60971.98278297082</v>
      </c>
      <c r="D157" s="58">
        <v>63078.13870642563</v>
      </c>
      <c r="E157" s="65">
        <v>72305.83247570675</v>
      </c>
      <c r="F157" s="44">
        <v>71300.0566149872</v>
      </c>
      <c r="G157" s="44">
        <v>73429.99605423138</v>
      </c>
      <c r="H157" s="44">
        <v>81287.1746845582</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5">
      <c r="A161" s="35" t="str">
        <f>HLOOKUP(INDICE!$F$2,Nombres!$C$3:$D$636,78,FALSE)</f>
        <v>(Millones de pesos argentinos)</v>
      </c>
      <c r="B161" s="30"/>
      <c r="C161" s="30"/>
      <c r="D161" s="30"/>
      <c r="E161" s="30"/>
      <c r="F161" s="70"/>
      <c r="G161" s="44"/>
      <c r="H161" s="44"/>
      <c r="I161" s="44"/>
    </row>
    <row r="162" spans="1:9" ht="15.7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5">
      <c r="A163" s="43" t="str">
        <f>HLOOKUP(INDICE!$F$2,Nombres!$C$3:$D$636,66,FALSE)</f>
        <v>Préstamos y anticipos a la clientela bruto (*)</v>
      </c>
      <c r="B163" s="44">
        <v>230029.70005116577</v>
      </c>
      <c r="C163" s="44">
        <v>255366.6420456654</v>
      </c>
      <c r="D163" s="44">
        <v>263231.63501222694</v>
      </c>
      <c r="E163" s="45">
        <v>295741.97839227325</v>
      </c>
      <c r="F163" s="44">
        <v>302996.7864960612</v>
      </c>
      <c r="G163" s="44">
        <v>324506.83741774067</v>
      </c>
      <c r="H163" s="44">
        <v>348476.5838893369</v>
      </c>
      <c r="I163" s="44">
        <v>0</v>
      </c>
    </row>
    <row r="164" spans="1:9" ht="15">
      <c r="A164" s="43" t="str">
        <f>HLOOKUP(INDICE!$F$2,Nombres!$C$3:$D$636,67,FALSE)</f>
        <v>Depósitos de clientes en gestión (**)</v>
      </c>
      <c r="B164" s="44">
        <v>327621.310483755</v>
      </c>
      <c r="C164" s="44">
        <v>372911.0643637096</v>
      </c>
      <c r="D164" s="44">
        <v>398999.5194196703</v>
      </c>
      <c r="E164" s="45">
        <v>477262.73022660974</v>
      </c>
      <c r="F164" s="44">
        <v>507414.515765309</v>
      </c>
      <c r="G164" s="44">
        <v>608411.566683788</v>
      </c>
      <c r="H164" s="44">
        <v>630314.6388368629</v>
      </c>
      <c r="I164" s="44">
        <v>0</v>
      </c>
    </row>
    <row r="165" spans="1:9" ht="15">
      <c r="A165" s="43" t="str">
        <f>HLOOKUP(INDICE!$F$2,Nombres!$C$3:$D$636,68,FALSE)</f>
        <v>Fondos de inversión</v>
      </c>
      <c r="B165" s="44">
        <v>66811.6156862847</v>
      </c>
      <c r="C165" s="44">
        <v>114709.49944117854</v>
      </c>
      <c r="D165" s="44">
        <v>100284.1187780922</v>
      </c>
      <c r="E165" s="45">
        <v>100091.07645871393</v>
      </c>
      <c r="F165" s="44">
        <v>143087.1183725748</v>
      </c>
      <c r="G165" s="44">
        <v>153100.21155568052</v>
      </c>
      <c r="H165" s="44">
        <v>191315.06225146668</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5">
      <c r="A168" s="62" t="str">
        <f>HLOOKUP(INDICE!$F$2,Nombres!$C$3:$D$636,71,FALSE)</f>
        <v>(*) No incluye las adquisiciones temporales de activos.</v>
      </c>
      <c r="B168" s="58"/>
      <c r="C168" s="58"/>
      <c r="D168" s="58"/>
      <c r="E168" s="58"/>
      <c r="F168" s="58"/>
      <c r="G168" s="58"/>
      <c r="H168" s="58"/>
      <c r="I168" s="58"/>
      <c r="K168" s="74"/>
      <c r="L168" s="74"/>
      <c r="M168" s="74"/>
      <c r="N168" s="74"/>
      <c r="O168" s="74"/>
    </row>
    <row r="169" spans="1:15" ht="1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5">
      <c r="A170" s="30"/>
      <c r="B170" s="30"/>
      <c r="C170" s="30"/>
      <c r="D170" s="30"/>
      <c r="E170" s="30"/>
      <c r="F170" s="30"/>
      <c r="G170" s="30"/>
      <c r="H170" s="30"/>
      <c r="I170" s="30"/>
      <c r="K170" s="74"/>
      <c r="L170" s="74"/>
      <c r="M170" s="74"/>
      <c r="N170" s="74"/>
      <c r="O170" s="74"/>
    </row>
    <row r="171" spans="1:15" ht="15">
      <c r="A171" s="30"/>
      <c r="B171" s="30"/>
      <c r="C171" s="30"/>
      <c r="D171" s="30"/>
      <c r="E171" s="30"/>
      <c r="F171" s="30"/>
      <c r="G171" s="30"/>
      <c r="H171" s="30"/>
      <c r="I171" s="30"/>
      <c r="K171" s="74"/>
      <c r="L171" s="74"/>
      <c r="M171" s="74"/>
      <c r="N171" s="74"/>
      <c r="O171" s="74"/>
    </row>
    <row r="172" spans="1:15" ht="15">
      <c r="A172" s="73"/>
      <c r="B172" s="74"/>
      <c r="C172" s="75"/>
      <c r="D172" s="75"/>
      <c r="E172" s="75"/>
      <c r="F172" s="74"/>
      <c r="G172" s="74"/>
      <c r="H172" s="74"/>
      <c r="I172" s="74"/>
      <c r="K172" s="74"/>
      <c r="L172" s="74"/>
      <c r="M172" s="74"/>
      <c r="N172" s="74"/>
      <c r="O172" s="74"/>
    </row>
    <row r="173" spans="1:15" ht="15">
      <c r="A173" s="73"/>
      <c r="B173" s="74"/>
      <c r="C173" s="75"/>
      <c r="D173" s="75"/>
      <c r="E173" s="75"/>
      <c r="F173" s="74"/>
      <c r="G173" s="74"/>
      <c r="H173" s="74"/>
      <c r="I173" s="74"/>
      <c r="J173" s="74"/>
      <c r="K173" s="74"/>
      <c r="L173" s="74"/>
      <c r="M173" s="74"/>
      <c r="N173" s="74"/>
      <c r="O173" s="74"/>
    </row>
    <row r="174" spans="1:15" ht="15">
      <c r="A174" s="74"/>
      <c r="B174" s="74"/>
      <c r="C174" s="74"/>
      <c r="D174" s="74"/>
      <c r="E174" s="74"/>
      <c r="F174" s="74"/>
      <c r="G174" s="74"/>
      <c r="H174" s="74"/>
      <c r="I174" s="74"/>
      <c r="J174" s="74"/>
      <c r="K174" s="74"/>
      <c r="L174" s="74"/>
      <c r="M174" s="74"/>
      <c r="N174" s="74"/>
      <c r="O174" s="74"/>
    </row>
    <row r="175" spans="1:10" ht="15">
      <c r="A175" s="74"/>
      <c r="B175" s="74"/>
      <c r="C175" s="74"/>
      <c r="D175" s="74"/>
      <c r="E175" s="74"/>
      <c r="F175" s="74"/>
      <c r="G175" s="74"/>
      <c r="H175" s="74"/>
      <c r="I175" s="74"/>
      <c r="J175" s="74"/>
    </row>
    <row r="176" spans="1:10" ht="15">
      <c r="A176" s="74"/>
      <c r="B176" s="74"/>
      <c r="C176" s="74"/>
      <c r="D176" s="74"/>
      <c r="E176" s="74"/>
      <c r="F176" s="74"/>
      <c r="G176" s="74"/>
      <c r="H176" s="74"/>
      <c r="I176" s="74"/>
      <c r="J176" s="74"/>
    </row>
    <row r="177" spans="1:10" ht="15">
      <c r="A177" s="74"/>
      <c r="B177" s="74"/>
      <c r="C177" s="74"/>
      <c r="D177" s="74"/>
      <c r="E177" s="74"/>
      <c r="F177" s="74"/>
      <c r="G177" s="74"/>
      <c r="H177" s="74"/>
      <c r="I177" s="74"/>
      <c r="J177" s="74"/>
    </row>
    <row r="178" spans="1:10" ht="15">
      <c r="A178" s="74"/>
      <c r="B178" s="74"/>
      <c r="C178" s="74"/>
      <c r="D178" s="74"/>
      <c r="E178" s="74"/>
      <c r="F178" s="74"/>
      <c r="G178" s="74"/>
      <c r="H178" s="74"/>
      <c r="I178" s="74"/>
      <c r="J178" s="74"/>
    </row>
    <row r="179" spans="1:10" ht="15">
      <c r="A179" s="74"/>
      <c r="B179" s="74"/>
      <c r="C179" s="74"/>
      <c r="D179" s="74"/>
      <c r="E179" s="74"/>
      <c r="F179" s="74"/>
      <c r="G179" s="74"/>
      <c r="H179" s="74"/>
      <c r="I179" s="74"/>
      <c r="J179" s="74"/>
    </row>
    <row r="180" spans="1:10" ht="15">
      <c r="A180" s="74"/>
      <c r="B180" s="74"/>
      <c r="C180" s="74"/>
      <c r="D180" s="74"/>
      <c r="E180" s="74"/>
      <c r="F180" s="74"/>
      <c r="G180" s="74"/>
      <c r="H180" s="74"/>
      <c r="I180" s="74"/>
      <c r="J180" s="74"/>
    </row>
    <row r="1006" ht="1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2021-10-28T14:36:24Z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